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Users\Aneesh Mallick\OneDrive - JC Bhalla &amp; Co\Desktop\Other assignments\TEV_MAA VINDHYAVASINI FOILS LIMITED\Working\Financial Model\"/>
    </mc:Choice>
  </mc:AlternateContent>
  <xr:revisionPtr revIDLastSave="0" documentId="13_ncr:1_{B85ABBB4-18BC-4A1C-99DA-D20C0BEE26F9}" xr6:coauthVersionLast="47" xr6:coauthVersionMax="47" xr10:uidLastSave="{00000000-0000-0000-0000-000000000000}"/>
  <bookViews>
    <workbookView xWindow="-110" yWindow="-110" windowWidth="19420" windowHeight="10300" tabRatio="951" firstSheet="1" activeTab="1" xr2:uid="{00000000-000D-0000-FFFF-FFFF00000000}"/>
  </bookViews>
  <sheets>
    <sheet name="Det CoP_MOF" sheetId="1" state="hidden" r:id="rId1"/>
    <sheet name="CoP-MoF" sheetId="2" r:id="rId2"/>
    <sheet name="Det Assump" sheetId="3" state="hidden" r:id="rId3"/>
    <sheet name="P&amp;M" sheetId="30" r:id="rId4"/>
    <sheet name="Assump" sheetId="4" r:id="rId5"/>
    <sheet name="Sheet2" sheetId="27" state="hidden" r:id="rId6"/>
    <sheet name="P &amp; L" sheetId="5" r:id="rId7"/>
    <sheet name="BS" sheetId="6" r:id="rId8"/>
    <sheet name="Cash Flow" sheetId="7" r:id="rId9"/>
    <sheet name="BEP" sheetId="25" r:id="rId10"/>
    <sheet name="IRR" sheetId="24" r:id="rId11"/>
    <sheet name="DSCR" sheetId="8" r:id="rId12"/>
    <sheet name="Loan Assumptions" sheetId="23" r:id="rId13"/>
    <sheet name="TL Schd" sheetId="22" r:id="rId14"/>
    <sheet name="Ratio" sheetId="10" r:id="rId15"/>
    <sheet name="WC" sheetId="11" r:id="rId16"/>
    <sheet name="PBP-IRR" sheetId="12" state="hidden" r:id="rId17"/>
    <sheet name="NPV" sheetId="13" state="hidden" r:id="rId18"/>
    <sheet name="P E" sheetId="15" state="hidden" r:id="rId19"/>
    <sheet name="PE" sheetId="16" state="hidden" r:id="rId20"/>
    <sheet name="Tax" sheetId="26" state="hidden" r:id="rId21"/>
    <sheet name="Depr" sheetId="19" r:id="rId22"/>
    <sheet name="sal &amp; wages" sheetId="17" r:id="rId23"/>
    <sheet name="Sheet1" sheetId="18" state="hidden" r:id="rId24"/>
  </sheets>
  <definedNames>
    <definedName name="A">'P &amp; L'!$B$1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22475485_DA09_46DB_978D_BB94CE1E5597_.wvu.Cols" localSheetId="11" hidden="1">DSCR!#REF!,DSCR!$IW:$IW,DSCR!$SS:$SS,DSCR!$ACO:$ACO,DSCR!$AMK:$AMK,DSCR!$AWG:$AWG,DSCR!$BGC:$BGC,DSCR!$BPY:$BPY,DSCR!$BZU:$BZU,DSCR!$CJQ:$CJQ,DSCR!$CTM:$CTM,DSCR!$DDI:$DDI,DSCR!$DNE:$DNE,DSCR!$DXA:$DXA,DSCR!$EGW:$EGW,DSCR!$EQS:$EQS,DSCR!$FAO:$FAO,DSCR!$FKK:$FKK,DSCR!$FUG:$FUG,DSCR!$GEC:$GEC,DSCR!$GNY:$GNY,DSCR!$GXU:$GXU,DSCR!$HHQ:$HHQ,DSCR!$HRM:$HRM,DSCR!$IBI:$IBI,DSCR!$ILE:$ILE,DSCR!$IVA:$IVA,DSCR!$JEW:$JEW,DSCR!$JOS:$JOS,DSCR!$JYO:$JYO,DSCR!$KIK:$KIK,DSCR!$KSG:$KSG,DSCR!$LCC:$LCC,DSCR!$LLY:$LLY,DSCR!$LVU:$LVU,DSCR!$MFQ:$MFQ,DSCR!$MPM:$MPM,DSCR!$MZI:$MZI,DSCR!$NJE:$NJE,DSCR!$NTA:$NTA,DSCR!$OCW:$OCW,DSCR!$OMS:$OMS,DSCR!$OWO:$OWO,DSCR!$PGK:$PGK,DSCR!$PQG:$PQG,DSCR!$QAC:$QAC,DSCR!$QJY:$QJY,DSCR!$QTU:$QTU,DSCR!$RDQ:$RDQ,DSCR!$RNM:$RNM,DSCR!$RXI:$RXI,DSCR!$SHE:$SHE,DSCR!$SRA:$SRA,DSCR!$TAW:$TAW,DSCR!$TKS:$TKS,DSCR!$TUO:$TUO,DSCR!$UEK:$UEK,DSCR!$UOG:$UOG,DSCR!$UYC:$UYC,DSCR!$VHY:$VHY,DSCR!$VRU:$VRU,DSCR!$WBQ:$WBQ,DSCR!$WLM:$WLM,DSCR!$WVI:$WVI</definedName>
    <definedName name="Z_22475485_DA09_46DB_978D_BB94CE1E5597_.wvu.Rows" localSheetId="0" hidden="1">'Det CoP_MOF'!$6:$8,'Det CoP_MOF'!$182:$188</definedName>
    <definedName name="Z_22475485_DA09_46DB_978D_BB94CE1E5597_.wvu.Rows" localSheetId="6" hidden="1">'P &amp; L'!$1:$1</definedName>
    <definedName name="Z_22475485_DA09_46DB_978D_BB94CE1E5597_.wvu.Rows" localSheetId="16" hidden="1">'PBP-IRR'!$15:$21</definedName>
    <definedName name="Z_22475485_DA09_46DB_978D_BB94CE1E5597_.wvu.Rows" localSheetId="14" hidden="1">Ratio!$45:$50</definedName>
  </definedNames>
  <calcPr calcId="191029" iterate="1"/>
  <customWorkbookViews>
    <customWorkbookView name="DELL - Personal View" guid="{22475485-DA09-46DB-978D-BB94CE1E5597}" mergeInterval="0" personalView="1" maximized="1" xWindow="1" yWindow="1" windowWidth="1122" windowHeight="538"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0" i="22" l="1"/>
  <c r="C14" i="23"/>
  <c r="M260" i="22"/>
  <c r="D21" i="2"/>
  <c r="E36" i="11"/>
  <c r="F36" i="11" s="1"/>
  <c r="G36" i="11" s="1"/>
  <c r="H36" i="11" s="1"/>
  <c r="I36" i="11" s="1"/>
  <c r="J36" i="11" s="1"/>
  <c r="K36" i="11" s="1"/>
  <c r="E17" i="11"/>
  <c r="F17" i="11" s="1"/>
  <c r="G17" i="11" s="1"/>
  <c r="H17" i="11" s="1"/>
  <c r="I17" i="11" s="1"/>
  <c r="J17" i="11" s="1"/>
  <c r="K17" i="11" s="1"/>
  <c r="D23" i="5"/>
  <c r="D22" i="5"/>
  <c r="D21" i="5"/>
  <c r="D18" i="5"/>
  <c r="D17" i="5"/>
  <c r="D16" i="5"/>
  <c r="E8" i="5"/>
  <c r="F8" i="5" s="1"/>
  <c r="G8" i="5" s="1"/>
  <c r="H8" i="5" s="1"/>
  <c r="I8" i="5" s="1"/>
  <c r="J8" i="5" s="1"/>
  <c r="K8" i="5" s="1"/>
  <c r="V7" i="2"/>
  <c r="U8" i="2"/>
  <c r="V6" i="2"/>
  <c r="U7" i="2"/>
  <c r="V5" i="2"/>
  <c r="U5" i="2"/>
  <c r="U6" i="2"/>
  <c r="S5" i="2"/>
  <c r="G35" i="30"/>
  <c r="G34" i="30"/>
  <c r="G33" i="30"/>
  <c r="G32" i="30"/>
  <c r="G31" i="30"/>
  <c r="G30" i="30"/>
  <c r="E134" i="22" l="1"/>
  <c r="E135" i="22" s="1"/>
  <c r="E136" i="22" s="1"/>
  <c r="E137" i="22" s="1"/>
  <c r="E138" i="22" s="1"/>
  <c r="E139" i="22" s="1"/>
  <c r="E121" i="22"/>
  <c r="E122" i="22" s="1"/>
  <c r="E123" i="22" s="1"/>
  <c r="E124" i="22" s="1"/>
  <c r="E125" i="22" s="1"/>
  <c r="E126" i="22" s="1"/>
  <c r="E127" i="22" s="1"/>
  <c r="E129" i="22" s="1"/>
  <c r="E130" i="22" s="1"/>
  <c r="E131" i="22" s="1"/>
  <c r="E108" i="22"/>
  <c r="E109" i="22" s="1"/>
  <c r="E110" i="22" s="1"/>
  <c r="E111" i="22" s="1"/>
  <c r="E112" i="22" s="1"/>
  <c r="E113" i="22" s="1"/>
  <c r="E114" i="22" s="1"/>
  <c r="E115" i="22" s="1"/>
  <c r="E116" i="22" s="1"/>
  <c r="E117" i="22" s="1"/>
  <c r="E118" i="22" s="1"/>
  <c r="E95" i="22"/>
  <c r="E96" i="22" s="1"/>
  <c r="E97" i="22" s="1"/>
  <c r="E98" i="22" s="1"/>
  <c r="E99" i="22" s="1"/>
  <c r="E100" i="22" s="1"/>
  <c r="E101" i="22" s="1"/>
  <c r="E102" i="22" s="1"/>
  <c r="E103" i="22" s="1"/>
  <c r="E104" i="22" s="1"/>
  <c r="E105" i="22" s="1"/>
  <c r="E82" i="22"/>
  <c r="E83" i="22" s="1"/>
  <c r="E84" i="22" s="1"/>
  <c r="E85" i="22" s="1"/>
  <c r="E86" i="22" s="1"/>
  <c r="E87" i="22" s="1"/>
  <c r="E88" i="22" s="1"/>
  <c r="E90" i="22" s="1"/>
  <c r="E91" i="22" s="1"/>
  <c r="E92" i="22" s="1"/>
  <c r="E69" i="22"/>
  <c r="E70" i="22" s="1"/>
  <c r="E71" i="22" s="1"/>
  <c r="E72" i="22" s="1"/>
  <c r="E73" i="22" s="1"/>
  <c r="E74" i="22" s="1"/>
  <c r="E75" i="22" s="1"/>
  <c r="E77" i="22" s="1"/>
  <c r="E78" i="22" s="1"/>
  <c r="E79" i="22" s="1"/>
  <c r="E42" i="22"/>
  <c r="E43" i="22" s="1"/>
  <c r="E44" i="22" s="1"/>
  <c r="E45" i="22" s="1"/>
  <c r="E46" i="22" s="1"/>
  <c r="E47" i="22" s="1"/>
  <c r="E48" i="22" s="1"/>
  <c r="E49" i="22" s="1"/>
  <c r="E50" i="22" s="1"/>
  <c r="E51" i="22" s="1"/>
  <c r="E52" i="22" s="1"/>
  <c r="E53" i="22" s="1"/>
  <c r="F10" i="4" l="1"/>
  <c r="F9" i="4"/>
  <c r="F8" i="4"/>
  <c r="I7" i="8" l="1"/>
  <c r="J7" i="8"/>
  <c r="J12" i="6" l="1"/>
  <c r="H8" i="7"/>
  <c r="I8" i="7"/>
  <c r="I14" i="7"/>
  <c r="J8" i="7"/>
  <c r="J14" i="7"/>
  <c r="E5" i="5"/>
  <c r="F5" i="5" s="1"/>
  <c r="G5" i="5" s="1"/>
  <c r="H5" i="5" s="1"/>
  <c r="I5" i="5" s="1"/>
  <c r="J5" i="5" s="1"/>
  <c r="K5" i="5" s="1"/>
  <c r="E31" i="5"/>
  <c r="D22" i="24"/>
  <c r="E23" i="24"/>
  <c r="F23" i="24" s="1"/>
  <c r="D27" i="24"/>
  <c r="F31" i="5" l="1"/>
  <c r="D7" i="8"/>
  <c r="G23" i="24"/>
  <c r="F27" i="24"/>
  <c r="F28" i="24" s="1"/>
  <c r="E27" i="24"/>
  <c r="G31" i="5" l="1"/>
  <c r="E7" i="8"/>
  <c r="G27" i="24"/>
  <c r="G28" i="24" s="1"/>
  <c r="H23" i="24"/>
  <c r="I23" i="24" s="1"/>
  <c r="H31" i="5" l="1"/>
  <c r="I31" i="5" s="1"/>
  <c r="F7" i="8"/>
  <c r="I27" i="24"/>
  <c r="J23" i="24"/>
  <c r="J27" i="24" s="1"/>
  <c r="H27" i="24"/>
  <c r="H28" i="24" s="1"/>
  <c r="H14" i="7" l="1"/>
  <c r="H7" i="8"/>
  <c r="G7" i="8"/>
  <c r="I28" i="24"/>
  <c r="J28" i="24" s="1"/>
  <c r="I17" i="22" l="1"/>
  <c r="J17" i="22"/>
  <c r="D26" i="22"/>
  <c r="O26" i="22" s="1"/>
  <c r="E24" i="22"/>
  <c r="F24" i="22" s="1"/>
  <c r="G24" i="22" s="1"/>
  <c r="H24" i="22" s="1"/>
  <c r="I24" i="22" s="1"/>
  <c r="J24" i="22" s="1"/>
  <c r="K24" i="22" s="1"/>
  <c r="L24" i="22" s="1"/>
  <c r="M24" i="22" s="1"/>
  <c r="N24" i="22" s="1"/>
  <c r="H17" i="22"/>
  <c r="G17" i="22"/>
  <c r="F17" i="22"/>
  <c r="E17" i="22"/>
  <c r="D16" i="22"/>
  <c r="E14" i="22"/>
  <c r="F14" i="22" s="1"/>
  <c r="G14" i="22" s="1"/>
  <c r="H14" i="22" s="1"/>
  <c r="I14" i="22" s="1"/>
  <c r="J14" i="22" s="1"/>
  <c r="K14" i="22" s="1"/>
  <c r="L14" i="22" s="1"/>
  <c r="M14" i="22" s="1"/>
  <c r="N14" i="22" s="1"/>
  <c r="F19" i="4"/>
  <c r="D8" i="2"/>
  <c r="D9" i="2"/>
  <c r="Q12" i="5"/>
  <c r="Q13" i="5" s="1"/>
  <c r="P12" i="5"/>
  <c r="P13" i="5" s="1"/>
  <c r="O12" i="5"/>
  <c r="O13" i="5" s="1"/>
  <c r="N11" i="5"/>
  <c r="N13" i="5" l="1"/>
  <c r="O16" i="22"/>
  <c r="P6" i="22" s="1"/>
  <c r="G19" i="4"/>
  <c r="E16" i="5" l="1"/>
  <c r="G16" i="5"/>
  <c r="F16" i="5"/>
  <c r="I16" i="5"/>
  <c r="H16" i="5"/>
  <c r="J16" i="5"/>
  <c r="K16" i="5"/>
  <c r="N20" i="2"/>
  <c r="N19" i="2"/>
  <c r="N18" i="2"/>
  <c r="N17" i="2"/>
  <c r="M17" i="2"/>
  <c r="N16" i="2"/>
  <c r="M16" i="2"/>
  <c r="E259" i="22"/>
  <c r="F259" i="22" s="1"/>
  <c r="G259" i="22" s="1"/>
  <c r="H259" i="22" s="1"/>
  <c r="I259" i="22" s="1"/>
  <c r="J259" i="22" s="1"/>
  <c r="K259" i="22" s="1"/>
  <c r="L259" i="22" s="1"/>
  <c r="M259" i="22" s="1"/>
  <c r="E245" i="22"/>
  <c r="E232" i="22"/>
  <c r="E219" i="22"/>
  <c r="E206" i="22"/>
  <c r="E193" i="22"/>
  <c r="E180" i="22"/>
  <c r="E167" i="22"/>
  <c r="D148" i="22"/>
  <c r="D153" i="22" s="1"/>
  <c r="E153" i="22"/>
  <c r="E154" i="22" s="1"/>
  <c r="E155" i="22" s="1"/>
  <c r="E156" i="22" s="1"/>
  <c r="E157" i="22" s="1"/>
  <c r="E158" i="22" s="1"/>
  <c r="E159" i="22" s="1"/>
  <c r="E160" i="22" s="1"/>
  <c r="E161" i="22" s="1"/>
  <c r="E162" i="22" s="1"/>
  <c r="E163" i="22" s="1"/>
  <c r="D37" i="22"/>
  <c r="D42" i="22" s="1"/>
  <c r="C22" i="23"/>
  <c r="C5" i="23"/>
  <c r="D19" i="2"/>
  <c r="D6" i="22" s="1"/>
  <c r="C8" i="7" s="1"/>
  <c r="E28" i="11"/>
  <c r="F28" i="11" s="1"/>
  <c r="G28" i="11" s="1"/>
  <c r="H28" i="11" s="1"/>
  <c r="I28" i="11" s="1"/>
  <c r="J28" i="11" s="1"/>
  <c r="K28" i="11" s="1"/>
  <c r="E26" i="11"/>
  <c r="F26" i="11" s="1"/>
  <c r="G26" i="11" s="1"/>
  <c r="H26" i="11" s="1"/>
  <c r="I26" i="11" s="1"/>
  <c r="J26" i="11" s="1"/>
  <c r="K26" i="11" s="1"/>
  <c r="D28" i="4"/>
  <c r="D27" i="4"/>
  <c r="D26" i="4"/>
  <c r="E15" i="17"/>
  <c r="F14" i="17"/>
  <c r="F13" i="17"/>
  <c r="B12" i="17"/>
  <c r="F11" i="17"/>
  <c r="F9" i="17"/>
  <c r="F8" i="17"/>
  <c r="B8" i="17"/>
  <c r="F6" i="17"/>
  <c r="F15" i="17" s="1"/>
  <c r="F16" i="17" s="1"/>
  <c r="G20" i="4"/>
  <c r="E220" i="22" l="1"/>
  <c r="E221" i="22" s="1"/>
  <c r="E222" i="22" s="1"/>
  <c r="E223" i="22" s="1"/>
  <c r="E224" i="22" s="1"/>
  <c r="E225" i="22" s="1"/>
  <c r="E226" i="22" s="1"/>
  <c r="E227" i="22" s="1"/>
  <c r="E194" i="22"/>
  <c r="E195" i="22" s="1"/>
  <c r="E196" i="22" s="1"/>
  <c r="E197" i="22" s="1"/>
  <c r="E198" i="22" s="1"/>
  <c r="E199" i="22" s="1"/>
  <c r="E200" i="22" s="1"/>
  <c r="E201" i="22" s="1"/>
  <c r="F42" i="22"/>
  <c r="D43" i="22" s="1"/>
  <c r="E233" i="22"/>
  <c r="E234" i="22" s="1"/>
  <c r="E235" i="22" s="1"/>
  <c r="E236" i="22" s="1"/>
  <c r="E237" i="22" s="1"/>
  <c r="E238" i="22" s="1"/>
  <c r="E239" i="22" s="1"/>
  <c r="E240" i="22" s="1"/>
  <c r="E241" i="22" s="1"/>
  <c r="E242" i="22" s="1"/>
  <c r="J27" i="22"/>
  <c r="E246" i="22"/>
  <c r="E247" i="22" s="1"/>
  <c r="E248" i="22" s="1"/>
  <c r="E249" i="22" s="1"/>
  <c r="E250" i="22" s="1"/>
  <c r="E251" i="22" s="1"/>
  <c r="E252" i="22" s="1"/>
  <c r="E253" i="22" s="1"/>
  <c r="E254" i="22" s="1"/>
  <c r="E255" i="22" s="1"/>
  <c r="E207" i="22"/>
  <c r="E27" i="22"/>
  <c r="E181" i="22"/>
  <c r="G27" i="4"/>
  <c r="E22" i="5" s="1"/>
  <c r="F22" i="5" s="1"/>
  <c r="G22" i="5" s="1"/>
  <c r="H22" i="5" s="1"/>
  <c r="I22" i="5" s="1"/>
  <c r="J22" i="5" s="1"/>
  <c r="K22" i="5" s="1"/>
  <c r="G28" i="4"/>
  <c r="E23" i="5" s="1"/>
  <c r="F23" i="5" s="1"/>
  <c r="G23" i="5" s="1"/>
  <c r="H23" i="5" s="1"/>
  <c r="I23" i="5" s="1"/>
  <c r="J23" i="5" s="1"/>
  <c r="K23" i="5" s="1"/>
  <c r="G17" i="5"/>
  <c r="F17" i="5"/>
  <c r="E17" i="5"/>
  <c r="E9" i="11" s="1"/>
  <c r="E25" i="11" s="1"/>
  <c r="H17" i="5"/>
  <c r="I17" i="5"/>
  <c r="J17" i="5"/>
  <c r="K17" i="5"/>
  <c r="E164" i="22"/>
  <c r="D27" i="22" s="1"/>
  <c r="E202" i="22"/>
  <c r="E203" i="22" s="1"/>
  <c r="E228" i="22"/>
  <c r="E229" i="22" s="1"/>
  <c r="E182" i="22"/>
  <c r="E183" i="22" s="1"/>
  <c r="E184" i="22" s="1"/>
  <c r="E185" i="22" s="1"/>
  <c r="E186" i="22" s="1"/>
  <c r="E187" i="22" s="1"/>
  <c r="E188" i="22" s="1"/>
  <c r="E208" i="22"/>
  <c r="E209" i="22" s="1"/>
  <c r="E210" i="22" s="1"/>
  <c r="E211" i="22" s="1"/>
  <c r="E212" i="22" s="1"/>
  <c r="E213" i="22" s="1"/>
  <c r="E214" i="22" s="1"/>
  <c r="E168" i="22"/>
  <c r="E169" i="22" s="1"/>
  <c r="E170" i="22" s="1"/>
  <c r="E171" i="22" s="1"/>
  <c r="E172" i="22" s="1"/>
  <c r="E173" i="22" s="1"/>
  <c r="E174" i="22" s="1"/>
  <c r="E175" i="22" s="1"/>
  <c r="E176" i="22" s="1"/>
  <c r="E177" i="22" s="1"/>
  <c r="F153" i="22"/>
  <c r="D154" i="22" s="1"/>
  <c r="K83" i="30"/>
  <c r="J83" i="30"/>
  <c r="G82" i="30"/>
  <c r="H81" i="30"/>
  <c r="I81" i="30" s="1"/>
  <c r="L81" i="30" s="1"/>
  <c r="H80" i="30"/>
  <c r="I80" i="30" s="1"/>
  <c r="L80" i="30" s="1"/>
  <c r="G79" i="30"/>
  <c r="I78" i="30"/>
  <c r="L78" i="30" s="1"/>
  <c r="H77" i="30"/>
  <c r="I77" i="30" s="1"/>
  <c r="L77" i="30" s="1"/>
  <c r="H76" i="30"/>
  <c r="I76" i="30" s="1"/>
  <c r="L76" i="30" s="1"/>
  <c r="H75" i="30"/>
  <c r="I75" i="30" s="1"/>
  <c r="L75" i="30" s="1"/>
  <c r="H74" i="30"/>
  <c r="I74" i="30" s="1"/>
  <c r="L74" i="30" s="1"/>
  <c r="G73" i="30"/>
  <c r="G72" i="30"/>
  <c r="H72" i="30" s="1"/>
  <c r="I72" i="30" s="1"/>
  <c r="L72" i="30" s="1"/>
  <c r="H71" i="30"/>
  <c r="I71" i="30" s="1"/>
  <c r="L71" i="30" s="1"/>
  <c r="G70" i="30"/>
  <c r="H70" i="30" s="1"/>
  <c r="G69" i="30"/>
  <c r="H69" i="30" s="1"/>
  <c r="G68" i="30"/>
  <c r="G67" i="30"/>
  <c r="H67" i="30" s="1"/>
  <c r="I67" i="30" s="1"/>
  <c r="L67" i="30" s="1"/>
  <c r="G66" i="30"/>
  <c r="G65" i="30"/>
  <c r="H65" i="30" s="1"/>
  <c r="I65" i="30" s="1"/>
  <c r="L65" i="30" s="1"/>
  <c r="G64" i="30"/>
  <c r="H64" i="30" s="1"/>
  <c r="I64" i="30" s="1"/>
  <c r="L64" i="30" s="1"/>
  <c r="G63" i="30"/>
  <c r="H63" i="30" s="1"/>
  <c r="G62" i="30"/>
  <c r="H62" i="30" s="1"/>
  <c r="H61" i="30"/>
  <c r="I61" i="30" s="1"/>
  <c r="L61" i="30" s="1"/>
  <c r="G60" i="30"/>
  <c r="H60" i="30" s="1"/>
  <c r="I60" i="30" s="1"/>
  <c r="L60" i="30" s="1"/>
  <c r="H59" i="30"/>
  <c r="I59" i="30" s="1"/>
  <c r="L59" i="30" s="1"/>
  <c r="H58" i="30"/>
  <c r="I58" i="30" s="1"/>
  <c r="L58" i="30" s="1"/>
  <c r="H57" i="30"/>
  <c r="I57" i="30" s="1"/>
  <c r="L57" i="30" s="1"/>
  <c r="H56" i="30"/>
  <c r="I56" i="30" s="1"/>
  <c r="L56" i="30" s="1"/>
  <c r="H55" i="30"/>
  <c r="I55" i="30" s="1"/>
  <c r="L55" i="30" s="1"/>
  <c r="H54" i="30"/>
  <c r="I54" i="30" s="1"/>
  <c r="L54" i="30" s="1"/>
  <c r="H53" i="30"/>
  <c r="I53" i="30" s="1"/>
  <c r="L53" i="30" s="1"/>
  <c r="H52" i="30"/>
  <c r="I52" i="30" s="1"/>
  <c r="L52" i="30" s="1"/>
  <c r="H51" i="30"/>
  <c r="I51" i="30" s="1"/>
  <c r="L51" i="30" s="1"/>
  <c r="H50" i="30"/>
  <c r="I50" i="30" s="1"/>
  <c r="L50" i="30" s="1"/>
  <c r="H49" i="30"/>
  <c r="I49" i="30" s="1"/>
  <c r="L49" i="30" s="1"/>
  <c r="H48" i="30"/>
  <c r="I48" i="30" s="1"/>
  <c r="L48" i="30" s="1"/>
  <c r="H47" i="30"/>
  <c r="I47" i="30" s="1"/>
  <c r="L47" i="30" s="1"/>
  <c r="H46" i="30"/>
  <c r="I46" i="30" s="1"/>
  <c r="L46" i="30" s="1"/>
  <c r="H45" i="30"/>
  <c r="I45" i="30" s="1"/>
  <c r="L45" i="30" s="1"/>
  <c r="G44" i="30"/>
  <c r="H43" i="30"/>
  <c r="I43" i="30" s="1"/>
  <c r="L43" i="30" s="1"/>
  <c r="B43" i="30"/>
  <c r="B44" i="30" s="1"/>
  <c r="B45" i="30" s="1"/>
  <c r="B46" i="30" s="1"/>
  <c r="B47" i="30" s="1"/>
  <c r="B48" i="30" s="1"/>
  <c r="B49" i="30" s="1"/>
  <c r="B50" i="30" s="1"/>
  <c r="B51" i="30" s="1"/>
  <c r="B52" i="30" s="1"/>
  <c r="B53" i="30" s="1"/>
  <c r="B54" i="30" s="1"/>
  <c r="B55" i="30" s="1"/>
  <c r="B56" i="30" s="1"/>
  <c r="B57" i="30" s="1"/>
  <c r="B58" i="30" s="1"/>
  <c r="B59" i="30" s="1"/>
  <c r="B60" i="30" s="1"/>
  <c r="B61" i="30" s="1"/>
  <c r="B62" i="30" s="1"/>
  <c r="B63" i="30" s="1"/>
  <c r="B64" i="30" s="1"/>
  <c r="B65" i="30" s="1"/>
  <c r="B66" i="30" s="1"/>
  <c r="B67" i="30" s="1"/>
  <c r="B68" i="30" s="1"/>
  <c r="B69" i="30" s="1"/>
  <c r="B70" i="30" s="1"/>
  <c r="B71" i="30" s="1"/>
  <c r="B72" i="30" s="1"/>
  <c r="B73" i="30" s="1"/>
  <c r="B74" i="30" s="1"/>
  <c r="B75" i="30" s="1"/>
  <c r="B76" i="30" s="1"/>
  <c r="B77" i="30" s="1"/>
  <c r="B78" i="30" s="1"/>
  <c r="B79" i="30" s="1"/>
  <c r="B80" i="30" s="1"/>
  <c r="B81" i="30" s="1"/>
  <c r="B82" i="30" s="1"/>
  <c r="G42" i="30"/>
  <c r="H42" i="30" s="1"/>
  <c r="K36" i="30"/>
  <c r="K38" i="30" s="1"/>
  <c r="H36" i="30"/>
  <c r="H38" i="30" s="1"/>
  <c r="I35" i="30"/>
  <c r="L35" i="30" s="1"/>
  <c r="I34" i="30"/>
  <c r="L34" i="30" s="1"/>
  <c r="I33" i="30"/>
  <c r="L33" i="30" s="1"/>
  <c r="J32" i="30"/>
  <c r="I32" i="30"/>
  <c r="L32" i="30" s="1"/>
  <c r="J31" i="30"/>
  <c r="J36" i="30" s="1"/>
  <c r="J38" i="30" s="1"/>
  <c r="I31" i="30"/>
  <c r="K22" i="30"/>
  <c r="I20" i="30"/>
  <c r="J20" i="30" s="1"/>
  <c r="I19" i="30"/>
  <c r="J19" i="30" s="1"/>
  <c r="H18" i="30"/>
  <c r="I18" i="30" s="1"/>
  <c r="I17" i="30"/>
  <c r="J17" i="30" s="1"/>
  <c r="I16" i="30"/>
  <c r="J16" i="30" s="1"/>
  <c r="I15" i="30"/>
  <c r="J15" i="30" s="1"/>
  <c r="H14" i="30"/>
  <c r="I14" i="30" s="1"/>
  <c r="I13" i="30"/>
  <c r="J13" i="30" s="1"/>
  <c r="I12" i="30"/>
  <c r="J12" i="30" s="1"/>
  <c r="H11" i="30"/>
  <c r="I11" i="30" s="1"/>
  <c r="I10" i="30"/>
  <c r="J10" i="30" s="1"/>
  <c r="I9" i="30"/>
  <c r="J9" i="30" s="1"/>
  <c r="I8" i="30"/>
  <c r="J8" i="30" s="1"/>
  <c r="I7" i="30"/>
  <c r="J7" i="30" s="1"/>
  <c r="C5" i="19"/>
  <c r="D6" i="2"/>
  <c r="D5" i="2"/>
  <c r="C18" i="6" s="1"/>
  <c r="D18" i="6" s="1"/>
  <c r="E18" i="6" s="1"/>
  <c r="F18" i="6" s="1"/>
  <c r="G18" i="6" s="1"/>
  <c r="H18" i="6" s="1"/>
  <c r="B6" i="2"/>
  <c r="B7" i="2" s="1"/>
  <c r="B8" i="2" s="1"/>
  <c r="B9" i="2" s="1"/>
  <c r="B10" i="2" s="1"/>
  <c r="B11" i="2" s="1"/>
  <c r="D24" i="5" l="1"/>
  <c r="G42" i="22"/>
  <c r="F43" i="22"/>
  <c r="D44" i="22" s="1"/>
  <c r="G27" i="22"/>
  <c r="F27" i="22"/>
  <c r="K27" i="22"/>
  <c r="I27" i="22"/>
  <c r="J7" i="22"/>
  <c r="I23" i="7" s="1"/>
  <c r="I18" i="6"/>
  <c r="D28" i="22"/>
  <c r="E25" i="22" s="1"/>
  <c r="E28" i="22" s="1"/>
  <c r="F25" i="22" s="1"/>
  <c r="E189" i="22"/>
  <c r="E190" i="22" s="1"/>
  <c r="I7" i="22"/>
  <c r="G7" i="22"/>
  <c r="E215" i="22"/>
  <c r="E216" i="22" s="1"/>
  <c r="H7" i="22" s="1"/>
  <c r="E7" i="22"/>
  <c r="G10" i="4"/>
  <c r="G9" i="4"/>
  <c r="L31" i="30"/>
  <c r="I62" i="30"/>
  <c r="L62" i="30" s="1"/>
  <c r="G36" i="30"/>
  <c r="G38" i="30" s="1"/>
  <c r="K85" i="30"/>
  <c r="I70" i="30"/>
  <c r="L70" i="30" s="1"/>
  <c r="C3" i="19"/>
  <c r="F154" i="22"/>
  <c r="D155" i="22" s="1"/>
  <c r="G153" i="22"/>
  <c r="F9" i="11"/>
  <c r="F25" i="11" s="1"/>
  <c r="F11" i="4"/>
  <c r="J85" i="30"/>
  <c r="I69" i="30"/>
  <c r="L69" i="30" s="1"/>
  <c r="J11" i="30"/>
  <c r="I30" i="30"/>
  <c r="I42" i="30"/>
  <c r="H44" i="30"/>
  <c r="I44" i="30" s="1"/>
  <c r="L44" i="30" s="1"/>
  <c r="I63" i="30"/>
  <c r="L63" i="30" s="1"/>
  <c r="H68" i="30"/>
  <c r="I68" i="30" s="1"/>
  <c r="L68" i="30" s="1"/>
  <c r="H73" i="30"/>
  <c r="I73" i="30" s="1"/>
  <c r="L73" i="30" s="1"/>
  <c r="H79" i="30"/>
  <c r="I79" i="30" s="1"/>
  <c r="L79" i="30" s="1"/>
  <c r="G83" i="30"/>
  <c r="H82" i="30"/>
  <c r="I82" i="30" s="1"/>
  <c r="L82" i="30" s="1"/>
  <c r="J14" i="30"/>
  <c r="H66" i="30"/>
  <c r="I66" i="30" s="1"/>
  <c r="L66" i="30" s="1"/>
  <c r="J18" i="30"/>
  <c r="E49" i="24"/>
  <c r="D43" i="24"/>
  <c r="E58" i="24"/>
  <c r="D11" i="5" l="1"/>
  <c r="D7" i="5"/>
  <c r="D10" i="5"/>
  <c r="F28" i="22"/>
  <c r="G25" i="22" s="1"/>
  <c r="G28" i="22" s="1"/>
  <c r="H25" i="22" s="1"/>
  <c r="I13" i="8"/>
  <c r="H12" i="6"/>
  <c r="H27" i="22"/>
  <c r="G43" i="22"/>
  <c r="F44" i="22"/>
  <c r="D45" i="22" s="1"/>
  <c r="G44" i="22"/>
  <c r="G85" i="30"/>
  <c r="E11" i="5"/>
  <c r="G11" i="5"/>
  <c r="F11" i="5"/>
  <c r="I11" i="5"/>
  <c r="H11" i="5"/>
  <c r="J11" i="5"/>
  <c r="K11" i="5"/>
  <c r="G10" i="5"/>
  <c r="F10" i="5"/>
  <c r="E10" i="5"/>
  <c r="I10" i="5"/>
  <c r="H10" i="5"/>
  <c r="J10" i="5"/>
  <c r="K10" i="5"/>
  <c r="I7" i="5"/>
  <c r="F7" i="5"/>
  <c r="J7" i="5"/>
  <c r="G7" i="5"/>
  <c r="K7" i="5"/>
  <c r="E7" i="5"/>
  <c r="H7" i="5"/>
  <c r="F15" i="2"/>
  <c r="J38" i="5"/>
  <c r="H23" i="7"/>
  <c r="I38" i="5" s="1"/>
  <c r="H13" i="8"/>
  <c r="J18" i="6"/>
  <c r="D17" i="22"/>
  <c r="F7" i="22"/>
  <c r="D7" i="22"/>
  <c r="C23" i="7" s="1"/>
  <c r="F16" i="4"/>
  <c r="F17" i="4" s="1"/>
  <c r="J22" i="30"/>
  <c r="F155" i="22"/>
  <c r="D156" i="22" s="1"/>
  <c r="G154" i="22"/>
  <c r="G9" i="11"/>
  <c r="G25" i="11" s="1"/>
  <c r="I83" i="30"/>
  <c r="L42" i="30"/>
  <c r="L83" i="30" s="1"/>
  <c r="I36" i="30"/>
  <c r="I38" i="30" s="1"/>
  <c r="L30" i="30"/>
  <c r="L36" i="30" s="1"/>
  <c r="L38" i="30" s="1"/>
  <c r="H83" i="30"/>
  <c r="H85" i="30" s="1"/>
  <c r="D31" i="5"/>
  <c r="C22" i="7"/>
  <c r="E45" i="24"/>
  <c r="E57" i="24"/>
  <c r="H28" i="22" l="1"/>
  <c r="I25" i="22" s="1"/>
  <c r="I28" i="22" s="1"/>
  <c r="J25" i="22" s="1"/>
  <c r="F45" i="22"/>
  <c r="D46" i="22" s="1"/>
  <c r="G45" i="22"/>
  <c r="D9" i="11"/>
  <c r="D25" i="11" s="1"/>
  <c r="C29" i="6"/>
  <c r="D29" i="6" s="1"/>
  <c r="C7" i="8"/>
  <c r="D18" i="22"/>
  <c r="E15" i="22" s="1"/>
  <c r="E18" i="22" s="1"/>
  <c r="F15" i="22" s="1"/>
  <c r="F18" i="22" s="1"/>
  <c r="G15" i="22" s="1"/>
  <c r="G18" i="22" s="1"/>
  <c r="H15" i="22" s="1"/>
  <c r="H18" i="22" s="1"/>
  <c r="I15" i="22" s="1"/>
  <c r="I18" i="22" s="1"/>
  <c r="J15" i="22" s="1"/>
  <c r="F156" i="22"/>
  <c r="D157" i="22" s="1"/>
  <c r="G155" i="22"/>
  <c r="H9" i="11"/>
  <c r="H25" i="11" s="1"/>
  <c r="L85" i="30"/>
  <c r="I85" i="30"/>
  <c r="I87" i="30" s="1"/>
  <c r="D14" i="7"/>
  <c r="C14" i="7"/>
  <c r="E51" i="24"/>
  <c r="E53" i="24" s="1"/>
  <c r="E59" i="24" s="1"/>
  <c r="E60" i="24" s="1"/>
  <c r="D19" i="24" s="1"/>
  <c r="F46" i="22" l="1"/>
  <c r="D47" i="22" s="1"/>
  <c r="G46" i="22"/>
  <c r="D8" i="11"/>
  <c r="D23" i="11" s="1"/>
  <c r="D7" i="2"/>
  <c r="D21" i="4" s="1"/>
  <c r="F157" i="22"/>
  <c r="D158" i="22" s="1"/>
  <c r="G156" i="22"/>
  <c r="I9" i="11"/>
  <c r="I25" i="11" s="1"/>
  <c r="E29" i="6"/>
  <c r="E14" i="7"/>
  <c r="C13" i="8"/>
  <c r="E22" i="11"/>
  <c r="F22" i="11" s="1"/>
  <c r="G22" i="11" s="1"/>
  <c r="H22" i="11" s="1"/>
  <c r="I22" i="11" s="1"/>
  <c r="J22" i="11" s="1"/>
  <c r="K22" i="11" s="1"/>
  <c r="E24" i="11"/>
  <c r="F24" i="11" s="1"/>
  <c r="G24" i="11" s="1"/>
  <c r="H24" i="11" s="1"/>
  <c r="I24" i="11" s="1"/>
  <c r="J24" i="11" s="1"/>
  <c r="K24" i="11" s="1"/>
  <c r="D8" i="7"/>
  <c r="E8" i="7"/>
  <c r="F8" i="7"/>
  <c r="G8" i="7"/>
  <c r="D55" i="3"/>
  <c r="D13" i="3"/>
  <c r="D10" i="3"/>
  <c r="F47" i="22" l="1"/>
  <c r="D48" i="22" s="1"/>
  <c r="F7" i="2"/>
  <c r="G157" i="22"/>
  <c r="F158" i="22"/>
  <c r="D159" i="22" s="1"/>
  <c r="J9" i="11"/>
  <c r="J25" i="11" s="1"/>
  <c r="G14" i="7"/>
  <c r="F14" i="7"/>
  <c r="F29" i="6"/>
  <c r="G47" i="22" l="1"/>
  <c r="F48" i="22"/>
  <c r="D49" i="22" s="1"/>
  <c r="G48" i="22"/>
  <c r="G158" i="22"/>
  <c r="F159" i="22"/>
  <c r="D160" i="22" s="1"/>
  <c r="K9" i="11"/>
  <c r="K25" i="11" s="1"/>
  <c r="G29" i="6"/>
  <c r="H29" i="6" s="1"/>
  <c r="I29" i="6" s="1"/>
  <c r="J29" i="6" s="1"/>
  <c r="O6" i="22"/>
  <c r="H16" i="3"/>
  <c r="H17" i="3" s="1"/>
  <c r="F49" i="22" l="1"/>
  <c r="D50" i="22" s="1"/>
  <c r="G49" i="22"/>
  <c r="G159" i="22"/>
  <c r="F160" i="22"/>
  <c r="D161" i="22" s="1"/>
  <c r="J21" i="1"/>
  <c r="J22" i="1"/>
  <c r="J19" i="1"/>
  <c r="F50" i="22" l="1"/>
  <c r="D51" i="22" s="1"/>
  <c r="G50" i="22"/>
  <c r="K17" i="22"/>
  <c r="K7" i="22"/>
  <c r="F161" i="22"/>
  <c r="D162" i="22" s="1"/>
  <c r="G160" i="22"/>
  <c r="E32" i="27"/>
  <c r="E33" i="27" s="1"/>
  <c r="F51" i="22" l="1"/>
  <c r="D52" i="22" s="1"/>
  <c r="J23" i="7"/>
  <c r="K38" i="5" s="1"/>
  <c r="J13" i="8"/>
  <c r="I12" i="6"/>
  <c r="O27" i="22"/>
  <c r="J28" i="22"/>
  <c r="K25" i="22" s="1"/>
  <c r="K28" i="22" s="1"/>
  <c r="L25" i="22" s="1"/>
  <c r="J18" i="22"/>
  <c r="K15" i="22" s="1"/>
  <c r="F162" i="22"/>
  <c r="D163" i="22" s="1"/>
  <c r="G161" i="22"/>
  <c r="O18" i="27"/>
  <c r="Q18" i="27" s="1"/>
  <c r="O15" i="27"/>
  <c r="Q15" i="27" s="1"/>
  <c r="Q12" i="27"/>
  <c r="O12" i="27"/>
  <c r="O9" i="27"/>
  <c r="Q9" i="27" s="1"/>
  <c r="I174" i="1"/>
  <c r="G51" i="22" l="1"/>
  <c r="F52" i="22"/>
  <c r="D53" i="22" s="1"/>
  <c r="L28" i="22"/>
  <c r="M25" i="22" s="1"/>
  <c r="G162" i="22"/>
  <c r="F163" i="22"/>
  <c r="D164" i="22" s="1"/>
  <c r="I35" i="3"/>
  <c r="J35" i="3" s="1"/>
  <c r="F35" i="3"/>
  <c r="H36" i="3"/>
  <c r="H37" i="3" s="1"/>
  <c r="D75" i="24"/>
  <c r="D62" i="24"/>
  <c r="E62" i="24" s="1"/>
  <c r="E5" i="24"/>
  <c r="F5" i="24" s="1"/>
  <c r="G5" i="24" s="1"/>
  <c r="H5" i="24" s="1"/>
  <c r="G52" i="22" l="1"/>
  <c r="D30" i="22"/>
  <c r="F53" i="22"/>
  <c r="D55" i="22" s="1"/>
  <c r="G53" i="22"/>
  <c r="I5" i="24"/>
  <c r="J5" i="24" s="1"/>
  <c r="K5" i="24" s="1"/>
  <c r="E64" i="24"/>
  <c r="D77" i="24"/>
  <c r="E77" i="24" s="1"/>
  <c r="F77" i="24" s="1"/>
  <c r="G77" i="24" s="1"/>
  <c r="H77" i="24" s="1"/>
  <c r="L29" i="22"/>
  <c r="L31" i="22" s="1"/>
  <c r="M28" i="22"/>
  <c r="N25" i="22" s="1"/>
  <c r="G163" i="22"/>
  <c r="F164" i="22"/>
  <c r="D166" i="22" s="1"/>
  <c r="D64" i="24"/>
  <c r="D49" i="3"/>
  <c r="I54" i="3"/>
  <c r="G54" i="3"/>
  <c r="F55" i="22" l="1"/>
  <c r="D56" i="22" s="1"/>
  <c r="I77" i="24"/>
  <c r="J77" i="24" s="1"/>
  <c r="K77" i="24" s="1"/>
  <c r="F62" i="24"/>
  <c r="G62" i="24" s="1"/>
  <c r="M29" i="22"/>
  <c r="M31" i="22" s="1"/>
  <c r="N28" i="22"/>
  <c r="N29" i="22" s="1"/>
  <c r="N31" i="22" s="1"/>
  <c r="F166" i="22"/>
  <c r="D167" i="22" s="1"/>
  <c r="G164" i="22"/>
  <c r="D29" i="22" s="1"/>
  <c r="F11" i="26"/>
  <c r="G5" i="26"/>
  <c r="H5" i="26" s="1"/>
  <c r="I5" i="26" s="1"/>
  <c r="J5" i="26" s="1"/>
  <c r="K5" i="26" s="1"/>
  <c r="L5" i="26" s="1"/>
  <c r="M5" i="26" s="1"/>
  <c r="N5" i="26" s="1"/>
  <c r="O5" i="26" s="1"/>
  <c r="P5" i="26" s="1"/>
  <c r="Q5" i="26" s="1"/>
  <c r="D10" i="22" l="1"/>
  <c r="G55" i="22"/>
  <c r="F56" i="22"/>
  <c r="D57" i="22" s="1"/>
  <c r="G56" i="22"/>
  <c r="D20" i="22"/>
  <c r="O20" i="22" s="1"/>
  <c r="F64" i="24"/>
  <c r="G166" i="22"/>
  <c r="F167" i="22"/>
  <c r="D168" i="22" s="1"/>
  <c r="H62" i="24"/>
  <c r="I62" i="24" s="1"/>
  <c r="G64" i="24"/>
  <c r="G153" i="1"/>
  <c r="G101" i="1"/>
  <c r="G19" i="1"/>
  <c r="C22" i="25"/>
  <c r="D18" i="25"/>
  <c r="D22" i="25" s="1"/>
  <c r="C17" i="25"/>
  <c r="D4" i="25"/>
  <c r="D17" i="25" s="1"/>
  <c r="F57" i="22" l="1"/>
  <c r="D58" i="22" s="1"/>
  <c r="J62" i="24"/>
  <c r="I64" i="24"/>
  <c r="F168" i="22"/>
  <c r="D169" i="22" s="1"/>
  <c r="G167" i="22"/>
  <c r="E18" i="25"/>
  <c r="E22" i="25" s="1"/>
  <c r="E23" i="25" s="1"/>
  <c r="H64" i="24"/>
  <c r="E4" i="25"/>
  <c r="G57" i="22" l="1"/>
  <c r="F58" i="22"/>
  <c r="D59" i="22" s="1"/>
  <c r="G58" i="22"/>
  <c r="K62" i="24"/>
  <c r="J64" i="24"/>
  <c r="F169" i="22"/>
  <c r="D170" i="22" s="1"/>
  <c r="G168" i="22"/>
  <c r="D11" i="2"/>
  <c r="D6" i="19"/>
  <c r="F18" i="25"/>
  <c r="G18" i="25" s="1"/>
  <c r="H18" i="25" s="1"/>
  <c r="F4" i="25"/>
  <c r="E17" i="25"/>
  <c r="F59" i="22" l="1"/>
  <c r="D60" i="22" s="1"/>
  <c r="H22" i="25"/>
  <c r="I18" i="25"/>
  <c r="I22" i="25" s="1"/>
  <c r="K64" i="24"/>
  <c r="G169" i="22"/>
  <c r="F170" i="22"/>
  <c r="D171" i="22" s="1"/>
  <c r="F22" i="25"/>
  <c r="F23" i="25" s="1"/>
  <c r="G4" i="25"/>
  <c r="H4" i="25" s="1"/>
  <c r="F17" i="25"/>
  <c r="G22" i="25"/>
  <c r="G59" i="22" l="1"/>
  <c r="F60" i="22"/>
  <c r="D61" i="22" s="1"/>
  <c r="I4" i="25"/>
  <c r="H17" i="25"/>
  <c r="F171" i="22"/>
  <c r="D172" i="22" s="1"/>
  <c r="G170" i="22"/>
  <c r="G23" i="25"/>
  <c r="H23" i="25" s="1"/>
  <c r="I23" i="25" s="1"/>
  <c r="G17" i="25"/>
  <c r="G60" i="22" l="1"/>
  <c r="F61" i="22"/>
  <c r="D62" i="22" s="1"/>
  <c r="I17" i="25"/>
  <c r="J4" i="25"/>
  <c r="G171" i="22"/>
  <c r="F172" i="22"/>
  <c r="D173" i="22" s="1"/>
  <c r="J18" i="25"/>
  <c r="J22" i="25" s="1"/>
  <c r="G61" i="22" l="1"/>
  <c r="F62" i="22"/>
  <c r="D63" i="22" s="1"/>
  <c r="F173" i="22"/>
  <c r="D174" i="22" s="1"/>
  <c r="G172" i="22"/>
  <c r="J23" i="25"/>
  <c r="G62" i="22" l="1"/>
  <c r="F63" i="22"/>
  <c r="D64" i="22" s="1"/>
  <c r="G173" i="22"/>
  <c r="F174" i="22"/>
  <c r="D175" i="22" s="1"/>
  <c r="D19" i="22"/>
  <c r="J17" i="25"/>
  <c r="G63" i="22" l="1"/>
  <c r="F64" i="22"/>
  <c r="D65" i="22" s="1"/>
  <c r="D9" i="22"/>
  <c r="G174" i="22"/>
  <c r="F175" i="22"/>
  <c r="D176" i="22" s="1"/>
  <c r="O30" i="22"/>
  <c r="P10" i="22" s="1"/>
  <c r="E4" i="24"/>
  <c r="E22" i="24" s="1"/>
  <c r="G64" i="22" l="1"/>
  <c r="F65" i="22"/>
  <c r="D66" i="22" s="1"/>
  <c r="D21" i="22"/>
  <c r="G175" i="22"/>
  <c r="F176" i="22"/>
  <c r="D177" i="22" s="1"/>
  <c r="F4" i="24"/>
  <c r="E75" i="24"/>
  <c r="G65" i="22" l="1"/>
  <c r="F66" i="22"/>
  <c r="D68" i="22" s="1"/>
  <c r="F75" i="24"/>
  <c r="F22" i="24"/>
  <c r="F177" i="22"/>
  <c r="D179" i="22" s="1"/>
  <c r="G176" i="22"/>
  <c r="G4" i="24"/>
  <c r="G66" i="22" l="1"/>
  <c r="F68" i="22"/>
  <c r="D69" i="22" s="1"/>
  <c r="G75" i="24"/>
  <c r="G22" i="24"/>
  <c r="F179" i="22"/>
  <c r="D180" i="22" s="1"/>
  <c r="G177" i="22"/>
  <c r="E29" i="22" s="1"/>
  <c r="H4" i="24"/>
  <c r="I4" i="24" s="1"/>
  <c r="G68" i="22" l="1"/>
  <c r="F69" i="22"/>
  <c r="D70" i="22" s="1"/>
  <c r="G69" i="22"/>
  <c r="I22" i="24"/>
  <c r="I75" i="24"/>
  <c r="J4" i="24"/>
  <c r="H75" i="24"/>
  <c r="H22" i="24"/>
  <c r="G179" i="22"/>
  <c r="F180" i="22"/>
  <c r="D181" i="22" s="1"/>
  <c r="F70" i="22" l="1"/>
  <c r="D71" i="22" s="1"/>
  <c r="K4" i="24"/>
  <c r="J75" i="24"/>
  <c r="J22" i="24"/>
  <c r="G180" i="22"/>
  <c r="F181" i="22"/>
  <c r="D182" i="22" s="1"/>
  <c r="G70" i="22" l="1"/>
  <c r="F71" i="22"/>
  <c r="D72" i="22" s="1"/>
  <c r="F182" i="22"/>
  <c r="D183" i="22" s="1"/>
  <c r="G181" i="22"/>
  <c r="K75" i="24"/>
  <c r="G71" i="22" l="1"/>
  <c r="F72" i="22"/>
  <c r="D73" i="22" s="1"/>
  <c r="F183" i="22"/>
  <c r="D184" i="22" s="1"/>
  <c r="G182" i="22"/>
  <c r="E28" i="8"/>
  <c r="E27" i="8"/>
  <c r="D29" i="8"/>
  <c r="D5" i="10"/>
  <c r="E5" i="10" s="1"/>
  <c r="F5" i="10" s="1"/>
  <c r="G5" i="10" s="1"/>
  <c r="H5" i="10" s="1"/>
  <c r="I5" i="10" s="1"/>
  <c r="J5" i="10" s="1"/>
  <c r="G30" i="1"/>
  <c r="G27" i="1"/>
  <c r="F7" i="12"/>
  <c r="D5" i="11"/>
  <c r="E5" i="11" s="1"/>
  <c r="F5" i="11" s="1"/>
  <c r="G5" i="11" s="1"/>
  <c r="H5" i="11" s="1"/>
  <c r="I5" i="11" s="1"/>
  <c r="J5" i="11" s="1"/>
  <c r="K5" i="11" s="1"/>
  <c r="D11" i="19"/>
  <c r="E11" i="19" s="1"/>
  <c r="F11" i="19" s="1"/>
  <c r="G11" i="19" s="1"/>
  <c r="H11" i="19" s="1"/>
  <c r="I11" i="19" s="1"/>
  <c r="J11" i="19" s="1"/>
  <c r="D3" i="6"/>
  <c r="E3" i="6" s="1"/>
  <c r="F3" i="6" s="1"/>
  <c r="G3" i="6" s="1"/>
  <c r="H3" i="6" s="1"/>
  <c r="I3" i="6" s="1"/>
  <c r="J3" i="6" s="1"/>
  <c r="D3" i="7"/>
  <c r="E3" i="7" s="1"/>
  <c r="F3" i="7" s="1"/>
  <c r="G3" i="7" s="1"/>
  <c r="H3" i="7" s="1"/>
  <c r="I3" i="7" s="1"/>
  <c r="J3" i="7" s="1"/>
  <c r="D4" i="8"/>
  <c r="E4" i="8" s="1"/>
  <c r="F4" i="8" s="1"/>
  <c r="G4" i="8" s="1"/>
  <c r="H4" i="8" s="1"/>
  <c r="I4" i="8" s="1"/>
  <c r="J4" i="8" s="1"/>
  <c r="E4" i="22"/>
  <c r="G159" i="1"/>
  <c r="G124" i="1"/>
  <c r="G86" i="1"/>
  <c r="G92" i="1" s="1"/>
  <c r="G84" i="1"/>
  <c r="G67" i="1"/>
  <c r="F179" i="1"/>
  <c r="G179" i="1" s="1"/>
  <c r="G21" i="1"/>
  <c r="D50" i="3"/>
  <c r="G59" i="1"/>
  <c r="G57" i="1"/>
  <c r="G263" i="22"/>
  <c r="H263" i="22" s="1"/>
  <c r="H14" i="12"/>
  <c r="C21" i="16"/>
  <c r="C27" i="16"/>
  <c r="C26" i="16"/>
  <c r="C31" i="16"/>
  <c r="C24" i="16"/>
  <c r="C23" i="16"/>
  <c r="C22" i="16"/>
  <c r="E30" i="11"/>
  <c r="F30" i="11" s="1"/>
  <c r="G30" i="11" s="1"/>
  <c r="H30" i="11" s="1"/>
  <c r="I30" i="11" s="1"/>
  <c r="J30" i="11" s="1"/>
  <c r="K30" i="11" s="1"/>
  <c r="D51" i="3"/>
  <c r="D45" i="3"/>
  <c r="D30" i="3"/>
  <c r="D56" i="3" s="1"/>
  <c r="G58" i="1"/>
  <c r="G156" i="1"/>
  <c r="B7" i="12"/>
  <c r="C7" i="12"/>
  <c r="C4" i="16"/>
  <c r="C15" i="16" s="1"/>
  <c r="C20" i="16"/>
  <c r="D7" i="12"/>
  <c r="C13" i="18"/>
  <c r="B13" i="18"/>
  <c r="E11" i="18"/>
  <c r="E10" i="18"/>
  <c r="E9" i="18"/>
  <c r="E8" i="18"/>
  <c r="E7" i="18"/>
  <c r="E6" i="18"/>
  <c r="D6" i="18"/>
  <c r="E5" i="18"/>
  <c r="E4" i="18"/>
  <c r="D4" i="18"/>
  <c r="E3" i="18"/>
  <c r="E2" i="18"/>
  <c r="E13" i="18" s="1"/>
  <c r="C25" i="13"/>
  <c r="E25" i="13" s="1"/>
  <c r="C26" i="13"/>
  <c r="C27" i="13" s="1"/>
  <c r="E24" i="13"/>
  <c r="E7" i="12"/>
  <c r="C6" i="13"/>
  <c r="E6" i="13" s="1"/>
  <c r="E5" i="13"/>
  <c r="G7" i="12"/>
  <c r="C7" i="16"/>
  <c r="C17" i="16" s="1"/>
  <c r="C6" i="16"/>
  <c r="C16" i="16" s="1"/>
  <c r="C5" i="16"/>
  <c r="C21" i="15"/>
  <c r="C20" i="15"/>
  <c r="C19" i="15"/>
  <c r="C18" i="15"/>
  <c r="C17" i="15"/>
  <c r="C16" i="15"/>
  <c r="H7" i="12"/>
  <c r="D54" i="3"/>
  <c r="C12" i="16" s="1"/>
  <c r="D53" i="3"/>
  <c r="C11" i="16" s="1"/>
  <c r="D48" i="3"/>
  <c r="G8" i="4"/>
  <c r="C13" i="16"/>
  <c r="C14" i="15"/>
  <c r="C8" i="16"/>
  <c r="C18" i="16" s="1"/>
  <c r="G173" i="1"/>
  <c r="G172" i="1"/>
  <c r="G171" i="1"/>
  <c r="G170" i="1"/>
  <c r="G169" i="1"/>
  <c r="G168" i="1"/>
  <c r="G167" i="1"/>
  <c r="G158" i="1"/>
  <c r="G157" i="1"/>
  <c r="G152" i="1"/>
  <c r="G151" i="1"/>
  <c r="G129" i="1"/>
  <c r="G130" i="1" s="1"/>
  <c r="G53" i="1"/>
  <c r="G55" i="1" s="1"/>
  <c r="G46" i="1"/>
  <c r="G45" i="1"/>
  <c r="G41" i="1"/>
  <c r="G40" i="1"/>
  <c r="G39" i="1"/>
  <c r="G38" i="1"/>
  <c r="G37" i="1"/>
  <c r="G36" i="1"/>
  <c r="G35" i="1"/>
  <c r="G34" i="1"/>
  <c r="G31" i="1"/>
  <c r="G26" i="1"/>
  <c r="G29" i="1"/>
  <c r="G28" i="1"/>
  <c r="G25" i="1"/>
  <c r="G24" i="1"/>
  <c r="G23" i="1"/>
  <c r="G22" i="1"/>
  <c r="G20" i="1"/>
  <c r="G18" i="1"/>
  <c r="G17" i="1"/>
  <c r="G16" i="1"/>
  <c r="G15" i="1"/>
  <c r="G14" i="1"/>
  <c r="G13" i="1"/>
  <c r="G12" i="1"/>
  <c r="C42" i="16"/>
  <c r="C46" i="16" s="1"/>
  <c r="D14" i="11"/>
  <c r="I6" i="12"/>
  <c r="I12" i="12" s="1"/>
  <c r="I13" i="12" s="1"/>
  <c r="J6" i="12"/>
  <c r="J12" i="12" s="1"/>
  <c r="J13" i="12" s="1"/>
  <c r="K6" i="12"/>
  <c r="K12" i="12" s="1"/>
  <c r="K13" i="12" s="1"/>
  <c r="C37" i="16"/>
  <c r="G178" i="1"/>
  <c r="C41" i="16"/>
  <c r="C5" i="12"/>
  <c r="D38" i="5"/>
  <c r="B6" i="12"/>
  <c r="G72" i="22" l="1"/>
  <c r="D9" i="5"/>
  <c r="D12" i="5" s="1"/>
  <c r="D13" i="5" s="1"/>
  <c r="F73" i="22"/>
  <c r="D74" i="22" s="1"/>
  <c r="G73" i="22"/>
  <c r="F9" i="5"/>
  <c r="F12" i="5" s="1"/>
  <c r="E9" i="5"/>
  <c r="E12" i="5" s="1"/>
  <c r="G9" i="5"/>
  <c r="G12" i="5" s="1"/>
  <c r="G13" i="5" s="1"/>
  <c r="H9" i="5"/>
  <c r="H12" i="5" s="1"/>
  <c r="H13" i="5" s="1"/>
  <c r="I9" i="5"/>
  <c r="I12" i="5" s="1"/>
  <c r="J9" i="5"/>
  <c r="J12" i="5" s="1"/>
  <c r="K9" i="5"/>
  <c r="K12" i="5" s="1"/>
  <c r="F184" i="22"/>
  <c r="D185" i="22" s="1"/>
  <c r="G183" i="22"/>
  <c r="G11" i="4"/>
  <c r="C52" i="16" s="1"/>
  <c r="E8" i="11"/>
  <c r="E23" i="11" s="1"/>
  <c r="F4" i="22"/>
  <c r="B12" i="12"/>
  <c r="G16" i="4"/>
  <c r="C12" i="15"/>
  <c r="C51" i="16"/>
  <c r="C28" i="13"/>
  <c r="E27" i="13"/>
  <c r="E26" i="13"/>
  <c r="C13" i="15"/>
  <c r="G160" i="1"/>
  <c r="C7" i="13"/>
  <c r="G42" i="1"/>
  <c r="G154" i="1"/>
  <c r="E29" i="8"/>
  <c r="B8" i="12"/>
  <c r="C50" i="16"/>
  <c r="C49" i="16"/>
  <c r="G181" i="1"/>
  <c r="C15" i="15"/>
  <c r="C14" i="16"/>
  <c r="G174" i="1"/>
  <c r="G60" i="1"/>
  <c r="G162" i="1" s="1"/>
  <c r="G47" i="1"/>
  <c r="G32" i="1"/>
  <c r="I263" i="22"/>
  <c r="F74" i="22" l="1"/>
  <c r="D75" i="22" s="1"/>
  <c r="J5" i="25"/>
  <c r="K47" i="5"/>
  <c r="K13" i="5"/>
  <c r="J47" i="5"/>
  <c r="I5" i="25"/>
  <c r="J13" i="5"/>
  <c r="I47" i="5"/>
  <c r="H5" i="25"/>
  <c r="I13" i="5"/>
  <c r="E13" i="5"/>
  <c r="F13" i="5"/>
  <c r="D31" i="22"/>
  <c r="G184" i="22"/>
  <c r="F185" i="22"/>
  <c r="D186" i="22" s="1"/>
  <c r="J18" i="10"/>
  <c r="J38" i="10"/>
  <c r="G4" i="22"/>
  <c r="F8" i="11"/>
  <c r="F23" i="11" s="1"/>
  <c r="G26" i="4"/>
  <c r="E21" i="5" s="1"/>
  <c r="G8" i="11"/>
  <c r="G23" i="11" s="1"/>
  <c r="C18" i="10"/>
  <c r="E7" i="13"/>
  <c r="C8" i="13"/>
  <c r="E28" i="13"/>
  <c r="C29" i="13"/>
  <c r="C35" i="16"/>
  <c r="G17" i="4"/>
  <c r="D15" i="5" s="1"/>
  <c r="I173" i="1"/>
  <c r="G163" i="1"/>
  <c r="G164" i="1" s="1"/>
  <c r="G21" i="4" s="1"/>
  <c r="C34" i="16"/>
  <c r="F49" i="1"/>
  <c r="J263" i="22"/>
  <c r="K263" i="22" s="1"/>
  <c r="L263" i="22" s="1"/>
  <c r="M263" i="22" s="1"/>
  <c r="G74" i="22" l="1"/>
  <c r="F75" i="22"/>
  <c r="D76" i="22" s="1"/>
  <c r="D19" i="5"/>
  <c r="D25" i="5" s="1"/>
  <c r="D26" i="5" s="1"/>
  <c r="F21" i="5"/>
  <c r="E24" i="5"/>
  <c r="G18" i="5"/>
  <c r="G10" i="11" s="1"/>
  <c r="G27" i="11" s="1"/>
  <c r="E18" i="5"/>
  <c r="F18" i="5"/>
  <c r="F10" i="11" s="1"/>
  <c r="F27" i="11" s="1"/>
  <c r="I18" i="5"/>
  <c r="H18" i="5"/>
  <c r="J18" i="5"/>
  <c r="J10" i="11" s="1"/>
  <c r="J27" i="11" s="1"/>
  <c r="K18" i="5"/>
  <c r="J58" i="5"/>
  <c r="E15" i="5"/>
  <c r="G15" i="5"/>
  <c r="F15" i="5"/>
  <c r="H15" i="5"/>
  <c r="I15" i="5"/>
  <c r="J15" i="5"/>
  <c r="K15" i="5"/>
  <c r="G22" i="4"/>
  <c r="G29" i="4"/>
  <c r="G185" i="22"/>
  <c r="F186" i="22"/>
  <c r="D187" i="22" s="1"/>
  <c r="E47" i="5"/>
  <c r="D38" i="10"/>
  <c r="D18" i="10"/>
  <c r="F47" i="5"/>
  <c r="E38" i="10"/>
  <c r="E18" i="10"/>
  <c r="H4" i="22"/>
  <c r="F5" i="25"/>
  <c r="C5" i="25"/>
  <c r="D6" i="11"/>
  <c r="D35" i="11" s="1"/>
  <c r="C38" i="10"/>
  <c r="D47" i="5"/>
  <c r="D7" i="11"/>
  <c r="D15" i="11" s="1"/>
  <c r="D21" i="11" s="1"/>
  <c r="E29" i="13"/>
  <c r="C30" i="13"/>
  <c r="E30" i="13" s="1"/>
  <c r="C9" i="13"/>
  <c r="E8" i="13"/>
  <c r="H8" i="11"/>
  <c r="H23" i="11" s="1"/>
  <c r="D5" i="25"/>
  <c r="E6" i="11"/>
  <c r="E35" i="11" s="1"/>
  <c r="G49" i="1"/>
  <c r="G50" i="1" s="1"/>
  <c r="I46" i="1"/>
  <c r="E5" i="25"/>
  <c r="F6" i="11"/>
  <c r="G175" i="1"/>
  <c r="I172" i="1" s="1"/>
  <c r="I175" i="1" s="1"/>
  <c r="C32" i="16"/>
  <c r="G75" i="22" l="1"/>
  <c r="F76" i="22"/>
  <c r="D77" i="22" s="1"/>
  <c r="G21" i="5"/>
  <c r="F24" i="5"/>
  <c r="H19" i="5"/>
  <c r="G39" i="10" s="1"/>
  <c r="G19" i="5"/>
  <c r="F39" i="10" s="1"/>
  <c r="K19" i="5"/>
  <c r="J6" i="25" s="1"/>
  <c r="J7" i="25" s="1"/>
  <c r="J10" i="25" s="1"/>
  <c r="J19" i="5"/>
  <c r="I6" i="25" s="1"/>
  <c r="I7" i="25" s="1"/>
  <c r="I10" i="25" s="1"/>
  <c r="F19" i="5"/>
  <c r="I19" i="5"/>
  <c r="H6" i="25" s="1"/>
  <c r="H7" i="25" s="1"/>
  <c r="H10" i="25" s="1"/>
  <c r="E19" i="5"/>
  <c r="E25" i="5" s="1"/>
  <c r="E26" i="5" s="1"/>
  <c r="E10" i="11"/>
  <c r="E27" i="11" s="1"/>
  <c r="K10" i="11"/>
  <c r="K27" i="11" s="1"/>
  <c r="H10" i="11"/>
  <c r="H27" i="11" s="1"/>
  <c r="I10" i="11"/>
  <c r="I27" i="11" s="1"/>
  <c r="F7" i="11"/>
  <c r="F15" i="11" s="1"/>
  <c r="F21" i="11" s="1"/>
  <c r="E58" i="5"/>
  <c r="G186" i="22"/>
  <c r="F187" i="22"/>
  <c r="D188" i="22" s="1"/>
  <c r="F58" i="5"/>
  <c r="G6" i="11"/>
  <c r="G35" i="11" s="1"/>
  <c r="F26" i="6" s="1"/>
  <c r="F38" i="10"/>
  <c r="F18" i="10"/>
  <c r="I4" i="22"/>
  <c r="G47" i="5"/>
  <c r="G58" i="5" s="1"/>
  <c r="F35" i="11"/>
  <c r="E26" i="6" s="1"/>
  <c r="C26" i="6"/>
  <c r="C25" i="7" s="1"/>
  <c r="I7" i="11"/>
  <c r="D18" i="11"/>
  <c r="G7" i="11"/>
  <c r="I8" i="11"/>
  <c r="I23" i="11" s="1"/>
  <c r="H7" i="11"/>
  <c r="C10" i="13"/>
  <c r="E9" i="13"/>
  <c r="E7" i="11"/>
  <c r="C33" i="16"/>
  <c r="D26" i="6"/>
  <c r="C4" i="19"/>
  <c r="C6" i="19" s="1"/>
  <c r="D5" i="19" s="1"/>
  <c r="F5" i="19" s="1"/>
  <c r="F17" i="13"/>
  <c r="F36" i="13" s="1"/>
  <c r="D8" i="22"/>
  <c r="G76" i="22" l="1"/>
  <c r="D39" i="10"/>
  <c r="D40" i="10" s="1"/>
  <c r="D52" i="10" s="1"/>
  <c r="F25" i="5"/>
  <c r="F26" i="5" s="1"/>
  <c r="F77" i="22"/>
  <c r="D78" i="22" s="1"/>
  <c r="G77" i="22"/>
  <c r="J39" i="10"/>
  <c r="J40" i="10" s="1"/>
  <c r="J52" i="10" s="1"/>
  <c r="G24" i="5"/>
  <c r="G25" i="5" s="1"/>
  <c r="G26" i="5" s="1"/>
  <c r="H21" i="5"/>
  <c r="F18" i="11"/>
  <c r="D10" i="11"/>
  <c r="D27" i="11" s="1"/>
  <c r="C6" i="25"/>
  <c r="C7" i="25" s="1"/>
  <c r="C10" i="25" s="1"/>
  <c r="E9" i="22"/>
  <c r="E19" i="22"/>
  <c r="G187" i="22"/>
  <c r="F188" i="22"/>
  <c r="D189" i="22" s="1"/>
  <c r="C21" i="6"/>
  <c r="D21" i="6" s="1"/>
  <c r="E21" i="6" s="1"/>
  <c r="F21" i="6" s="1"/>
  <c r="G21" i="6" s="1"/>
  <c r="H21" i="6" s="1"/>
  <c r="I21" i="6" s="1"/>
  <c r="J21" i="6" s="1"/>
  <c r="C18" i="19"/>
  <c r="C19" i="19" s="1"/>
  <c r="F40" i="10"/>
  <c r="F52" i="10" s="1"/>
  <c r="E6" i="25"/>
  <c r="E7" i="25" s="1"/>
  <c r="E10" i="25" s="1"/>
  <c r="E39" i="10"/>
  <c r="E40" i="10" s="1"/>
  <c r="E52" i="10" s="1"/>
  <c r="F25" i="7"/>
  <c r="G38" i="10"/>
  <c r="G40" i="10" s="1"/>
  <c r="G18" i="10"/>
  <c r="J4" i="22"/>
  <c r="F16" i="11"/>
  <c r="G14" i="11" s="1"/>
  <c r="D16" i="11"/>
  <c r="E14" i="11" s="1"/>
  <c r="D25" i="7"/>
  <c r="E5" i="22"/>
  <c r="I15" i="11"/>
  <c r="I18" i="11"/>
  <c r="E15" i="11"/>
  <c r="E18" i="11"/>
  <c r="G15" i="11"/>
  <c r="G18" i="11"/>
  <c r="H15" i="11"/>
  <c r="H18" i="11"/>
  <c r="E25" i="7"/>
  <c r="J8" i="11"/>
  <c r="J23" i="11" s="1"/>
  <c r="G6" i="25"/>
  <c r="F6" i="25"/>
  <c r="F7" i="25" s="1"/>
  <c r="F10" i="25" s="1"/>
  <c r="D6" i="25"/>
  <c r="D7" i="25" s="1"/>
  <c r="D10" i="25" s="1"/>
  <c r="H6" i="11"/>
  <c r="H35" i="11" s="1"/>
  <c r="H47" i="5"/>
  <c r="G5" i="25"/>
  <c r="E10" i="13"/>
  <c r="C11" i="13"/>
  <c r="H39" i="10"/>
  <c r="D4" i="19"/>
  <c r="F78" i="22" l="1"/>
  <c r="D79" i="22" s="1"/>
  <c r="C39" i="10"/>
  <c r="C40" i="10" s="1"/>
  <c r="C52" i="10" s="1"/>
  <c r="H24" i="5"/>
  <c r="H25" i="5" s="1"/>
  <c r="H26" i="5" s="1"/>
  <c r="I21" i="5"/>
  <c r="H58" i="5"/>
  <c r="I58" i="5"/>
  <c r="E21" i="22"/>
  <c r="G188" i="22"/>
  <c r="F189" i="22"/>
  <c r="D190" i="22" s="1"/>
  <c r="C20" i="19"/>
  <c r="D18" i="19" s="1"/>
  <c r="D19" i="19" s="1"/>
  <c r="D20" i="19" s="1"/>
  <c r="E18" i="19" s="1"/>
  <c r="D3" i="19"/>
  <c r="H38" i="10"/>
  <c r="H40" i="10" s="1"/>
  <c r="H18" i="10"/>
  <c r="I21" i="11"/>
  <c r="G21" i="11"/>
  <c r="E21" i="11"/>
  <c r="H21" i="11"/>
  <c r="E23" i="7"/>
  <c r="F38" i="5" s="1"/>
  <c r="E12" i="6"/>
  <c r="F12" i="6"/>
  <c r="G12" i="6"/>
  <c r="G52" i="10"/>
  <c r="K4" i="22"/>
  <c r="D37" i="11"/>
  <c r="C27" i="6" s="1"/>
  <c r="C27" i="7" s="1"/>
  <c r="F37" i="11"/>
  <c r="E27" i="6" s="1"/>
  <c r="G16" i="11"/>
  <c r="G37" i="11" s="1"/>
  <c r="H16" i="11"/>
  <c r="I14" i="11" s="1"/>
  <c r="E16" i="11"/>
  <c r="F14" i="11" s="1"/>
  <c r="I16" i="11"/>
  <c r="I37" i="11" s="1"/>
  <c r="H27" i="6" s="1"/>
  <c r="D11" i="22"/>
  <c r="D27" i="5" s="1"/>
  <c r="G26" i="6"/>
  <c r="I6" i="11"/>
  <c r="I35" i="11" s="1"/>
  <c r="H26" i="6" s="1"/>
  <c r="C12" i="13"/>
  <c r="E11" i="13"/>
  <c r="G7" i="25"/>
  <c r="G10" i="25" s="1"/>
  <c r="J7" i="11"/>
  <c r="I39" i="10"/>
  <c r="K8" i="11"/>
  <c r="K23" i="11" s="1"/>
  <c r="G78" i="22" l="1"/>
  <c r="F79" i="22"/>
  <c r="D81" i="22" s="1"/>
  <c r="G79" i="22"/>
  <c r="I24" i="5"/>
  <c r="I25" i="5" s="1"/>
  <c r="I26" i="5" s="1"/>
  <c r="J21" i="5"/>
  <c r="H25" i="7"/>
  <c r="F190" i="22"/>
  <c r="D192" i="22" s="1"/>
  <c r="G189" i="22"/>
  <c r="E19" i="19"/>
  <c r="E20" i="19" s="1"/>
  <c r="F18" i="19" s="1"/>
  <c r="F19" i="19" s="1"/>
  <c r="F20" i="19" s="1"/>
  <c r="G18" i="19" s="1"/>
  <c r="I18" i="10"/>
  <c r="I38" i="10"/>
  <c r="I40" i="10" s="1"/>
  <c r="G25" i="7"/>
  <c r="H52" i="10"/>
  <c r="D13" i="8"/>
  <c r="C12" i="6"/>
  <c r="C8" i="6" s="1"/>
  <c r="E13" i="8"/>
  <c r="D12" i="6"/>
  <c r="L4" i="22"/>
  <c r="M4" i="22" s="1"/>
  <c r="D39" i="11"/>
  <c r="F39" i="11"/>
  <c r="E37" i="11"/>
  <c r="D27" i="6" s="1"/>
  <c r="H37" i="11"/>
  <c r="H39" i="11" s="1"/>
  <c r="H14" i="11"/>
  <c r="J14" i="11"/>
  <c r="F23" i="7"/>
  <c r="G38" i="5" s="1"/>
  <c r="F13" i="8"/>
  <c r="G23" i="7"/>
  <c r="H38" i="5" s="1"/>
  <c r="G13" i="8"/>
  <c r="D23" i="7"/>
  <c r="E38" i="5" s="1"/>
  <c r="J15" i="11"/>
  <c r="J18" i="11"/>
  <c r="K6" i="11"/>
  <c r="K35" i="11" s="1"/>
  <c r="J26" i="6" s="1"/>
  <c r="I39" i="11"/>
  <c r="F27" i="6"/>
  <c r="G39" i="11"/>
  <c r="J6" i="11"/>
  <c r="J35" i="11" s="1"/>
  <c r="I26" i="6" s="1"/>
  <c r="K7" i="11"/>
  <c r="E12" i="13"/>
  <c r="C13" i="13"/>
  <c r="F81" i="22" l="1"/>
  <c r="D82" i="22" s="1"/>
  <c r="J24" i="5"/>
  <c r="J25" i="5" s="1"/>
  <c r="J26" i="5" s="1"/>
  <c r="K21" i="5"/>
  <c r="I48" i="5"/>
  <c r="I52" i="5" s="1"/>
  <c r="I42" i="5"/>
  <c r="J25" i="7"/>
  <c r="I25" i="7"/>
  <c r="F192" i="22"/>
  <c r="D193" i="22" s="1"/>
  <c r="G190" i="22"/>
  <c r="F29" i="22" s="1"/>
  <c r="G19" i="19"/>
  <c r="G20" i="19" s="1"/>
  <c r="H18" i="19" s="1"/>
  <c r="N4" i="22"/>
  <c r="K58" i="5"/>
  <c r="D59" i="5" s="1"/>
  <c r="C21" i="10"/>
  <c r="C15" i="10"/>
  <c r="J21" i="11"/>
  <c r="I52" i="10"/>
  <c r="F27" i="7"/>
  <c r="G27" i="6"/>
  <c r="H27" i="7" s="1"/>
  <c r="H29" i="7" s="1"/>
  <c r="E39" i="11"/>
  <c r="J16" i="11"/>
  <c r="K14" i="11" s="1"/>
  <c r="D26" i="2"/>
  <c r="K15" i="11"/>
  <c r="K18" i="11"/>
  <c r="D27" i="7"/>
  <c r="E27" i="7"/>
  <c r="C14" i="13"/>
  <c r="E14" i="13" s="1"/>
  <c r="E13" i="13"/>
  <c r="K24" i="5" l="1"/>
  <c r="K25" i="5" s="1"/>
  <c r="K26" i="5" s="1"/>
  <c r="K42" i="5" s="1"/>
  <c r="G81" i="22"/>
  <c r="F82" i="22"/>
  <c r="D83" i="22" s="1"/>
  <c r="J48" i="5"/>
  <c r="J52" i="5" s="1"/>
  <c r="J42" i="5"/>
  <c r="F193" i="22"/>
  <c r="D194" i="22" s="1"/>
  <c r="G192" i="22"/>
  <c r="H19" i="19"/>
  <c r="H20" i="19" s="1"/>
  <c r="I18" i="19" s="1"/>
  <c r="K21" i="11"/>
  <c r="G27" i="7"/>
  <c r="J37" i="11"/>
  <c r="K16" i="11"/>
  <c r="C40" i="16"/>
  <c r="C43" i="16" s="1"/>
  <c r="K48" i="5" l="1"/>
  <c r="K37" i="11"/>
  <c r="J27" i="6" s="1"/>
  <c r="G82" i="22"/>
  <c r="F83" i="22"/>
  <c r="D84" i="22" s="1"/>
  <c r="J39" i="11"/>
  <c r="I27" i="6"/>
  <c r="G193" i="22"/>
  <c r="F194" i="22"/>
  <c r="D195" i="22" s="1"/>
  <c r="I19" i="19"/>
  <c r="I20" i="19" s="1"/>
  <c r="J18" i="19" s="1"/>
  <c r="C54" i="16"/>
  <c r="C53" i="16"/>
  <c r="L260" i="22" l="1"/>
  <c r="K39" i="11"/>
  <c r="G83" i="22"/>
  <c r="F84" i="22"/>
  <c r="D85" i="22" s="1"/>
  <c r="G84" i="22"/>
  <c r="I27" i="7"/>
  <c r="I29" i="7" s="1"/>
  <c r="J27" i="7"/>
  <c r="J29" i="7" s="1"/>
  <c r="F195" i="22"/>
  <c r="D196" i="22" s="1"/>
  <c r="G194" i="22"/>
  <c r="J19" i="19"/>
  <c r="J20" i="19" s="1"/>
  <c r="G11" i="11"/>
  <c r="G29" i="11" s="1"/>
  <c r="G32" i="11" s="1"/>
  <c r="D11" i="11"/>
  <c r="D29" i="11" s="1"/>
  <c r="D32" i="11" s="1"/>
  <c r="D41" i="10"/>
  <c r="D53" i="10" s="1"/>
  <c r="D54" i="10" s="1"/>
  <c r="C55" i="16"/>
  <c r="J6" i="10"/>
  <c r="F85" i="22" l="1"/>
  <c r="D86" i="22" s="1"/>
  <c r="G85" i="22"/>
  <c r="G195" i="22"/>
  <c r="F196" i="22"/>
  <c r="D197" i="22" s="1"/>
  <c r="F11" i="6"/>
  <c r="G41" i="11"/>
  <c r="C11" i="6"/>
  <c r="C15" i="7" s="1"/>
  <c r="D41" i="11"/>
  <c r="D45" i="11" s="1"/>
  <c r="E11" i="11"/>
  <c r="E29" i="11" s="1"/>
  <c r="E32" i="11" s="1"/>
  <c r="D6" i="10"/>
  <c r="F41" i="10"/>
  <c r="F53" i="10" s="1"/>
  <c r="F54" i="10" s="1"/>
  <c r="C41" i="10"/>
  <c r="C53" i="10" s="1"/>
  <c r="C54" i="10" s="1"/>
  <c r="F6" i="10"/>
  <c r="J41" i="10"/>
  <c r="J53" i="10" s="1"/>
  <c r="J54" i="10" s="1"/>
  <c r="K11" i="11"/>
  <c r="K29" i="11" s="1"/>
  <c r="K32" i="11" s="1"/>
  <c r="J11" i="6" s="1"/>
  <c r="G41" i="10"/>
  <c r="G53" i="10" s="1"/>
  <c r="G54" i="10" s="1"/>
  <c r="I11" i="11"/>
  <c r="I29" i="11" s="1"/>
  <c r="I32" i="11" s="1"/>
  <c r="H11" i="6" s="1"/>
  <c r="I6" i="10"/>
  <c r="H41" i="10"/>
  <c r="E6" i="10"/>
  <c r="E41" i="10"/>
  <c r="G6" i="10"/>
  <c r="H11" i="11"/>
  <c r="H29" i="11" s="1"/>
  <c r="H32" i="11" s="1"/>
  <c r="J11" i="11"/>
  <c r="J29" i="11" s="1"/>
  <c r="J32" i="11" s="1"/>
  <c r="I11" i="6" s="1"/>
  <c r="I41" i="10"/>
  <c r="I53" i="10" s="1"/>
  <c r="I54" i="10" s="1"/>
  <c r="K52" i="5"/>
  <c r="F11" i="11"/>
  <c r="F29" i="11" s="1"/>
  <c r="F32" i="11" s="1"/>
  <c r="H6" i="10"/>
  <c r="F86" i="22" l="1"/>
  <c r="D87" i="22" s="1"/>
  <c r="D48" i="5"/>
  <c r="D52" i="5" s="1"/>
  <c r="I15" i="7"/>
  <c r="J15" i="7"/>
  <c r="F197" i="22"/>
  <c r="D198" i="22" s="1"/>
  <c r="G196" i="22"/>
  <c r="D11" i="6"/>
  <c r="E41" i="11"/>
  <c r="E45" i="11" s="1"/>
  <c r="J41" i="11"/>
  <c r="I41" i="11"/>
  <c r="G11" i="6"/>
  <c r="H15" i="7" s="1"/>
  <c r="H41" i="11"/>
  <c r="H45" i="11" s="1"/>
  <c r="D42" i="11"/>
  <c r="D43" i="11" s="1"/>
  <c r="D260" i="22" s="1"/>
  <c r="D10" i="24"/>
  <c r="D10" i="2"/>
  <c r="E11" i="6"/>
  <c r="F15" i="7" s="1"/>
  <c r="F41" i="11"/>
  <c r="K41" i="11"/>
  <c r="G42" i="11"/>
  <c r="G43" i="11" s="1"/>
  <c r="G260" i="22" s="1"/>
  <c r="F25" i="10"/>
  <c r="E42" i="5"/>
  <c r="E48" i="5"/>
  <c r="E52" i="5" s="1"/>
  <c r="C6" i="10"/>
  <c r="D42" i="5"/>
  <c r="G42" i="5"/>
  <c r="G48" i="5"/>
  <c r="G52" i="5" s="1"/>
  <c r="H42" i="5"/>
  <c r="H48" i="5"/>
  <c r="H52" i="5" s="1"/>
  <c r="H53" i="10"/>
  <c r="H54" i="10" s="1"/>
  <c r="F42" i="5"/>
  <c r="F48" i="5"/>
  <c r="F52" i="5" s="1"/>
  <c r="E53" i="10"/>
  <c r="E54" i="10" s="1"/>
  <c r="D53" i="5" l="1"/>
  <c r="G86" i="22"/>
  <c r="F87" i="22"/>
  <c r="D88" i="22" s="1"/>
  <c r="G87" i="22"/>
  <c r="K10" i="24"/>
  <c r="I10" i="24"/>
  <c r="J10" i="24"/>
  <c r="E31" i="22"/>
  <c r="F45" i="11"/>
  <c r="K45" i="11"/>
  <c r="J45" i="11"/>
  <c r="G45" i="11"/>
  <c r="I45" i="11"/>
  <c r="C13" i="6"/>
  <c r="C10" i="7" s="1"/>
  <c r="G197" i="22"/>
  <c r="F198" i="22"/>
  <c r="D199" i="22" s="1"/>
  <c r="I42" i="11"/>
  <c r="I43" i="11" s="1"/>
  <c r="F42" i="11"/>
  <c r="F43" i="11" s="1"/>
  <c r="F260" i="22" s="1"/>
  <c r="F10" i="24"/>
  <c r="E15" i="7"/>
  <c r="E25" i="10"/>
  <c r="F13" i="6"/>
  <c r="I25" i="10"/>
  <c r="H25" i="10"/>
  <c r="J42" i="11"/>
  <c r="J43" i="11" s="1"/>
  <c r="G10" i="24"/>
  <c r="K42" i="11"/>
  <c r="K43" i="11" s="1"/>
  <c r="J25" i="10"/>
  <c r="H10" i="24"/>
  <c r="H42" i="11"/>
  <c r="H43" i="11" s="1"/>
  <c r="H260" i="22" s="1"/>
  <c r="E42" i="11"/>
  <c r="E43" i="11" s="1"/>
  <c r="E260" i="22" s="1"/>
  <c r="E10" i="24"/>
  <c r="G15" i="7"/>
  <c r="G25" i="10"/>
  <c r="D15" i="7"/>
  <c r="D25" i="10"/>
  <c r="E8" i="22"/>
  <c r="O10" i="22"/>
  <c r="K260" i="22" l="1"/>
  <c r="J13" i="6" s="1"/>
  <c r="J260" i="22"/>
  <c r="I13" i="6" s="1"/>
  <c r="I260" i="22"/>
  <c r="H13" i="6" s="1"/>
  <c r="F88" i="22"/>
  <c r="D89" i="22" s="1"/>
  <c r="G88" i="22"/>
  <c r="D261" i="22"/>
  <c r="D265" i="22" s="1"/>
  <c r="D29" i="5" s="1"/>
  <c r="H261" i="22"/>
  <c r="H265" i="22" s="1"/>
  <c r="H29" i="5" s="1"/>
  <c r="F199" i="22"/>
  <c r="D200" i="22" s="1"/>
  <c r="G198" i="22"/>
  <c r="E13" i="6"/>
  <c r="F10" i="7" s="1"/>
  <c r="G261" i="22"/>
  <c r="G265" i="22" s="1"/>
  <c r="G29" i="5" s="1"/>
  <c r="D13" i="6"/>
  <c r="F261" i="22"/>
  <c r="F265" i="22" s="1"/>
  <c r="F29" i="5" s="1"/>
  <c r="E261" i="22"/>
  <c r="E265" i="22" s="1"/>
  <c r="E29" i="5" s="1"/>
  <c r="M261" i="22"/>
  <c r="M265" i="22" s="1"/>
  <c r="F5" i="22"/>
  <c r="F8" i="22" s="1"/>
  <c r="G5" i="22" s="1"/>
  <c r="G186" i="1"/>
  <c r="K261" i="22" l="1"/>
  <c r="K265" i="22" s="1"/>
  <c r="K29" i="5" s="1"/>
  <c r="J12" i="8" s="1"/>
  <c r="J261" i="22"/>
  <c r="J265" i="22" s="1"/>
  <c r="J29" i="5" s="1"/>
  <c r="I11" i="10" s="1"/>
  <c r="L261" i="22"/>
  <c r="L265" i="22" s="1"/>
  <c r="I10" i="7"/>
  <c r="J10" i="7"/>
  <c r="F89" i="22"/>
  <c r="D90" i="22" s="1"/>
  <c r="G89" i="22"/>
  <c r="C11" i="10"/>
  <c r="I12" i="8"/>
  <c r="J9" i="8"/>
  <c r="C9" i="8"/>
  <c r="C12" i="8"/>
  <c r="G9" i="8"/>
  <c r="G11" i="10"/>
  <c r="G12" i="8"/>
  <c r="G13" i="6"/>
  <c r="I261" i="22"/>
  <c r="I265" i="22" s="1"/>
  <c r="I29" i="5" s="1"/>
  <c r="F200" i="22"/>
  <c r="D201" i="22" s="1"/>
  <c r="G199" i="22"/>
  <c r="E9" i="8"/>
  <c r="E12" i="8"/>
  <c r="E11" i="10"/>
  <c r="E10" i="7"/>
  <c r="D10" i="7"/>
  <c r="F12" i="8"/>
  <c r="F11" i="10"/>
  <c r="F9" i="8"/>
  <c r="D11" i="10"/>
  <c r="D9" i="8"/>
  <c r="D12" i="8"/>
  <c r="G8" i="22"/>
  <c r="H5" i="22" s="1"/>
  <c r="D8" i="6"/>
  <c r="E8" i="6" s="1"/>
  <c r="E11" i="22"/>
  <c r="E27" i="5" s="1"/>
  <c r="G187" i="1"/>
  <c r="G188" i="1" s="1"/>
  <c r="I9" i="8" l="1"/>
  <c r="F90" i="22"/>
  <c r="D91" i="22" s="1"/>
  <c r="G90" i="22"/>
  <c r="H12" i="8"/>
  <c r="H9" i="8"/>
  <c r="G10" i="7"/>
  <c r="H10" i="7"/>
  <c r="H11" i="10"/>
  <c r="F9" i="22"/>
  <c r="F19" i="22"/>
  <c r="O17" i="22"/>
  <c r="P7" i="22" s="1"/>
  <c r="K18" i="22"/>
  <c r="L15" i="22" s="1"/>
  <c r="F201" i="22"/>
  <c r="D202" i="22" s="1"/>
  <c r="G200" i="22"/>
  <c r="H8" i="22"/>
  <c r="I5" i="22" s="1"/>
  <c r="D21" i="10"/>
  <c r="D20" i="10"/>
  <c r="D15" i="10"/>
  <c r="C25" i="10"/>
  <c r="D29" i="7"/>
  <c r="F91" i="22" l="1"/>
  <c r="D92" i="22" s="1"/>
  <c r="J11" i="10"/>
  <c r="L18" i="22"/>
  <c r="M15" i="22" s="1"/>
  <c r="G201" i="22"/>
  <c r="F202" i="22"/>
  <c r="D203" i="22" s="1"/>
  <c r="I8" i="22"/>
  <c r="J5" i="22" s="1"/>
  <c r="C16" i="10"/>
  <c r="C20" i="10"/>
  <c r="F4" i="19"/>
  <c r="C10" i="10"/>
  <c r="C33" i="10" s="1"/>
  <c r="C42" i="10"/>
  <c r="C8" i="8"/>
  <c r="C11" i="8" s="1"/>
  <c r="C14" i="8" s="1"/>
  <c r="F3" i="19"/>
  <c r="C36" i="16"/>
  <c r="C38" i="16" s="1"/>
  <c r="C45" i="16" s="1"/>
  <c r="C47" i="16" s="1"/>
  <c r="G189" i="1"/>
  <c r="G190" i="1" s="1"/>
  <c r="G91" i="22" l="1"/>
  <c r="F92" i="22"/>
  <c r="D94" i="22" s="1"/>
  <c r="L19" i="22"/>
  <c r="L21" i="22" s="1"/>
  <c r="M18" i="22"/>
  <c r="N15" i="22" s="1"/>
  <c r="N18" i="22" s="1"/>
  <c r="N19" i="22" s="1"/>
  <c r="N21" i="22" s="1"/>
  <c r="F203" i="22"/>
  <c r="D205" i="22" s="1"/>
  <c r="G202" i="22"/>
  <c r="C19" i="6"/>
  <c r="F6" i="19"/>
  <c r="J8" i="22"/>
  <c r="K5" i="22" s="1"/>
  <c r="C15" i="19"/>
  <c r="C16" i="19" s="1"/>
  <c r="C20" i="6"/>
  <c r="E29" i="7"/>
  <c r="C12" i="19"/>
  <c r="C13" i="19" s="1"/>
  <c r="F94" i="22" l="1"/>
  <c r="D95" i="22" s="1"/>
  <c r="G94" i="22"/>
  <c r="G92" i="22"/>
  <c r="M19" i="22"/>
  <c r="M21" i="22" s="1"/>
  <c r="G203" i="22"/>
  <c r="G29" i="22" s="1"/>
  <c r="F205" i="22"/>
  <c r="D206" i="22" s="1"/>
  <c r="C22" i="6"/>
  <c r="C21" i="7" s="1"/>
  <c r="K8" i="22"/>
  <c r="L5" i="22" s="1"/>
  <c r="D20" i="6"/>
  <c r="E20" i="6" s="1"/>
  <c r="F20" i="6" s="1"/>
  <c r="G20" i="6" s="1"/>
  <c r="H20" i="6" s="1"/>
  <c r="I20" i="6" s="1"/>
  <c r="J20" i="6" s="1"/>
  <c r="C21" i="19"/>
  <c r="D32" i="5" l="1"/>
  <c r="D33" i="5" s="1"/>
  <c r="E30" i="5"/>
  <c r="F95" i="22"/>
  <c r="D96" i="22" s="1"/>
  <c r="G95" i="22"/>
  <c r="G205" i="22"/>
  <c r="F206" i="22"/>
  <c r="D207" i="22" s="1"/>
  <c r="C29" i="7"/>
  <c r="D11" i="24"/>
  <c r="L8" i="22"/>
  <c r="M5" i="22" s="1"/>
  <c r="F8" i="26"/>
  <c r="C17" i="19"/>
  <c r="D15" i="19" s="1"/>
  <c r="D16" i="19" s="1"/>
  <c r="D17" i="19" s="1"/>
  <c r="E15" i="19" s="1"/>
  <c r="E16" i="19" s="1"/>
  <c r="E17" i="19" s="1"/>
  <c r="F15" i="19" s="1"/>
  <c r="F16" i="19" s="1"/>
  <c r="F17" i="19" s="1"/>
  <c r="G15" i="19" s="1"/>
  <c r="G16" i="19" s="1"/>
  <c r="G17" i="19" s="1"/>
  <c r="H15" i="19" s="1"/>
  <c r="H16" i="19" s="1"/>
  <c r="H17" i="19" s="1"/>
  <c r="I15" i="19" s="1"/>
  <c r="I16" i="19" s="1"/>
  <c r="I17" i="19" s="1"/>
  <c r="J15" i="19" s="1"/>
  <c r="J16" i="19" s="1"/>
  <c r="J17" i="19" s="1"/>
  <c r="F29" i="7"/>
  <c r="F7" i="26"/>
  <c r="C14" i="19"/>
  <c r="D19" i="6"/>
  <c r="D22" i="6" s="1"/>
  <c r="F96" i="22" l="1"/>
  <c r="D97" i="22" s="1"/>
  <c r="G96" i="22"/>
  <c r="D6" i="24"/>
  <c r="G206" i="22"/>
  <c r="F207" i="22"/>
  <c r="D208" i="22" s="1"/>
  <c r="C22" i="19"/>
  <c r="D49" i="5"/>
  <c r="D54" i="5" s="1"/>
  <c r="C8" i="25"/>
  <c r="M8" i="22"/>
  <c r="N5" i="22" s="1"/>
  <c r="N8" i="22" s="1"/>
  <c r="N9" i="22" s="1"/>
  <c r="N11" i="22" s="1"/>
  <c r="L9" i="22"/>
  <c r="G7" i="26"/>
  <c r="C6" i="8"/>
  <c r="C23" i="6"/>
  <c r="C24" i="6" s="1"/>
  <c r="D12" i="19"/>
  <c r="D13" i="19" s="1"/>
  <c r="D21" i="19" s="1"/>
  <c r="D8" i="24"/>
  <c r="C43" i="10"/>
  <c r="C44" i="10" s="1"/>
  <c r="C51" i="10" s="1"/>
  <c r="D36" i="5"/>
  <c r="C13" i="7" s="1"/>
  <c r="E19" i="6"/>
  <c r="E22" i="6" s="1"/>
  <c r="E11" i="24"/>
  <c r="E32" i="5" l="1"/>
  <c r="E33" i="5" s="1"/>
  <c r="E34" i="5" s="1"/>
  <c r="F30" i="5"/>
  <c r="F97" i="22"/>
  <c r="D98" i="22" s="1"/>
  <c r="G97" i="22"/>
  <c r="F208" i="22"/>
  <c r="D209" i="22" s="1"/>
  <c r="G207" i="22"/>
  <c r="M9" i="22"/>
  <c r="M11" i="22" s="1"/>
  <c r="C11" i="25"/>
  <c r="C12" i="25" s="1"/>
  <c r="C9" i="25"/>
  <c r="F6" i="26"/>
  <c r="F9" i="26" s="1"/>
  <c r="F12" i="26" s="1"/>
  <c r="F13" i="26" s="1"/>
  <c r="C7" i="10"/>
  <c r="G8" i="26"/>
  <c r="G29" i="7"/>
  <c r="H7" i="26"/>
  <c r="D14" i="19"/>
  <c r="D22" i="19" s="1"/>
  <c r="F19" i="6"/>
  <c r="F22" i="6" s="1"/>
  <c r="F11" i="24"/>
  <c r="C19" i="10"/>
  <c r="C32" i="10" s="1"/>
  <c r="C8" i="10"/>
  <c r="F98" i="22" l="1"/>
  <c r="D99" i="22" s="1"/>
  <c r="G208" i="22"/>
  <c r="F209" i="22"/>
  <c r="D210" i="22" s="1"/>
  <c r="D43" i="10"/>
  <c r="F10" i="26"/>
  <c r="D23" i="6"/>
  <c r="D24" i="6" s="1"/>
  <c r="D19" i="10" s="1"/>
  <c r="D32" i="10" s="1"/>
  <c r="E12" i="19"/>
  <c r="E13" i="19" s="1"/>
  <c r="E21" i="19" s="1"/>
  <c r="G30" i="5" s="1"/>
  <c r="D6" i="8"/>
  <c r="E49" i="5"/>
  <c r="E54" i="5" s="1"/>
  <c r="F14" i="26"/>
  <c r="F15" i="26" s="1"/>
  <c r="I7" i="26"/>
  <c r="G11" i="26"/>
  <c r="G11" i="24"/>
  <c r="G19" i="6"/>
  <c r="E36" i="5"/>
  <c r="D13" i="7" s="1"/>
  <c r="E8" i="24"/>
  <c r="G98" i="22" l="1"/>
  <c r="F99" i="22"/>
  <c r="D100" i="22" s="1"/>
  <c r="G22" i="6"/>
  <c r="H11" i="24" s="1"/>
  <c r="H19" i="6"/>
  <c r="F21" i="22"/>
  <c r="G209" i="22"/>
  <c r="F210" i="22"/>
  <c r="D211" i="22" s="1"/>
  <c r="J7" i="26"/>
  <c r="H8" i="26"/>
  <c r="E43" i="10"/>
  <c r="D7" i="24"/>
  <c r="D9" i="24" s="1"/>
  <c r="E14" i="19"/>
  <c r="E22" i="19" s="1"/>
  <c r="G99" i="22" l="1"/>
  <c r="F100" i="22"/>
  <c r="D101" i="22" s="1"/>
  <c r="I19" i="6"/>
  <c r="H22" i="6"/>
  <c r="D12" i="24"/>
  <c r="D66" i="24" s="1"/>
  <c r="D69" i="24" s="1"/>
  <c r="F31" i="22"/>
  <c r="G210" i="22"/>
  <c r="F211" i="22"/>
  <c r="D212" i="22" s="1"/>
  <c r="E6" i="8"/>
  <c r="F49" i="5"/>
  <c r="F54" i="5" s="1"/>
  <c r="K7" i="26"/>
  <c r="F8" i="24"/>
  <c r="F36" i="5"/>
  <c r="E13" i="7" s="1"/>
  <c r="E23" i="6"/>
  <c r="F12" i="19"/>
  <c r="G100" i="22" l="1"/>
  <c r="F101" i="22"/>
  <c r="D102" i="22" s="1"/>
  <c r="I11" i="24"/>
  <c r="J19" i="6"/>
  <c r="I22" i="6"/>
  <c r="D14" i="24"/>
  <c r="F212" i="22"/>
  <c r="D213" i="22" s="1"/>
  <c r="G211" i="22"/>
  <c r="L7" i="26"/>
  <c r="D34" i="5"/>
  <c r="F13" i="19"/>
  <c r="F21" i="19" s="1"/>
  <c r="H30" i="5" s="1"/>
  <c r="E24" i="6"/>
  <c r="E19" i="10" s="1"/>
  <c r="G101" i="22" l="1"/>
  <c r="D16" i="24"/>
  <c r="F102" i="22"/>
  <c r="D103" i="22" s="1"/>
  <c r="J11" i="24"/>
  <c r="J22" i="6"/>
  <c r="G212" i="22"/>
  <c r="F213" i="22"/>
  <c r="D214" i="22" s="1"/>
  <c r="I8" i="26"/>
  <c r="F43" i="10"/>
  <c r="C7" i="6"/>
  <c r="C6" i="7"/>
  <c r="D43" i="5"/>
  <c r="D50" i="5"/>
  <c r="D56" i="5" s="1"/>
  <c r="M7" i="26"/>
  <c r="C6" i="12"/>
  <c r="C12" i="12" s="1"/>
  <c r="C13" i="12" s="1"/>
  <c r="C9" i="10"/>
  <c r="D37" i="5"/>
  <c r="D39" i="5" s="1"/>
  <c r="D40" i="5" s="1"/>
  <c r="D12" i="2" s="1"/>
  <c r="C5" i="8"/>
  <c r="D78" i="24" s="1"/>
  <c r="D79" i="24" s="1"/>
  <c r="F14" i="19"/>
  <c r="F22" i="19" s="1"/>
  <c r="G102" i="22" l="1"/>
  <c r="F103" i="22"/>
  <c r="D104" i="22" s="1"/>
  <c r="K11" i="24"/>
  <c r="G9" i="22"/>
  <c r="G19" i="22"/>
  <c r="D14" i="2"/>
  <c r="F214" i="22"/>
  <c r="D215" i="22" s="1"/>
  <c r="G213" i="22"/>
  <c r="F6" i="8"/>
  <c r="G49" i="5"/>
  <c r="G54" i="5" s="1"/>
  <c r="C10" i="8"/>
  <c r="N7" i="26"/>
  <c r="C8" i="12"/>
  <c r="F11" i="22"/>
  <c r="F27" i="5" s="1"/>
  <c r="C27" i="10"/>
  <c r="G8" i="24"/>
  <c r="G36" i="5"/>
  <c r="F13" i="7" s="1"/>
  <c r="F23" i="6"/>
  <c r="G12" i="19"/>
  <c r="G103" i="22" l="1"/>
  <c r="F104" i="22"/>
  <c r="D105" i="22" s="1"/>
  <c r="E15" i="2"/>
  <c r="G15" i="2" s="1"/>
  <c r="D18" i="2"/>
  <c r="F32" i="5"/>
  <c r="F33" i="5" s="1"/>
  <c r="F34" i="5" s="1"/>
  <c r="C15" i="8"/>
  <c r="C31" i="10" s="1"/>
  <c r="D80" i="24"/>
  <c r="G214" i="22"/>
  <c r="F215" i="22"/>
  <c r="D216" i="22" s="1"/>
  <c r="O7" i="26"/>
  <c r="F24" i="6"/>
  <c r="F19" i="10" s="1"/>
  <c r="G13" i="19"/>
  <c r="G21" i="19" s="1"/>
  <c r="I30" i="5" s="1"/>
  <c r="G104" i="22" l="1"/>
  <c r="F105" i="22"/>
  <c r="D107" i="22" s="1"/>
  <c r="C6" i="6"/>
  <c r="C7" i="7" s="1"/>
  <c r="D10" i="10"/>
  <c r="D33" i="10" s="1"/>
  <c r="D8" i="8"/>
  <c r="D11" i="8" s="1"/>
  <c r="D14" i="8" s="1"/>
  <c r="D42" i="10"/>
  <c r="D44" i="10" s="1"/>
  <c r="D51" i="10" s="1"/>
  <c r="D8" i="25"/>
  <c r="G215" i="22"/>
  <c r="F216" i="22"/>
  <c r="D218" i="22" s="1"/>
  <c r="J8" i="26"/>
  <c r="G43" i="10"/>
  <c r="Q7" i="26"/>
  <c r="P7" i="26"/>
  <c r="G14" i="19"/>
  <c r="G22" i="19" s="1"/>
  <c r="G105" i="22" l="1"/>
  <c r="F107" i="22"/>
  <c r="D108" i="22" s="1"/>
  <c r="C14" i="10"/>
  <c r="C30" i="10" s="1"/>
  <c r="C13" i="10"/>
  <c r="C29" i="10" s="1"/>
  <c r="C22" i="10"/>
  <c r="C36" i="10" s="1"/>
  <c r="D6" i="6"/>
  <c r="D13" i="10" s="1"/>
  <c r="C12" i="10"/>
  <c r="C28" i="10" s="1"/>
  <c r="D11" i="25"/>
  <c r="D12" i="25" s="1"/>
  <c r="D9" i="25"/>
  <c r="F218" i="22"/>
  <c r="D219" i="22" s="1"/>
  <c r="G216" i="22"/>
  <c r="H29" i="22" s="1"/>
  <c r="G6" i="26"/>
  <c r="G9" i="26" s="1"/>
  <c r="G10" i="26" s="1"/>
  <c r="D7" i="10"/>
  <c r="D8" i="10"/>
  <c r="G6" i="8"/>
  <c r="H49" i="5"/>
  <c r="H54" i="5" s="1"/>
  <c r="E6" i="24"/>
  <c r="H12" i="19"/>
  <c r="H13" i="19" s="1"/>
  <c r="H21" i="19" s="1"/>
  <c r="J30" i="5" s="1"/>
  <c r="H8" i="24"/>
  <c r="H36" i="5"/>
  <c r="G13" i="7" s="1"/>
  <c r="G23" i="6"/>
  <c r="G107" i="22" l="1"/>
  <c r="F108" i="22"/>
  <c r="D109" i="22" s="1"/>
  <c r="C17" i="10"/>
  <c r="C35" i="10" s="1"/>
  <c r="H23" i="6"/>
  <c r="H24" i="6" s="1"/>
  <c r="H6" i="8"/>
  <c r="I36" i="5"/>
  <c r="H13" i="7" s="1"/>
  <c r="I8" i="24"/>
  <c r="I49" i="5"/>
  <c r="I54" i="5" s="1"/>
  <c r="D7" i="7"/>
  <c r="E6" i="6"/>
  <c r="E13" i="10" s="1"/>
  <c r="D22" i="10"/>
  <c r="D36" i="10" s="1"/>
  <c r="G218" i="22"/>
  <c r="F219" i="22"/>
  <c r="D220" i="22" s="1"/>
  <c r="G12" i="26"/>
  <c r="G14" i="26" s="1"/>
  <c r="K8" i="26"/>
  <c r="H43" i="10"/>
  <c r="G11" i="22"/>
  <c r="G27" i="5" s="1"/>
  <c r="G24" i="6"/>
  <c r="G19" i="10" s="1"/>
  <c r="H14" i="19"/>
  <c r="H22" i="19" s="1"/>
  <c r="G108" i="22" l="1"/>
  <c r="F109" i="22"/>
  <c r="D110" i="22" s="1"/>
  <c r="G32" i="5"/>
  <c r="G33" i="5" s="1"/>
  <c r="G34" i="5" s="1"/>
  <c r="F6" i="6"/>
  <c r="F7" i="7" s="1"/>
  <c r="E7" i="7"/>
  <c r="E22" i="10"/>
  <c r="F220" i="22"/>
  <c r="D221" i="22" s="1"/>
  <c r="G219" i="22"/>
  <c r="G13" i="26"/>
  <c r="G15" i="26" s="1"/>
  <c r="H11" i="26"/>
  <c r="I12" i="19"/>
  <c r="G109" i="22" l="1"/>
  <c r="F110" i="22"/>
  <c r="D111" i="22" s="1"/>
  <c r="G6" i="6"/>
  <c r="F22" i="10"/>
  <c r="F13" i="10"/>
  <c r="E8" i="25"/>
  <c r="E8" i="8"/>
  <c r="E11" i="8" s="1"/>
  <c r="E14" i="8" s="1"/>
  <c r="E10" i="10"/>
  <c r="E33" i="10" s="1"/>
  <c r="E42" i="10"/>
  <c r="E44" i="10" s="1"/>
  <c r="E51" i="10" s="1"/>
  <c r="F221" i="22"/>
  <c r="D222" i="22" s="1"/>
  <c r="G220" i="22"/>
  <c r="E7" i="24"/>
  <c r="E9" i="24" s="1"/>
  <c r="E12" i="24" s="1"/>
  <c r="I13" i="19"/>
  <c r="I21" i="19" s="1"/>
  <c r="K30" i="5" s="1"/>
  <c r="H19" i="10"/>
  <c r="G110" i="22" l="1"/>
  <c r="F111" i="22"/>
  <c r="D112" i="22" s="1"/>
  <c r="I6" i="8"/>
  <c r="J36" i="5"/>
  <c r="I13" i="7" s="1"/>
  <c r="J8" i="24"/>
  <c r="J49" i="5"/>
  <c r="J54" i="5" s="1"/>
  <c r="I23" i="6"/>
  <c r="H6" i="6"/>
  <c r="H7" i="7" s="1"/>
  <c r="G13" i="10"/>
  <c r="E66" i="24"/>
  <c r="E69" i="24" s="1"/>
  <c r="E14" i="24"/>
  <c r="G7" i="7"/>
  <c r="G22" i="10"/>
  <c r="E9" i="25"/>
  <c r="E11" i="25"/>
  <c r="E12" i="25" s="1"/>
  <c r="G221" i="22"/>
  <c r="F222" i="22"/>
  <c r="D223" i="22" s="1"/>
  <c r="E8" i="10"/>
  <c r="E7" i="10"/>
  <c r="L8" i="26"/>
  <c r="I43" i="10"/>
  <c r="H6" i="26"/>
  <c r="H9" i="26" s="1"/>
  <c r="H10" i="26" s="1"/>
  <c r="D9" i="10"/>
  <c r="F6" i="24"/>
  <c r="I14" i="19"/>
  <c r="I22" i="19" s="1"/>
  <c r="G111" i="22" l="1"/>
  <c r="F112" i="22"/>
  <c r="D113" i="22" s="1"/>
  <c r="H13" i="10"/>
  <c r="I24" i="6"/>
  <c r="I6" i="6"/>
  <c r="E16" i="24"/>
  <c r="G21" i="22"/>
  <c r="H22" i="10"/>
  <c r="F223" i="22"/>
  <c r="D224" i="22" s="1"/>
  <c r="G222" i="22"/>
  <c r="D27" i="10"/>
  <c r="D29" i="10"/>
  <c r="J12" i="19"/>
  <c r="J13" i="19" s="1"/>
  <c r="H12" i="26"/>
  <c r="I11" i="26" s="1"/>
  <c r="D7" i="6"/>
  <c r="D6" i="7"/>
  <c r="D5" i="8"/>
  <c r="E78" i="24" s="1"/>
  <c r="E79" i="24" s="1"/>
  <c r="E50" i="5"/>
  <c r="E56" i="5" s="1"/>
  <c r="D6" i="12"/>
  <c r="D8" i="12" s="1"/>
  <c r="E37" i="5"/>
  <c r="E39" i="5" s="1"/>
  <c r="E40" i="5" s="1"/>
  <c r="E43" i="5"/>
  <c r="G112" i="22" l="1"/>
  <c r="F113" i="22"/>
  <c r="D114" i="22" s="1"/>
  <c r="J6" i="6"/>
  <c r="I7" i="7"/>
  <c r="G31" i="22"/>
  <c r="I13" i="10"/>
  <c r="I22" i="10"/>
  <c r="G223" i="22"/>
  <c r="F224" i="22"/>
  <c r="D225" i="22" s="1"/>
  <c r="J21" i="19"/>
  <c r="D12" i="10"/>
  <c r="D28" i="10" s="1"/>
  <c r="D14" i="10"/>
  <c r="D10" i="8"/>
  <c r="H14" i="26"/>
  <c r="H13" i="26"/>
  <c r="D12" i="12"/>
  <c r="D13" i="12" s="1"/>
  <c r="J14" i="19"/>
  <c r="I19" i="10"/>
  <c r="G113" i="22" l="1"/>
  <c r="J13" i="10"/>
  <c r="J22" i="19"/>
  <c r="F114" i="22"/>
  <c r="D115" i="22" s="1"/>
  <c r="J22" i="10"/>
  <c r="J6" i="8"/>
  <c r="K36" i="5"/>
  <c r="J13" i="7" s="1"/>
  <c r="K8" i="24"/>
  <c r="K49" i="5"/>
  <c r="K54" i="5" s="1"/>
  <c r="D55" i="5" s="1"/>
  <c r="J23" i="6"/>
  <c r="J7" i="7"/>
  <c r="D15" i="8"/>
  <c r="F225" i="22"/>
  <c r="D226" i="22" s="1"/>
  <c r="G224" i="22"/>
  <c r="M8" i="26"/>
  <c r="J43" i="10"/>
  <c r="D17" i="10"/>
  <c r="D30" i="10"/>
  <c r="H15" i="26"/>
  <c r="F7" i="24" s="1"/>
  <c r="F9" i="24" s="1"/>
  <c r="F12" i="24" s="1"/>
  <c r="E9" i="10"/>
  <c r="G114" i="22" l="1"/>
  <c r="F115" i="22"/>
  <c r="D116" i="22" s="1"/>
  <c r="J24" i="6"/>
  <c r="J19" i="10" s="1"/>
  <c r="F66" i="24"/>
  <c r="F69" i="24" s="1"/>
  <c r="F14" i="24"/>
  <c r="D31" i="10"/>
  <c r="F226" i="22"/>
  <c r="D227" i="22" s="1"/>
  <c r="G225" i="22"/>
  <c r="E27" i="10"/>
  <c r="E29" i="10"/>
  <c r="E6" i="7"/>
  <c r="E7" i="6"/>
  <c r="F37" i="5"/>
  <c r="F39" i="5" s="1"/>
  <c r="F40" i="5" s="1"/>
  <c r="F50" i="5"/>
  <c r="F56" i="5" s="1"/>
  <c r="E5" i="8"/>
  <c r="F78" i="24" s="1"/>
  <c r="F79" i="24" s="1"/>
  <c r="E6" i="12"/>
  <c r="C9" i="12" s="1"/>
  <c r="F43" i="5"/>
  <c r="G115" i="22" l="1"/>
  <c r="F116" i="22"/>
  <c r="D117" i="22" s="1"/>
  <c r="G116" i="22"/>
  <c r="F16" i="24"/>
  <c r="H9" i="22"/>
  <c r="H11" i="22" s="1"/>
  <c r="H27" i="5" s="1"/>
  <c r="H19" i="22"/>
  <c r="F227" i="22"/>
  <c r="D228" i="22" s="1"/>
  <c r="G226" i="22"/>
  <c r="N8" i="26"/>
  <c r="E14" i="10"/>
  <c r="E10" i="8"/>
  <c r="E8" i="12"/>
  <c r="E12" i="12"/>
  <c r="E13" i="12" s="1"/>
  <c r="F117" i="22" l="1"/>
  <c r="D118" i="22" s="1"/>
  <c r="H32" i="5"/>
  <c r="H33" i="5" s="1"/>
  <c r="H34" i="5" s="1"/>
  <c r="E15" i="8"/>
  <c r="F8" i="25"/>
  <c r="F8" i="8"/>
  <c r="F11" i="8" s="1"/>
  <c r="F14" i="8" s="1"/>
  <c r="F42" i="10"/>
  <c r="F44" i="10" s="1"/>
  <c r="F51" i="10" s="1"/>
  <c r="F10" i="10"/>
  <c r="F33" i="10" s="1"/>
  <c r="G227" i="22"/>
  <c r="F228" i="22"/>
  <c r="D229" i="22" s="1"/>
  <c r="E17" i="10"/>
  <c r="E30" i="10"/>
  <c r="G117" i="22" l="1"/>
  <c r="F118" i="22"/>
  <c r="D120" i="22" s="1"/>
  <c r="E31" i="10"/>
  <c r="G7" i="24"/>
  <c r="I6" i="26"/>
  <c r="F7" i="10"/>
  <c r="F8" i="10"/>
  <c r="G6" i="24"/>
  <c r="F9" i="25"/>
  <c r="F11" i="25"/>
  <c r="F12" i="25" s="1"/>
  <c r="F229" i="22"/>
  <c r="D231" i="22" s="1"/>
  <c r="G228" i="22"/>
  <c r="G118" i="22" l="1"/>
  <c r="F120" i="22"/>
  <c r="D121" i="22" s="1"/>
  <c r="F9" i="10"/>
  <c r="F27" i="10" s="1"/>
  <c r="G9" i="24"/>
  <c r="G12" i="24" s="1"/>
  <c r="I9" i="26"/>
  <c r="G229" i="22"/>
  <c r="I29" i="22" s="1"/>
  <c r="F231" i="22"/>
  <c r="D232" i="22" s="1"/>
  <c r="P8" i="26"/>
  <c r="G120" i="22" l="1"/>
  <c r="F121" i="22"/>
  <c r="D122" i="22" s="1"/>
  <c r="G66" i="24"/>
  <c r="G69" i="24" s="1"/>
  <c r="G14" i="24"/>
  <c r="F29" i="10"/>
  <c r="G43" i="5"/>
  <c r="F5" i="8"/>
  <c r="G78" i="24" s="1"/>
  <c r="F6" i="12"/>
  <c r="F12" i="12" s="1"/>
  <c r="F13" i="12" s="1"/>
  <c r="G37" i="5"/>
  <c r="G39" i="5" s="1"/>
  <c r="G40" i="5" s="1"/>
  <c r="G50" i="5"/>
  <c r="G56" i="5" s="1"/>
  <c r="F7" i="6"/>
  <c r="F14" i="10" s="1"/>
  <c r="F6" i="7"/>
  <c r="I10" i="26"/>
  <c r="I12" i="26"/>
  <c r="F232" i="22"/>
  <c r="D233" i="22" s="1"/>
  <c r="G231" i="22"/>
  <c r="O8" i="26"/>
  <c r="G121" i="22" l="1"/>
  <c r="F122" i="22"/>
  <c r="D123" i="22" s="1"/>
  <c r="G16" i="24"/>
  <c r="G79" i="24"/>
  <c r="F10" i="8"/>
  <c r="F8" i="12"/>
  <c r="I13" i="26"/>
  <c r="I15" i="26" s="1"/>
  <c r="J11" i="26"/>
  <c r="I14" i="26"/>
  <c r="G232" i="22"/>
  <c r="F233" i="22"/>
  <c r="D234" i="22" s="1"/>
  <c r="F17" i="10"/>
  <c r="F30" i="10"/>
  <c r="G122" i="22" l="1"/>
  <c r="F123" i="22"/>
  <c r="D124" i="22" s="1"/>
  <c r="F15" i="8"/>
  <c r="G233" i="22"/>
  <c r="F234" i="22"/>
  <c r="D235" i="22" s="1"/>
  <c r="Q8" i="26"/>
  <c r="G123" i="22" l="1"/>
  <c r="F124" i="22"/>
  <c r="D125" i="22" s="1"/>
  <c r="F31" i="10"/>
  <c r="F235" i="22"/>
  <c r="D236" i="22" s="1"/>
  <c r="G234" i="22"/>
  <c r="G124" i="22" l="1"/>
  <c r="F125" i="22"/>
  <c r="D126" i="22" s="1"/>
  <c r="H21" i="22"/>
  <c r="G235" i="22"/>
  <c r="F236" i="22"/>
  <c r="D237" i="22" s="1"/>
  <c r="G125" i="22" l="1"/>
  <c r="F126" i="22"/>
  <c r="D127" i="22" s="1"/>
  <c r="G126" i="22"/>
  <c r="H31" i="22"/>
  <c r="G236" i="22"/>
  <c r="F237" i="22"/>
  <c r="D238" i="22" s="1"/>
  <c r="F127" i="22" l="1"/>
  <c r="D128" i="22" s="1"/>
  <c r="F238" i="22"/>
  <c r="D239" i="22" s="1"/>
  <c r="G237" i="22"/>
  <c r="G127" i="22" l="1"/>
  <c r="F128" i="22"/>
  <c r="D129" i="22" s="1"/>
  <c r="G238" i="22"/>
  <c r="F239" i="22"/>
  <c r="D240" i="22" s="1"/>
  <c r="I19" i="22"/>
  <c r="L11" i="22"/>
  <c r="G128" i="22" l="1"/>
  <c r="F129" i="22"/>
  <c r="D130" i="22" s="1"/>
  <c r="I9" i="22"/>
  <c r="I11" i="22" s="1"/>
  <c r="F240" i="22"/>
  <c r="D241" i="22" s="1"/>
  <c r="G239" i="22"/>
  <c r="G129" i="22" l="1"/>
  <c r="I27" i="5"/>
  <c r="I32" i="5" s="1"/>
  <c r="F130" i="22"/>
  <c r="D131" i="22" s="1"/>
  <c r="G8" i="25"/>
  <c r="G8" i="8"/>
  <c r="G11" i="8" s="1"/>
  <c r="G14" i="8" s="1"/>
  <c r="G10" i="10"/>
  <c r="G33" i="10" s="1"/>
  <c r="G42" i="10"/>
  <c r="G44" i="10" s="1"/>
  <c r="G51" i="10" s="1"/>
  <c r="G240" i="22"/>
  <c r="F241" i="22"/>
  <c r="D242" i="22" s="1"/>
  <c r="G130" i="22" l="1"/>
  <c r="H8" i="25"/>
  <c r="H11" i="25" s="1"/>
  <c r="H12" i="25" s="1"/>
  <c r="H8" i="8"/>
  <c r="H11" i="8" s="1"/>
  <c r="H14" i="8" s="1"/>
  <c r="F131" i="22"/>
  <c r="D133" i="22" s="1"/>
  <c r="I6" i="24"/>
  <c r="I33" i="5"/>
  <c r="I7" i="24" s="1"/>
  <c r="H7" i="24"/>
  <c r="G7" i="10"/>
  <c r="J6" i="26"/>
  <c r="J9" i="26" s="1"/>
  <c r="H6" i="24"/>
  <c r="G8" i="10"/>
  <c r="G11" i="25"/>
  <c r="G12" i="25" s="1"/>
  <c r="G9" i="25"/>
  <c r="F242" i="22"/>
  <c r="D244" i="22" s="1"/>
  <c r="G241" i="22"/>
  <c r="H9" i="25" l="1"/>
  <c r="G131" i="22"/>
  <c r="F133" i="22"/>
  <c r="D134" i="22" s="1"/>
  <c r="I9" i="24"/>
  <c r="I12" i="24" s="1"/>
  <c r="I34" i="5"/>
  <c r="G9" i="10"/>
  <c r="J10" i="26"/>
  <c r="J12" i="26"/>
  <c r="H9" i="24"/>
  <c r="H12" i="24" s="1"/>
  <c r="F244" i="22"/>
  <c r="D245" i="22" s="1"/>
  <c r="G242" i="22"/>
  <c r="J29" i="22" s="1"/>
  <c r="G133" i="22" l="1"/>
  <c r="F134" i="22"/>
  <c r="D135" i="22" s="1"/>
  <c r="G134" i="22"/>
  <c r="H6" i="7"/>
  <c r="H5" i="8"/>
  <c r="I37" i="5"/>
  <c r="I39" i="5" s="1"/>
  <c r="I43" i="5"/>
  <c r="I50" i="5"/>
  <c r="I56" i="5" s="1"/>
  <c r="I14" i="24"/>
  <c r="I16" i="24" s="1"/>
  <c r="I66" i="24"/>
  <c r="I69" i="24" s="1"/>
  <c r="H66" i="24"/>
  <c r="H69" i="24" s="1"/>
  <c r="H14" i="24"/>
  <c r="G6" i="12"/>
  <c r="G12" i="12" s="1"/>
  <c r="G13" i="12" s="1"/>
  <c r="G6" i="7"/>
  <c r="H37" i="5"/>
  <c r="H39" i="5" s="1"/>
  <c r="H40" i="5" s="1"/>
  <c r="G5" i="8"/>
  <c r="H78" i="24" s="1"/>
  <c r="H50" i="5"/>
  <c r="H56" i="5" s="1"/>
  <c r="H43" i="5"/>
  <c r="G7" i="6"/>
  <c r="J14" i="26"/>
  <c r="K11" i="26"/>
  <c r="J13" i="26"/>
  <c r="J15" i="26" s="1"/>
  <c r="G27" i="10"/>
  <c r="G29" i="10"/>
  <c r="F245" i="22"/>
  <c r="D246" i="22" s="1"/>
  <c r="G244" i="22"/>
  <c r="H16" i="24" l="1"/>
  <c r="F135" i="22"/>
  <c r="D136" i="22" s="1"/>
  <c r="I40" i="5"/>
  <c r="I78" i="24"/>
  <c r="H10" i="8"/>
  <c r="H15" i="8" s="1"/>
  <c r="H7" i="6"/>
  <c r="H79" i="24"/>
  <c r="G8" i="12"/>
  <c r="G10" i="8"/>
  <c r="G14" i="10"/>
  <c r="G17" i="10" s="1"/>
  <c r="F246" i="22"/>
  <c r="D247" i="22" s="1"/>
  <c r="G245" i="22"/>
  <c r="N6" i="26"/>
  <c r="N9" i="26" s="1"/>
  <c r="G135" i="22" l="1"/>
  <c r="D81" i="24"/>
  <c r="F136" i="22"/>
  <c r="D137" i="22" s="1"/>
  <c r="I79" i="24"/>
  <c r="G15" i="8"/>
  <c r="G30" i="10"/>
  <c r="G246" i="22"/>
  <c r="F247" i="22"/>
  <c r="D248" i="22" s="1"/>
  <c r="G136" i="22" l="1"/>
  <c r="F137" i="22"/>
  <c r="D138" i="22" s="1"/>
  <c r="G31" i="10"/>
  <c r="F248" i="22"/>
  <c r="D249" i="22" s="1"/>
  <c r="G247" i="22"/>
  <c r="I21" i="22"/>
  <c r="G137" i="22" l="1"/>
  <c r="F138" i="22"/>
  <c r="D139" i="22" s="1"/>
  <c r="G248" i="22"/>
  <c r="F249" i="22"/>
  <c r="D250" i="22" s="1"/>
  <c r="I31" i="22"/>
  <c r="G138" i="22" l="1"/>
  <c r="F139" i="22"/>
  <c r="D140" i="22" s="1"/>
  <c r="F250" i="22"/>
  <c r="D251" i="22" s="1"/>
  <c r="G249" i="22"/>
  <c r="G139" i="22" l="1"/>
  <c r="F140" i="22"/>
  <c r="D141" i="22" s="1"/>
  <c r="G250" i="22"/>
  <c r="F251" i="22"/>
  <c r="D252" i="22" s="1"/>
  <c r="G140" i="22" l="1"/>
  <c r="F141" i="22"/>
  <c r="D142" i="22" s="1"/>
  <c r="G251" i="22"/>
  <c r="F252" i="22"/>
  <c r="D253" i="22" s="1"/>
  <c r="P6" i="26"/>
  <c r="P9" i="26" s="1"/>
  <c r="O7" i="22"/>
  <c r="G141" i="22" l="1"/>
  <c r="F142" i="22"/>
  <c r="D143" i="22" s="1"/>
  <c r="G142" i="22"/>
  <c r="J9" i="22"/>
  <c r="J11" i="22" s="1"/>
  <c r="J19" i="22"/>
  <c r="F253" i="22"/>
  <c r="D254" i="22" s="1"/>
  <c r="G252" i="22"/>
  <c r="J27" i="5" l="1"/>
  <c r="J32" i="5" s="1"/>
  <c r="F143" i="22"/>
  <c r="D144" i="22" s="1"/>
  <c r="F144" i="22" s="1"/>
  <c r="G144" i="22" s="1"/>
  <c r="H42" i="10"/>
  <c r="H44" i="10" s="1"/>
  <c r="H51" i="10" s="1"/>
  <c r="H10" i="10"/>
  <c r="H33" i="10" s="1"/>
  <c r="F254" i="22"/>
  <c r="D255" i="22" s="1"/>
  <c r="G253" i="22"/>
  <c r="G143" i="22" l="1"/>
  <c r="I8" i="25"/>
  <c r="I11" i="25" s="1"/>
  <c r="I12" i="25" s="1"/>
  <c r="I8" i="8"/>
  <c r="I11" i="8" s="1"/>
  <c r="I14" i="8" s="1"/>
  <c r="J33" i="5"/>
  <c r="J7" i="24" s="1"/>
  <c r="J6" i="24"/>
  <c r="H7" i="10"/>
  <c r="H8" i="10"/>
  <c r="K6" i="26"/>
  <c r="K9" i="26" s="1"/>
  <c r="F255" i="22"/>
  <c r="G255" i="22" s="1"/>
  <c r="G254" i="22"/>
  <c r="I9" i="25" l="1"/>
  <c r="K29" i="22"/>
  <c r="J9" i="24"/>
  <c r="J12" i="24" s="1"/>
  <c r="J66" i="24" s="1"/>
  <c r="J69" i="24" s="1"/>
  <c r="J34" i="5"/>
  <c r="K12" i="26"/>
  <c r="K10" i="26"/>
  <c r="Q6" i="26"/>
  <c r="J14" i="24" l="1"/>
  <c r="I5" i="8"/>
  <c r="J43" i="5"/>
  <c r="I6" i="7"/>
  <c r="J50" i="5"/>
  <c r="J56" i="5" s="1"/>
  <c r="J37" i="5"/>
  <c r="J39" i="5" s="1"/>
  <c r="J40" i="5" s="1"/>
  <c r="I7" i="6"/>
  <c r="K14" i="26"/>
  <c r="K13" i="26"/>
  <c r="K15" i="26" s="1"/>
  <c r="L11" i="26"/>
  <c r="H6" i="12"/>
  <c r="H9" i="10"/>
  <c r="O6" i="26"/>
  <c r="Q9" i="26"/>
  <c r="J16" i="24" l="1"/>
  <c r="I10" i="8"/>
  <c r="I15" i="8" s="1"/>
  <c r="J78" i="24"/>
  <c r="H14" i="10"/>
  <c r="H17" i="10" s="1"/>
  <c r="H29" i="10"/>
  <c r="H27" i="10"/>
  <c r="H12" i="12"/>
  <c r="H8" i="12"/>
  <c r="I8" i="12" s="1"/>
  <c r="J8" i="12" s="1"/>
  <c r="K8" i="12" s="1"/>
  <c r="O9" i="26"/>
  <c r="J79" i="24" l="1"/>
  <c r="H30" i="10"/>
  <c r="H13" i="12"/>
  <c r="D5" i="13" a="1"/>
  <c r="Q14" i="26"/>
  <c r="H31" i="10" l="1"/>
  <c r="D12" i="13"/>
  <c r="F12" i="13" s="1"/>
  <c r="D13" i="13"/>
  <c r="F13" i="13" s="1"/>
  <c r="D9" i="13"/>
  <c r="D10" i="13"/>
  <c r="D6" i="13"/>
  <c r="D11" i="13"/>
  <c r="D5" i="13"/>
  <c r="D7" i="13"/>
  <c r="D8" i="13"/>
  <c r="D14" i="13"/>
  <c r="F14" i="13" s="1"/>
  <c r="J21" i="22"/>
  <c r="F6" i="13" l="1"/>
  <c r="D25" i="13"/>
  <c r="F25" i="13" s="1"/>
  <c r="F5" i="13"/>
  <c r="F16" i="13" s="1"/>
  <c r="F18" i="13" s="1"/>
  <c r="D24" i="13"/>
  <c r="F24" i="13" s="1"/>
  <c r="F35" i="13" s="1"/>
  <c r="F37" i="13" s="1"/>
  <c r="F7" i="13"/>
  <c r="D26" i="13"/>
  <c r="F26" i="13" s="1"/>
  <c r="F11" i="13"/>
  <c r="D30" i="13"/>
  <c r="F30" i="13" s="1"/>
  <c r="F10" i="13"/>
  <c r="D29" i="13"/>
  <c r="F29" i="13" s="1"/>
  <c r="F9" i="13"/>
  <c r="D28" i="13"/>
  <c r="F28" i="13" s="1"/>
  <c r="D27" i="13"/>
  <c r="F27" i="13" s="1"/>
  <c r="F8" i="13"/>
  <c r="J31" i="22"/>
  <c r="P14" i="26"/>
  <c r="K19" i="22" l="1"/>
  <c r="K21" i="22" l="1"/>
  <c r="O21" i="22" s="1"/>
  <c r="K9" i="22"/>
  <c r="K11" i="22" s="1"/>
  <c r="K27" i="5" l="1"/>
  <c r="K32" i="5" s="1"/>
  <c r="K31" i="22"/>
  <c r="O31" i="22" s="1"/>
  <c r="P11" i="22" s="1"/>
  <c r="O29" i="22"/>
  <c r="O19" i="22"/>
  <c r="I10" i="10"/>
  <c r="I33" i="10" s="1"/>
  <c r="I42" i="10"/>
  <c r="I44" i="10" s="1"/>
  <c r="I51" i="10" s="1"/>
  <c r="O9" i="22"/>
  <c r="O11" i="22"/>
  <c r="J8" i="25" l="1"/>
  <c r="J11" i="25" s="1"/>
  <c r="J12" i="25" s="1"/>
  <c r="J8" i="8"/>
  <c r="J11" i="8" s="1"/>
  <c r="J14" i="8" s="1"/>
  <c r="P9" i="22"/>
  <c r="K33" i="5"/>
  <c r="K7" i="24" s="1"/>
  <c r="K6" i="24"/>
  <c r="I8" i="10"/>
  <c r="L6" i="26"/>
  <c r="L9" i="26" s="1"/>
  <c r="I7" i="10"/>
  <c r="J10" i="10"/>
  <c r="J33" i="10" s="1"/>
  <c r="J42" i="10"/>
  <c r="J44" i="10" s="1"/>
  <c r="J51" i="10" s="1"/>
  <c r="J9" i="25" l="1"/>
  <c r="K34" i="5"/>
  <c r="K50" i="5" s="1"/>
  <c r="K9" i="24"/>
  <c r="K13" i="24" s="1"/>
  <c r="K67" i="24" s="1"/>
  <c r="K68" i="24" s="1"/>
  <c r="L10" i="26"/>
  <c r="L12" i="26"/>
  <c r="J8" i="10"/>
  <c r="J7" i="10"/>
  <c r="M6" i="26"/>
  <c r="K37" i="5" l="1"/>
  <c r="K39" i="5" s="1"/>
  <c r="K40" i="5" s="1"/>
  <c r="J7" i="6"/>
  <c r="J6" i="7"/>
  <c r="J5" i="8"/>
  <c r="J10" i="8" s="1"/>
  <c r="K43" i="5"/>
  <c r="K12" i="24"/>
  <c r="K66" i="24" s="1"/>
  <c r="K69" i="24" s="1"/>
  <c r="D71" i="24" s="1"/>
  <c r="I9" i="10"/>
  <c r="I14" i="10"/>
  <c r="I17" i="10" s="1"/>
  <c r="L14" i="26"/>
  <c r="M11" i="26"/>
  <c r="L13" i="26"/>
  <c r="L15" i="26" s="1"/>
  <c r="M9" i="26"/>
  <c r="J15" i="8" l="1"/>
  <c r="C17" i="8" s="1"/>
  <c r="C16" i="8"/>
  <c r="K14" i="24"/>
  <c r="D15" i="24" s="1"/>
  <c r="I30" i="10"/>
  <c r="I29" i="10"/>
  <c r="I27" i="10"/>
  <c r="J9" i="10"/>
  <c r="K56" i="5"/>
  <c r="D57" i="5" s="1"/>
  <c r="M10" i="26"/>
  <c r="N10" i="26" s="1"/>
  <c r="O10" i="26" s="1"/>
  <c r="P10" i="26" s="1"/>
  <c r="Q10" i="26" s="1"/>
  <c r="M12" i="26"/>
  <c r="M14" i="26" s="1"/>
  <c r="K16" i="24" l="1"/>
  <c r="C73" i="24" s="1"/>
  <c r="I31" i="10"/>
  <c r="J29" i="10"/>
  <c r="J27" i="10"/>
  <c r="M13" i="26"/>
  <c r="M15" i="26" s="1"/>
  <c r="N11" i="26"/>
  <c r="N12" i="26" s="1"/>
  <c r="N14" i="26" s="1"/>
  <c r="J14" i="10"/>
  <c r="J17" i="10" s="1"/>
  <c r="K78" i="24"/>
  <c r="D16" i="10"/>
  <c r="D35" i="10" s="1"/>
  <c r="C17" i="24" l="1"/>
  <c r="J30" i="10"/>
  <c r="N13" i="26"/>
  <c r="N15" i="26" s="1"/>
  <c r="O11" i="26"/>
  <c r="O12" i="26" s="1"/>
  <c r="K31" i="10"/>
  <c r="K79" i="24"/>
  <c r="O14" i="26" l="1"/>
  <c r="P11" i="26"/>
  <c r="P12" i="26" s="1"/>
  <c r="O13" i="26"/>
  <c r="J31" i="10"/>
  <c r="O15" i="26" l="1"/>
  <c r="P13" i="26"/>
  <c r="P15" i="26" s="1"/>
  <c r="Q11" i="26"/>
  <c r="Q12" i="26" s="1"/>
  <c r="Q13" i="26" s="1"/>
  <c r="Q15" i="26" s="1"/>
  <c r="C9" i="6" l="1"/>
  <c r="D9" i="6" s="1"/>
  <c r="D23" i="2"/>
  <c r="B5" i="12" s="1"/>
  <c r="E23" i="2"/>
  <c r="C9" i="7" l="1"/>
  <c r="C18" i="7" s="1"/>
  <c r="C31" i="7" s="1"/>
  <c r="C32" i="7" s="1"/>
  <c r="C14" i="6"/>
  <c r="D9" i="12"/>
  <c r="B11" i="12"/>
  <c r="B13" i="12" s="1"/>
  <c r="K14" i="12" s="1"/>
  <c r="C28" i="6" l="1"/>
  <c r="D30" i="7"/>
  <c r="E9" i="6"/>
  <c r="D14" i="6"/>
  <c r="D9" i="7"/>
  <c r="D18" i="7" s="1"/>
  <c r="D31" i="7" s="1"/>
  <c r="E9" i="7" l="1"/>
  <c r="E18" i="7" s="1"/>
  <c r="E31" i="7" s="1"/>
  <c r="F9" i="6"/>
  <c r="D32" i="7"/>
  <c r="C24" i="10"/>
  <c r="C34" i="10" s="1"/>
  <c r="C25" i="6"/>
  <c r="C30" i="6" s="1"/>
  <c r="C32" i="6" s="1"/>
  <c r="F9" i="7" l="1"/>
  <c r="F18" i="7" s="1"/>
  <c r="F31" i="7" s="1"/>
  <c r="G9" i="6"/>
  <c r="D28" i="6"/>
  <c r="E30" i="7"/>
  <c r="E32" i="7" s="1"/>
  <c r="E28" i="6" l="1"/>
  <c r="F30" i="7"/>
  <c r="F32" i="7" s="1"/>
  <c r="G9" i="7"/>
  <c r="G18" i="7" s="1"/>
  <c r="G31" i="7" s="1"/>
  <c r="H9" i="6"/>
  <c r="D24" i="10"/>
  <c r="D34" i="10" s="1"/>
  <c r="D25" i="6"/>
  <c r="D30" i="6" s="1"/>
  <c r="D32" i="6" s="1"/>
  <c r="F28" i="6" l="1"/>
  <c r="G30" i="7"/>
  <c r="G32" i="7" s="1"/>
  <c r="H9" i="7"/>
  <c r="H18" i="7" s="1"/>
  <c r="H31" i="7" s="1"/>
  <c r="I9" i="6"/>
  <c r="E25" i="6"/>
  <c r="E30" i="6" s="1"/>
  <c r="E24" i="10"/>
  <c r="E34" i="10" s="1"/>
  <c r="I9" i="7" l="1"/>
  <c r="I18" i="7" s="1"/>
  <c r="I31" i="7" s="1"/>
  <c r="J9" i="6"/>
  <c r="G28" i="6"/>
  <c r="H30" i="7"/>
  <c r="H32" i="7" s="1"/>
  <c r="F25" i="6"/>
  <c r="F30" i="6" s="1"/>
  <c r="F24" i="10"/>
  <c r="F34" i="10" s="1"/>
  <c r="G24" i="10" l="1"/>
  <c r="G34" i="10" s="1"/>
  <c r="G25" i="6"/>
  <c r="G30" i="6" s="1"/>
  <c r="J9" i="7"/>
  <c r="J18" i="7" s="1"/>
  <c r="J31" i="7" s="1"/>
  <c r="H28" i="6"/>
  <c r="I30" i="7"/>
  <c r="I32" i="7" s="1"/>
  <c r="H24" i="10" l="1"/>
  <c r="H34" i="10" s="1"/>
  <c r="H25" i="6"/>
  <c r="H30" i="6" s="1"/>
  <c r="I28" i="6"/>
  <c r="J30" i="7"/>
  <c r="J32" i="7" s="1"/>
  <c r="J28" i="6" l="1"/>
  <c r="J24" i="10" s="1"/>
  <c r="J34" i="10" s="1"/>
  <c r="I24" i="10"/>
  <c r="I34" i="10" s="1"/>
  <c r="I25" i="6"/>
  <c r="I30" i="6" s="1"/>
  <c r="J25" i="6" l="1"/>
  <c r="J30" i="6" s="1"/>
  <c r="F8" i="6" l="1"/>
  <c r="F15" i="10" s="1"/>
  <c r="F16" i="10" s="1"/>
  <c r="F35" i="10" s="1"/>
  <c r="E14" i="6"/>
  <c r="E32" i="6" s="1"/>
  <c r="E12" i="10"/>
  <c r="E28" i="10" s="1"/>
  <c r="E15" i="10"/>
  <c r="E16" i="10" s="1"/>
  <c r="E35" i="10" s="1"/>
  <c r="E20" i="10"/>
  <c r="E32" i="10" s="1"/>
  <c r="E21" i="10"/>
  <c r="E36" i="10" s="1"/>
  <c r="G8" i="6" l="1"/>
  <c r="G14" i="6" s="1"/>
  <c r="G32" i="6" s="1"/>
  <c r="F12" i="10"/>
  <c r="F28" i="10" s="1"/>
  <c r="F20" i="10"/>
  <c r="F32" i="10" s="1"/>
  <c r="F14" i="6"/>
  <c r="F32" i="6" s="1"/>
  <c r="F21" i="10"/>
  <c r="F36" i="10" s="1"/>
  <c r="H8" i="6" l="1"/>
  <c r="G15" i="10"/>
  <c r="G16" i="10" s="1"/>
  <c r="G35" i="10" s="1"/>
  <c r="G21" i="10"/>
  <c r="G36" i="10" s="1"/>
  <c r="G12" i="10"/>
  <c r="G28" i="10" s="1"/>
  <c r="G20" i="10"/>
  <c r="G32" i="10" s="1"/>
  <c r="H21" i="10" l="1"/>
  <c r="H36" i="10" s="1"/>
  <c r="H20" i="10"/>
  <c r="H32" i="10" s="1"/>
  <c r="H15" i="10"/>
  <c r="H16" i="10" s="1"/>
  <c r="H35" i="10" s="1"/>
  <c r="H12" i="10"/>
  <c r="H28" i="10" s="1"/>
  <c r="H14" i="6"/>
  <c r="H32" i="6" s="1"/>
  <c r="I8" i="6"/>
  <c r="I21" i="10" l="1"/>
  <c r="I36" i="10" s="1"/>
  <c r="I14" i="6"/>
  <c r="I32" i="6" s="1"/>
  <c r="I20" i="10"/>
  <c r="I32" i="10" s="1"/>
  <c r="I15" i="10"/>
  <c r="I16" i="10" s="1"/>
  <c r="I35" i="10" s="1"/>
  <c r="J8" i="6"/>
  <c r="I12" i="10"/>
  <c r="I28" i="10" s="1"/>
  <c r="J15" i="10" l="1"/>
  <c r="J16" i="10" s="1"/>
  <c r="J35" i="10" s="1"/>
  <c r="J12" i="10"/>
  <c r="J28" i="10" s="1"/>
  <c r="J20" i="10"/>
  <c r="J32" i="10" s="1"/>
  <c r="J14" i="6"/>
  <c r="J32" i="6" s="1"/>
  <c r="J21" i="10"/>
  <c r="J3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tc={BEBFEEAB-0C57-408B-8408-5B3ABE2CAD4A}</author>
    <author>tc={4DE01AF1-F379-4B4F-A3DA-21B88B0203A8}</author>
  </authors>
  <commentList>
    <comment ref="B3" authorId="0" shapeId="0" xr:uid="{BEBFEEAB-0C57-408B-8408-5B3ABE2CAD4A}">
      <text>
        <t>[Threaded comment]
Your version of Excel allows you to read this threaded comment; however, any edits to it will get removed if the file is opened in a newer version of Excel. Learn more: https://go.microsoft.com/fwlink/?linkid=870924
Comment:
    As per discussion with the banker</t>
      </text>
    </comment>
    <comment ref="F19" authorId="1" shapeId="0" xr:uid="{4DE01AF1-F379-4B4F-A3DA-21B88B0203A8}">
      <text>
        <t xml:space="preserve">[Threaded comment]
Your version of Excel allows you to read this threaded comment; however, any edits to it will get removed if the file is opened in a newer version of Excel. Learn more: https://go.microsoft.com/fwlink/?linkid=870924
Comment:
    KVA/KW = 4000
No. of working days= 25 days/month 
= 300 days/annum
No. of shifts = 2 per day
One shift= 8 hours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tc={6D65C6DB-866F-47DC-A77C-F4D95AD92A3A}</author>
    <author>tc={EA20AD91-E529-4F8D-9388-371113B900FD}</author>
  </authors>
  <commentList>
    <comment ref="O12" authorId="0" shapeId="0" xr:uid="{6D65C6DB-866F-47DC-A77C-F4D95AD92A3A}">
      <text>
        <t>[Threaded comment]
Your version of Excel allows you to read this threaded comment; however, any edits to it will get removed if the file is opened in a newer version of Excel. Learn more: https://go.microsoft.com/fwlink/?linkid=870924
Comment:
    70% CAPACITY UTILISATION ASSUMED</t>
      </text>
    </comment>
    <comment ref="P12" authorId="1" shapeId="0" xr:uid="{EA20AD91-E529-4F8D-9388-371113B900FD}">
      <text>
        <t>[Threaded comment]
Your version of Excel allows you to read this threaded comment; however, any edits to it will get removed if the file is opened in a newer version of Excel. Learn more: https://go.microsoft.com/fwlink/?linkid=870924
Comment:
    70% ASSUMED</t>
      </text>
    </comment>
  </commentList>
</comments>
</file>

<file path=xl/sharedStrings.xml><?xml version="1.0" encoding="utf-8"?>
<sst xmlns="http://schemas.openxmlformats.org/spreadsheetml/2006/main" count="2131" uniqueCount="1163">
  <si>
    <t>Sr. No.</t>
  </si>
  <si>
    <t xml:space="preserve">CAPITAL COST HEAD </t>
  </si>
  <si>
    <t>QTY.</t>
  </si>
  <si>
    <t xml:space="preserve">UNITS </t>
  </si>
  <si>
    <t>UNIT RATE (INR)</t>
  </si>
  <si>
    <t xml:space="preserve">SUB TOTAL </t>
  </si>
  <si>
    <t xml:space="preserve">DETAILED PROJECT COST </t>
  </si>
  <si>
    <t>INR (LAKH)</t>
  </si>
  <si>
    <t>%</t>
  </si>
  <si>
    <t xml:space="preserve">PROJECT COST AND MEANS OF FINANCE </t>
  </si>
  <si>
    <t xml:space="preserve">DETAILED ASSUMPTION </t>
  </si>
  <si>
    <t xml:space="preserve">PROJECTIONS </t>
  </si>
  <si>
    <t xml:space="preserve">UNIT </t>
  </si>
  <si>
    <t>ANNUAL QUANTITY</t>
  </si>
  <si>
    <t xml:space="preserve">YEAR </t>
  </si>
  <si>
    <t xml:space="preserve">1ST </t>
  </si>
  <si>
    <t>SCHEDULE OF SALARIES AND WAGES</t>
  </si>
  <si>
    <t xml:space="preserve">FINANCIAL RATIOS </t>
  </si>
  <si>
    <t xml:space="preserve">INVESTMENT INDICATION </t>
  </si>
  <si>
    <t xml:space="preserve">A. PAY BACK PERIOD </t>
  </si>
  <si>
    <t xml:space="preserve">1. PAYBACK PERIOD WITHOUT SUBSIDY </t>
  </si>
  <si>
    <t xml:space="preserve">TOTAL PROJECT COST </t>
  </si>
  <si>
    <t xml:space="preserve">B. INTERNAL RATE OF RETURN </t>
  </si>
  <si>
    <t xml:space="preserve">OPERATIONAL CASH INFLOW </t>
  </si>
  <si>
    <t>NET CASH FLOW</t>
  </si>
  <si>
    <t xml:space="preserve">NET PRESENT VALUE </t>
  </si>
  <si>
    <t>INTERNAL RATE OF RETURN (%)</t>
  </si>
  <si>
    <t xml:space="preserve">2. EQUITY IRR WITHOUT SUBSIDY </t>
  </si>
  <si>
    <t xml:space="preserve">INITIAL EQUITY OUTFLOW </t>
  </si>
  <si>
    <t>TOTAL SALES</t>
  </si>
  <si>
    <t>LESS ; VARIABLE COST</t>
  </si>
  <si>
    <t xml:space="preserve">CONTRIBUTION </t>
  </si>
  <si>
    <t>FIXED COST</t>
  </si>
  <si>
    <t xml:space="preserve">INTEREST </t>
  </si>
  <si>
    <t xml:space="preserve">DEPRECIATION </t>
  </si>
  <si>
    <t>TOTAL FIXED COST</t>
  </si>
  <si>
    <t>OPERATION BREAK EVEN (%)</t>
  </si>
  <si>
    <t>CASH BREAKEVEN (%)</t>
  </si>
  <si>
    <t>AVERAGE OPERATION BREAKEVEN (%)</t>
  </si>
  <si>
    <t>AVERAGE CASH BREAKEVEN (%)</t>
  </si>
  <si>
    <t>PROJECTED LIST PRICE @ 15 PE RATIO</t>
  </si>
  <si>
    <t xml:space="preserve">ANNUALIZED GROWTH RATE </t>
  </si>
  <si>
    <t xml:space="preserve">LIABILITIES </t>
  </si>
  <si>
    <t xml:space="preserve">TOTAL </t>
  </si>
  <si>
    <t xml:space="preserve">A. SOURCE OF FUND </t>
  </si>
  <si>
    <t>TOTAL</t>
  </si>
  <si>
    <t xml:space="preserve">B. APPLICATION OF FUNDS </t>
  </si>
  <si>
    <t>Net Surplus/ Deficit</t>
  </si>
  <si>
    <t xml:space="preserve">Cumulative Balance </t>
  </si>
  <si>
    <t xml:space="preserve">PBT </t>
  </si>
  <si>
    <t xml:space="preserve">% Production </t>
  </si>
  <si>
    <t>Sale of Bio-CNG</t>
  </si>
  <si>
    <t>Sale of CERs</t>
  </si>
  <si>
    <t>Gross Annual Sale</t>
  </si>
  <si>
    <t xml:space="preserve">VARIALBLE EXPENSES </t>
  </si>
  <si>
    <t>1. Raw Material</t>
  </si>
  <si>
    <t>Total Variable Cost</t>
  </si>
  <si>
    <t xml:space="preserve">FIXED EXPENSES </t>
  </si>
  <si>
    <t>Total Fixed Cost</t>
  </si>
  <si>
    <t xml:space="preserve">TOTAL PRODUCTION COST </t>
  </si>
  <si>
    <t>EBIDTA</t>
  </si>
  <si>
    <t>Interest on Term Loan</t>
  </si>
  <si>
    <t xml:space="preserve">Depreciation </t>
  </si>
  <si>
    <t>PBT</t>
  </si>
  <si>
    <t>PAT</t>
  </si>
  <si>
    <t xml:space="preserve">Add : Depreciation </t>
  </si>
  <si>
    <t xml:space="preserve">Repayment Obligations </t>
  </si>
  <si>
    <t xml:space="preserve">Cumulative Internal Accruals  </t>
  </si>
  <si>
    <t xml:space="preserve">Building </t>
  </si>
  <si>
    <t xml:space="preserve">WDV of Building </t>
  </si>
  <si>
    <t xml:space="preserve">Plant &amp; Machinery </t>
  </si>
  <si>
    <t xml:space="preserve">INCOME </t>
  </si>
  <si>
    <t xml:space="preserve">Gross Annual Sale </t>
  </si>
  <si>
    <t xml:space="preserve">EXPENSES </t>
  </si>
  <si>
    <t>VARIABLE OPERATING EXPENSES</t>
  </si>
  <si>
    <t xml:space="preserve">FIXED OPERATING EXPENSES </t>
  </si>
  <si>
    <t xml:space="preserve">Value </t>
  </si>
  <si>
    <t xml:space="preserve">Unit </t>
  </si>
  <si>
    <t xml:space="preserve">PARTICUALR </t>
  </si>
  <si>
    <t>I</t>
  </si>
  <si>
    <t>II</t>
  </si>
  <si>
    <t>PLANT UTILIZATION FACTOR</t>
  </si>
  <si>
    <t>III</t>
  </si>
  <si>
    <t xml:space="preserve">ESTIMATION OF PRODUCTION </t>
  </si>
  <si>
    <t>A</t>
  </si>
  <si>
    <t>B</t>
  </si>
  <si>
    <t>C</t>
  </si>
  <si>
    <t>IV</t>
  </si>
  <si>
    <t xml:space="preserve">PLANT CAPACITY </t>
  </si>
  <si>
    <t>V</t>
  </si>
  <si>
    <t>VI</t>
  </si>
  <si>
    <t>VII</t>
  </si>
  <si>
    <t>VIII</t>
  </si>
  <si>
    <t>D</t>
  </si>
  <si>
    <t>E</t>
  </si>
  <si>
    <t>F</t>
  </si>
  <si>
    <t>G</t>
  </si>
  <si>
    <t>H</t>
  </si>
  <si>
    <t>J</t>
  </si>
  <si>
    <t xml:space="preserve">PROJECT COST </t>
  </si>
  <si>
    <t xml:space="preserve">MEANS OF FINACE </t>
  </si>
  <si>
    <t>Loan from Banks</t>
  </si>
  <si>
    <t>Subsidy from MNRE</t>
  </si>
  <si>
    <t xml:space="preserve">Miscellaneous Assets </t>
  </si>
  <si>
    <t xml:space="preserve">Working Capital Margin </t>
  </si>
  <si>
    <t>SUB TOTAL</t>
  </si>
  <si>
    <t xml:space="preserve">CIVIL WORK </t>
  </si>
  <si>
    <t xml:space="preserve">BUILDING </t>
  </si>
  <si>
    <t xml:space="preserve">BUILDING SERVICE </t>
  </si>
  <si>
    <t xml:space="preserve">PLANT &amp; MACHINERY </t>
  </si>
  <si>
    <t>ORGANIC FERTILIZER PLANT</t>
  </si>
  <si>
    <t xml:space="preserve">MISCELLANEOUS ASSETS </t>
  </si>
  <si>
    <t xml:space="preserve">PRELIMINARY &amp; PRE-OPERATIVE EXPENSES </t>
  </si>
  <si>
    <t xml:space="preserve">PRE-OPERATIVE EXPENSES </t>
  </si>
  <si>
    <t xml:space="preserve">OFFICE EQUIPMENTS &amp; FURNITURE </t>
  </si>
  <si>
    <t>AC for factory 1.5 Ton</t>
  </si>
  <si>
    <t xml:space="preserve">PRELIMINARY EXPENSES </t>
  </si>
  <si>
    <t>TOTAL FOR PRELIMINARY &amp; PRE-OPERATIVE EXPENSES</t>
  </si>
  <si>
    <t>TOTAL PROJECT COST</t>
  </si>
  <si>
    <t xml:space="preserve">2ND </t>
  </si>
  <si>
    <t xml:space="preserve">3RD </t>
  </si>
  <si>
    <t>4TH</t>
  </si>
  <si>
    <t>5TH</t>
  </si>
  <si>
    <t>6TH</t>
  </si>
  <si>
    <t>7TH</t>
  </si>
  <si>
    <t>8TH</t>
  </si>
  <si>
    <t>9TH</t>
  </si>
  <si>
    <t>10TH</t>
  </si>
  <si>
    <t>No. of daily Operation Hours</t>
  </si>
  <si>
    <t>No. of days per Annum</t>
  </si>
  <si>
    <t xml:space="preserve">Daily Volume of Bio-CNG Generated </t>
  </si>
  <si>
    <t xml:space="preserve">Mass of Bio-CNG Generated </t>
  </si>
  <si>
    <t>SOLID BIO FERTILIZER PRODUCTION</t>
  </si>
  <si>
    <t xml:space="preserve">LIQUID FERTILIZER CONCENTRATE GENERATION </t>
  </si>
  <si>
    <t>Quantity of Phosphorus liquid fertilizer concentrate</t>
  </si>
  <si>
    <t xml:space="preserve">Total quantity of liquid fertilizer concentrate </t>
  </si>
  <si>
    <t xml:space="preserve">Total water requirement </t>
  </si>
  <si>
    <t xml:space="preserve">Bio-CNG Plant Capacity </t>
  </si>
  <si>
    <t xml:space="preserve">Compost Plant Capacity </t>
  </si>
  <si>
    <t xml:space="preserve">Liquid Fertilizer Concentrate Capacity </t>
  </si>
  <si>
    <t>ANNUAL OUTPUT ON 100% BASIS</t>
  </si>
  <si>
    <t>ANNUAL INPUT ON 100% BASIS</t>
  </si>
  <si>
    <t>UNIT PRICE</t>
  </si>
  <si>
    <t>PARASITIC CONSUMPTION OF POWER</t>
  </si>
  <si>
    <t xml:space="preserve">Load of Biogas Section </t>
  </si>
  <si>
    <t xml:space="preserve">Total Carbon Credit </t>
  </si>
  <si>
    <t>HHV of LPG</t>
  </si>
  <si>
    <t>HHV of Bio-CNG</t>
  </si>
  <si>
    <t xml:space="preserve">Selling price of solid organic fertilizer </t>
  </si>
  <si>
    <t xml:space="preserve">Selling price of liquid fertilizer concentrate </t>
  </si>
  <si>
    <t>No.</t>
  </si>
  <si>
    <t>Capacity Utilization Factor</t>
  </si>
  <si>
    <t>Kg</t>
  </si>
  <si>
    <t>M3</t>
  </si>
  <si>
    <t xml:space="preserve">Hour </t>
  </si>
  <si>
    <t>Days</t>
  </si>
  <si>
    <t>Ton</t>
  </si>
  <si>
    <t>M3/Day</t>
  </si>
  <si>
    <t>Kg/day</t>
  </si>
  <si>
    <t>INR/Kg</t>
  </si>
  <si>
    <t>INR</t>
  </si>
  <si>
    <t xml:space="preserve">Kg </t>
  </si>
  <si>
    <t>L/day</t>
  </si>
  <si>
    <t xml:space="preserve">Initial water for dilution of first charge </t>
  </si>
  <si>
    <t>KWe</t>
  </si>
  <si>
    <t>CERs</t>
  </si>
  <si>
    <t>m3/year</t>
  </si>
  <si>
    <t>Kcal/Kg</t>
  </si>
  <si>
    <t>ratio</t>
  </si>
  <si>
    <t>1.08/1</t>
  </si>
  <si>
    <t>INR/L</t>
  </si>
  <si>
    <t>KL</t>
  </si>
  <si>
    <t>INR/CER</t>
  </si>
  <si>
    <t>INR/MT</t>
  </si>
  <si>
    <t>Mtr.</t>
  </si>
  <si>
    <t>SET</t>
  </si>
  <si>
    <t>Ltr.</t>
  </si>
  <si>
    <t xml:space="preserve">SUB TOTAL FOR P. &amp; MACHINERY </t>
  </si>
  <si>
    <t>LOT</t>
  </si>
  <si>
    <t xml:space="preserve">TOTAL FOR P. &amp; MACHINERY </t>
  </si>
  <si>
    <t xml:space="preserve">Computer at factory </t>
  </si>
  <si>
    <t>Table chair set</t>
  </si>
  <si>
    <t>Conference chair and table set</t>
  </si>
  <si>
    <t xml:space="preserve">Provision for others </t>
  </si>
  <si>
    <t>Interest during construction period</t>
  </si>
  <si>
    <t xml:space="preserve">TOTAL PROJECT EXPENDITURE </t>
  </si>
  <si>
    <t xml:space="preserve">Bore well with Motor, Piping and Pump </t>
  </si>
  <si>
    <t>Multifunction laser printer at factory</t>
  </si>
  <si>
    <t xml:space="preserve">TOTAL FOR MISC. ASSETS </t>
  </si>
  <si>
    <t xml:space="preserve">Loss of Biogas by Leakage/ Seepage to Atmosphere </t>
  </si>
  <si>
    <t xml:space="preserve">Daily Volume of Biogas available for conversion into Bio-CNG </t>
  </si>
  <si>
    <t xml:space="preserve">Methane Slip or Loss during up-gradation </t>
  </si>
  <si>
    <t xml:space="preserve">Quantity of potassium &amp; nitrogen liquid fertilizer concentrate </t>
  </si>
  <si>
    <t>KW.e</t>
  </si>
  <si>
    <t>Load of auxiliaries at Bio-CNG Unit</t>
  </si>
  <si>
    <t xml:space="preserve">Bio-CNG to LPG energy equivalence </t>
  </si>
  <si>
    <t>AMOUNT  (INR)</t>
  </si>
  <si>
    <t>INR/KWh</t>
  </si>
  <si>
    <t>INR/MONTH</t>
  </si>
  <si>
    <t>INR/YEAR</t>
  </si>
  <si>
    <t xml:space="preserve">WDV of Plant &amp; Machinery </t>
  </si>
  <si>
    <t xml:space="preserve">RAW MATERIAL </t>
  </si>
  <si>
    <t>Office and other Overheads</t>
  </si>
  <si>
    <t xml:space="preserve">Provision for unforeseen expenses </t>
  </si>
  <si>
    <t>PROFITIBLITY PROJECTIONS  (INR Lakh)</t>
  </si>
  <si>
    <t xml:space="preserve">Solid/ Liquid Fertilizer Separator Unit </t>
  </si>
  <si>
    <t xml:space="preserve">TOTAL FOR CIVIL WORKS </t>
  </si>
  <si>
    <t xml:space="preserve">SUMMARY OF BIO-CNG PROJECT ECONOMICS </t>
  </si>
  <si>
    <t>PARAMETERS</t>
  </si>
  <si>
    <t xml:space="preserve">Capacities </t>
  </si>
  <si>
    <t>Biogas Plant Capacity</t>
  </si>
  <si>
    <t>Bio-CNG Plant Capacity</t>
  </si>
  <si>
    <t>Carbon dioxide Plant Capacity</t>
  </si>
  <si>
    <t xml:space="preserve">Captive Power Plant Capacity </t>
  </si>
  <si>
    <t>Consumption &amp; Output @ 100% Capacity</t>
  </si>
  <si>
    <t xml:space="preserve">Annual Consumption of Cattle Dung as received </t>
  </si>
  <si>
    <t xml:space="preserve">Annual Consumption of Sugar Cane Press Mud </t>
  </si>
  <si>
    <t>Annual Consumption of other bio-degradable stuff</t>
  </si>
  <si>
    <t xml:space="preserve">Parasitic Consumption of Electricity for Factory Use </t>
  </si>
  <si>
    <t xml:space="preserve">Maximum Quantity of Biogas Generated </t>
  </si>
  <si>
    <t xml:space="preserve">Maximum Quantity of Bio-CNG Exported </t>
  </si>
  <si>
    <t xml:space="preserve">Maximum Quantity of Carbon dioxide Gas Generated </t>
  </si>
  <si>
    <t xml:space="preserve">Maximum Quantity of Compost  Generated </t>
  </si>
  <si>
    <t xml:space="preserve">Maximum Quantity of Liquid Fertilizer Generated </t>
  </si>
  <si>
    <t xml:space="preserve">Selling Price and Cost </t>
  </si>
  <si>
    <t xml:space="preserve">Selling Price of Bio-CNG @ 90% of current market Price of Commercial LPG </t>
  </si>
  <si>
    <t xml:space="preserve">Selling Price of CERs @ USD 5 </t>
  </si>
  <si>
    <t>Cost of Cattle Dung including Transportation cost</t>
  </si>
  <si>
    <t>Cost of food Waste including Transportation cost</t>
  </si>
  <si>
    <t xml:space="preserve">Cost of Iron Fillings </t>
  </si>
  <si>
    <t xml:space="preserve">Cost of Water </t>
  </si>
  <si>
    <t xml:space="preserve">Cost of Electricity  </t>
  </si>
  <si>
    <t xml:space="preserve">Investment Summary </t>
  </si>
  <si>
    <t>Land</t>
  </si>
  <si>
    <t xml:space="preserve">Preliminary and Pre-Operative Expenses </t>
  </si>
  <si>
    <t xml:space="preserve">working Capital Margin </t>
  </si>
  <si>
    <t xml:space="preserve">MEANS OF FINANCE </t>
  </si>
  <si>
    <t>Equity and Preference Share Capital @ 30%</t>
  </si>
  <si>
    <t xml:space="preserve">Loan from Banks </t>
  </si>
  <si>
    <t xml:space="preserve">Total </t>
  </si>
  <si>
    <t>Financial Indicators @ 85% CUF</t>
  </si>
  <si>
    <t xml:space="preserve">Total Project Cost </t>
  </si>
  <si>
    <t>Less : Capital subsidy from MNRE</t>
  </si>
  <si>
    <t>Less : IT saving on accelerated Depreciation</t>
  </si>
  <si>
    <t>Net Project Cost</t>
  </si>
  <si>
    <t>Project Profitability</t>
  </si>
  <si>
    <t>Sale of Carbon-di-oxide</t>
  </si>
  <si>
    <t>Sale of Compost</t>
  </si>
  <si>
    <t>sale of Liquid Fertilizer</t>
  </si>
  <si>
    <t xml:space="preserve">Total Interest </t>
  </si>
  <si>
    <t>Depreciation</t>
  </si>
  <si>
    <t>Average operation Break Even (%)</t>
  </si>
  <si>
    <t>Average Cash Break Even (%)</t>
  </si>
  <si>
    <t>Average DSCR</t>
  </si>
  <si>
    <t xml:space="preserve">Payback Period without Capital Subsidy </t>
  </si>
  <si>
    <t xml:space="preserve">Payback Period with Capital Subsidy </t>
  </si>
  <si>
    <t xml:space="preserve">IRR on Project Cost without Subsidy </t>
  </si>
  <si>
    <t xml:space="preserve">IRR on Equity Capital without Subsidy </t>
  </si>
  <si>
    <t xml:space="preserve">Total  </t>
  </si>
  <si>
    <t>Kg/Day</t>
  </si>
  <si>
    <t>Ltr/Day</t>
  </si>
  <si>
    <t>TON</t>
  </si>
  <si>
    <t>INR/TON</t>
  </si>
  <si>
    <t xml:space="preserve">Cost of sugarcane press mud </t>
  </si>
  <si>
    <t>Sum</t>
  </si>
  <si>
    <t>Year</t>
  </si>
  <si>
    <t>Interest</t>
  </si>
  <si>
    <t>Cash Flow</t>
  </si>
  <si>
    <t>PAYBACK PERIOD (Years)</t>
  </si>
  <si>
    <t>K =</t>
  </si>
  <si>
    <t>PVCF</t>
  </si>
  <si>
    <t>PVCI</t>
  </si>
  <si>
    <t>Investment</t>
  </si>
  <si>
    <t>Less</t>
  </si>
  <si>
    <t>NPV</t>
  </si>
  <si>
    <t>IRR</t>
  </si>
  <si>
    <t xml:space="preserve">Maximum Quantity of Bio-CNG Generated  </t>
  </si>
  <si>
    <t>INR/KW.h</t>
  </si>
  <si>
    <t>Financial Indicators @ 100% CUF</t>
  </si>
  <si>
    <t xml:space="preserve">Fertilizer Unit bagging system and accessories    </t>
  </si>
  <si>
    <t xml:space="preserve">No. of Working days Per Annum </t>
  </si>
  <si>
    <t xml:space="preserve">GROSS TOTAL  </t>
  </si>
  <si>
    <t xml:space="preserve">CCTV Camera system </t>
  </si>
  <si>
    <t xml:space="preserve">GST on Plant and Machinery </t>
  </si>
  <si>
    <t>L</t>
  </si>
  <si>
    <t>GST</t>
  </si>
  <si>
    <t xml:space="preserve">Way Bridge cum Security Room </t>
  </si>
  <si>
    <t xml:space="preserve">Gate </t>
  </si>
  <si>
    <t xml:space="preserve">Admin Office </t>
  </si>
  <si>
    <t>K</t>
  </si>
  <si>
    <t>M</t>
  </si>
  <si>
    <t>N</t>
  </si>
  <si>
    <t>O</t>
  </si>
  <si>
    <t>P</t>
  </si>
  <si>
    <t>Q</t>
  </si>
  <si>
    <t>R</t>
  </si>
  <si>
    <t xml:space="preserve">SQMT </t>
  </si>
  <si>
    <t xml:space="preserve">CUMT </t>
  </si>
  <si>
    <t xml:space="preserve">Equipment Foundations </t>
  </si>
  <si>
    <t>Heating System</t>
  </si>
  <si>
    <t>SS Bar Grill</t>
  </si>
  <si>
    <t>Platform mixing tank</t>
  </si>
  <si>
    <t>Auto Valves</t>
  </si>
  <si>
    <t>Flanges</t>
  </si>
  <si>
    <t>Wall mounting Flanges</t>
  </si>
  <si>
    <t>Fitting Material of Flanges</t>
  </si>
  <si>
    <t>Pump for slurry Transfer</t>
  </si>
  <si>
    <t>Manual Valves</t>
  </si>
  <si>
    <t>Spider Ring</t>
  </si>
  <si>
    <t>Nylon Belts</t>
  </si>
  <si>
    <t>Nylon Rope Net</t>
  </si>
  <si>
    <t>Wall Flanges</t>
  </si>
  <si>
    <t>Pipes</t>
  </si>
  <si>
    <t>Pipe fittings</t>
  </si>
  <si>
    <t>Inspection Window</t>
  </si>
  <si>
    <t xml:space="preserve">Other Fitting &amp; Fixtures </t>
  </si>
  <si>
    <t>Electrical &amp; Electronics Requirements</t>
  </si>
  <si>
    <t>Electrical Control panel</t>
  </si>
  <si>
    <t>Earthings</t>
  </si>
  <si>
    <t>BIO-CNG STORAGE</t>
  </si>
  <si>
    <t>Clearing Forwarding, Handling &amp; Freight Cost</t>
  </si>
  <si>
    <t xml:space="preserve">Annual Operational Spares </t>
  </si>
  <si>
    <t xml:space="preserve">Laboratory and Analytical Equipments </t>
  </si>
  <si>
    <t>OTHER IMPORTANT ITEMS</t>
  </si>
  <si>
    <t xml:space="preserve">Cash Margin </t>
  </si>
  <si>
    <t>Potable Water day Storage (1500 L)</t>
  </si>
  <si>
    <t xml:space="preserve">load point </t>
  </si>
  <si>
    <t>operatin time</t>
  </si>
  <si>
    <t>3X 15 hp screw pump</t>
  </si>
  <si>
    <t>grinder 5 hp X 2</t>
  </si>
  <si>
    <t>agitator mixing pit 15 hp x 2</t>
  </si>
  <si>
    <t>digestor agitator 5 x 15 hp</t>
  </si>
  <si>
    <t>digestor agitator 4 x 10 hp</t>
  </si>
  <si>
    <t>air blower for balloon 2 x 2 hp</t>
  </si>
  <si>
    <t xml:space="preserve">solid liquid seperator 7.5 hp </t>
  </si>
  <si>
    <t>filling compressor 100 hp</t>
  </si>
  <si>
    <t xml:space="preserve">shreder 60 hp x 2 </t>
  </si>
  <si>
    <t>utility load 10 kw</t>
  </si>
  <si>
    <t>Power KW</t>
  </si>
  <si>
    <t>purification plant load 100 hp</t>
  </si>
  <si>
    <t>Equipments/ Machinery For Digester Tank Equipments</t>
  </si>
  <si>
    <t>Equipments/ Machinery For Fertilizer Tank</t>
  </si>
  <si>
    <t>Equipments/ Machinery For Feed Mixing Tank</t>
  </si>
  <si>
    <t>N/A</t>
  </si>
  <si>
    <t>WATER CONSUMPTION</t>
  </si>
  <si>
    <t>Month</t>
  </si>
  <si>
    <t>Selling Price of Organic Fertilizer</t>
  </si>
  <si>
    <t>Annual Consumption of Water</t>
  </si>
  <si>
    <t xml:space="preserve">Annual Consumption of Cattle Dung as Received </t>
  </si>
  <si>
    <t>Solid Liquid Separator Platform</t>
  </si>
  <si>
    <t>Drawing, Design, Architectural, Work</t>
  </si>
  <si>
    <t xml:space="preserve">Maximum Quantity of bio-CNG Generated </t>
  </si>
  <si>
    <t>Maximum Quantity of Compost Produced</t>
  </si>
  <si>
    <t xml:space="preserve">Maximum Quantity of liquid fertilizer concentrate generated </t>
  </si>
  <si>
    <t xml:space="preserve">PROJECT SITE &amp; LAND DEVELOPMENT </t>
  </si>
  <si>
    <t xml:space="preserve">Weighbridge &amp; other equip. </t>
  </si>
  <si>
    <t>HP</t>
  </si>
  <si>
    <t>Side Entry Agitators For mixing and circulation</t>
  </si>
  <si>
    <t>Double Membrane Digester Roof/Balloon</t>
  </si>
  <si>
    <t>Lum</t>
  </si>
  <si>
    <t>Top Entry Agitator</t>
  </si>
  <si>
    <t>Roots Blower</t>
  </si>
  <si>
    <t>Vacuum Pump with FLP Motor</t>
  </si>
  <si>
    <t xml:space="preserve">BioCNG Surge tank </t>
  </si>
  <si>
    <t>BIOCNG Storge Tank</t>
  </si>
  <si>
    <t xml:space="preserve">High Pressure line upto Compressor to Cascade </t>
  </si>
  <si>
    <t>PLC Control panel, Power panel, Cable for all these from field to panel room</t>
  </si>
  <si>
    <t>Automation Elements</t>
  </si>
  <si>
    <t>Electrical Wiring, Bus Bar, Joints, Protectors,Eathing etc.</t>
  </si>
  <si>
    <t>Electrical distribution panel</t>
  </si>
  <si>
    <t xml:space="preserve">Grid Transformer/LBS/HTMC for Plant </t>
  </si>
  <si>
    <t>Other High pressure accessories</t>
  </si>
  <si>
    <t>Product Gas Analysers
Online gas Monitoring system with Analyser for H2S,CH4,O2,Co2
Online dew point meter (Optional)</t>
  </si>
  <si>
    <t xml:space="preserve">Pumping Equipments &amp; Grinder </t>
  </si>
  <si>
    <t xml:space="preserve">Screw Pump for Slurry transfer </t>
  </si>
  <si>
    <t xml:space="preserve">Grinder </t>
  </si>
  <si>
    <t xml:space="preserve">Piping &amp; Valves </t>
  </si>
  <si>
    <t xml:space="preserve">Daily Recycled Water </t>
  </si>
  <si>
    <t xml:space="preserve">Load of Biogas Up-gradation Section &amp; Recovery </t>
  </si>
  <si>
    <t xml:space="preserve">Load of Bio-CNG Compression Unit  </t>
  </si>
  <si>
    <t>KW.h</t>
  </si>
  <si>
    <t>Running Load</t>
  </si>
  <si>
    <t xml:space="preserve">Annual Consumption of Power </t>
  </si>
  <si>
    <t>KG</t>
  </si>
  <si>
    <t>Cost of Other Bio-degradable Dry(Agro) Biomass Poultry Droppings etc.</t>
  </si>
  <si>
    <t xml:space="preserve">Civil Work </t>
  </si>
  <si>
    <t>Particulars</t>
  </si>
  <si>
    <t>Subtotal</t>
  </si>
  <si>
    <t>DSCR</t>
  </si>
  <si>
    <t>DSCR Calculation</t>
  </si>
  <si>
    <t>PAT (Proft After Tax)</t>
  </si>
  <si>
    <t>Opening Stock</t>
  </si>
  <si>
    <t>Add - Purchase During the year</t>
  </si>
  <si>
    <t>Less - Closing Stock</t>
  </si>
  <si>
    <t>COGS</t>
  </si>
  <si>
    <t>(days)</t>
  </si>
  <si>
    <t>Trade Receivables</t>
  </si>
  <si>
    <t>Inventories</t>
  </si>
  <si>
    <t>Overheads</t>
  </si>
  <si>
    <t>Current Assets</t>
  </si>
  <si>
    <t>Current Liabilities</t>
  </si>
  <si>
    <t xml:space="preserve">Amt </t>
  </si>
  <si>
    <t>Total CoP</t>
  </si>
  <si>
    <t>WDV rate</t>
  </si>
  <si>
    <t>Civil Work / Construction</t>
  </si>
  <si>
    <t>Plant &amp; Machinery</t>
  </si>
  <si>
    <t>Tax Calulation</t>
  </si>
  <si>
    <t>Add : SLM</t>
  </si>
  <si>
    <t>Less : WDV</t>
  </si>
  <si>
    <t>Taxable Income / Proft</t>
  </si>
  <si>
    <t>Carry forward of loss</t>
  </si>
  <si>
    <t>Set off of loss</t>
  </si>
  <si>
    <t>Net taxable income</t>
  </si>
  <si>
    <t>Tax on Income @ 33.99%</t>
  </si>
  <si>
    <t>MAT</t>
  </si>
  <si>
    <t>Actual Tax</t>
  </si>
  <si>
    <t xml:space="preserve">Total WDV Depreciation </t>
  </si>
  <si>
    <t xml:space="preserve">Less : Depreciation </t>
  </si>
  <si>
    <t>Gross Assets</t>
  </si>
  <si>
    <t>Preliminary Expense</t>
  </si>
  <si>
    <t>Total Gross Block</t>
  </si>
  <si>
    <t>CURRENT ASSETS</t>
  </si>
  <si>
    <t>Secured Loan</t>
  </si>
  <si>
    <t>Reserve &amp; Surplus</t>
  </si>
  <si>
    <t>Trade Receivable</t>
  </si>
  <si>
    <t xml:space="preserve">Inventory </t>
  </si>
  <si>
    <t>PRELIMINARY EXPENSES W/off</t>
  </si>
  <si>
    <t xml:space="preserve">Capital Expenses </t>
  </si>
  <si>
    <t>Trade paybles</t>
  </si>
  <si>
    <t xml:space="preserve">Net Profit </t>
  </si>
  <si>
    <t xml:space="preserve">Decrease in Term Loan </t>
  </si>
  <si>
    <t>Opening Balance</t>
  </si>
  <si>
    <t>Diff</t>
  </si>
  <si>
    <t>CASH FLOW STATEMENT (INR Lakh)</t>
  </si>
  <si>
    <t>CIVIL WORK</t>
  </si>
  <si>
    <t>NET BLOCK</t>
  </si>
  <si>
    <t>CASH &amp; BANK</t>
  </si>
  <si>
    <t>Cash accrual</t>
  </si>
  <si>
    <t>Net cash accrual</t>
  </si>
  <si>
    <t>CASH ACCRUAL</t>
  </si>
  <si>
    <t>CUMULATIVE CASH ACCRUAL</t>
  </si>
  <si>
    <t>Net Flow</t>
  </si>
  <si>
    <t>Subsidy Inflow</t>
  </si>
  <si>
    <t>Net WC</t>
  </si>
  <si>
    <t>Working Cap Margin</t>
  </si>
  <si>
    <t>NET PROFIT BEFORE INT. &amp; DEP.</t>
  </si>
  <si>
    <t>PROFIT BEFORE INT &amp; TAX</t>
  </si>
  <si>
    <t xml:space="preserve">TERM LOAN INTEREST </t>
  </si>
  <si>
    <t xml:space="preserve">CAPITAL EMPLOYED </t>
  </si>
  <si>
    <t xml:space="preserve">CAPITAL INVESTMENT </t>
  </si>
  <si>
    <t xml:space="preserve">NET WORTH </t>
  </si>
  <si>
    <t>SALES REVENUE</t>
  </si>
  <si>
    <t>RETURN ON SALE (%)</t>
  </si>
  <si>
    <t>RETURN ON CAPITAL (%)</t>
  </si>
  <si>
    <t>RETURN ON INVESTMENT</t>
  </si>
  <si>
    <t xml:space="preserve">RETURN ON NET WORTH </t>
  </si>
  <si>
    <t xml:space="preserve">AVERAGE DSCR </t>
  </si>
  <si>
    <t xml:space="preserve">FIXED ASSETS COVERAGE </t>
  </si>
  <si>
    <t>TERM LOAN</t>
  </si>
  <si>
    <t xml:space="preserve">BREAK EVEN POINT </t>
  </si>
  <si>
    <t>Profit / PBT</t>
  </si>
  <si>
    <t xml:space="preserve">PV RATIO </t>
  </si>
  <si>
    <t xml:space="preserve">BEP  Sales </t>
  </si>
  <si>
    <t xml:space="preserve">BEP% </t>
  </si>
  <si>
    <t xml:space="preserve">WORKING CAPITAL </t>
  </si>
  <si>
    <t>Land Lease Registration</t>
  </si>
  <si>
    <t xml:space="preserve">Sales </t>
  </si>
  <si>
    <t>Raw Material</t>
  </si>
  <si>
    <t>CC Loan</t>
  </si>
  <si>
    <t>Total Loan</t>
  </si>
  <si>
    <t>Cost of Pddy/ Wheat Straw, /Nappier Grass/ Other Agro-Waste</t>
  </si>
  <si>
    <t>Annual Consumption of Pddy/ Wheat Straw, /Nappier Grass/ Other Agro-Waste</t>
  </si>
  <si>
    <t>GST on Bio-Gas plant</t>
  </si>
  <si>
    <t>WORKING CAPITAL INTEREST</t>
  </si>
  <si>
    <t>INTEREST COVERAGE RATIO</t>
  </si>
  <si>
    <t>CURRENT LIABILITIES</t>
  </si>
  <si>
    <t>CURRENT RATIO</t>
  </si>
  <si>
    <t>CC Limit</t>
  </si>
  <si>
    <t>FY</t>
  </si>
  <si>
    <t>Total</t>
  </si>
  <si>
    <t>Repayment</t>
  </si>
  <si>
    <t>Closing Principal o/s</t>
  </si>
  <si>
    <t>IDC</t>
  </si>
  <si>
    <t>TL Interest</t>
  </si>
  <si>
    <t>WC LIMIT</t>
  </si>
  <si>
    <t>Operational Month</t>
  </si>
  <si>
    <t>WC Interest</t>
  </si>
  <si>
    <t>SECURED LOAN</t>
  </si>
  <si>
    <t>DEBT - EQUITY RATIO</t>
  </si>
  <si>
    <t>Increase in TL</t>
  </si>
  <si>
    <t>Valves</t>
  </si>
  <si>
    <t>Heating System Valves</t>
  </si>
  <si>
    <t>Tractor and trolley</t>
  </si>
  <si>
    <t>Tractor with loader</t>
  </si>
  <si>
    <t xml:space="preserve">Agitator </t>
  </si>
  <si>
    <t xml:space="preserve">Technical Room </t>
  </si>
  <si>
    <t xml:space="preserve">Feeding Pump </t>
  </si>
  <si>
    <t xml:space="preserve">Ladder </t>
  </si>
  <si>
    <t xml:space="preserve">Solid Liquid Seperator </t>
  </si>
  <si>
    <t>Gas Purification &amp; Compressor Unit</t>
  </si>
  <si>
    <t xml:space="preserve">Underground Water/ Slurry Storage </t>
  </si>
  <si>
    <t>Machinery Shed (Purification and Compressor)</t>
  </si>
  <si>
    <t>Fertilizer Shed with Packing</t>
  </si>
  <si>
    <t xml:space="preserve">Digested Slurry Tank </t>
  </si>
  <si>
    <t>CUMT</t>
  </si>
  <si>
    <t>S</t>
  </si>
  <si>
    <t>CNG Transport vehicle</t>
  </si>
  <si>
    <t>H2S Removal System</t>
  </si>
  <si>
    <t>Accessories</t>
  </si>
  <si>
    <t>NA</t>
  </si>
  <si>
    <t xml:space="preserve">BIOCNG Filling header </t>
  </si>
  <si>
    <t>CNG cylinder Filling Header</t>
  </si>
  <si>
    <t>Electrical ,Instrumentation &amp; Control Panel etc.</t>
  </si>
  <si>
    <t>Pressure &amp; temperature measuring system</t>
  </si>
  <si>
    <t>Flow measuring system</t>
  </si>
  <si>
    <t>Automatic valves for Biogas line and slurry line</t>
  </si>
  <si>
    <t xml:space="preserve">PH sensor ,Level sensor,Ammonia sensor
</t>
  </si>
  <si>
    <t>Methane leak detection and alarm system</t>
  </si>
  <si>
    <t>kg/Day</t>
  </si>
  <si>
    <t>Equivalent price of CNG</t>
  </si>
  <si>
    <t>Disbursement</t>
  </si>
  <si>
    <t>Opening Bal</t>
  </si>
  <si>
    <t>Interest During Construction (IDC)</t>
  </si>
  <si>
    <t>Working Capital Margin (WCM)</t>
  </si>
  <si>
    <t>WCM, IDC &amp; Cont</t>
  </si>
  <si>
    <t xml:space="preserve">Biomass Handling Facility </t>
  </si>
  <si>
    <t>15 X 2</t>
  </si>
  <si>
    <t xml:space="preserve">350 M3/hr Recovery System - 2 Tower Based System
</t>
  </si>
  <si>
    <t>350 m3 per hr Methane   Recovery System</t>
  </si>
  <si>
    <t>High pressure Fittings</t>
  </si>
  <si>
    <t xml:space="preserve">Quantity of Compost produced from dry Sludge </t>
  </si>
  <si>
    <t>Main Digester (Dia 32 Mtr.)</t>
  </si>
  <si>
    <t xml:space="preserve">Top Entry Type Agitator 15 HP/Variable RPM  </t>
  </si>
  <si>
    <t>Annual Input of chicken (poultry) manure</t>
  </si>
  <si>
    <t xml:space="preserve">40 Cylinder Cascade </t>
  </si>
  <si>
    <t xml:space="preserve">Shed for  Filling header with cylinder cascade </t>
  </si>
  <si>
    <t>Nos.</t>
  </si>
  <si>
    <t>Cables</t>
  </si>
  <si>
    <t xml:space="preserve">Both side PVC coated fabric/Balloon -2 Set </t>
  </si>
  <si>
    <t xml:space="preserve">Under Pressure protection &amp; over pressure Valve-2 Set </t>
  </si>
  <si>
    <t>CONTINGENCIES EXPENSES</t>
  </si>
  <si>
    <t>12 M</t>
  </si>
  <si>
    <t>Particulars / YEAR</t>
  </si>
  <si>
    <t>12M</t>
  </si>
  <si>
    <t>Feed Mixing Tank (2 x300 CUM)</t>
  </si>
  <si>
    <t>700 m3/hr Catalyst Tower based H2S Removal system (H2S &lt;= 1500 ppm)</t>
  </si>
  <si>
    <t>700 M3 /hr Biogas Up gradation Plant  as per given scope of supply 4 Tower Based systems</t>
  </si>
  <si>
    <t>700 m3/hr Biogas Moisture removal system 
Heat exchanger with moisture separator</t>
  </si>
  <si>
    <t>700 m3/hr Four Towers (Composite bed) VPSA Unit for removal of H2O, CO2 with Surge vessel and inter connected piping and valves &amp; Instruments for safe operation of the plant</t>
  </si>
  <si>
    <t xml:space="preserve">Single memerane Balloon/Biogas Tank </t>
  </si>
  <si>
    <t xml:space="preserve">Daily Input of Sugar Cane Press Mud  </t>
  </si>
  <si>
    <t>Assumptions</t>
  </si>
  <si>
    <t>1st Disbursement</t>
  </si>
  <si>
    <t>IDC Start &amp; End Month</t>
  </si>
  <si>
    <t>Commencement /Operation Start</t>
  </si>
  <si>
    <t>Repayment of Loan</t>
  </si>
  <si>
    <t>Repayment Start</t>
  </si>
  <si>
    <t>Repayment End</t>
  </si>
  <si>
    <t>Repayment Period</t>
  </si>
  <si>
    <t>Rate of Interest</t>
  </si>
  <si>
    <t>Subsidy  (To be Adjusted in Loan Account after Project is Commissioned)</t>
  </si>
  <si>
    <t>Feed Preparation Platform with Pump</t>
  </si>
  <si>
    <t>Technical room/panel room + Lab Area + Security Office</t>
  </si>
  <si>
    <t>Staff Room with Kitchen, Bathroom (3 BHK House)</t>
  </si>
  <si>
    <t>T</t>
  </si>
  <si>
    <t>Labours Rooms</t>
  </si>
  <si>
    <t>Lagoon</t>
  </si>
  <si>
    <t xml:space="preserve">Toilet Block + parcking </t>
  </si>
  <si>
    <t xml:space="preserve">350-400 m3/hr Biogas Booster compressors for Providing 250 bar pressure at outlet. </t>
  </si>
  <si>
    <t>Waste  and BioCNG handling Equipments</t>
  </si>
  <si>
    <t xml:space="preserve">350-400 m3/hr BioCNG Booster compressor </t>
  </si>
  <si>
    <t>Power</t>
  </si>
  <si>
    <t xml:space="preserve">Power </t>
  </si>
  <si>
    <t xml:space="preserve">Term liabilities payable within one year </t>
  </si>
  <si>
    <t>Equity</t>
  </si>
  <si>
    <t xml:space="preserve">Bio-CNG Plant Design Capacity </t>
  </si>
  <si>
    <t>Biogas Plant Generation  (Design Capcity x 90 %)</t>
  </si>
  <si>
    <t>Increase in Equity / Share Capital</t>
  </si>
  <si>
    <t xml:space="preserve">POWER &amp; WATER REQUIREMENT </t>
  </si>
  <si>
    <t>AMOUNT (INR)</t>
  </si>
  <si>
    <t xml:space="preserve">ELECTRICITY CONNECTION </t>
  </si>
  <si>
    <t xml:space="preserve">Lum Sum </t>
  </si>
  <si>
    <t>ToL / TNW</t>
  </si>
  <si>
    <t>ToL</t>
  </si>
  <si>
    <t>TNW</t>
  </si>
  <si>
    <t>Electricty Connection</t>
  </si>
  <si>
    <t>IDC Period (construction period)</t>
  </si>
  <si>
    <t>Moratorium Period after COD</t>
  </si>
  <si>
    <t>EBIT</t>
  </si>
  <si>
    <t>Less: Taxes</t>
  </si>
  <si>
    <t>Add: Depreciation &amp; Amortisation</t>
  </si>
  <si>
    <t>Gross Cash Flow</t>
  </si>
  <si>
    <t>Increase/(Decrease) in working capital</t>
  </si>
  <si>
    <t>Free Cash Flow to Firm (FCFF)</t>
  </si>
  <si>
    <t>Project IRR (Post-tax)</t>
  </si>
  <si>
    <t>INR in lacs</t>
  </si>
  <si>
    <t>WACC Calculation</t>
  </si>
  <si>
    <t>Incremental Cost of Debt</t>
  </si>
  <si>
    <t>Cost of Equity</t>
  </si>
  <si>
    <t>Proportion of Debt</t>
  </si>
  <si>
    <t>Tax</t>
  </si>
  <si>
    <t>WACC</t>
  </si>
  <si>
    <t>Discounting factor</t>
  </si>
  <si>
    <t xml:space="preserve">Project IRR </t>
  </si>
  <si>
    <t>Break Even</t>
  </si>
  <si>
    <t>Sales</t>
  </si>
  <si>
    <t>Variable Expenses</t>
  </si>
  <si>
    <t>Contribution</t>
  </si>
  <si>
    <t>PV RATIO (Contr / Sales)</t>
  </si>
  <si>
    <t>BEP  Sales (Fix Exps / Contr * Sales)</t>
  </si>
  <si>
    <t>BEP% (BEP Sales / sales)</t>
  </si>
  <si>
    <t>Boundary (Total Length 700Mtr.)</t>
  </si>
  <si>
    <t>Internal Road 6 + 2 (Open Space) Mtr Wide) Length-625 Mtr</t>
  </si>
  <si>
    <t xml:space="preserve">Fire Fitting Equipment </t>
  </si>
  <si>
    <t xml:space="preserve">Liquid Fertiliser Filling System </t>
  </si>
  <si>
    <t>Other professional fees of project cost</t>
  </si>
  <si>
    <t xml:space="preserve">Loan processing fee of loan </t>
  </si>
  <si>
    <t>DG Set FOR Backup Power 10 kVA</t>
  </si>
  <si>
    <t xml:space="preserve"> </t>
  </si>
  <si>
    <t>AVERAGE DSCR</t>
  </si>
  <si>
    <t>DEBT</t>
  </si>
  <si>
    <t>EQUITY</t>
  </si>
  <si>
    <t>S. No.</t>
  </si>
  <si>
    <t>Net Production of Bio-CNG with 96% CH4</t>
  </si>
  <si>
    <t>Particulars (Rs in lacs)</t>
  </si>
  <si>
    <t>DEBT REPAYMENT SCHEDULE</t>
  </si>
  <si>
    <t>FY  Rs in Lakhs</t>
  </si>
  <si>
    <t>Ratio Analysis</t>
  </si>
  <si>
    <t>Particulars (Rs in Lakh)</t>
  </si>
  <si>
    <t>YEAR (Rs in Lakhs)</t>
  </si>
  <si>
    <t>DEPRECIATION DSCHEDULE AS PER INCOME TAX ACT  (Lakh INR)</t>
  </si>
  <si>
    <t xml:space="preserve">YEAR/ASSET HEAD </t>
  </si>
  <si>
    <t>Interest on term loan</t>
  </si>
  <si>
    <t>Interest on CC</t>
  </si>
  <si>
    <t>Discount rate</t>
  </si>
  <si>
    <t>Expected growth rate(Terminal)</t>
  </si>
  <si>
    <t>Period (Months)</t>
  </si>
  <si>
    <t>Discount period</t>
  </si>
  <si>
    <t>Discount Factor</t>
  </si>
  <si>
    <t>PV of FCF</t>
  </si>
  <si>
    <t>Terminal Value</t>
  </si>
  <si>
    <t>PV of Terminal Value</t>
  </si>
  <si>
    <t>PV of FCF+ PV of Terminal Value</t>
  </si>
  <si>
    <t>No. Of Years</t>
  </si>
  <si>
    <t>Cash Accrual</t>
  </si>
  <si>
    <t>Accumulated Cash Accrual</t>
  </si>
  <si>
    <t>TPC</t>
  </si>
  <si>
    <t>Payback Period</t>
  </si>
  <si>
    <t>Years</t>
  </si>
  <si>
    <t>EBITDA</t>
  </si>
  <si>
    <t xml:space="preserve">Revenue </t>
  </si>
  <si>
    <t>EBITDA Margin %</t>
  </si>
  <si>
    <t>EBIT Margin %</t>
  </si>
  <si>
    <t>PAT Margin %</t>
  </si>
  <si>
    <t>Revenue Growth Rate %</t>
  </si>
  <si>
    <t xml:space="preserve">Average </t>
  </si>
  <si>
    <t>Khasra Number 917, First Floor Ahmedpur Kadach Railway Road, Jwalapur, Haridwar, Uttarakhand, 249407</t>
  </si>
  <si>
    <t xml:space="preserve">5,000 Kg per day Bio CNG generating plant along with 30 Ton/Day of solid organic fertilizer, and 90,000 Litre/day of liquid fertilizer.  </t>
  </si>
  <si>
    <t>KHASRA NO 740, VILLAGE TUGALPUR, PARAGNA GORDHANPUR</t>
  </si>
  <si>
    <t>KHASRA NO 740, Village - Tughalpur, Paragna Goverdhanpur, Tehsil - Laksar, District-Haridwar, Uttarakhand -247663</t>
  </si>
  <si>
    <t>Bio CNG generating plant along with solid and liquid fertilizers</t>
  </si>
  <si>
    <t>Renewable Energy</t>
  </si>
  <si>
    <t>Bio CNG, Solid organic fertilizer and liquid fertilizer</t>
  </si>
  <si>
    <t>Total project cost estimations</t>
  </si>
  <si>
    <t>Land assessment</t>
  </si>
  <si>
    <t>Area</t>
  </si>
  <si>
    <t>Sq. Mtr.</t>
  </si>
  <si>
    <t>DPR</t>
  </si>
  <si>
    <t>Sale Deed</t>
  </si>
  <si>
    <t>Capcity</t>
  </si>
  <si>
    <t>tpd</t>
  </si>
  <si>
    <t>References</t>
  </si>
  <si>
    <t>Required Area</t>
  </si>
  <si>
    <t>Capacity</t>
  </si>
  <si>
    <t>Maximum DSCR</t>
  </si>
  <si>
    <t>compressed biogas plant</t>
  </si>
  <si>
    <t>Khasra No. 740, Village Tughalpur, Paragna Goverdhanpur, Tehsil - Laksar, District-Haridwar, Uttarakhand -247663</t>
  </si>
  <si>
    <t>5,000 Kg (7000 M3)/ Day of Bio-CNG</t>
  </si>
  <si>
    <t>m3</t>
  </si>
  <si>
    <t>https://www.downtoearth.org.in/blog/energy/budget-kick-keep-these-factors-in-mind-while-setting-up-a-bio-cng-plant-87471#:~:text=Feedstock%20storage,compartments%20and%20other%20auxiliary%20machinery.</t>
  </si>
  <si>
    <t>30 Ton/day of fermented solid organic fertilizer &amp; 90 KL/ Day of fermented Liquid Fertilizer which will be sold as value added by products.</t>
  </si>
  <si>
    <t>Mr. VANSHAJ GUPTA and Mr. RISHABH GUPTA</t>
  </si>
  <si>
    <t>fermented solid organic fertilizer</t>
  </si>
  <si>
    <t>The CSTR Mesophilic bio-methanation technology</t>
  </si>
  <si>
    <t>80% is mechanical and 20% is manual.</t>
  </si>
  <si>
    <t>JOG WASTE TO ENERGY PVT LTD , Ahmadabad based solution provider,</t>
  </si>
  <si>
    <t>As per the sale deed shared by the client or company, promoters have purchased 2.2540 hectares (22,540 sq. m.) of land at Khata Number 193, Khasra No. 740, Village Tughalpur, Paragna Goverdhanpur, Tehsil-LLaksar, District Haridwar, Uttarakhand, -247663. This land has been leased out by the promoters in the name of the company for 29 years as per the shared lease deed. A change of land use (CLU) certificate has been obtained by the company as of August 23, 2023, from the respective authority.</t>
  </si>
  <si>
    <t>The plant needs about 1, 00,000 Litre/ day of water and 500 Kwh of power to meet process energy requirement.</t>
  </si>
  <si>
    <t>have already secured a purchase agreement/ LOI (Ref No.)IndianOil/SATAT/01/3646., DATE: 02.01.2024</t>
  </si>
  <si>
    <t>under SATAT initiative to promote Compressed Bio-Gas as an alternative, green transport fuel.</t>
  </si>
  <si>
    <t>Mr. VANSHAJ GUPTA</t>
  </si>
  <si>
    <t>Memorandum of Association</t>
  </si>
  <si>
    <t>To carry on the business to produce, market, sell, supply, distribute and dealing in all kinds of bio-gas, Bio-CNG likes or containing a mixture of H2S, CH4, hydrocarbon, and CO2 from agricultural residue, Ethanol and manure as well as dealing its byproducts like biomass pellets and organic fertilizers.</t>
  </si>
  <si>
    <t>M/s Naruma Industries Pvt Ltd</t>
  </si>
  <si>
    <t>The Corporate Identification Number (CIN) of the company is U27101DL2021PTC391084. The registered office is Flat No-19, G/F, Block -D-1, Vasant Kunj, Pkt-E-2, Near Sultangarhi CNG Pump, Delhi-110070. INDIA. The company has Two directors names Mr. Rama Nand Modi (DIN: 09431445) and Mr. Rakesh Kumar Modi (DIN: 09431446). The company is registered as MSME shown below:</t>
  </si>
  <si>
    <t>Mr. Vanshaj Gupta and Mr. Rishabh Gupta are the promoters and Directors of Naruma Industries Private Limited.</t>
  </si>
  <si>
    <t xml:space="preserve">The promoters of the company are Mr. VANSHAJ GUPTA (DIN: 09626875) and Mr. RISHABH GUPTA (DIN: 09626874) are also the Directors of the company and are the major shareholders of the company who are holding more than 50%-50% share of the company in total.       </t>
  </si>
  <si>
    <t>UDYAM REGISTRATION NUMBER UDYAM-UK-06-0035781</t>
  </si>
  <si>
    <t>In this company, promoters has proposed Ferro Alloys manufacturing unit to manufacture Ferro Silicon, Silico Manganese, Ferro Chrome, Ferro Manganese, Pig Iron and Calcium Carbide etc.</t>
  </si>
  <si>
    <t>As per Memorandum of Association shared by the client/company, Both the Promoters/Directors is having 50-50% shareholding in the company as listed in the table below:</t>
  </si>
  <si>
    <t>Currently Mr. Vanshaj Gupta and Mr. Rishabh Gupta are looking after their Family business, which is Gupta Ji Jewellers and Mahadev Mine Minerals</t>
  </si>
  <si>
    <t>H.NO – 46, Vishnu Garden, Gandhi Ashram, Kankhal, Haridwar, Haridwar, Uttarakhand -249408</t>
  </si>
  <si>
    <t>Mr. Vanshaj Gupta is an alumnus of Institute of Hotel Management Aurangabad (Taj Group). He started his early career working in Taj Hotels Resorts and Palaces and later on in Marriott Hotels and Resorts.</t>
  </si>
  <si>
    <t>Mr. Rishabh Gupta is an alumnus of Amity University Noida and EMDI Institute of Media Communication India. He started his early career as a freelancer and has done most of the successful events with PERCEPT Media, VIACOM, Lakshya Media, Tiger Productions, Mudrush event, FIFA India, Indian Premier League, Youtube fan fest and many more.</t>
  </si>
  <si>
    <t>Mr. Vanshaj Gupta and Mr. Rishabh Gupta are also the Co-owners of Gupta Ji Jewellers, Haridwar. They have the biggest jewellery store in the city and they deal in the production and assortment of Silver, Gemstone, Diamond and Gold Jewellery.</t>
  </si>
  <si>
    <t xml:space="preserve">As a young entrepreneur, Mr. Vanshaj Gupta and Mr. Rishabh Gupta proposed the plan to enter into the </t>
  </si>
  <si>
    <t>Ministry of Petroleum And Natural Gas</t>
  </si>
  <si>
    <t>as per the lease deed provided to us by the company.</t>
  </si>
  <si>
    <t>Sugar mill is approximately 14 Km away from the site  Nearest Sugar Mill is Laksar sugar mill  Muzzafarnagar Sugar Mill ( Approximately 50-55km away )  Uttam sugar mill ( approximately 45km away )</t>
  </si>
  <si>
    <t>R. B. N. S. Sugar Mill Laksar, P2WH+WHW, Shekhpuri, Laksar, Uttarakhand 247663</t>
  </si>
  <si>
    <t>Rohana Sugar Mill, Shop No- 12, Amrit Inter College G.T Road, Rohana Mill Meerut, Uttar Pradesh 251202</t>
  </si>
  <si>
    <t>Uttam Sugar Mill Manglore, Lahboli - Mandawli Road, Lahvauli, Mundyaki, Uttarakhand 247656</t>
  </si>
  <si>
    <t>https://www.google.com/maps/place/29%C2%B037'25.6%22N+77%C2%B059'36.7%22E/@29.6228603,77.9793391,1059m/data=!3m1!1e3!4m4!3m3!8m2!3d29.6237778!4d77.9935278?entry=ttu</t>
  </si>
  <si>
    <t>Connectivity Details of the Proposed Location</t>
  </si>
  <si>
    <t>Raisi, Netwala Saidabad, Uttarakhand 247671</t>
  </si>
  <si>
    <t>Laksar Junction, MDR 6W, Laksar, Uttarakhand 247663</t>
  </si>
  <si>
    <t xml:space="preserve">Project location is 29°37'25.6" North and 77°59'36.7" East in SIDCO Industrial Area Centre, Samba, Jammu &amp; Kashmir, Pahse-1 and the location as per the Google map has been attached below: </t>
  </si>
  <si>
    <t>Sub Divisional Magistrate</t>
  </si>
  <si>
    <t>Bio-CNG plant needs a total of about 22,267 M2 land area for Project implementation</t>
  </si>
  <si>
    <t xml:space="preserve">During the site visit I found that the approach road which connects to the main road is narrow/ Kuchcha Road of 15ft wide. However customer informed me that they have applied one letter to GRAM PRADHAN regarding the road widening , and the road will get wide soon. </t>
  </si>
  <si>
    <t>r</t>
  </si>
  <si>
    <t>pie/4*d^2*h</t>
  </si>
  <si>
    <t>Biogas to CNG plant needs a total of about 22,267 M2 land area for Project implementation, 600 M2 Covered Shed for Fertilizer Processing and storage in off season. 3663 M2of open area for locating the hydrolysis tanks, biogas digester tank, and sludge separator filter, besides connecting roads. About 930 M2of built up area is required to house the technical buildings including MPSA separation plant and Bio CNG Compressor. About 12,330 M2 is reserved for Green Belt and future expansion.</t>
  </si>
  <si>
    <t>As per specifications, material brand, cost may change.</t>
  </si>
  <si>
    <t>"No Objection Certificate" for groundwater extraction</t>
  </si>
  <si>
    <t>Supply of AC power 415 V, 50 Hz, 3P &amp; N required for Total plant running, for consumption of different components of the unit as bellow:</t>
  </si>
  <si>
    <t>Biogas is commercially produced by a process called anaerobic digestion. The process involves breakdown of organic waste materials such as animal waste, food waste and industrial sludge to produce biogas and digestate. The latter is further treated to be used as a fertilizer. Anaerobic digestion process is carried out in a sealed, oxygen-free tank, also called an anaerobic digester. The biogas produced is subjected to scrubbing, upgradation and compression processes to produce Bio-CNG (CBG).</t>
  </si>
  <si>
    <t>Bio-CNG or bio-compressed natural gas, also known as sustainable natural gas or biomethane, is a biogas which has been upgraded to a quality similar to fossil natural gas and having a methane concentration of 90% or greater. As the gas is derived from natural and renewable sources, it is also termed renewable natural gas (RNG).</t>
  </si>
  <si>
    <t>(Ref No. - IndianOil/SATAT/01/3646., Date: 02.01.2024)</t>
  </si>
  <si>
    <t>Additionally, in a significant move towards promoting sustainable agriculture, the central government announced comprehensive guidelines to offer market development
assistance (MDA) at Rs 1500/MT (1.5 RS / Kg) for fermented organic manure (FOM) or bio-digestate derived from compressed biogas (CBG) facilities. The government aims to bolster the production and use of organic fertilizers like FOM; liquid fermented organic manure (LFOM), and enriched phosphate rich organic manure (PROM). These
fertilizers emerge as by-products from biogas (BG) and compressed biogas (CBG) plants.</t>
  </si>
  <si>
    <t>https://pib.gov.in/PressReleasePage.aspx?PRID=1935893</t>
  </si>
  <si>
    <t>Tughalpur, Paragna Goverdhanpur, Tehsil - Laksar in Haridwar district is well known by sugar processing industries from sugarcane. Haridwar is surrounded by top 10 -12
biggest sugarcane industries around 35 to 40 km range area. The present methods of for disposal of press mud are not economically suitable and pollute the environment. Around 800-1000 tons per day of sugarcane press mud is being disposed, as it contains appreciable proportion of biodegradable organic matter, it has very good potential for production of biogas. As per the past records of their yield, we are assured of getting the required amount of raw material as required for the plant. Daily 10-15 tons of Cattle dung and 115-120 ton Sugarcane press- will be fed to the Plant. The proposed scheme will ensure a stable microbial reaction and a smooth functioning of the digester performance. Quantity of the addition will be adjusted as per the availability, TS content, and storage requirements of the project.</t>
  </si>
  <si>
    <t>https://gobardhan.co.in/</t>
  </si>
  <si>
    <t>Demand for alternative fuel vehicles in India is on the upswing and clearly seen in the increasing sales of CNG-powered vehicles. Given the favourable price arbitrage of CNG versus petrol and diesel, retail sales of CNG vehicles, across four sub-segments, crossed the 650,000-unit mark for the first time in a fiscal in FY2023. Cumulative sales of 660,153 units (see data table below) translate into strong double-digit YoY growth of 46% (FY2022: 451,552 units). (Ref.: https://www.autocarpro.in/analysis-sales/cng-vehicle-sales-surge-by-46-to-over-650000-units-in-fy2023-114656)</t>
  </si>
  <si>
    <t>The government has increasingly focused on the production of compressed biogas in India. It is currently aiming to set up 5,000 CBG plants by FY25 under SATAT.</t>
  </si>
  <si>
    <t>The economics of a CBG plant can vary depending on various factors such as the scale of the plant , technology used, feedstock cost , government incentives and market demand for CBG.</t>
  </si>
  <si>
    <t xml:space="preserve">As per the sale deed executed on 29th June 2022, promoters of the Company has purchased a 2.2540 hectare (22,540 Sq. Mt.) land at Khasra No. 740, Village Tughalpur, Paragna Goverdhanpur, Tehsil-Laksar, District Haridwar, Uttarakhand 247663 and this land has been leased out by the promoters in the name of M/s Naruma Industries Private Limited for a period of 29 years on an annual lease rental of INR 12,000/annum (excluding all other charges) through an executed lease deed on 23rd August 2022. </t>
  </si>
  <si>
    <t xml:space="preserve">Change of land use (CLU) has been approved by, for setting up the proposed Bio-CNG plant. </t>
  </si>
  <si>
    <t>With Reference to DPR, study we found that the electricity connection charge for 800 Kva is mentioned 50 Lacs. The Electricity Distribution Division laksar, Haridwar will give an electricity connection line form his nearest substation to   the Naruma Industries Project Site. 
The electrify connection cost 50lacs charge in DPR is included with connection and fix charge , excavation, pipeline laying with cable, and installation and complete commissioning. 
Please also note that as per discussion with M/s. Naruma Industries Pvt Ltd has also applied a electricity connection cost estimate (copy of letter attached) to the Electricity Distribution Division Laksar, Haridwar. Naruma Industries pvt ltd will also submit the cost estimate to their bank as they receive from Electricity distribution division laksar, Haridwar.</t>
  </si>
  <si>
    <t>Reg. No. : 05AAICN2846A1ZT</t>
  </si>
  <si>
    <t>Certificate No:02-7-CAFIP-6921183087298</t>
  </si>
  <si>
    <t>kg/m3</t>
  </si>
  <si>
    <t>kg</t>
  </si>
  <si>
    <t>after leakage</t>
  </si>
  <si>
    <t>5,000 kg</t>
  </si>
  <si>
    <t>70-90</t>
  </si>
  <si>
    <t>Daily Input of Agriculture residue - Paddy Straw</t>
  </si>
  <si>
    <t xml:space="preserve">Daily Volume of Biomass Pellet Production as per Plant Design Capcity </t>
  </si>
  <si>
    <t>Daily Volume of Biomass Pellet (Design Capacity x 90 %)</t>
  </si>
  <si>
    <t>Maximum Quantity of Biomass Pellets Manufactured</t>
  </si>
  <si>
    <t>Selling price of Bioamass Pellets</t>
  </si>
  <si>
    <t xml:space="preserve">Fixed Overheads </t>
  </si>
  <si>
    <t>Trade Payables</t>
  </si>
  <si>
    <t>Salvage value</t>
  </si>
  <si>
    <t>Capex/ (salvage value)</t>
  </si>
  <si>
    <t>Target</t>
  </si>
  <si>
    <t>Median</t>
  </si>
  <si>
    <t>Unlevered Beta - Industry</t>
  </si>
  <si>
    <t>Tax Rate</t>
  </si>
  <si>
    <t>Relevered Beta</t>
  </si>
  <si>
    <t>Cost of Equity (Ke)</t>
  </si>
  <si>
    <t>Risk Free Rate (Rfr)</t>
  </si>
  <si>
    <t>Market Return (Rm)</t>
  </si>
  <si>
    <t>Sum if Risk Free Rate and Market Risk Premium</t>
  </si>
  <si>
    <t>Market Risk Premium</t>
  </si>
  <si>
    <t>Levered Beta</t>
  </si>
  <si>
    <t>Additional Risk Premium</t>
  </si>
  <si>
    <t>Higher CSRP on account of new business</t>
  </si>
  <si>
    <t>Cost of Debt (Kd)</t>
  </si>
  <si>
    <t>Pre Tax - Cost of Debt (Kd)</t>
  </si>
  <si>
    <t>Cost of Debt - Pre Tax</t>
  </si>
  <si>
    <t>Marginal tax rate</t>
  </si>
  <si>
    <t>To be considered from Tax Workings Sheet</t>
  </si>
  <si>
    <t>Post Tax - Cost of Debt (Kd)</t>
  </si>
  <si>
    <t>Debt / Equity</t>
  </si>
  <si>
    <t>Industry</t>
  </si>
  <si>
    <t xml:space="preserve">  </t>
  </si>
  <si>
    <t>Rounded off WACC</t>
  </si>
  <si>
    <t>Damodaran ERP India Jan 2024</t>
  </si>
  <si>
    <t>Promoters' Equity</t>
  </si>
  <si>
    <t xml:space="preserve">COMPUTATION OF PELLETS PRODUCTION </t>
  </si>
  <si>
    <t>Preliminary Expenses</t>
  </si>
  <si>
    <t xml:space="preserve">Total WDV </t>
  </si>
  <si>
    <t>Increase in WC loan</t>
  </si>
  <si>
    <t>Decrease in WC loan</t>
  </si>
  <si>
    <t>Loan Repayment</t>
  </si>
  <si>
    <t>Less : Taxation @ 25.168%</t>
  </si>
  <si>
    <t>`</t>
  </si>
  <si>
    <t>Trade receivables</t>
  </si>
  <si>
    <t>Inventory</t>
  </si>
  <si>
    <t>Trade payables</t>
  </si>
  <si>
    <t>Total Fixed Cost (incl Int and
Dep)</t>
  </si>
  <si>
    <t>3. Misc expenses</t>
  </si>
  <si>
    <t xml:space="preserve">Loan Schedule </t>
  </si>
  <si>
    <t>Loan Amount</t>
  </si>
  <si>
    <t>Rs in Lakhs</t>
  </si>
  <si>
    <t>Rep Year</t>
  </si>
  <si>
    <t>Interest Rate</t>
  </si>
  <si>
    <t>%age p.a</t>
  </si>
  <si>
    <t>Repay (%)</t>
  </si>
  <si>
    <t>Op Bal</t>
  </si>
  <si>
    <t>Repay</t>
  </si>
  <si>
    <t>Cl Bal</t>
  </si>
  <si>
    <t>Disb</t>
  </si>
  <si>
    <t>Mar</t>
  </si>
  <si>
    <t>July</t>
  </si>
  <si>
    <t>Aug</t>
  </si>
  <si>
    <t>Sept</t>
  </si>
  <si>
    <t>Oct</t>
  </si>
  <si>
    <t>Nov</t>
  </si>
  <si>
    <t>Dec</t>
  </si>
  <si>
    <t>Jan</t>
  </si>
  <si>
    <t>Feb</t>
  </si>
  <si>
    <t>2024-25</t>
  </si>
  <si>
    <t>Apr</t>
  </si>
  <si>
    <t>May</t>
  </si>
  <si>
    <t>June</t>
  </si>
  <si>
    <t>CoD</t>
  </si>
  <si>
    <t>2025-26</t>
  </si>
  <si>
    <t>Moratorium</t>
  </si>
  <si>
    <t>2026-27</t>
  </si>
  <si>
    <t>2027-28</t>
  </si>
  <si>
    <t>2028-29</t>
  </si>
  <si>
    <t>2029-30</t>
  </si>
  <si>
    <t>2030-31</t>
  </si>
  <si>
    <t>2031-32</t>
  </si>
  <si>
    <t>Prelm Exps w/off</t>
  </si>
  <si>
    <t>Working capital loan</t>
  </si>
  <si>
    <t>Monthly Pay</t>
  </si>
  <si>
    <t xml:space="preserve">Moratorium Start &amp; End Month </t>
  </si>
  <si>
    <t>PROFORMA BALANCE SHEET (INR Lakh)</t>
  </si>
  <si>
    <t>Misc. Fixed Assets / Furniture &amp; Fixture</t>
  </si>
  <si>
    <t>DETAILS OF PLANT , MACHINERY &amp; EQUIPMENTS</t>
  </si>
  <si>
    <t>Domestic</t>
  </si>
  <si>
    <t>S.No.</t>
  </si>
  <si>
    <t>Company Name</t>
  </si>
  <si>
    <t>P.I. No.</t>
  </si>
  <si>
    <t>Date</t>
  </si>
  <si>
    <t>Machine Name</t>
  </si>
  <si>
    <t>Quantity</t>
  </si>
  <si>
    <t>Amount</t>
  </si>
  <si>
    <t>GST @18%</t>
  </si>
  <si>
    <t>Advance Paid</t>
  </si>
  <si>
    <t>Aanvi Enterprises           S35-36, First Floor, Community Centre, Phase-1, Maya Puri, New Delhi-110064</t>
  </si>
  <si>
    <t>AE/QTN/22-23/058</t>
  </si>
  <si>
    <t>14.03.2023</t>
  </si>
  <si>
    <t xml:space="preserve">Hydraulic Power Unit </t>
  </si>
  <si>
    <t>MACRO POWERTECH INDIA PVT LTD- F-616/649, UPSIDC Industrial Area, Phase -II, M.G Road Ghaziabad Email-info@macropowertech.in, +91-9810372550</t>
  </si>
  <si>
    <t>MPIL/MVFLH/07/23-24</t>
  </si>
  <si>
    <t>26.05.2023</t>
  </si>
  <si>
    <t>TRANSFORMER AND SARVO</t>
  </si>
  <si>
    <t>MAMTA ENGINEERING- E-37,38, SEC-17 KAVI NAGARINDUSTRIAL AREA GHAIABAD U.P Phone No-+91-8800705002</t>
  </si>
  <si>
    <t>ASHU SALES PVT LTD- Out Side Delhi Gate G.T Road Ghaziabad U.P 201001 Email-ashu.aspl@gmail.com 0120-4376764, Mobile No-+91-9654719410</t>
  </si>
  <si>
    <t>MVF003</t>
  </si>
  <si>
    <t>ELECTRAL PLANES &amp; Motors</t>
  </si>
  <si>
    <t>SUDHA MACHINERIES &amp; INDUSTRIES PVT LTD- Plot No-651,652 Village Moti Bhouan , Gandhinagar, Gujarat,</t>
  </si>
  <si>
    <t>SOEN001000395</t>
  </si>
  <si>
    <t>Foil Separator Machine</t>
  </si>
  <si>
    <t>GUPTA ENTERPRISES-Shade No-6 Silver Estate Rakanpur Kalol Gandhinagar Gurajarat-382721 Contact No-8980932268</t>
  </si>
  <si>
    <t>GP2023/24/011</t>
  </si>
  <si>
    <t>HEAVY GAUGE REWINDER MACHINE</t>
  </si>
  <si>
    <t>1 SET</t>
  </si>
  <si>
    <t>SAMKRISH MACHINE TOOLS</t>
  </si>
  <si>
    <t>SAM/Q-23-24/053</t>
  </si>
  <si>
    <t>Linear Position Transducer Housing</t>
  </si>
  <si>
    <t>2 Set</t>
  </si>
  <si>
    <t>NORTH STREET COOLING TOWER PVT LTD</t>
  </si>
  <si>
    <t>NSCT/PM/23-24/314</t>
  </si>
  <si>
    <t>Cooling Tower</t>
  </si>
  <si>
    <t>1 Set</t>
  </si>
  <si>
    <t>SERVOCONTROL- Survey No-683, Industrial Estate Udyambag Delgaum 590008 Comtact No-+91-8312407501 Email-sales@servocontrolsindia.com</t>
  </si>
  <si>
    <t>1343/2223/SC</t>
  </si>
  <si>
    <t>28/20/2023</t>
  </si>
  <si>
    <t>TEMPOSONIC SENSORS ASSEMBLY</t>
  </si>
  <si>
    <t>4 Nos</t>
  </si>
  <si>
    <t>ANJNI STEELS0- Plot No-10 Loha Mandi Ghaziabad UP email-anjnisteels@gmail.com Phone No- +91-9810459039</t>
  </si>
  <si>
    <t xml:space="preserve">Machine Foundation-Iron Material </t>
  </si>
  <si>
    <t>UNITED VAN DER HORST LIMITED- MIDC, E 29/30, united van der horst ltd,taloja, navi mumbai, Mumbai Suburban,Maharashtra, 410208</t>
  </si>
  <si>
    <t>R-055,56,54,53</t>
  </si>
  <si>
    <t>Roll Chock</t>
  </si>
  <si>
    <t>RAGTRON INDIA- B-7 MG ROAD UPSIDC INDUSTRIAL AREA MASOORI GHAZIABAD U.P</t>
  </si>
  <si>
    <t>RI/VFPL/22-23/093</t>
  </si>
  <si>
    <t>DC Driver and Automation Electrical Panel</t>
  </si>
  <si>
    <t>ACG SYSTEM</t>
  </si>
  <si>
    <t>ELECTRICITY EQUIPMENT AND INSTALLATION</t>
  </si>
  <si>
    <t>Import</t>
  </si>
  <si>
    <t>S.NO.</t>
  </si>
  <si>
    <t>P.I. No</t>
  </si>
  <si>
    <t xml:space="preserve">Date </t>
  </si>
  <si>
    <t>Name of item &amp; Description</t>
  </si>
  <si>
    <t>Amount in RS</t>
  </si>
  <si>
    <t>GST AMOUNT</t>
  </si>
  <si>
    <t>TOTAL AMOUNT</t>
  </si>
  <si>
    <t>Paid by Maa</t>
  </si>
  <si>
    <t>Pay After m/c Start</t>
  </si>
  <si>
    <t>BALANCE</t>
  </si>
  <si>
    <t>Jiangyin Greenleaf Industrial Co Ltd, China</t>
  </si>
  <si>
    <t>GL-240509HT</t>
  </si>
  <si>
    <t>09/05/2024</t>
  </si>
  <si>
    <t>Heater Furnace 80pcs ( 41600$)</t>
  </si>
  <si>
    <t>Jiangsu Greenleaf Metallurgy Equipment Co Ltd,  Jiangyin Province, China</t>
  </si>
  <si>
    <t>GL-230809SP</t>
  </si>
  <si>
    <t>09/08/2023</t>
  </si>
  <si>
    <t>Spray bar1650mm &amp; 1600mm  - 2 Set ( 82000$)</t>
  </si>
  <si>
    <t>GL-230525F</t>
  </si>
  <si>
    <t>25/05/2023</t>
  </si>
  <si>
    <t>Filteration unit -2 unit (83000$)</t>
  </si>
  <si>
    <t>Jincheng Group IMP &amp; Exp Co Ltd</t>
  </si>
  <si>
    <t>avicnjsc18052024</t>
  </si>
  <si>
    <t>28/04/2024</t>
  </si>
  <si>
    <t>Sarvo control values And Emplifier (17750$)</t>
  </si>
  <si>
    <t>JIANGYIN AUPU MACHINERY CO LTD, CHINA</t>
  </si>
  <si>
    <t>F0410</t>
  </si>
  <si>
    <t>22/04/2024</t>
  </si>
  <si>
    <t>Bealling 16000$</t>
  </si>
  <si>
    <t>GL-240509RG</t>
  </si>
  <si>
    <t>Roll Grinder 270000$</t>
  </si>
  <si>
    <t xml:space="preserve">Transport Charges Against Imports APROX 16 Containers </t>
  </si>
  <si>
    <t>Total Import</t>
  </si>
  <si>
    <t>Vision Associates,                                             666-67, 1st Floor , Churiwalan, Chawri Bazar, Delhi</t>
  </si>
  <si>
    <t>THU/29/FEB/24</t>
  </si>
  <si>
    <t>29/02/2024</t>
  </si>
  <si>
    <t>Foil and sheet mill capling</t>
  </si>
  <si>
    <t xml:space="preserve">KISAAN DIE TECH PVT LTD, SS GT Road Industrial Area, Ghaziabad </t>
  </si>
  <si>
    <t>24-25D-0015</t>
  </si>
  <si>
    <t>18/05/2024</t>
  </si>
  <si>
    <t>Bearing Housing</t>
  </si>
  <si>
    <t xml:space="preserve">JASCH INDUSTRIES LIMITED,                       43/5, Bahalgarh, Sonipat, </t>
  </si>
  <si>
    <t>JIL/2023-24/064</t>
  </si>
  <si>
    <t>13/05/2023</t>
  </si>
  <si>
    <t>Electronic Thickness Gauge Sheet Mill, &amp; Foil Mill Along With AGC Panal</t>
  </si>
  <si>
    <t>M124000299</t>
  </si>
  <si>
    <t>Murugappa morgan thermail</t>
  </si>
  <si>
    <t>SHANKY ENGINEERING WORKS,                         49, Arya Nagar Industrial Area, Ghaziabad Up</t>
  </si>
  <si>
    <t>SEW/MVFL/048-M</t>
  </si>
  <si>
    <t>04/03/2024</t>
  </si>
  <si>
    <t xml:space="preserve">Heat exchanger, Admiraty Brass Tube, Copper Tube, </t>
  </si>
  <si>
    <t>FS Compressor India Pvt Ltd,                              Plot no S-3, Phase-II, Chakan MIDC Village, Savardari, Khed, Pune Maharashtra,</t>
  </si>
  <si>
    <t>P I No 2404/2024/PI007</t>
  </si>
  <si>
    <t>04/04/2024</t>
  </si>
  <si>
    <t>FS CURTIS  air compresser</t>
  </si>
  <si>
    <t>S H ENTERPRISES (GHAZIABAD</t>
  </si>
  <si>
    <t>15/05/2024</t>
  </si>
  <si>
    <t>Pneumatics accessories</t>
  </si>
  <si>
    <t>PIPE AND SECTIONS PVT LTD</t>
  </si>
  <si>
    <t>PNSPL/QT/24-25/988</t>
  </si>
  <si>
    <t>CO2 PIPE LINE</t>
  </si>
  <si>
    <t>MAA JAALPA BHAWANI ENTERPRISES,           Bhora Kalan Gurugram, Haryana</t>
  </si>
  <si>
    <t>02</t>
  </si>
  <si>
    <t>Co2</t>
  </si>
  <si>
    <t>VARIA PRATIK ENGINEERING</t>
  </si>
  <si>
    <t>15/05/24</t>
  </si>
  <si>
    <t>chock of foil mill and roll</t>
  </si>
  <si>
    <t xml:space="preserve"> chock of sheet mill and roll </t>
  </si>
  <si>
    <t xml:space="preserve">Centraline lubro tech engineers </t>
  </si>
  <si>
    <t>cl/elh-3405</t>
  </si>
  <si>
    <t>Oil mist system bearing</t>
  </si>
  <si>
    <t>A K ELECTRICALS, Bawana Delhi</t>
  </si>
  <si>
    <t>105</t>
  </si>
  <si>
    <t>02/05/2024</t>
  </si>
  <si>
    <t xml:space="preserve">DC Motor. </t>
  </si>
  <si>
    <t>V-MARC INDIA LIMITED,                                               Sector IIDC , SIDCUL, Plot no 3, 4, 18, 20, Haridwar, Uttarakhand</t>
  </si>
  <si>
    <t>Q 15/05/2024</t>
  </si>
  <si>
    <t>Wire &amp; Cable</t>
  </si>
  <si>
    <t>Gaurav Steels</t>
  </si>
  <si>
    <t>Sr No 5</t>
  </si>
  <si>
    <t>17/05/2024</t>
  </si>
  <si>
    <t>Steel for m/c hood , chiney and lining</t>
  </si>
  <si>
    <t xml:space="preserve">Action construction equipment ltd </t>
  </si>
  <si>
    <t>ace/23-24/kc/1303</t>
  </si>
  <si>
    <t>13/03/2024</t>
  </si>
  <si>
    <t>Crain</t>
  </si>
  <si>
    <t>SAHIB DASS METAL PVT LTD, Asaf Ali Road, Delhi</t>
  </si>
  <si>
    <t>DE/24-25/27</t>
  </si>
  <si>
    <t>16/05/2024</t>
  </si>
  <si>
    <t xml:space="preserve">  Hydrolic SHEET SS  </t>
  </si>
  <si>
    <t>PNSPL/QT/24-25/1014</t>
  </si>
  <si>
    <t>16/05/2025</t>
  </si>
  <si>
    <t>Hydrolic Pipeline MS AND SS</t>
  </si>
  <si>
    <t>ASHIANA HVAC SOLUTION
B12 Ground Floor, Lohia Nagar
Markeet.Ghaziabad - 201 001 (U.P)</t>
  </si>
  <si>
    <t>Q 17/05/2024</t>
  </si>
  <si>
    <t>AC For Panel</t>
  </si>
  <si>
    <t>24-25D-0016</t>
  </si>
  <si>
    <t>FORGING AS PER DRG</t>
  </si>
  <si>
    <t>AGGARWAL LUBRICANTS ,                          Ambedkar Road, Ghaziabad</t>
  </si>
  <si>
    <t>PI</t>
  </si>
  <si>
    <t>Grease AP-3</t>
  </si>
  <si>
    <t>Grease-XHP222</t>
  </si>
  <si>
    <t xml:space="preserve"> 15/05/2024 </t>
  </si>
  <si>
    <t>Hydraulic Oil 32 GREAD</t>
  </si>
  <si>
    <t xml:space="preserve"> 15/05/2024</t>
  </si>
  <si>
    <t>Hydraulic Oil 68 GREAD</t>
  </si>
  <si>
    <t>Gear Oil  8000 ltr</t>
  </si>
  <si>
    <t>TASHIKENT OIL CO PVT                                  (BARODA )</t>
  </si>
  <si>
    <t>Coolent castrol 60000 ltr</t>
  </si>
  <si>
    <t>Coolent castrol 80000 ltr</t>
  </si>
  <si>
    <t>Ginol 6000 ltr</t>
  </si>
  <si>
    <t>Panels Power Movers,                                           Block no 8, Plot no 166, Ramesh Nagar, Delhi</t>
  </si>
  <si>
    <t>PPM/029/2024-25</t>
  </si>
  <si>
    <t>LLN Blower</t>
  </si>
  <si>
    <t xml:space="preserve">ADITI POWER SOLUTION SERVICES ,                      Shahbery ,  NODIA </t>
  </si>
  <si>
    <t>APSS/GST1(24-25)</t>
  </si>
  <si>
    <t>UPS 1000 kva</t>
  </si>
  <si>
    <t>Kaveri Induetries, Kh no 42 Block D, Harpala Road, Sikari , Ballabh garh, faridabad, Haryana</t>
  </si>
  <si>
    <t>KI01</t>
  </si>
  <si>
    <t>18/5/2024</t>
  </si>
  <si>
    <t>2 FURNACE from Kaveri Industries</t>
  </si>
  <si>
    <t>01</t>
  </si>
  <si>
    <t xml:space="preserve">EARTHING </t>
  </si>
  <si>
    <t>Abhinav Pharrmaachemm,                            Pokhran Road, Thane , Maharashtra</t>
  </si>
  <si>
    <t>AP/02/23-24/DPI/RM</t>
  </si>
  <si>
    <t>POWER HYFLO SUPERCEL ZBS300</t>
  </si>
  <si>
    <t>POWER TONSIL</t>
  </si>
  <si>
    <t>Filter Paper Roll</t>
  </si>
  <si>
    <t xml:space="preserve">DADU ENTERPRICES </t>
  </si>
  <si>
    <t>DE/24-25/25</t>
  </si>
  <si>
    <t>MS Pipe and Others</t>
  </si>
  <si>
    <t>APSS/GST(24-25)</t>
  </si>
  <si>
    <t>BATTRY 200 AH 320 Nos</t>
  </si>
  <si>
    <t>ASHU SALES PVT LTD</t>
  </si>
  <si>
    <t xml:space="preserve">Mail </t>
  </si>
  <si>
    <t>08/04/2024</t>
  </si>
  <si>
    <t>Casing Pump UP150/45, Diesel Engine Pump DB80/26xe</t>
  </si>
  <si>
    <t>Raman Instruments Pvt. Ltd.                                      B-14,PUNIT INDUSTRIAL CO-OP. SOCIETY,
PLOT 11 &amp; 11 A, TTC TURBHE,
NAVI MUMBAI-400 705
E-MAIL: sales.mumbai@ramaninstruments.in
TEL. NO: +91-22-26439614/ 26439615</t>
  </si>
  <si>
    <t>RE:NRS/MVFL-HHA-FMS/24125</t>
  </si>
  <si>
    <t>20/05/2024</t>
  </si>
  <si>
    <t>Lab Equipment</t>
  </si>
  <si>
    <t>INDUSTRIAL CONTROL SYSTEM,                             1853/9, Surya Bazar, Bhagirath Palace, Delhi</t>
  </si>
  <si>
    <t>PI-022</t>
  </si>
  <si>
    <t>21/05/2024</t>
  </si>
  <si>
    <t>ABB (SH)-33 KV Ind. VCB, 1250A, 31.5kA, 3 Panel Board (1+2 Panel)</t>
  </si>
  <si>
    <t>Sona Testing Inc ,                                             12/59 B Tilak Nagar New Delhi-110018, INDIA
Tel: +91- 8810223588, 7982932201</t>
  </si>
  <si>
    <t>MVFL/STI/2024-25/221</t>
  </si>
  <si>
    <t>Fully Computerized Universal Testing Machine 5000kgf with touch screen display. Wedge Grips for Flat Dumbbell Testing</t>
  </si>
  <si>
    <t>Grand Total</t>
  </si>
  <si>
    <r>
      <rPr>
        <b/>
        <sz val="11"/>
        <rFont val="Calibri"/>
        <family val="2"/>
        <scheme val="minor"/>
      </rPr>
      <t>Murguppa Morgan Thermal Ceramics Ltd</t>
    </r>
    <r>
      <rPr>
        <sz val="11"/>
        <rFont val="Calibri"/>
        <family val="2"/>
        <scheme val="minor"/>
      </rPr>
      <t>, Plot no 681, Mothiboyan Sanand Kalol State Higway, Gandhinagar, Gujrat</t>
    </r>
  </si>
  <si>
    <t>Detail</t>
  </si>
  <si>
    <t>Sale of Aluminium Foil</t>
  </si>
  <si>
    <t xml:space="preserve">Sale of Aluminium Sheet </t>
  </si>
  <si>
    <t>Sale of Aluminium Scrap</t>
  </si>
  <si>
    <t>2800 MTPM</t>
  </si>
  <si>
    <t>ANNUAL QUANTITY (MT)</t>
  </si>
  <si>
    <t xml:space="preserve">Electricity &amp; Power </t>
  </si>
  <si>
    <t>Water</t>
  </si>
  <si>
    <t xml:space="preserve">R &amp; M </t>
  </si>
  <si>
    <t>S.NO</t>
  </si>
  <si>
    <t>DESIGNATION</t>
  </si>
  <si>
    <t>SALARY P.M.</t>
  </si>
  <si>
    <t>NO'S</t>
  </si>
  <si>
    <t>AMOUNT</t>
  </si>
  <si>
    <t>FACTORY GENERAL  MANAGER</t>
  </si>
  <si>
    <t>SUPERVISOR</t>
  </si>
  <si>
    <t>SALES MARKETING EXECUTIVES</t>
  </si>
  <si>
    <t>ACCOUNTS STAFF</t>
  </si>
  <si>
    <t>CLERK / TYPIST ETC</t>
  </si>
  <si>
    <t>SKILLED WORKERS</t>
  </si>
  <si>
    <t>SEMI SKILLED WORKERS</t>
  </si>
  <si>
    <t>HELPER</t>
  </si>
  <si>
    <t>PEON /CHOWKIDAR 10</t>
  </si>
  <si>
    <t xml:space="preserve">ANNUAL SALARY/ WAGES </t>
  </si>
  <si>
    <t>Salary and wages</t>
  </si>
  <si>
    <t>Selling &amp; Distribution</t>
  </si>
  <si>
    <t>Misc Expenses</t>
  </si>
  <si>
    <t>2. Power</t>
  </si>
  <si>
    <t>3. Water</t>
  </si>
  <si>
    <t>1. Salary &amp; Wages</t>
  </si>
  <si>
    <t>4. Repair &amp; Maintenance</t>
  </si>
  <si>
    <t>2. Selling &amp; Distribution</t>
  </si>
  <si>
    <t>LAND</t>
  </si>
  <si>
    <t>FURNITURE &amp; FIXTURES</t>
  </si>
  <si>
    <t>Furniture &amp; Fixtures</t>
  </si>
  <si>
    <t>WDV of Furniture &amp; Fixtures</t>
  </si>
  <si>
    <t>R&amp;M</t>
  </si>
  <si>
    <t>Total Trade Payables</t>
  </si>
  <si>
    <t>Term Loan - 1</t>
  </si>
  <si>
    <t>Check</t>
  </si>
  <si>
    <t>-</t>
  </si>
  <si>
    <t>Term Loan - 2</t>
  </si>
  <si>
    <t>July-24 to Mar-25</t>
  </si>
  <si>
    <t>Term Loan-1</t>
  </si>
  <si>
    <t>Term Loan-2</t>
  </si>
  <si>
    <t>Unsecured Loan</t>
  </si>
  <si>
    <t>Increase in UL</t>
  </si>
  <si>
    <t>Cash Loss During Construction Period</t>
  </si>
  <si>
    <t>Increase of 10% considered as capacity is also increasing</t>
  </si>
  <si>
    <t>Damodaran - Metals &amp; Mining</t>
  </si>
  <si>
    <t>RBI - 10-Year G-Sec Par Yield (FBIL) - 16 June 2026</t>
  </si>
  <si>
    <t xml:space="preserve">Project cost for a similar capacity os upwards of NR 300 Cr as per secondary research </t>
  </si>
  <si>
    <t>https://www.indiaratings.co.in/pressrelease/69678</t>
  </si>
  <si>
    <t>https://www.indianchemicalnews.com/chemical/srf-commissions-aluminium-foil-manufacturing-facility-in-jetapur-mp-20392#:~:text=SRF%20Limited%20has%20inaugurated%20a,MTPA%20of%20rolled%20aluminium%20foil.</t>
  </si>
  <si>
    <t>https://www.moneycontrol.com/news/business/markets/srf-shares-rise-1-as-company-commissions-rs-536-crore-aluminium-foil-manufacturing-facility-11986161.html</t>
  </si>
  <si>
    <t>Company</t>
  </si>
  <si>
    <t>Unit</t>
  </si>
  <si>
    <t>Capacity (MTPA)</t>
  </si>
  <si>
    <t>SRF Ltd</t>
  </si>
  <si>
    <t>Capex (Lakhs)</t>
  </si>
  <si>
    <t>Without land</t>
  </si>
  <si>
    <t>Aluminum foil plant</t>
  </si>
  <si>
    <t>Under Construction</t>
  </si>
  <si>
    <t xml:space="preserve">SHYAM METALICS </t>
  </si>
  <si>
    <t>Capex per MTPA (Lakhs)</t>
  </si>
  <si>
    <t>https://economictimes.indiatimes.com/industry/indl-goods/svs/steel/shyam-metalics-plans-to-invest-rs-850cr-in-fy22-ropes-in-salman-khan-for-tmt-bar-promotion/articleshow/86558558.cms?from=mdr</t>
  </si>
  <si>
    <t>FY2021-22</t>
  </si>
  <si>
    <t>Chiripal Polyfilms Limited</t>
  </si>
  <si>
    <t>Aluminum foil manufacturing facility</t>
  </si>
  <si>
    <t>Aluminum foil rolling mill</t>
  </si>
  <si>
    <t>Hindalco</t>
  </si>
  <si>
    <t>FY2023-24</t>
  </si>
  <si>
    <t>https://economictimes.indiatimes.com/markets/expert-view/shyam-metalics-expects-to-start-commercial-production-in-q2-of-next-year-sheetij-agarwal/articleshow/103985232.cms?from=mdr</t>
  </si>
  <si>
    <t>https://www.hindalco.com/media/press-releases/hindalco-set-up-battery-foil-manufacturing-facility-Odisha-tap-ev-market</t>
  </si>
  <si>
    <t>FY2022-23</t>
  </si>
  <si>
    <t>P G Foils Ltd</t>
  </si>
  <si>
    <t>Replacement cost of plant (leasehold land)</t>
  </si>
  <si>
    <t>Term Loan 1</t>
  </si>
  <si>
    <t>Term Loan 2</t>
  </si>
  <si>
    <t>Total P&amp;M</t>
  </si>
  <si>
    <t>Consideration of INR 21334000 as per conveyance deed</t>
  </si>
  <si>
    <t>Detail/quotation</t>
  </si>
  <si>
    <t>Detail/quotation for TL-1 items</t>
  </si>
  <si>
    <t>COD - Phase 1</t>
  </si>
  <si>
    <t>Investment in NWC</t>
  </si>
  <si>
    <t>https://nalcoindia.com/domestic/current-price/</t>
  </si>
  <si>
    <t>https://aluminiummagazine.com/mag/business/current-aluminium-price.html#google_vignette</t>
  </si>
  <si>
    <t>Foil scrap - avg price ~200 per kg (200000 per MT)</t>
  </si>
  <si>
    <t>fine-quality aluminium foil for EVs</t>
  </si>
  <si>
    <t>84 Months</t>
  </si>
  <si>
    <t>Industry average PAT margins ~ 5%</t>
  </si>
  <si>
    <t>PRODUCTION (MTPA)</t>
  </si>
  <si>
    <t>REVENUE (LAKHS)</t>
  </si>
  <si>
    <t>Revenue per MTPA</t>
  </si>
  <si>
    <t>PG FOILS</t>
  </si>
  <si>
    <t>RAVIRAJ FOILS</t>
  </si>
  <si>
    <t>Production (MTPA)</t>
  </si>
  <si>
    <t>LSKB Aluminium Foils Private Limited</t>
  </si>
  <si>
    <t>Shah Foils</t>
  </si>
  <si>
    <t>Annual Consumption of aluminium (7mm foil stock)</t>
  </si>
  <si>
    <t>Sale of Aluminium Foil (0.010 mm to 0.350 mm)</t>
  </si>
  <si>
    <t xml:space="preserve">Sale of Aluminium Sheet (0.350 mm to 6 mm) </t>
  </si>
  <si>
    <t>https://www.indiamart.com/proddetail/src-aluminium-foil-for-containers-21188344355.html</t>
  </si>
  <si>
    <t>Amount at 100% capacity as informed by the client</t>
  </si>
  <si>
    <t>https://dir.indiamart.com/delhi/aluminum-roofing-sheet.html</t>
  </si>
  <si>
    <t>Foil - avg price ~290000 per MT for 32 microns SRC (Semi Rigid Container foil)</t>
  </si>
  <si>
    <t>Sheet - avg price ~270000 per MT for 0.35 MM (roofing sheet)</t>
  </si>
  <si>
    <t>As per DPR</t>
  </si>
  <si>
    <t>4000 KVA requried at 100% capacity, application filed for 4000 KVA load</t>
  </si>
  <si>
    <t>Industry average EBITDA margins ~ 8%-10%</t>
  </si>
  <si>
    <t>Terminal value</t>
  </si>
  <si>
    <t>Total cash flows</t>
  </si>
  <si>
    <t xml:space="preserve">Capex = depreciation in TY </t>
  </si>
  <si>
    <t>Project NPV (Post-tax)</t>
  </si>
  <si>
    <t>Interest on Unscured Loan</t>
  </si>
  <si>
    <t>Interest on CC Limit</t>
  </si>
  <si>
    <t>7mm Foil stock will be used as RM. Ingot will be used plus 3000 per MT conversion charges for rolling. Inglot Price ~ 242000 per MT.</t>
  </si>
  <si>
    <t>9 Months</t>
  </si>
  <si>
    <t>Total value lakhs</t>
  </si>
  <si>
    <t>traded lots</t>
  </si>
  <si>
    <t>ESCALATION FACTOR (5%)</t>
  </si>
  <si>
    <t>5% considered as risk free rate, future prices of commodities increase by rf</t>
  </si>
  <si>
    <t xml:space="preserve">Annual Capacity </t>
  </si>
  <si>
    <t>PRFOTIBILITY ESTIMATES  (300 days)</t>
  </si>
  <si>
    <t>0 M</t>
  </si>
  <si>
    <t>Required in year 2</t>
  </si>
  <si>
    <t>80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</si>
</sst>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_(* #,##0.00_);_(* \(#,##0.00\);_(* &quot;-&quot;??_);_(@_)"/>
    <numFmt numFmtId="165" formatCode="0.0"/>
    <numFmt numFmtId="166" formatCode="&quot;₹&quot;\ #,##0.00"/>
    <numFmt numFmtId="167" formatCode="&quot;₹&quot;\ #,##0"/>
    <numFmt numFmtId="168" formatCode="[$₹-439]#,##0"/>
    <numFmt numFmtId="169" formatCode="_(* #,##0_);_(* \(#,##0\);_(* &quot;-&quot;??_);_(@_)"/>
    <numFmt numFmtId="170" formatCode="0.0%"/>
    <numFmt numFmtId="171" formatCode="&quot;₹&quot;#,##0.00"/>
    <numFmt numFmtId="172" formatCode="0.00_);\(0.00\)"/>
    <numFmt numFmtId="173" formatCode="_ * #,##0_ ;_ * \-#,##0_ ;_ * &quot;-&quot;??_ ;_ @_ "/>
    <numFmt numFmtId="174" formatCode="0.000%"/>
    <numFmt numFmtId="175" formatCode="0.0_);\(0.0\)"/>
    <numFmt numFmtId="176" formatCode="#,##0.0"/>
    <numFmt numFmtId="177" formatCode="0;[Red]0"/>
    <numFmt numFmtId="178" formatCode="&quot;₹&quot;\ #,##0.000"/>
  </numFmts>
  <fonts count="44" x14ac:knownFonts="1">
    <font>
      <sz val="11"/>
      <color theme="1"/>
      <name val="Calibri"/>
      <family val="2"/>
      <scheme val="minor"/>
    </font>
    <font>
      <sz val="11"/>
      <color theme="1"/>
      <name val="Times New Roman"/>
      <family val="1"/>
    </font>
    <font>
      <b/>
      <sz val="11"/>
      <color theme="1"/>
      <name val="Calibri"/>
      <family val="2"/>
      <scheme val="minor"/>
    </font>
    <font>
      <sz val="12"/>
      <color theme="1"/>
      <name val="Times New Roman"/>
      <family val="1"/>
    </font>
    <font>
      <sz val="12"/>
      <color theme="1"/>
      <name val="Calibri"/>
      <family val="2"/>
      <scheme val="minor"/>
    </font>
    <font>
      <b/>
      <sz val="12"/>
      <color theme="1"/>
      <name val="Times New Roman"/>
      <family val="1"/>
    </font>
    <font>
      <b/>
      <sz val="12"/>
      <color theme="1"/>
      <name val="Calibri"/>
      <family val="2"/>
      <scheme val="minor"/>
    </font>
    <font>
      <b/>
      <sz val="14"/>
      <color theme="1"/>
      <name val="Times New Roman"/>
      <family val="1"/>
    </font>
    <font>
      <b/>
      <sz val="11"/>
      <color theme="1"/>
      <name val="Times New Roman"/>
      <family val="1"/>
    </font>
    <font>
      <sz val="12"/>
      <color rgb="FF000000"/>
      <name val="Times New Roman"/>
      <family val="1"/>
    </font>
    <font>
      <sz val="11"/>
      <color theme="1"/>
      <name val="Calibri"/>
      <family val="2"/>
      <scheme val="minor"/>
    </font>
    <font>
      <sz val="10"/>
      <name val="Arial"/>
      <family val="2"/>
    </font>
    <font>
      <b/>
      <sz val="10"/>
      <name val="Arial"/>
      <family val="2"/>
    </font>
    <font>
      <sz val="10"/>
      <name val="Arial"/>
      <family val="2"/>
    </font>
    <font>
      <sz val="11"/>
      <color theme="1"/>
      <name val="Calibri"/>
      <family val="2"/>
    </font>
    <font>
      <b/>
      <sz val="11"/>
      <color theme="1"/>
      <name val="Calibri"/>
      <family val="2"/>
    </font>
    <font>
      <b/>
      <sz val="11"/>
      <color rgb="FF000000"/>
      <name val="Calibri"/>
      <family val="2"/>
    </font>
    <font>
      <sz val="11"/>
      <color rgb="FF000000"/>
      <name val="Calibri"/>
      <family val="2"/>
    </font>
    <font>
      <b/>
      <sz val="11"/>
      <color theme="0"/>
      <name val="Calibri"/>
      <family val="2"/>
    </font>
    <font>
      <b/>
      <sz val="12"/>
      <color rgb="FFC00000"/>
      <name val="Calibri"/>
      <family val="2"/>
    </font>
    <font>
      <b/>
      <sz val="11"/>
      <name val="Calibri"/>
      <family val="2"/>
    </font>
    <font>
      <b/>
      <sz val="11"/>
      <color rgb="FFC00000"/>
      <name val="Calibri"/>
      <family val="2"/>
    </font>
    <font>
      <sz val="11"/>
      <color theme="0"/>
      <name val="Calibri"/>
      <family val="2"/>
    </font>
    <font>
      <sz val="11"/>
      <name val="Calibri"/>
      <family val="2"/>
    </font>
    <font>
      <sz val="11"/>
      <color rgb="FFC00000"/>
      <name val="Calibri"/>
      <family val="2"/>
    </font>
    <font>
      <sz val="11"/>
      <color rgb="FFFF0000"/>
      <name val="Calibri"/>
      <family val="2"/>
    </font>
    <font>
      <b/>
      <sz val="11"/>
      <color indexed="12"/>
      <name val="Calibri"/>
      <family val="2"/>
    </font>
    <font>
      <b/>
      <i/>
      <sz val="11"/>
      <color theme="1"/>
      <name val="Calibri"/>
      <family val="2"/>
    </font>
    <font>
      <sz val="11"/>
      <name val="Calibri"/>
      <family val="2"/>
      <scheme val="minor"/>
    </font>
    <font>
      <i/>
      <sz val="11"/>
      <color theme="1"/>
      <name val="Calibri"/>
      <family val="2"/>
    </font>
    <font>
      <b/>
      <sz val="11"/>
      <color theme="0"/>
      <name val="Calibri"/>
      <family val="2"/>
      <scheme val="minor"/>
    </font>
    <font>
      <u/>
      <sz val="11"/>
      <color theme="10"/>
      <name val="Calibri"/>
      <family val="2"/>
      <scheme val="minor"/>
    </font>
    <font>
      <b/>
      <sz val="10"/>
      <color theme="0"/>
      <name val="Calibri"/>
      <family val="2"/>
    </font>
    <font>
      <sz val="10"/>
      <name val="Calibri"/>
      <family val="2"/>
    </font>
    <font>
      <sz val="11"/>
      <color theme="1"/>
      <name val="Times New Roman"/>
      <family val="2"/>
    </font>
    <font>
      <b/>
      <u/>
      <sz val="10"/>
      <name val="Calibri"/>
      <family val="2"/>
    </font>
    <font>
      <i/>
      <sz val="10"/>
      <color rgb="FFFF0000"/>
      <name val="Calibri"/>
      <family val="2"/>
    </font>
    <font>
      <i/>
      <sz val="10"/>
      <name val="Calibri"/>
      <family val="2"/>
    </font>
    <font>
      <b/>
      <sz val="10"/>
      <name val="Calibri"/>
      <family val="2"/>
    </font>
    <font>
      <b/>
      <u/>
      <sz val="11"/>
      <name val="Calibri"/>
      <family val="2"/>
      <scheme val="minor"/>
    </font>
    <font>
      <b/>
      <sz val="11"/>
      <name val="Calibri"/>
      <family val="2"/>
      <scheme val="minor"/>
    </font>
    <font>
      <b/>
      <sz val="11"/>
      <color rgb="FFFF0000"/>
      <name val="Calibri"/>
      <family val="2"/>
    </font>
    <font>
      <sz val="11"/>
      <color rgb="FFFF0000"/>
      <name val="Calibri"/>
      <family val="2"/>
      <scheme val="minor"/>
    </font>
    <font>
      <sz val="11"/>
      <color theme="1"/>
      <name val="Arial"/>
      <family val="2"/>
    </font>
  </fonts>
  <fills count="19">
    <fill>
      <patternFill patternType="none"/>
    </fill>
    <fill>
      <patternFill patternType="gray125"/>
    </fill>
    <fill>
      <patternFill patternType="solid">
        <fgColor indexed="9"/>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22"/>
        <bgColor indexed="64"/>
      </patternFill>
    </fill>
    <fill>
      <patternFill patternType="solid">
        <fgColor theme="3" tint="0.79998168889431442"/>
        <bgColor indexed="64"/>
      </patternFill>
    </fill>
    <fill>
      <patternFill patternType="solid">
        <fgColor rgb="FF002060"/>
        <bgColor indexed="64"/>
      </patternFill>
    </fill>
    <fill>
      <patternFill patternType="solid">
        <fgColor theme="3"/>
        <bgColor indexed="64"/>
      </patternFill>
    </fill>
    <fill>
      <patternFill patternType="solid">
        <fgColor theme="0"/>
        <bgColor indexed="64"/>
      </patternFill>
    </fill>
    <fill>
      <patternFill patternType="solid">
        <fgColor rgb="FF01274E"/>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9" fontId="10" fillId="0" borderId="0" applyFont="0" applyFill="0" applyBorder="0" applyAlignment="0" applyProtection="0"/>
    <xf numFmtId="0" fontId="11" fillId="0" borderId="0"/>
    <xf numFmtId="9" fontId="11" fillId="0" borderId="0" applyFont="0" applyFill="0" applyBorder="0" applyAlignment="0" applyProtection="0"/>
    <xf numFmtId="165" fontId="10" fillId="0" borderId="0" applyFont="0" applyFill="0" applyBorder="0" applyAlignment="0" applyProtection="0"/>
    <xf numFmtId="0" fontId="13" fillId="0" borderId="0"/>
    <xf numFmtId="43" fontId="10" fillId="0" borderId="0" applyFont="0" applyFill="0" applyBorder="0" applyAlignment="0" applyProtection="0"/>
    <xf numFmtId="0" fontId="11" fillId="0" borderId="0"/>
    <xf numFmtId="0" fontId="31" fillId="0" borderId="0" applyNumberFormat="0" applyFill="0" applyBorder="0" applyAlignment="0" applyProtection="0"/>
    <xf numFmtId="0" fontId="11" fillId="0" borderId="0"/>
    <xf numFmtId="0" fontId="34" fillId="0" borderId="0"/>
  </cellStyleXfs>
  <cellXfs count="493">
    <xf numFmtId="0" fontId="0" fillId="0" borderId="0" xfId="0"/>
    <xf numFmtId="0" fontId="1" fillId="0" borderId="0" xfId="0" applyFont="1"/>
    <xf numFmtId="0" fontId="1" fillId="0" borderId="0" xfId="0" applyFont="1" applyAlignment="1">
      <alignment horizontal="center" vertical="center" wrapText="1"/>
    </xf>
    <xf numFmtId="0" fontId="1" fillId="0" borderId="0" xfId="0" applyFont="1" applyAlignment="1">
      <alignment vertical="center"/>
    </xf>
    <xf numFmtId="0" fontId="8" fillId="0" borderId="0" xfId="0" applyFont="1" applyAlignment="1">
      <alignment horizontal="center" vertical="center" wrapText="1"/>
    </xf>
    <xf numFmtId="0" fontId="1" fillId="0" borderId="0" xfId="0" applyFont="1" applyAlignment="1">
      <alignment horizontal="left" vertical="center" wrapText="1"/>
    </xf>
    <xf numFmtId="0" fontId="8" fillId="0" borderId="0" xfId="0" applyFont="1" applyAlignment="1">
      <alignment horizontal="center" vertical="center"/>
    </xf>
    <xf numFmtId="0" fontId="1" fillId="0" borderId="1" xfId="0" applyFont="1" applyBorder="1"/>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0" fillId="0" borderId="0" xfId="0" applyAlignment="1">
      <alignment horizontal="center"/>
    </xf>
    <xf numFmtId="0" fontId="1"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3" fontId="8" fillId="0" borderId="0" xfId="0" applyNumberFormat="1" applyFont="1" applyAlignment="1">
      <alignment horizontal="right" vertical="center"/>
    </xf>
    <xf numFmtId="0" fontId="5"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3" fontId="3" fillId="0" borderId="1" xfId="0" applyNumberFormat="1" applyFont="1" applyBorder="1" applyAlignment="1">
      <alignment horizontal="right" vertical="center"/>
    </xf>
    <xf numFmtId="0" fontId="9" fillId="0" borderId="1" xfId="0" applyFont="1" applyBorder="1" applyAlignment="1">
      <alignment horizontal="center" vertical="center"/>
    </xf>
    <xf numFmtId="2" fontId="0" fillId="0" borderId="0" xfId="0" applyNumberFormat="1"/>
    <xf numFmtId="0" fontId="0" fillId="0" borderId="1" xfId="0" applyBorder="1"/>
    <xf numFmtId="9" fontId="0" fillId="0" borderId="1" xfId="0" applyNumberFormat="1" applyBorder="1"/>
    <xf numFmtId="2" fontId="0" fillId="0" borderId="1" xfId="0" applyNumberFormat="1" applyBorder="1"/>
    <xf numFmtId="0" fontId="3" fillId="0" borderId="1" xfId="0" applyFont="1" applyBorder="1" applyAlignment="1">
      <alignment horizontal="left" wrapText="1"/>
    </xf>
    <xf numFmtId="0" fontId="1" fillId="0" borderId="1" xfId="0" applyFont="1" applyBorder="1" applyAlignment="1">
      <alignment horizontal="left" vertical="center" wrapText="1" indent="1"/>
    </xf>
    <xf numFmtId="0" fontId="3" fillId="0" borderId="0" xfId="0" applyFont="1" applyAlignment="1">
      <alignment vertical="center"/>
    </xf>
    <xf numFmtId="0" fontId="3" fillId="0" borderId="0" xfId="0" applyFont="1" applyAlignment="1">
      <alignment horizontal="center" vertical="center"/>
    </xf>
    <xf numFmtId="4" fontId="1" fillId="0" borderId="1" xfId="0" applyNumberFormat="1" applyFont="1" applyBorder="1" applyAlignment="1">
      <alignment vertical="center"/>
    </xf>
    <xf numFmtId="2" fontId="1" fillId="0" borderId="1" xfId="0" applyNumberFormat="1" applyFont="1" applyBorder="1" applyAlignment="1">
      <alignment vertical="center"/>
    </xf>
    <xf numFmtId="2" fontId="8" fillId="0" borderId="1" xfId="0" applyNumberFormat="1" applyFont="1" applyBorder="1" applyAlignment="1">
      <alignment vertical="center"/>
    </xf>
    <xf numFmtId="4" fontId="8" fillId="0" borderId="1" xfId="0" applyNumberFormat="1"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indent="5"/>
    </xf>
    <xf numFmtId="3" fontId="3" fillId="0" borderId="1" xfId="0" applyNumberFormat="1" applyFont="1" applyBorder="1" applyAlignment="1">
      <alignment horizontal="right" vertical="center" indent="1"/>
    </xf>
    <xf numFmtId="3" fontId="5" fillId="0" borderId="1" xfId="0" applyNumberFormat="1" applyFont="1" applyBorder="1" applyAlignment="1">
      <alignment horizontal="right" vertical="center" indent="1"/>
    </xf>
    <xf numFmtId="1" fontId="0" fillId="0" borderId="1" xfId="0" applyNumberFormat="1" applyBorder="1"/>
    <xf numFmtId="1" fontId="0" fillId="0" borderId="1" xfId="0" applyNumberFormat="1" applyBorder="1" applyAlignment="1">
      <alignment horizontal="center"/>
    </xf>
    <xf numFmtId="0" fontId="12" fillId="2" borderId="1" xfId="5" applyFont="1" applyFill="1" applyBorder="1" applyAlignment="1">
      <alignment vertical="center"/>
    </xf>
    <xf numFmtId="9" fontId="8" fillId="0" borderId="1" xfId="1" applyFont="1" applyBorder="1" applyAlignment="1">
      <alignment vertical="center"/>
    </xf>
    <xf numFmtId="10" fontId="2" fillId="0" borderId="1" xfId="0" applyNumberFormat="1" applyFont="1" applyBorder="1"/>
    <xf numFmtId="0" fontId="14" fillId="0" borderId="0" xfId="0" applyFont="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3" fontId="14" fillId="0" borderId="0" xfId="0" applyNumberFormat="1" applyFont="1" applyAlignment="1">
      <alignment horizontal="center" vertical="center"/>
    </xf>
    <xf numFmtId="3" fontId="15" fillId="0" borderId="0" xfId="0" applyNumberFormat="1" applyFont="1" applyAlignment="1">
      <alignment horizontal="right" vertical="center"/>
    </xf>
    <xf numFmtId="0" fontId="15" fillId="0" borderId="0" xfId="0" applyFont="1" applyAlignment="1">
      <alignment horizontal="left" vertical="center" wrapText="1"/>
    </xf>
    <xf numFmtId="0" fontId="14" fillId="0" borderId="0" xfId="0" applyFont="1" applyAlignment="1">
      <alignment horizontal="left" vertical="center"/>
    </xf>
    <xf numFmtId="3" fontId="15" fillId="0" borderId="0" xfId="0" applyNumberFormat="1" applyFont="1" applyAlignment="1">
      <alignment horizontal="center" vertical="center"/>
    </xf>
    <xf numFmtId="0" fontId="14" fillId="0" borderId="0" xfId="0" applyFont="1" applyAlignment="1">
      <alignment vertical="center" wrapText="1"/>
    </xf>
    <xf numFmtId="1" fontId="14" fillId="0" borderId="0" xfId="0" applyNumberFormat="1" applyFont="1" applyAlignment="1">
      <alignment horizontal="center" vertical="center"/>
    </xf>
    <xf numFmtId="166" fontId="15" fillId="0" borderId="0" xfId="0" applyNumberFormat="1" applyFont="1" applyAlignment="1">
      <alignment horizontal="center" vertical="center"/>
    </xf>
    <xf numFmtId="0" fontId="16" fillId="0" borderId="0" xfId="0" applyFont="1" applyAlignment="1">
      <alignment horizontal="left" vertical="center" wrapText="1"/>
    </xf>
    <xf numFmtId="0" fontId="17"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top"/>
    </xf>
    <xf numFmtId="171" fontId="15" fillId="0" borderId="0" xfId="0" applyNumberFormat="1" applyFont="1" applyAlignment="1">
      <alignment horizontal="center" vertical="center"/>
    </xf>
    <xf numFmtId="9" fontId="14" fillId="0" borderId="0" xfId="0" applyNumberFormat="1" applyFont="1" applyAlignment="1">
      <alignment horizontal="center" vertical="center"/>
    </xf>
    <xf numFmtId="10" fontId="14" fillId="0" borderId="0" xfId="0" applyNumberFormat="1"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vertical="center"/>
    </xf>
    <xf numFmtId="38" fontId="14" fillId="0" borderId="0" xfId="0" applyNumberFormat="1" applyFont="1" applyAlignment="1">
      <alignment horizontal="center" vertical="center"/>
    </xf>
    <xf numFmtId="0" fontId="15" fillId="0" borderId="0" xfId="0" applyFont="1" applyAlignment="1">
      <alignment horizontal="center" wrapText="1"/>
    </xf>
    <xf numFmtId="168" fontId="15" fillId="0" borderId="0" xfId="0" applyNumberFormat="1" applyFont="1" applyAlignment="1">
      <alignment horizontal="center" vertical="center"/>
    </xf>
    <xf numFmtId="167" fontId="14" fillId="0" borderId="0" xfId="0" applyNumberFormat="1" applyFont="1" applyAlignment="1">
      <alignment horizontal="center" vertical="center"/>
    </xf>
    <xf numFmtId="167" fontId="15" fillId="0" borderId="0" xfId="0" applyNumberFormat="1" applyFont="1" applyAlignment="1">
      <alignment horizontal="center" vertical="center"/>
    </xf>
    <xf numFmtId="0" fontId="18" fillId="10" borderId="0" xfId="0" applyFont="1" applyFill="1" applyAlignment="1">
      <alignment horizontal="center" wrapText="1"/>
    </xf>
    <xf numFmtId="0" fontId="15" fillId="9" borderId="0" xfId="0" applyFont="1" applyFill="1" applyAlignment="1">
      <alignment horizontal="center" vertical="center"/>
    </xf>
    <xf numFmtId="0" fontId="15" fillId="9" borderId="0" xfId="0" applyFont="1" applyFill="1" applyAlignment="1">
      <alignment horizontal="center" vertical="center" wrapText="1"/>
    </xf>
    <xf numFmtId="0" fontId="14" fillId="9" borderId="0" xfId="0" applyFont="1" applyFill="1" applyAlignment="1">
      <alignment horizontal="center" vertical="center"/>
    </xf>
    <xf numFmtId="0" fontId="15" fillId="0" borderId="2" xfId="0" applyFont="1" applyBorder="1" applyAlignment="1">
      <alignment horizontal="center" vertical="center"/>
    </xf>
    <xf numFmtId="0" fontId="14" fillId="0" borderId="2" xfId="0" applyFont="1" applyBorder="1" applyAlignment="1">
      <alignment horizontal="left" vertical="center" wrapText="1"/>
    </xf>
    <xf numFmtId="166" fontId="15" fillId="0" borderId="2" xfId="0" applyNumberFormat="1" applyFont="1" applyBorder="1" applyAlignment="1">
      <alignment horizontal="center" vertical="center"/>
    </xf>
    <xf numFmtId="0" fontId="15" fillId="9" borderId="2" xfId="0" applyFont="1" applyFill="1" applyBorder="1" applyAlignment="1">
      <alignment horizontal="center" vertical="center"/>
    </xf>
    <xf numFmtId="0" fontId="15" fillId="9" borderId="2" xfId="0" applyFont="1" applyFill="1" applyBorder="1" applyAlignment="1">
      <alignment horizontal="center" vertical="center" wrapText="1"/>
    </xf>
    <xf numFmtId="166" fontId="15" fillId="9" borderId="2" xfId="0" applyNumberFormat="1" applyFont="1" applyFill="1" applyBorder="1" applyAlignment="1">
      <alignment horizontal="center" vertical="center"/>
    </xf>
    <xf numFmtId="0" fontId="15" fillId="0" borderId="2" xfId="0" applyFont="1" applyBorder="1" applyAlignment="1">
      <alignment horizontal="center" vertical="center" wrapText="1"/>
    </xf>
    <xf numFmtId="3" fontId="15"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left" vertical="center" wrapText="1"/>
    </xf>
    <xf numFmtId="3" fontId="15" fillId="0" borderId="2" xfId="0" applyNumberFormat="1" applyFont="1" applyBorder="1" applyAlignment="1">
      <alignment horizontal="right" vertical="center"/>
    </xf>
    <xf numFmtId="3" fontId="14" fillId="0" borderId="2" xfId="0" applyNumberFormat="1" applyFont="1" applyBorder="1" applyAlignment="1">
      <alignment horizontal="center" vertical="center"/>
    </xf>
    <xf numFmtId="168" fontId="15" fillId="0" borderId="2" xfId="0" applyNumberFormat="1" applyFont="1" applyBorder="1" applyAlignment="1">
      <alignment horizontal="center" vertical="center"/>
    </xf>
    <xf numFmtId="0" fontId="14" fillId="0" borderId="2" xfId="0" applyFont="1" applyBorder="1" applyAlignment="1">
      <alignment horizontal="center" vertical="center" wrapText="1"/>
    </xf>
    <xf numFmtId="0" fontId="15" fillId="9" borderId="2" xfId="0" applyFont="1" applyFill="1" applyBorder="1" applyAlignment="1">
      <alignment horizontal="left" vertical="center" wrapText="1"/>
    </xf>
    <xf numFmtId="3" fontId="14" fillId="9" borderId="2" xfId="0" applyNumberFormat="1" applyFont="1" applyFill="1" applyBorder="1" applyAlignment="1">
      <alignment horizontal="center" vertical="center"/>
    </xf>
    <xf numFmtId="167" fontId="15" fillId="9" borderId="2" xfId="0" applyNumberFormat="1" applyFont="1" applyFill="1" applyBorder="1" applyAlignment="1">
      <alignment horizontal="center" vertical="center"/>
    </xf>
    <xf numFmtId="0" fontId="15" fillId="9" borderId="2" xfId="0" applyFont="1" applyFill="1" applyBorder="1" applyAlignment="1">
      <alignment vertical="center" wrapText="1"/>
    </xf>
    <xf numFmtId="0" fontId="15" fillId="9" borderId="2" xfId="0" applyFont="1" applyFill="1" applyBorder="1" applyAlignment="1">
      <alignment vertical="center"/>
    </xf>
    <xf numFmtId="0" fontId="18" fillId="10" borderId="0" xfId="0" applyFont="1" applyFill="1" applyAlignment="1">
      <alignment horizontal="center" vertical="center"/>
    </xf>
    <xf numFmtId="0" fontId="18" fillId="10" borderId="0" xfId="0" applyFont="1" applyFill="1" applyAlignment="1">
      <alignment horizontal="center" vertical="center" wrapText="1"/>
    </xf>
    <xf numFmtId="167" fontId="18" fillId="10" borderId="0" xfId="0" applyNumberFormat="1" applyFont="1" applyFill="1" applyAlignment="1">
      <alignment horizontal="center" vertical="center"/>
    </xf>
    <xf numFmtId="0" fontId="14" fillId="0" borderId="0" xfId="0" applyFont="1"/>
    <xf numFmtId="0" fontId="14" fillId="0" borderId="0" xfId="0" applyFont="1" applyAlignment="1">
      <alignment vertical="center"/>
    </xf>
    <xf numFmtId="2" fontId="14" fillId="0" borderId="0" xfId="0" applyNumberFormat="1" applyFont="1" applyAlignment="1">
      <alignment vertical="center"/>
    </xf>
    <xf numFmtId="9" fontId="14" fillId="0" borderId="0" xfId="1" applyFont="1" applyBorder="1" applyAlignment="1">
      <alignment vertical="center"/>
    </xf>
    <xf numFmtId="2" fontId="14" fillId="0" borderId="0" xfId="0" applyNumberFormat="1" applyFont="1" applyAlignment="1">
      <alignment horizontal="center" vertical="center"/>
    </xf>
    <xf numFmtId="0" fontId="14" fillId="0" borderId="0" xfId="0" applyFont="1" applyAlignment="1">
      <alignment wrapText="1"/>
    </xf>
    <xf numFmtId="0" fontId="14" fillId="0" borderId="0" xfId="0" applyFont="1" applyAlignment="1">
      <alignment horizontal="center" wrapText="1"/>
    </xf>
    <xf numFmtId="0" fontId="15" fillId="9" borderId="0" xfId="0" applyFont="1" applyFill="1" applyAlignment="1">
      <alignment vertical="center"/>
    </xf>
    <xf numFmtId="167" fontId="15" fillId="9" borderId="0" xfId="0" applyNumberFormat="1" applyFont="1" applyFill="1" applyAlignment="1">
      <alignment horizontal="center" vertical="center"/>
    </xf>
    <xf numFmtId="166" fontId="14" fillId="9" borderId="0" xfId="0" applyNumberFormat="1" applyFont="1" applyFill="1" applyAlignment="1">
      <alignment horizontal="center" vertical="center"/>
    </xf>
    <xf numFmtId="0" fontId="14" fillId="9" borderId="2" xfId="0" applyFont="1" applyFill="1" applyBorder="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4" fillId="0" borderId="0" xfId="0" applyFont="1" applyAlignment="1">
      <alignment horizontal="center"/>
    </xf>
    <xf numFmtId="0" fontId="15" fillId="9" borderId="0" xfId="0" applyFont="1" applyFill="1" applyAlignment="1">
      <alignment vertical="center" wrapText="1"/>
    </xf>
    <xf numFmtId="3" fontId="14" fillId="9" borderId="0" xfId="0" applyNumberFormat="1" applyFont="1" applyFill="1" applyAlignment="1">
      <alignment horizontal="center" vertical="center"/>
    </xf>
    <xf numFmtId="0" fontId="15" fillId="9" borderId="0" xfId="0" applyFont="1" applyFill="1" applyAlignment="1">
      <alignment horizontal="left" vertical="center" wrapText="1"/>
    </xf>
    <xf numFmtId="4" fontId="14" fillId="0" borderId="0" xfId="0" applyNumberFormat="1" applyFont="1" applyAlignment="1">
      <alignment horizontal="center" vertical="center" wrapText="1"/>
    </xf>
    <xf numFmtId="0" fontId="18" fillId="10" borderId="0" xfId="0" applyFont="1" applyFill="1"/>
    <xf numFmtId="0" fontId="22" fillId="10" borderId="0" xfId="0" applyFont="1" applyFill="1" applyAlignment="1">
      <alignment horizontal="center" vertical="center"/>
    </xf>
    <xf numFmtId="0" fontId="15" fillId="0" borderId="2" xfId="0" applyFont="1" applyBorder="1" applyAlignment="1">
      <alignment vertical="center" wrapText="1"/>
    </xf>
    <xf numFmtId="0" fontId="14" fillId="9" borderId="0" xfId="0" applyFont="1" applyFill="1" applyAlignment="1">
      <alignment horizontal="center" vertical="center" wrapText="1"/>
    </xf>
    <xf numFmtId="2" fontId="15" fillId="0" borderId="0" xfId="0" applyNumberFormat="1" applyFont="1" applyAlignment="1">
      <alignment horizontal="center" vertical="center"/>
    </xf>
    <xf numFmtId="9" fontId="14" fillId="0" borderId="0" xfId="1" applyFont="1" applyBorder="1"/>
    <xf numFmtId="2" fontId="14" fillId="0" borderId="0" xfId="0" applyNumberFormat="1" applyFont="1"/>
    <xf numFmtId="0" fontId="14" fillId="0" borderId="0" xfId="0" applyFont="1" applyAlignment="1">
      <alignment horizontal="left"/>
    </xf>
    <xf numFmtId="0" fontId="18" fillId="10" borderId="0" xfId="0" applyFont="1" applyFill="1" applyAlignment="1">
      <alignment horizontal="left" vertical="center"/>
    </xf>
    <xf numFmtId="0" fontId="18" fillId="10" borderId="0" xfId="0" applyFont="1" applyFill="1" applyAlignment="1">
      <alignment horizontal="left" vertical="center" wrapText="1"/>
    </xf>
    <xf numFmtId="0" fontId="20" fillId="9" borderId="0" xfId="0" applyFont="1" applyFill="1" applyAlignment="1">
      <alignment horizontal="left" vertical="center" wrapText="1"/>
    </xf>
    <xf numFmtId="0" fontId="20" fillId="9" borderId="0" xfId="0" applyFont="1" applyFill="1" applyAlignment="1">
      <alignment horizontal="center" vertical="center" wrapText="1"/>
    </xf>
    <xf numFmtId="0" fontId="15" fillId="0" borderId="2" xfId="0" applyFont="1" applyBorder="1" applyAlignment="1">
      <alignment horizontal="left" vertical="center"/>
    </xf>
    <xf numFmtId="2" fontId="15" fillId="0" borderId="2" xfId="0" applyNumberFormat="1" applyFont="1" applyBorder="1" applyAlignment="1">
      <alignment vertical="center"/>
    </xf>
    <xf numFmtId="2" fontId="14" fillId="0" borderId="2" xfId="0" applyNumberFormat="1" applyFont="1" applyBorder="1" applyAlignment="1">
      <alignment vertical="center"/>
    </xf>
    <xf numFmtId="0" fontId="18" fillId="10" borderId="2" xfId="0" applyFont="1" applyFill="1" applyBorder="1" applyAlignment="1">
      <alignment horizontal="left" vertical="center"/>
    </xf>
    <xf numFmtId="2" fontId="18" fillId="10" borderId="2" xfId="0" applyNumberFormat="1" applyFont="1" applyFill="1" applyBorder="1" applyAlignment="1">
      <alignment vertical="center"/>
    </xf>
    <xf numFmtId="2" fontId="15" fillId="9" borderId="0" xfId="0" applyNumberFormat="1" applyFont="1" applyFill="1" applyAlignment="1">
      <alignment vertical="center"/>
    </xf>
    <xf numFmtId="0" fontId="15" fillId="9" borderId="0" xfId="0" applyFont="1" applyFill="1" applyAlignment="1">
      <alignment horizontal="left" vertical="center"/>
    </xf>
    <xf numFmtId="2" fontId="25" fillId="0" borderId="0" xfId="0" applyNumberFormat="1" applyFont="1" applyAlignment="1">
      <alignment horizontal="center"/>
    </xf>
    <xf numFmtId="0" fontId="25" fillId="0" borderId="0" xfId="0" applyFont="1" applyAlignment="1">
      <alignment horizontal="left" vertical="center"/>
    </xf>
    <xf numFmtId="2" fontId="25" fillId="0" borderId="0" xfId="0" applyNumberFormat="1" applyFont="1" applyAlignment="1">
      <alignment horizontal="center" vertical="center"/>
    </xf>
    <xf numFmtId="0" fontId="24" fillId="4" borderId="0" xfId="0" applyFont="1" applyFill="1" applyAlignment="1">
      <alignment horizontal="center" vertical="center"/>
    </xf>
    <xf numFmtId="0" fontId="18" fillId="10" borderId="0" xfId="0" applyFont="1" applyFill="1" applyAlignment="1">
      <alignment vertical="center" wrapText="1"/>
    </xf>
    <xf numFmtId="2" fontId="18" fillId="10" borderId="0" xfId="0" applyNumberFormat="1" applyFont="1" applyFill="1" applyAlignment="1">
      <alignment horizontal="center" vertical="center"/>
    </xf>
    <xf numFmtId="2" fontId="15" fillId="9" borderId="2" xfId="0" applyNumberFormat="1" applyFont="1" applyFill="1" applyBorder="1" applyAlignment="1">
      <alignment horizontal="center" vertical="center"/>
    </xf>
    <xf numFmtId="0" fontId="18" fillId="10" borderId="0" xfId="0" applyFont="1" applyFill="1" applyAlignment="1">
      <alignment vertical="center"/>
    </xf>
    <xf numFmtId="9" fontId="20" fillId="2" borderId="0" xfId="1" applyFont="1" applyFill="1" applyBorder="1" applyAlignment="1">
      <alignment horizontal="center" vertical="center"/>
    </xf>
    <xf numFmtId="0" fontId="14" fillId="2" borderId="0" xfId="0" applyFont="1" applyFill="1" applyAlignment="1">
      <alignment vertical="center"/>
    </xf>
    <xf numFmtId="0" fontId="21" fillId="4" borderId="0" xfId="0" applyFont="1" applyFill="1" applyAlignment="1">
      <alignment vertical="center"/>
    </xf>
    <xf numFmtId="0" fontId="15" fillId="5" borderId="0" xfId="0" applyFont="1" applyFill="1" applyAlignment="1">
      <alignment horizontal="center" vertical="center"/>
    </xf>
    <xf numFmtId="0" fontId="20" fillId="8" borderId="0" xfId="0" applyFont="1" applyFill="1" applyAlignment="1">
      <alignment horizontal="left" vertical="center"/>
    </xf>
    <xf numFmtId="0" fontId="20" fillId="2" borderId="0" xfId="0" applyFont="1" applyFill="1" applyAlignment="1">
      <alignment horizontal="center" vertical="center"/>
    </xf>
    <xf numFmtId="9" fontId="14" fillId="2" borderId="0" xfId="0" applyNumberFormat="1" applyFont="1" applyFill="1" applyAlignment="1">
      <alignment horizontal="center" vertical="center"/>
    </xf>
    <xf numFmtId="0" fontId="14" fillId="2" borderId="0" xfId="0" applyFont="1" applyFill="1" applyAlignment="1">
      <alignment horizontal="center" vertical="center"/>
    </xf>
    <xf numFmtId="2" fontId="14" fillId="2" borderId="0" xfId="0" applyNumberFormat="1" applyFont="1" applyFill="1" applyAlignment="1">
      <alignment horizontal="center" vertical="center"/>
    </xf>
    <xf numFmtId="0" fontId="21" fillId="4" borderId="0" xfId="0" applyFont="1" applyFill="1" applyAlignment="1">
      <alignment horizontal="left" vertical="center"/>
    </xf>
    <xf numFmtId="0" fontId="23" fillId="2" borderId="0" xfId="0" applyFont="1" applyFill="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0" fillId="2" borderId="0" xfId="0" applyFont="1" applyFill="1" applyAlignment="1">
      <alignment horizontal="left" vertical="center"/>
    </xf>
    <xf numFmtId="0" fontId="26" fillId="2" borderId="0" xfId="0" applyFont="1" applyFill="1" applyAlignment="1">
      <alignment horizontal="left" vertical="center"/>
    </xf>
    <xf numFmtId="0" fontId="23" fillId="2" borderId="0" xfId="7" applyFont="1" applyFill="1" applyAlignment="1">
      <alignment horizontal="left" vertical="center"/>
    </xf>
    <xf numFmtId="0" fontId="20" fillId="2" borderId="0" xfId="7" applyFont="1" applyFill="1" applyAlignment="1">
      <alignment horizontal="left" vertical="center"/>
    </xf>
    <xf numFmtId="0" fontId="14" fillId="2" borderId="0" xfId="0" applyFont="1" applyFill="1" applyAlignment="1">
      <alignment horizontal="left" vertical="center"/>
    </xf>
    <xf numFmtId="9" fontId="14" fillId="2" borderId="0" xfId="0" applyNumberFormat="1" applyFont="1" applyFill="1" applyAlignment="1">
      <alignment horizontal="left" vertical="center"/>
    </xf>
    <xf numFmtId="0" fontId="26" fillId="2" borderId="0" xfId="0" applyFont="1" applyFill="1" applyAlignment="1">
      <alignment horizontal="center" vertical="center"/>
    </xf>
    <xf numFmtId="9" fontId="20" fillId="2" borderId="0" xfId="0" applyNumberFormat="1" applyFont="1" applyFill="1" applyAlignment="1">
      <alignment horizontal="center" vertical="center"/>
    </xf>
    <xf numFmtId="170" fontId="20" fillId="2" borderId="0" xfId="1" applyNumberFormat="1" applyFont="1" applyFill="1" applyBorder="1" applyAlignment="1">
      <alignment horizontal="center" vertical="center"/>
    </xf>
    <xf numFmtId="169" fontId="20" fillId="2" borderId="0" xfId="6" applyNumberFormat="1" applyFont="1" applyFill="1" applyBorder="1" applyAlignment="1">
      <alignment horizontal="center" vertical="center"/>
    </xf>
    <xf numFmtId="1" fontId="20" fillId="2" borderId="0" xfId="0" applyNumberFormat="1" applyFont="1" applyFill="1" applyAlignment="1">
      <alignment horizontal="center" vertical="center"/>
    </xf>
    <xf numFmtId="2" fontId="20" fillId="2" borderId="0" xfId="0" applyNumberFormat="1" applyFont="1" applyFill="1" applyAlignment="1">
      <alignment horizontal="center" vertical="center"/>
    </xf>
    <xf numFmtId="169" fontId="14" fillId="2" borderId="0" xfId="0" applyNumberFormat="1" applyFont="1" applyFill="1" applyAlignment="1">
      <alignment horizontal="center" vertical="center"/>
    </xf>
    <xf numFmtId="9" fontId="23" fillId="2" borderId="0" xfId="1" applyFont="1" applyFill="1" applyBorder="1" applyAlignment="1">
      <alignment horizontal="center" vertical="center"/>
    </xf>
    <xf numFmtId="10" fontId="14" fillId="2" borderId="0" xfId="0" applyNumberFormat="1" applyFont="1" applyFill="1" applyAlignment="1">
      <alignment horizontal="center" vertical="center"/>
    </xf>
    <xf numFmtId="43" fontId="23" fillId="2" borderId="0" xfId="6" applyFont="1" applyFill="1" applyBorder="1" applyAlignment="1">
      <alignment horizontal="center" vertical="center"/>
    </xf>
    <xf numFmtId="164" fontId="14" fillId="2" borderId="0" xfId="0" applyNumberFormat="1" applyFont="1" applyFill="1" applyAlignment="1">
      <alignment horizontal="center" vertical="center"/>
    </xf>
    <xf numFmtId="0" fontId="20" fillId="9" borderId="2" xfId="0" applyFont="1" applyFill="1" applyBorder="1" applyAlignment="1">
      <alignment horizontal="left" vertical="center"/>
    </xf>
    <xf numFmtId="0" fontId="15" fillId="2" borderId="0" xfId="0" applyFont="1" applyFill="1" applyAlignment="1">
      <alignment vertical="center"/>
    </xf>
    <xf numFmtId="0" fontId="23" fillId="2" borderId="0" xfId="0" applyFont="1" applyFill="1" applyAlignment="1">
      <alignment horizontal="left" vertical="center" wrapText="1"/>
    </xf>
    <xf numFmtId="1" fontId="20" fillId="9" borderId="0" xfId="0" applyNumberFormat="1" applyFont="1" applyFill="1" applyAlignment="1">
      <alignment horizontal="center" vertical="center"/>
    </xf>
    <xf numFmtId="0" fontId="20" fillId="9" borderId="2" xfId="0" applyFont="1" applyFill="1" applyBorder="1" applyAlignment="1">
      <alignment horizontal="left" vertical="center" wrapText="1"/>
    </xf>
    <xf numFmtId="0" fontId="22" fillId="10" borderId="0" xfId="0" applyFont="1" applyFill="1" applyAlignment="1">
      <alignment horizontal="left" vertical="center"/>
    </xf>
    <xf numFmtId="2" fontId="14" fillId="0" borderId="0" xfId="0" applyNumberFormat="1" applyFont="1" applyAlignment="1">
      <alignment horizontal="center" vertical="center" wrapText="1"/>
    </xf>
    <xf numFmtId="1" fontId="20" fillId="0" borderId="0" xfId="2" applyNumberFormat="1" applyFont="1" applyAlignment="1">
      <alignment horizontal="left" vertical="center"/>
    </xf>
    <xf numFmtId="1" fontId="23" fillId="0" borderId="0" xfId="2" applyNumberFormat="1" applyFont="1" applyAlignment="1">
      <alignment horizontal="left" vertical="center"/>
    </xf>
    <xf numFmtId="0" fontId="23" fillId="0" borderId="0" xfId="0" applyFont="1" applyAlignment="1">
      <alignment horizontal="center" vertical="center"/>
    </xf>
    <xf numFmtId="1" fontId="20" fillId="0" borderId="0" xfId="2" applyNumberFormat="1" applyFont="1" applyAlignment="1">
      <alignment horizontal="center" vertical="center"/>
    </xf>
    <xf numFmtId="1" fontId="21" fillId="4" borderId="0" xfId="2" applyNumberFormat="1" applyFont="1" applyFill="1" applyAlignment="1">
      <alignment horizontal="left" vertical="center"/>
    </xf>
    <xf numFmtId="1" fontId="20" fillId="9" borderId="2" xfId="2" applyNumberFormat="1" applyFont="1" applyFill="1" applyBorder="1" applyAlignment="1">
      <alignment horizontal="left" vertical="center"/>
    </xf>
    <xf numFmtId="1" fontId="18" fillId="10" borderId="0" xfId="2" applyNumberFormat="1" applyFont="1" applyFill="1" applyAlignment="1">
      <alignment horizontal="left" vertical="center"/>
    </xf>
    <xf numFmtId="17" fontId="15" fillId="0" borderId="0" xfId="0" applyNumberFormat="1" applyFont="1" applyAlignment="1">
      <alignment horizontal="center" vertical="center"/>
    </xf>
    <xf numFmtId="10" fontId="15" fillId="0" borderId="0" xfId="0" applyNumberFormat="1" applyFont="1" applyAlignment="1">
      <alignment horizontal="center" vertical="center"/>
    </xf>
    <xf numFmtId="0" fontId="18" fillId="3" borderId="0" xfId="0" applyFont="1" applyFill="1" applyAlignment="1">
      <alignment vertical="center"/>
    </xf>
    <xf numFmtId="1" fontId="18" fillId="10" borderId="0" xfId="0" applyNumberFormat="1" applyFont="1" applyFill="1" applyAlignment="1">
      <alignment horizontal="center" vertical="center"/>
    </xf>
    <xf numFmtId="1" fontId="14" fillId="0" borderId="0" xfId="0" applyNumberFormat="1" applyFont="1" applyAlignment="1">
      <alignment vertical="center"/>
    </xf>
    <xf numFmtId="9" fontId="14" fillId="0" borderId="0" xfId="0" applyNumberFormat="1" applyFont="1" applyAlignment="1">
      <alignment vertical="center"/>
    </xf>
    <xf numFmtId="2" fontId="14" fillId="7" borderId="0" xfId="0" applyNumberFormat="1" applyFont="1" applyFill="1" applyAlignment="1">
      <alignment horizontal="center" vertical="center"/>
    </xf>
    <xf numFmtId="1" fontId="20" fillId="5" borderId="0" xfId="0" applyNumberFormat="1" applyFont="1" applyFill="1" applyAlignment="1">
      <alignment horizontal="center" vertical="center"/>
    </xf>
    <xf numFmtId="1" fontId="23" fillId="0" borderId="0" xfId="0" applyNumberFormat="1" applyFont="1" applyAlignment="1">
      <alignment horizontal="center" vertical="center"/>
    </xf>
    <xf numFmtId="2" fontId="23" fillId="0" borderId="0" xfId="0" applyNumberFormat="1" applyFont="1" applyAlignment="1">
      <alignment horizontal="center" vertical="center"/>
    </xf>
    <xf numFmtId="10" fontId="18" fillId="10" borderId="0" xfId="3" applyNumberFormat="1" applyFont="1" applyFill="1" applyBorder="1" applyAlignment="1">
      <alignment horizontal="center" vertical="center"/>
    </xf>
    <xf numFmtId="0" fontId="20" fillId="9" borderId="0" xfId="0" applyFont="1" applyFill="1" applyAlignment="1">
      <alignment horizontal="left" vertical="center"/>
    </xf>
    <xf numFmtId="9" fontId="14" fillId="0" borderId="0" xfId="1" applyFont="1" applyBorder="1" applyAlignment="1">
      <alignment horizontal="center" vertical="center"/>
    </xf>
    <xf numFmtId="165" fontId="14" fillId="0" borderId="0" xfId="0" applyNumberFormat="1" applyFont="1" applyAlignment="1">
      <alignment horizontal="center" vertical="center"/>
    </xf>
    <xf numFmtId="0" fontId="21" fillId="4" borderId="0" xfId="0" applyFont="1" applyFill="1" applyAlignment="1">
      <alignment horizontal="center" vertical="center"/>
    </xf>
    <xf numFmtId="0" fontId="27" fillId="0" borderId="0" xfId="0" applyFont="1" applyAlignment="1">
      <alignment horizontal="left" vertical="center"/>
    </xf>
    <xf numFmtId="9" fontId="27" fillId="0" borderId="0" xfId="1" applyFont="1" applyBorder="1" applyAlignment="1">
      <alignment horizontal="center" vertical="center"/>
    </xf>
    <xf numFmtId="2" fontId="27" fillId="0" borderId="0" xfId="0" applyNumberFormat="1" applyFont="1" applyAlignment="1">
      <alignment horizontal="center" vertical="center"/>
    </xf>
    <xf numFmtId="165" fontId="27" fillId="0" borderId="0" xfId="0" applyNumberFormat="1" applyFont="1" applyAlignment="1">
      <alignment horizontal="center" vertical="center"/>
    </xf>
    <xf numFmtId="2" fontId="14" fillId="9" borderId="0" xfId="0" applyNumberFormat="1" applyFont="1" applyFill="1" applyAlignment="1">
      <alignment horizontal="center" vertical="center"/>
    </xf>
    <xf numFmtId="0" fontId="20" fillId="0" borderId="5" xfId="0" applyFont="1" applyBorder="1" applyAlignment="1">
      <alignment horizontal="left" vertical="center" wrapText="1"/>
    </xf>
    <xf numFmtId="2" fontId="15" fillId="0" borderId="5" xfId="0" applyNumberFormat="1" applyFont="1" applyBorder="1" applyAlignment="1">
      <alignment horizontal="center" vertical="center"/>
    </xf>
    <xf numFmtId="0" fontId="20" fillId="0" borderId="4" xfId="0" applyFont="1" applyBorder="1" applyAlignment="1">
      <alignment horizontal="left" vertical="center"/>
    </xf>
    <xf numFmtId="9" fontId="15" fillId="0" borderId="4" xfId="1" applyFont="1" applyBorder="1" applyAlignment="1">
      <alignment horizontal="center" vertical="center"/>
    </xf>
    <xf numFmtId="10" fontId="14" fillId="0" borderId="0" xfId="1" applyNumberFormat="1" applyFont="1" applyFill="1" applyBorder="1" applyAlignment="1">
      <alignment horizontal="center" vertical="center"/>
    </xf>
    <xf numFmtId="10" fontId="24" fillId="4" borderId="0" xfId="3" applyNumberFormat="1" applyFont="1" applyFill="1" applyBorder="1" applyAlignment="1">
      <alignment horizontal="center" vertical="center"/>
    </xf>
    <xf numFmtId="10" fontId="14" fillId="0" borderId="0" xfId="3" applyNumberFormat="1" applyFont="1" applyBorder="1" applyAlignment="1">
      <alignment horizontal="center" vertical="center"/>
    </xf>
    <xf numFmtId="2" fontId="20" fillId="0" borderId="0" xfId="4" applyNumberFormat="1" applyFont="1" applyFill="1" applyBorder="1" applyAlignment="1">
      <alignment horizontal="center" vertical="center"/>
    </xf>
    <xf numFmtId="10" fontId="14" fillId="0" borderId="0" xfId="3" applyNumberFormat="1" applyFont="1" applyFill="1" applyBorder="1" applyAlignment="1">
      <alignment horizontal="center" vertical="center"/>
    </xf>
    <xf numFmtId="1" fontId="15" fillId="9" borderId="2" xfId="0" applyNumberFormat="1" applyFont="1" applyFill="1" applyBorder="1" applyAlignment="1">
      <alignment horizontal="center" vertical="center"/>
    </xf>
    <xf numFmtId="0" fontId="14" fillId="9" borderId="2" xfId="0" applyFont="1" applyFill="1" applyBorder="1" applyAlignment="1">
      <alignment horizontal="center" vertical="center"/>
    </xf>
    <xf numFmtId="1" fontId="23" fillId="0" borderId="0" xfId="2" applyNumberFormat="1" applyFont="1" applyAlignment="1">
      <alignment horizontal="left" vertical="center" wrapText="1"/>
    </xf>
    <xf numFmtId="0" fontId="20" fillId="2" borderId="0" xfId="0" applyFont="1" applyFill="1" applyAlignment="1">
      <alignment vertical="center"/>
    </xf>
    <xf numFmtId="0" fontId="28" fillId="0" borderId="0" xfId="0" applyFont="1"/>
    <xf numFmtId="0" fontId="23" fillId="0" borderId="0" xfId="0" applyFont="1" applyAlignment="1">
      <alignment vertical="center"/>
    </xf>
    <xf numFmtId="43" fontId="14" fillId="0" borderId="0" xfId="6" applyFont="1" applyFill="1" applyBorder="1" applyAlignment="1">
      <alignment horizontal="center"/>
    </xf>
    <xf numFmtId="10" fontId="14" fillId="2" borderId="0" xfId="1" applyNumberFormat="1" applyFont="1" applyFill="1" applyBorder="1" applyAlignment="1">
      <alignment vertical="center"/>
    </xf>
    <xf numFmtId="10" fontId="23" fillId="0" borderId="0" xfId="0" applyNumberFormat="1" applyFont="1"/>
    <xf numFmtId="172" fontId="23" fillId="2" borderId="0" xfId="0" applyNumberFormat="1" applyFont="1" applyFill="1" applyAlignment="1">
      <alignment horizontal="center" vertical="center"/>
    </xf>
    <xf numFmtId="0" fontId="23" fillId="0" borderId="0" xfId="0" applyFont="1"/>
    <xf numFmtId="2" fontId="23" fillId="0" borderId="0" xfId="0" applyNumberFormat="1" applyFont="1" applyAlignment="1">
      <alignment vertical="center"/>
    </xf>
    <xf numFmtId="0" fontId="15" fillId="0" borderId="2" xfId="0" applyFont="1" applyBorder="1" applyAlignment="1">
      <alignment horizontal="left"/>
    </xf>
    <xf numFmtId="43" fontId="15" fillId="0" borderId="2" xfId="6" applyFont="1" applyFill="1" applyBorder="1" applyAlignment="1"/>
    <xf numFmtId="43" fontId="15" fillId="0" borderId="2" xfId="6" applyFont="1" applyFill="1" applyBorder="1" applyAlignment="1">
      <alignment horizontal="center"/>
    </xf>
    <xf numFmtId="0" fontId="15" fillId="0" borderId="0" xfId="0" applyFont="1" applyAlignment="1">
      <alignment horizontal="left"/>
    </xf>
    <xf numFmtId="0" fontId="29" fillId="0" borderId="0" xfId="0" applyFont="1"/>
    <xf numFmtId="3" fontId="14" fillId="0" borderId="0" xfId="0" applyNumberFormat="1" applyFont="1" applyAlignment="1">
      <alignment vertical="center"/>
    </xf>
    <xf numFmtId="0" fontId="2" fillId="0" borderId="5" xfId="0" applyFont="1" applyBorder="1"/>
    <xf numFmtId="0" fontId="2" fillId="0" borderId="4" xfId="0" applyFont="1" applyBorder="1"/>
    <xf numFmtId="0" fontId="30" fillId="10" borderId="0" xfId="0" applyFont="1" applyFill="1"/>
    <xf numFmtId="0" fontId="0" fillId="0" borderId="9" xfId="0" applyBorder="1"/>
    <xf numFmtId="0" fontId="0" fillId="0" borderId="10" xfId="0" applyBorder="1"/>
    <xf numFmtId="173" fontId="2" fillId="0" borderId="11" xfId="6" applyNumberFormat="1" applyFont="1" applyBorder="1"/>
    <xf numFmtId="173" fontId="2" fillId="0" borderId="12" xfId="0" applyNumberFormat="1" applyFont="1" applyBorder="1"/>
    <xf numFmtId="0" fontId="2" fillId="0" borderId="13" xfId="0" applyFont="1" applyBorder="1"/>
    <xf numFmtId="0" fontId="2" fillId="0" borderId="14" xfId="0" applyFont="1" applyBorder="1"/>
    <xf numFmtId="0" fontId="2" fillId="0" borderId="11" xfId="0" applyFont="1" applyBorder="1"/>
    <xf numFmtId="173" fontId="2" fillId="0" borderId="12" xfId="6" applyNumberFormat="1" applyFont="1" applyBorder="1"/>
    <xf numFmtId="0" fontId="2" fillId="0" borderId="15" xfId="0" applyFont="1" applyBorder="1"/>
    <xf numFmtId="0" fontId="2" fillId="0" borderId="16" xfId="0" applyFont="1" applyBorder="1"/>
    <xf numFmtId="0" fontId="2" fillId="0" borderId="17" xfId="0" applyFont="1" applyBorder="1"/>
    <xf numFmtId="173" fontId="0" fillId="0" borderId="0" xfId="6" applyNumberFormat="1" applyFont="1"/>
    <xf numFmtId="0" fontId="0" fillId="0" borderId="0" xfId="0" applyAlignment="1">
      <alignment horizontal="center" vertical="center"/>
    </xf>
    <xf numFmtId="173" fontId="0" fillId="0" borderId="0" xfId="6" applyNumberFormat="1" applyFont="1" applyAlignment="1">
      <alignment horizontal="center" vertical="center"/>
    </xf>
    <xf numFmtId="0" fontId="0" fillId="0" borderId="0" xfId="0" applyAlignment="1">
      <alignment horizontal="center" vertical="center" wrapText="1"/>
    </xf>
    <xf numFmtId="9" fontId="18" fillId="11" borderId="0" xfId="0" applyNumberFormat="1" applyFont="1" applyFill="1" applyAlignment="1">
      <alignment vertical="center"/>
    </xf>
    <xf numFmtId="0" fontId="31" fillId="0" borderId="0" xfId="8" applyAlignment="1">
      <alignment vertical="center" wrapText="1"/>
    </xf>
    <xf numFmtId="0" fontId="31" fillId="0" borderId="0" xfId="8"/>
    <xf numFmtId="173" fontId="14" fillId="0" borderId="0" xfId="6" applyNumberFormat="1" applyFont="1" applyBorder="1" applyAlignment="1">
      <alignment horizontal="center" vertical="center"/>
    </xf>
    <xf numFmtId="173" fontId="15" fillId="0" borderId="0" xfId="6" applyNumberFormat="1" applyFont="1" applyBorder="1" applyAlignment="1">
      <alignment horizontal="center" vertical="center"/>
    </xf>
    <xf numFmtId="0" fontId="14" fillId="0" borderId="0" xfId="0" quotePrefix="1" applyFont="1" applyAlignment="1">
      <alignment horizontal="center" vertical="center"/>
    </xf>
    <xf numFmtId="10" fontId="14" fillId="0" borderId="0" xfId="1" applyNumberFormat="1" applyFont="1" applyBorder="1" applyAlignment="1">
      <alignment horizontal="center" vertical="center"/>
    </xf>
    <xf numFmtId="0" fontId="0" fillId="0" borderId="0" xfId="0" applyAlignment="1">
      <alignment wrapText="1"/>
    </xf>
    <xf numFmtId="0" fontId="15" fillId="0" borderId="18" xfId="0" quotePrefix="1" applyFont="1" applyBorder="1" applyAlignment="1">
      <alignment vertical="center"/>
    </xf>
    <xf numFmtId="0" fontId="15" fillId="0" borderId="19" xfId="0" applyFont="1" applyBorder="1" applyAlignment="1">
      <alignment vertical="center"/>
    </xf>
    <xf numFmtId="0" fontId="15" fillId="0" borderId="3" xfId="0" quotePrefix="1" applyFont="1" applyBorder="1" applyAlignment="1">
      <alignment vertical="center"/>
    </xf>
    <xf numFmtId="0" fontId="15" fillId="0" borderId="20" xfId="0" applyFont="1" applyBorder="1" applyAlignment="1">
      <alignment vertical="center"/>
    </xf>
    <xf numFmtId="0" fontId="15" fillId="0" borderId="23" xfId="0" applyFont="1" applyBorder="1" applyAlignment="1">
      <alignment vertical="center"/>
    </xf>
    <xf numFmtId="0" fontId="15" fillId="0" borderId="24" xfId="0"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165" fontId="14" fillId="7" borderId="0" xfId="0" applyNumberFormat="1" applyFont="1" applyFill="1" applyAlignment="1">
      <alignment horizontal="center" vertical="center"/>
    </xf>
    <xf numFmtId="43" fontId="14" fillId="2" borderId="0" xfId="6" applyFont="1" applyFill="1" applyAlignment="1">
      <alignment horizontal="center" vertical="center"/>
    </xf>
    <xf numFmtId="10" fontId="14" fillId="2" borderId="0" xfId="1" applyNumberFormat="1" applyFont="1" applyFill="1" applyAlignment="1">
      <alignment horizontal="center" vertical="center"/>
    </xf>
    <xf numFmtId="43" fontId="32" fillId="13" borderId="0" xfId="9" applyNumberFormat="1" applyFont="1" applyFill="1" applyAlignment="1">
      <alignment horizontal="center" vertical="center"/>
    </xf>
    <xf numFmtId="43" fontId="32" fillId="14" borderId="0" xfId="9" applyNumberFormat="1" applyFont="1" applyFill="1" applyAlignment="1">
      <alignment horizontal="center" vertical="center"/>
    </xf>
    <xf numFmtId="43" fontId="32" fillId="13" borderId="0" xfId="6" applyFont="1" applyFill="1" applyAlignment="1">
      <alignment horizontal="center" vertical="center"/>
    </xf>
    <xf numFmtId="0" fontId="33" fillId="0" borderId="0" xfId="9" applyFont="1" applyAlignment="1">
      <alignment horizontal="left" vertical="center"/>
    </xf>
    <xf numFmtId="0" fontId="33" fillId="0" borderId="0" xfId="9" applyFont="1" applyAlignment="1">
      <alignment vertical="center"/>
    </xf>
    <xf numFmtId="0" fontId="33" fillId="0" borderId="0" xfId="9" applyFont="1" applyAlignment="1">
      <alignment horizontal="center" vertical="center"/>
    </xf>
    <xf numFmtId="43" fontId="33" fillId="0" borderId="0" xfId="6" applyFont="1" applyAlignment="1">
      <alignment horizontal="right" vertical="center"/>
    </xf>
    <xf numFmtId="2" fontId="33" fillId="0" borderId="0" xfId="9" applyNumberFormat="1" applyFont="1" applyAlignment="1">
      <alignment horizontal="right" vertical="center"/>
    </xf>
    <xf numFmtId="10" fontId="33" fillId="12" borderId="0" xfId="3" applyNumberFormat="1" applyFont="1" applyFill="1" applyAlignment="1">
      <alignment horizontal="right" vertical="center"/>
    </xf>
    <xf numFmtId="0" fontId="33" fillId="0" borderId="0" xfId="9" applyFont="1" applyAlignment="1">
      <alignment vertical="center" wrapText="1"/>
    </xf>
    <xf numFmtId="10" fontId="33" fillId="0" borderId="0" xfId="9" applyNumberFormat="1" applyFont="1" applyAlignment="1">
      <alignment horizontal="right" vertical="center"/>
    </xf>
    <xf numFmtId="0" fontId="35" fillId="0" borderId="0" xfId="9" applyFont="1" applyAlignment="1">
      <alignment vertical="center"/>
    </xf>
    <xf numFmtId="174" fontId="36" fillId="0" borderId="0" xfId="9" applyNumberFormat="1" applyFont="1" applyAlignment="1">
      <alignment horizontal="left" vertical="center"/>
    </xf>
    <xf numFmtId="10" fontId="33" fillId="6" borderId="0" xfId="9" applyNumberFormat="1" applyFont="1" applyFill="1" applyAlignment="1">
      <alignment horizontal="right" vertical="center"/>
    </xf>
    <xf numFmtId="10" fontId="36" fillId="0" borderId="0" xfId="9" applyNumberFormat="1" applyFont="1" applyAlignment="1">
      <alignment horizontal="left" vertical="center"/>
    </xf>
    <xf numFmtId="43" fontId="33" fillId="0" borderId="0" xfId="9" applyNumberFormat="1" applyFont="1" applyAlignment="1">
      <alignment horizontal="right" vertical="center"/>
    </xf>
    <xf numFmtId="43" fontId="37" fillId="0" borderId="0" xfId="6" applyFont="1" applyAlignment="1">
      <alignment horizontal="right" vertical="center"/>
    </xf>
    <xf numFmtId="3" fontId="33" fillId="0" borderId="0" xfId="9" applyNumberFormat="1" applyFont="1" applyAlignment="1">
      <alignment horizontal="right" vertical="center"/>
    </xf>
    <xf numFmtId="10" fontId="33" fillId="15" borderId="0" xfId="9" applyNumberFormat="1" applyFont="1" applyFill="1" applyAlignment="1">
      <alignment horizontal="right" vertical="center"/>
    </xf>
    <xf numFmtId="39" fontId="38" fillId="16" borderId="0" xfId="9" applyNumberFormat="1" applyFont="1" applyFill="1"/>
    <xf numFmtId="10" fontId="38" fillId="16" borderId="0" xfId="9" applyNumberFormat="1" applyFont="1" applyFill="1"/>
    <xf numFmtId="9" fontId="37" fillId="0" borderId="0" xfId="3" applyFont="1" applyAlignment="1">
      <alignment horizontal="right" vertical="center"/>
    </xf>
    <xf numFmtId="0" fontId="38" fillId="0" borderId="0" xfId="9" applyFont="1" applyAlignment="1">
      <alignment horizontal="center" vertical="center"/>
    </xf>
    <xf numFmtId="10" fontId="38" fillId="0" borderId="0" xfId="9" applyNumberFormat="1" applyFont="1" applyAlignment="1">
      <alignment horizontal="right" vertical="center"/>
    </xf>
    <xf numFmtId="3" fontId="37" fillId="0" borderId="0" xfId="9" applyNumberFormat="1" applyFont="1" applyAlignment="1">
      <alignment horizontal="right" vertical="center"/>
    </xf>
    <xf numFmtId="10" fontId="33" fillId="17" borderId="0" xfId="9" applyNumberFormat="1" applyFont="1" applyFill="1" applyAlignment="1">
      <alignment horizontal="right" vertical="center"/>
    </xf>
    <xf numFmtId="9" fontId="36" fillId="0" borderId="0" xfId="3" applyFont="1" applyAlignment="1">
      <alignment horizontal="left" vertical="center"/>
    </xf>
    <xf numFmtId="4" fontId="33" fillId="0" borderId="0" xfId="9" applyNumberFormat="1" applyFont="1" applyAlignment="1">
      <alignment horizontal="right" vertical="center"/>
    </xf>
    <xf numFmtId="10" fontId="37" fillId="0" borderId="0" xfId="3" applyNumberFormat="1" applyFont="1" applyAlignment="1">
      <alignment horizontal="right" vertical="center"/>
    </xf>
    <xf numFmtId="0" fontId="33" fillId="0" borderId="0" xfId="10" applyFont="1" applyAlignment="1">
      <alignment horizontal="left" vertical="center"/>
    </xf>
    <xf numFmtId="165" fontId="15" fillId="0" borderId="2" xfId="0" applyNumberFormat="1" applyFont="1" applyBorder="1" applyAlignment="1">
      <alignment horizontal="center" vertical="center"/>
    </xf>
    <xf numFmtId="165" fontId="14" fillId="0" borderId="0" xfId="0" applyNumberFormat="1" applyFont="1" applyAlignment="1">
      <alignment vertical="center"/>
    </xf>
    <xf numFmtId="165" fontId="14" fillId="0" borderId="0" xfId="1" applyNumberFormat="1" applyFont="1" applyBorder="1" applyAlignment="1">
      <alignment horizontal="center" vertical="center"/>
    </xf>
    <xf numFmtId="165" fontId="14" fillId="12" borderId="0" xfId="0" applyNumberFormat="1" applyFont="1" applyFill="1" applyAlignment="1">
      <alignment horizontal="center" vertical="center"/>
    </xf>
    <xf numFmtId="165" fontId="18" fillId="10" borderId="2" xfId="0" applyNumberFormat="1" applyFont="1" applyFill="1" applyBorder="1" applyAlignment="1">
      <alignment horizontal="center" vertical="center"/>
    </xf>
    <xf numFmtId="165" fontId="15" fillId="9" borderId="0" xfId="0" applyNumberFormat="1" applyFont="1" applyFill="1" applyAlignment="1">
      <alignment horizontal="center" vertical="center"/>
    </xf>
    <xf numFmtId="170" fontId="29" fillId="0" borderId="0" xfId="1" applyNumberFormat="1" applyFont="1" applyBorder="1"/>
    <xf numFmtId="165" fontId="18" fillId="10" borderId="0" xfId="0" applyNumberFormat="1" applyFont="1" applyFill="1" applyAlignment="1">
      <alignment horizontal="center" vertical="center"/>
    </xf>
    <xf numFmtId="165" fontId="15" fillId="0" borderId="0" xfId="0" applyNumberFormat="1" applyFont="1" applyAlignment="1">
      <alignment horizontal="center" vertical="center"/>
    </xf>
    <xf numFmtId="165" fontId="15" fillId="9" borderId="2" xfId="0" applyNumberFormat="1" applyFont="1" applyFill="1" applyBorder="1" applyAlignment="1">
      <alignment horizontal="center" vertical="center"/>
    </xf>
    <xf numFmtId="165" fontId="14" fillId="0" borderId="0" xfId="0" applyNumberFormat="1" applyFont="1" applyAlignment="1">
      <alignment horizontal="center" vertical="center" wrapText="1"/>
    </xf>
    <xf numFmtId="165" fontId="15" fillId="9" borderId="2" xfId="0" applyNumberFormat="1" applyFont="1" applyFill="1" applyBorder="1" applyAlignment="1">
      <alignment horizontal="center" vertical="center" wrapText="1"/>
    </xf>
    <xf numFmtId="165" fontId="20" fillId="0" borderId="0" xfId="2" applyNumberFormat="1" applyFont="1" applyAlignment="1">
      <alignment horizontal="center" vertical="center" wrapText="1"/>
    </xf>
    <xf numFmtId="175" fontId="23" fillId="2" borderId="0" xfId="0" applyNumberFormat="1" applyFont="1" applyFill="1" applyAlignment="1">
      <alignment horizontal="center" vertical="center"/>
    </xf>
    <xf numFmtId="165" fontId="20" fillId="9" borderId="2" xfId="0" applyNumberFormat="1" applyFont="1" applyFill="1" applyBorder="1" applyAlignment="1">
      <alignment horizontal="center" vertical="center"/>
    </xf>
    <xf numFmtId="165" fontId="23" fillId="2" borderId="0" xfId="0" applyNumberFormat="1" applyFont="1" applyFill="1" applyAlignment="1">
      <alignment horizontal="center" vertical="center"/>
    </xf>
    <xf numFmtId="165" fontId="20" fillId="9" borderId="2" xfId="0" applyNumberFormat="1" applyFont="1" applyFill="1" applyBorder="1" applyAlignment="1">
      <alignment horizontal="left" vertical="center"/>
    </xf>
    <xf numFmtId="170" fontId="20" fillId="9" borderId="2" xfId="1" applyNumberFormat="1" applyFont="1" applyFill="1" applyBorder="1" applyAlignment="1">
      <alignment horizontal="center" vertical="center"/>
    </xf>
    <xf numFmtId="170" fontId="26" fillId="9" borderId="2" xfId="0" applyNumberFormat="1" applyFont="1" applyFill="1" applyBorder="1" applyAlignment="1">
      <alignment horizontal="center" vertical="center"/>
    </xf>
    <xf numFmtId="176" fontId="14" fillId="0" borderId="0" xfId="0" applyNumberFormat="1" applyFont="1" applyAlignment="1">
      <alignment horizontal="center" vertical="center"/>
    </xf>
    <xf numFmtId="176" fontId="18" fillId="10" borderId="0" xfId="0" applyNumberFormat="1" applyFont="1" applyFill="1" applyAlignment="1">
      <alignment horizontal="center" vertical="center"/>
    </xf>
    <xf numFmtId="165" fontId="23" fillId="0" borderId="0" xfId="0" applyNumberFormat="1" applyFont="1" applyAlignment="1">
      <alignment horizontal="center" vertical="center"/>
    </xf>
    <xf numFmtId="0" fontId="20" fillId="6" borderId="0" xfId="0" applyFont="1" applyFill="1" applyAlignment="1">
      <alignment horizontal="left" vertical="center"/>
    </xf>
    <xf numFmtId="10" fontId="20" fillId="6" borderId="0" xfId="3" applyNumberFormat="1" applyFont="1" applyFill="1" applyBorder="1" applyAlignment="1">
      <alignment horizontal="center" vertical="center"/>
    </xf>
    <xf numFmtId="0" fontId="20" fillId="6" borderId="0" xfId="0" applyFont="1" applyFill="1" applyAlignment="1">
      <alignment horizontal="center" vertical="center"/>
    </xf>
    <xf numFmtId="177" fontId="15" fillId="6" borderId="0" xfId="0" applyNumberFormat="1" applyFont="1" applyFill="1" applyAlignment="1">
      <alignment horizontal="left" vertical="center"/>
    </xf>
    <xf numFmtId="2" fontId="14" fillId="6" borderId="0" xfId="0" applyNumberFormat="1" applyFont="1" applyFill="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center" vertical="center"/>
    </xf>
    <xf numFmtId="177" fontId="14" fillId="6" borderId="0" xfId="0" applyNumberFormat="1" applyFont="1" applyFill="1" applyAlignment="1">
      <alignment horizontal="left" vertical="center"/>
    </xf>
    <xf numFmtId="177" fontId="14" fillId="7" borderId="0" xfId="0" applyNumberFormat="1" applyFont="1" applyFill="1" applyAlignment="1">
      <alignment horizontal="left" vertical="center"/>
    </xf>
    <xf numFmtId="2" fontId="14" fillId="6" borderId="0" xfId="0" applyNumberFormat="1" applyFont="1" applyFill="1" applyAlignment="1">
      <alignment vertical="center"/>
    </xf>
    <xf numFmtId="0" fontId="25" fillId="12" borderId="0" xfId="0" applyFont="1" applyFill="1" applyAlignment="1">
      <alignment vertical="center"/>
    </xf>
    <xf numFmtId="9" fontId="25" fillId="12" borderId="0" xfId="0" applyNumberFormat="1" applyFont="1" applyFill="1" applyAlignment="1">
      <alignment horizontal="center" vertical="center"/>
    </xf>
    <xf numFmtId="0" fontId="14" fillId="12" borderId="0" xfId="0" applyFont="1" applyFill="1" applyAlignment="1">
      <alignment vertical="center"/>
    </xf>
    <xf numFmtId="10" fontId="25" fillId="0" borderId="0" xfId="0" applyNumberFormat="1" applyFont="1" applyAlignment="1">
      <alignment horizontal="center" vertical="center"/>
    </xf>
    <xf numFmtId="0" fontId="14" fillId="12" borderId="0" xfId="0" applyFont="1" applyFill="1"/>
    <xf numFmtId="0" fontId="14" fillId="12" borderId="0" xfId="0" applyFont="1" applyFill="1" applyAlignment="1">
      <alignment wrapText="1"/>
    </xf>
    <xf numFmtId="0" fontId="15" fillId="12" borderId="0" xfId="0" applyFont="1" applyFill="1" applyAlignment="1">
      <alignment vertical="center"/>
    </xf>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left" vertical="center" wrapText="1"/>
    </xf>
    <xf numFmtId="0" fontId="28" fillId="0" borderId="0" xfId="0" applyFont="1" applyAlignment="1">
      <alignment horizontal="center" vertical="center" wrapText="1"/>
    </xf>
    <xf numFmtId="0" fontId="40" fillId="0" borderId="0" xfId="0" applyFont="1" applyAlignment="1">
      <alignment horizontal="center" vertical="center" wrapText="1"/>
    </xf>
    <xf numFmtId="173" fontId="40" fillId="0" borderId="1" xfId="6" applyNumberFormat="1" applyFont="1" applyBorder="1" applyAlignment="1">
      <alignment horizontal="center" vertical="center" wrapText="1"/>
    </xf>
    <xf numFmtId="173" fontId="40" fillId="0" borderId="1" xfId="6" applyNumberFormat="1" applyFont="1" applyFill="1" applyBorder="1" applyAlignment="1">
      <alignment horizontal="center" vertical="center" wrapText="1"/>
    </xf>
    <xf numFmtId="173" fontId="28" fillId="0" borderId="1" xfId="6" applyNumberFormat="1" applyFont="1" applyBorder="1" applyAlignment="1">
      <alignment horizontal="left" vertical="center" wrapText="1"/>
    </xf>
    <xf numFmtId="173" fontId="28" fillId="0" borderId="1" xfId="6" applyNumberFormat="1" applyFont="1" applyBorder="1" applyAlignment="1">
      <alignment horizontal="center" vertical="center" wrapText="1"/>
    </xf>
    <xf numFmtId="0" fontId="28" fillId="0" borderId="0" xfId="0" applyFont="1" applyAlignment="1">
      <alignment vertical="center" wrapText="1"/>
    </xf>
    <xf numFmtId="43" fontId="0" fillId="0" borderId="1" xfId="6" applyFont="1" applyFill="1" applyBorder="1" applyAlignment="1">
      <alignment horizontal="center" vertical="center" wrapText="1"/>
    </xf>
    <xf numFmtId="43" fontId="0" fillId="0" borderId="1" xfId="6" applyFont="1" applyBorder="1" applyAlignment="1">
      <alignment horizontal="center" vertical="center" wrapText="1"/>
    </xf>
    <xf numFmtId="14" fontId="0" fillId="0" borderId="1" xfId="0" applyNumberFormat="1" applyBorder="1" applyAlignment="1">
      <alignment horizontal="center" vertical="center" wrapText="1"/>
    </xf>
    <xf numFmtId="43" fontId="0" fillId="0" borderId="26" xfId="6" applyFont="1" applyBorder="1" applyAlignment="1">
      <alignment horizontal="center" vertical="center" wrapText="1"/>
    </xf>
    <xf numFmtId="0" fontId="0" fillId="0" borderId="0" xfId="0" applyAlignment="1">
      <alignment horizontal="center" wrapText="1"/>
    </xf>
    <xf numFmtId="0" fontId="40" fillId="0" borderId="0" xfId="0" applyFont="1" applyAlignment="1">
      <alignment vertical="center" wrapText="1"/>
    </xf>
    <xf numFmtId="173" fontId="0" fillId="0" borderId="0" xfId="6" applyNumberFormat="1" applyFont="1" applyAlignment="1">
      <alignment horizontal="center" vertical="center" wrapText="1"/>
    </xf>
    <xf numFmtId="173" fontId="2" fillId="0" borderId="0" xfId="6" applyNumberFormat="1" applyFont="1" applyAlignment="1">
      <alignment horizontal="center" vertical="center" wrapText="1"/>
    </xf>
    <xf numFmtId="173" fontId="0" fillId="0" borderId="1" xfId="6" applyNumberFormat="1" applyFont="1" applyBorder="1" applyAlignment="1">
      <alignment horizontal="center" vertical="center" wrapText="1"/>
    </xf>
    <xf numFmtId="173" fontId="2" fillId="0" borderId="1" xfId="6" applyNumberFormat="1" applyFont="1" applyBorder="1" applyAlignment="1">
      <alignment horizontal="left" vertical="center" wrapText="1"/>
    </xf>
    <xf numFmtId="173" fontId="2" fillId="0" borderId="1" xfId="6" applyNumberFormat="1" applyFont="1" applyFill="1" applyBorder="1" applyAlignment="1">
      <alignment horizontal="center" vertical="center" wrapText="1"/>
    </xf>
    <xf numFmtId="173" fontId="2" fillId="0" borderId="1" xfId="6" applyNumberFormat="1" applyFont="1" applyBorder="1" applyAlignment="1">
      <alignment horizontal="center" vertical="center" wrapText="1"/>
    </xf>
    <xf numFmtId="173" fontId="28" fillId="0" borderId="1" xfId="6" quotePrefix="1" applyNumberFormat="1" applyFont="1" applyBorder="1" applyAlignment="1">
      <alignment horizontal="center" vertical="center" wrapText="1"/>
    </xf>
    <xf numFmtId="173" fontId="28" fillId="0" borderId="1" xfId="0" applyNumberFormat="1" applyFont="1" applyBorder="1" applyAlignment="1">
      <alignment horizontal="center" vertical="center" wrapText="1"/>
    </xf>
    <xf numFmtId="43" fontId="28" fillId="0" borderId="0" xfId="0" applyNumberFormat="1" applyFont="1" applyAlignment="1">
      <alignment vertical="center" wrapText="1"/>
    </xf>
    <xf numFmtId="173" fontId="14" fillId="0" borderId="0" xfId="0" applyNumberFormat="1" applyFont="1" applyAlignment="1">
      <alignment vertical="center"/>
    </xf>
    <xf numFmtId="167" fontId="25" fillId="12" borderId="0" xfId="0" applyNumberFormat="1" applyFont="1" applyFill="1" applyAlignment="1">
      <alignment vertical="center"/>
    </xf>
    <xf numFmtId="0" fontId="40" fillId="0" borderId="1" xfId="0" applyFont="1" applyBorder="1" applyAlignment="1">
      <alignment horizontal="center" vertical="center"/>
    </xf>
    <xf numFmtId="0" fontId="40" fillId="0" borderId="1" xfId="0" applyFont="1" applyBorder="1" applyAlignment="1">
      <alignment vertical="center"/>
    </xf>
    <xf numFmtId="0" fontId="40" fillId="0" borderId="1" xfId="0" applyFont="1" applyBorder="1" applyAlignment="1">
      <alignment horizontal="right" vertical="center"/>
    </xf>
    <xf numFmtId="0" fontId="28" fillId="0" borderId="1" xfId="0" applyFont="1" applyBorder="1" applyAlignment="1">
      <alignment horizontal="center" vertical="center"/>
    </xf>
    <xf numFmtId="0" fontId="28" fillId="0" borderId="1" xfId="0" applyFont="1" applyBorder="1" applyAlignment="1">
      <alignment horizontal="left" vertical="center"/>
    </xf>
    <xf numFmtId="2" fontId="28" fillId="0" borderId="1" xfId="0" applyNumberFormat="1" applyFont="1" applyBorder="1" applyAlignment="1">
      <alignment horizontal="center" vertical="center"/>
    </xf>
    <xf numFmtId="0" fontId="28" fillId="0" borderId="1" xfId="0" applyFont="1" applyBorder="1" applyAlignment="1">
      <alignment vertical="center"/>
    </xf>
    <xf numFmtId="0" fontId="28" fillId="0" borderId="1" xfId="0" applyFont="1" applyBorder="1" applyAlignment="1">
      <alignment horizontal="right" vertical="center"/>
    </xf>
    <xf numFmtId="0" fontId="15" fillId="0" borderId="4" xfId="0" applyFont="1" applyBorder="1" applyAlignment="1">
      <alignment horizontal="center" vertical="center"/>
    </xf>
    <xf numFmtId="0" fontId="14" fillId="0" borderId="4" xfId="0" applyFont="1" applyBorder="1" applyAlignment="1">
      <alignment vertical="center" wrapText="1"/>
    </xf>
    <xf numFmtId="0" fontId="14" fillId="0" borderId="4" xfId="0" applyFont="1" applyBorder="1" applyAlignment="1">
      <alignment horizontal="center"/>
    </xf>
    <xf numFmtId="0" fontId="14" fillId="0" borderId="4" xfId="0" applyFont="1" applyBorder="1" applyAlignment="1">
      <alignment horizontal="center" vertical="center" wrapText="1"/>
    </xf>
    <xf numFmtId="3" fontId="14" fillId="0" borderId="4" xfId="0" applyNumberFormat="1" applyFont="1" applyBorder="1" applyAlignment="1">
      <alignment horizontal="center" vertical="center"/>
    </xf>
    <xf numFmtId="165" fontId="23" fillId="7" borderId="0" xfId="0" applyNumberFormat="1" applyFont="1" applyFill="1" applyAlignment="1">
      <alignment horizontal="center" vertical="center"/>
    </xf>
    <xf numFmtId="0" fontId="25" fillId="0" borderId="0" xfId="0" applyFont="1"/>
    <xf numFmtId="10" fontId="14" fillId="0" borderId="0" xfId="1" applyNumberFormat="1" applyFont="1" applyAlignment="1">
      <alignment vertical="center"/>
    </xf>
    <xf numFmtId="177" fontId="14" fillId="12" borderId="0" xfId="0" applyNumberFormat="1" applyFont="1" applyFill="1" applyAlignment="1">
      <alignment horizontal="left" vertical="center"/>
    </xf>
    <xf numFmtId="2" fontId="14" fillId="12" borderId="0" xfId="0" applyNumberFormat="1" applyFont="1" applyFill="1" applyAlignment="1">
      <alignment horizontal="center" vertical="center"/>
    </xf>
    <xf numFmtId="0" fontId="25" fillId="12" borderId="0" xfId="0" applyFont="1" applyFill="1" applyAlignment="1">
      <alignment horizontal="center" vertical="center"/>
    </xf>
    <xf numFmtId="14" fontId="14" fillId="0" borderId="0" xfId="0" applyNumberFormat="1" applyFont="1" applyAlignment="1">
      <alignment horizontal="center"/>
    </xf>
    <xf numFmtId="0" fontId="41" fillId="0" borderId="0" xfId="0" applyFont="1" applyAlignment="1">
      <alignment vertical="center"/>
    </xf>
    <xf numFmtId="0" fontId="41" fillId="0" borderId="0" xfId="0" applyFont="1" applyAlignment="1">
      <alignment horizontal="center" vertical="center"/>
    </xf>
    <xf numFmtId="10" fontId="33" fillId="7" borderId="0" xfId="9" applyNumberFormat="1" applyFont="1" applyFill="1" applyAlignment="1">
      <alignment horizontal="right" vertical="center"/>
    </xf>
    <xf numFmtId="0" fontId="39" fillId="0" borderId="0" xfId="0" applyFont="1" applyAlignment="1">
      <alignment horizontal="center" vertical="center" wrapText="1"/>
    </xf>
    <xf numFmtId="0" fontId="31" fillId="0" borderId="0" xfId="8" applyAlignment="1">
      <alignment vertical="center"/>
    </xf>
    <xf numFmtId="0" fontId="31" fillId="12" borderId="0" xfId="8" applyFill="1" applyAlignment="1">
      <alignment vertical="center"/>
    </xf>
    <xf numFmtId="0" fontId="15" fillId="12" borderId="1" xfId="0" applyFont="1" applyFill="1" applyBorder="1" applyAlignment="1">
      <alignment vertical="center"/>
    </xf>
    <xf numFmtId="0" fontId="14" fillId="12" borderId="1" xfId="0" applyFont="1" applyFill="1" applyBorder="1" applyAlignment="1">
      <alignment vertical="center"/>
    </xf>
    <xf numFmtId="3" fontId="14" fillId="12" borderId="1" xfId="0" applyNumberFormat="1" applyFont="1" applyFill="1" applyBorder="1" applyAlignment="1">
      <alignment vertical="center"/>
    </xf>
    <xf numFmtId="4" fontId="14" fillId="12" borderId="1" xfId="0" applyNumberFormat="1" applyFont="1" applyFill="1" applyBorder="1" applyAlignment="1">
      <alignment vertical="center"/>
    </xf>
    <xf numFmtId="0" fontId="31" fillId="12" borderId="1" xfId="8" applyFill="1" applyBorder="1" applyAlignment="1">
      <alignment vertical="center"/>
    </xf>
    <xf numFmtId="17" fontId="14" fillId="12" borderId="1" xfId="0" applyNumberFormat="1" applyFont="1" applyFill="1" applyBorder="1" applyAlignment="1">
      <alignment horizontal="left" vertical="center"/>
    </xf>
    <xf numFmtId="0" fontId="14" fillId="12" borderId="1" xfId="0" applyFont="1" applyFill="1" applyBorder="1" applyAlignment="1">
      <alignment horizontal="left" vertical="center"/>
    </xf>
    <xf numFmtId="0" fontId="39" fillId="0" borderId="0" xfId="0" applyFont="1" applyAlignment="1">
      <alignment horizontal="center" vertical="center"/>
    </xf>
    <xf numFmtId="43" fontId="2" fillId="0" borderId="1" xfId="6" applyFont="1" applyBorder="1" applyAlignment="1">
      <alignment horizontal="center" vertical="center" wrapText="1"/>
    </xf>
    <xf numFmtId="0" fontId="40" fillId="7" borderId="0" xfId="0" applyFont="1" applyFill="1" applyAlignment="1">
      <alignment vertical="center" wrapText="1"/>
    </xf>
    <xf numFmtId="0" fontId="28" fillId="7" borderId="0" xfId="0" applyFont="1" applyFill="1" applyAlignment="1">
      <alignment vertical="center" wrapText="1"/>
    </xf>
    <xf numFmtId="43" fontId="40" fillId="7" borderId="0" xfId="0" applyNumberFormat="1" applyFont="1" applyFill="1" applyAlignment="1">
      <alignment vertical="center" wrapText="1"/>
    </xf>
    <xf numFmtId="173" fontId="0" fillId="18" borderId="1" xfId="6" applyNumberFormat="1" applyFont="1" applyFill="1" applyBorder="1" applyAlignment="1">
      <alignment horizontal="center" vertical="center" wrapText="1"/>
    </xf>
    <xf numFmtId="173" fontId="28" fillId="18" borderId="1" xfId="6" applyNumberFormat="1" applyFont="1" applyFill="1" applyBorder="1" applyAlignment="1">
      <alignment horizontal="left" vertical="center" wrapText="1"/>
    </xf>
    <xf numFmtId="173" fontId="28" fillId="18" borderId="1" xfId="6" applyNumberFormat="1" applyFont="1" applyFill="1" applyBorder="1" applyAlignment="1">
      <alignment horizontal="center" vertical="center" wrapText="1"/>
    </xf>
    <xf numFmtId="173" fontId="28" fillId="18" borderId="1" xfId="6" quotePrefix="1" applyNumberFormat="1" applyFont="1" applyFill="1" applyBorder="1" applyAlignment="1">
      <alignment horizontal="center" vertical="center" wrapText="1"/>
    </xf>
    <xf numFmtId="173" fontId="28" fillId="18" borderId="1" xfId="0" applyNumberFormat="1" applyFont="1" applyFill="1" applyBorder="1" applyAlignment="1">
      <alignment horizontal="center" vertical="center" wrapText="1"/>
    </xf>
    <xf numFmtId="173" fontId="28" fillId="18" borderId="0" xfId="6" applyNumberFormat="1" applyFont="1" applyFill="1" applyAlignment="1">
      <alignment horizontal="center" vertical="center" wrapText="1"/>
    </xf>
    <xf numFmtId="0" fontId="42" fillId="0" borderId="0" xfId="0" applyFont="1" applyAlignment="1">
      <alignment vertical="center" wrapText="1"/>
    </xf>
    <xf numFmtId="173" fontId="0" fillId="18" borderId="1" xfId="6" applyNumberFormat="1" applyFont="1" applyFill="1" applyBorder="1" applyAlignment="1">
      <alignment horizontal="left" vertical="center" wrapText="1"/>
    </xf>
    <xf numFmtId="173" fontId="0" fillId="18" borderId="1" xfId="6" quotePrefix="1" applyNumberFormat="1" applyFont="1" applyFill="1" applyBorder="1" applyAlignment="1">
      <alignment horizontal="center" vertical="center" wrapText="1"/>
    </xf>
    <xf numFmtId="0" fontId="20" fillId="0" borderId="0" xfId="0" applyFont="1" applyAlignment="1">
      <alignment horizontal="left" vertical="center"/>
    </xf>
    <xf numFmtId="9" fontId="14" fillId="0" borderId="0" xfId="1" applyFont="1" applyAlignment="1">
      <alignment horizontal="center" vertical="center"/>
    </xf>
    <xf numFmtId="3" fontId="14" fillId="12" borderId="0" xfId="0" applyNumberFormat="1" applyFont="1" applyFill="1" applyAlignment="1">
      <alignment horizontal="center" vertical="center"/>
    </xf>
    <xf numFmtId="0" fontId="14" fillId="0" borderId="0" xfId="0" applyFont="1" applyAlignment="1">
      <alignment horizontal="right" vertical="center"/>
    </xf>
    <xf numFmtId="0" fontId="14" fillId="7" borderId="0" xfId="0" applyFont="1" applyFill="1" applyAlignment="1">
      <alignment vertical="center"/>
    </xf>
    <xf numFmtId="43" fontId="14" fillId="0" borderId="0" xfId="6" applyFont="1" applyAlignment="1">
      <alignment vertical="center"/>
    </xf>
    <xf numFmtId="2" fontId="15" fillId="0" borderId="0" xfId="0" applyNumberFormat="1" applyFont="1" applyAlignment="1">
      <alignment vertical="center"/>
    </xf>
    <xf numFmtId="167" fontId="14" fillId="12" borderId="0" xfId="0" applyNumberFormat="1" applyFont="1" applyFill="1" applyAlignment="1">
      <alignment horizontal="center" vertical="center"/>
    </xf>
    <xf numFmtId="0" fontId="20" fillId="0" borderId="0" xfId="0" applyFont="1" applyAlignment="1">
      <alignment vertical="center"/>
    </xf>
    <xf numFmtId="178" fontId="14" fillId="12" borderId="0" xfId="0" applyNumberFormat="1" applyFont="1" applyFill="1" applyAlignment="1">
      <alignment vertical="center"/>
    </xf>
    <xf numFmtId="3" fontId="14" fillId="12" borderId="0" xfId="0" applyNumberFormat="1" applyFont="1" applyFill="1" applyAlignment="1">
      <alignment vertical="center"/>
    </xf>
    <xf numFmtId="43" fontId="28" fillId="0" borderId="1" xfId="6" applyFont="1" applyBorder="1" applyAlignment="1">
      <alignment horizontal="center" vertical="center"/>
    </xf>
    <xf numFmtId="173" fontId="40" fillId="0" borderId="1" xfId="6" applyNumberFormat="1" applyFont="1" applyBorder="1" applyAlignment="1">
      <alignment vertical="center"/>
    </xf>
    <xf numFmtId="173" fontId="28" fillId="0" borderId="1" xfId="6" applyNumberFormat="1" applyFont="1" applyBorder="1" applyAlignment="1">
      <alignment vertical="center"/>
    </xf>
    <xf numFmtId="165" fontId="20" fillId="9" borderId="5" xfId="0" applyNumberFormat="1" applyFont="1" applyFill="1" applyBorder="1" applyAlignment="1">
      <alignment horizontal="left" vertical="center"/>
    </xf>
    <xf numFmtId="14" fontId="26" fillId="2" borderId="0" xfId="0" applyNumberFormat="1" applyFont="1" applyFill="1" applyAlignment="1">
      <alignment horizontal="center" vertical="center"/>
    </xf>
    <xf numFmtId="165" fontId="23" fillId="12" borderId="0" xfId="0" applyNumberFormat="1" applyFont="1" applyFill="1" applyAlignment="1">
      <alignment horizontal="left" vertical="center"/>
    </xf>
    <xf numFmtId="10" fontId="20" fillId="7" borderId="0" xfId="1" applyNumberFormat="1" applyFont="1" applyFill="1" applyAlignment="1">
      <alignment horizontal="left" vertical="center"/>
    </xf>
    <xf numFmtId="165" fontId="14" fillId="2" borderId="0" xfId="0" applyNumberFormat="1" applyFont="1" applyFill="1" applyAlignment="1">
      <alignment horizontal="center" vertical="center"/>
    </xf>
    <xf numFmtId="9" fontId="15" fillId="0" borderId="0" xfId="0" applyNumberFormat="1" applyFont="1" applyAlignment="1">
      <alignment horizontal="center" vertical="center"/>
    </xf>
    <xf numFmtId="1" fontId="15" fillId="0" borderId="0" xfId="0" applyNumberFormat="1" applyFont="1" applyAlignment="1">
      <alignment horizontal="center" vertical="center"/>
    </xf>
    <xf numFmtId="165" fontId="20" fillId="12" borderId="0" xfId="0" applyNumberFormat="1" applyFont="1" applyFill="1" applyAlignment="1">
      <alignment horizontal="left" vertical="center"/>
    </xf>
    <xf numFmtId="0" fontId="43" fillId="0" borderId="0" xfId="0" applyFont="1"/>
    <xf numFmtId="0" fontId="14" fillId="0" borderId="0" xfId="0" applyFont="1" applyAlignment="1">
      <alignment horizontal="justify" vertical="center"/>
    </xf>
    <xf numFmtId="0" fontId="20" fillId="7" borderId="0" xfId="0" applyFont="1" applyFill="1" applyAlignment="1">
      <alignment horizontal="left" vertical="center"/>
    </xf>
    <xf numFmtId="43" fontId="20" fillId="7" borderId="0" xfId="6" applyFont="1" applyFill="1" applyAlignment="1">
      <alignment horizontal="left" vertical="center"/>
    </xf>
    <xf numFmtId="167" fontId="14" fillId="7" borderId="0" xfId="0" applyNumberFormat="1" applyFont="1" applyFill="1" applyAlignment="1">
      <alignment horizontal="center" vertical="center"/>
    </xf>
    <xf numFmtId="10" fontId="14" fillId="12" borderId="0" xfId="1" applyNumberFormat="1" applyFont="1" applyFill="1" applyAlignment="1">
      <alignment vertical="center"/>
    </xf>
    <xf numFmtId="10" fontId="18" fillId="10" borderId="5" xfId="0" applyNumberFormat="1" applyFont="1" applyFill="1" applyBorder="1" applyAlignment="1">
      <alignment vertical="center"/>
    </xf>
    <xf numFmtId="172" fontId="18" fillId="10" borderId="0" xfId="0" applyNumberFormat="1" applyFont="1" applyFill="1" applyAlignment="1">
      <alignment vertical="center"/>
    </xf>
    <xf numFmtId="176" fontId="14" fillId="12" borderId="0" xfId="0" applyNumberFormat="1" applyFont="1" applyFill="1" applyAlignment="1">
      <alignment horizontal="center" vertical="center"/>
    </xf>
    <xf numFmtId="17" fontId="14" fillId="0" borderId="0" xfId="0" applyNumberFormat="1" applyFont="1"/>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4" fillId="0" borderId="0" xfId="0" applyFont="1" applyAlignment="1">
      <alignment vertical="center" wrapText="1"/>
    </xf>
    <xf numFmtId="0" fontId="15" fillId="9" borderId="0" xfId="0" applyFont="1" applyFill="1" applyAlignment="1">
      <alignment horizontal="center" vertical="center" wrapText="1"/>
    </xf>
    <xf numFmtId="0" fontId="15" fillId="0" borderId="2" xfId="0" applyFont="1" applyBorder="1" applyAlignment="1">
      <alignment horizontal="center" vertical="center" wrapText="1"/>
    </xf>
    <xf numFmtId="0" fontId="19" fillId="4" borderId="0" xfId="0" applyFont="1" applyFill="1" applyAlignment="1">
      <alignment horizontal="center" vertical="center"/>
    </xf>
    <xf numFmtId="0" fontId="15" fillId="9" borderId="0" xfId="0" applyFont="1" applyFill="1" applyAlignment="1">
      <alignment horizontal="center" vertical="center"/>
    </xf>
    <xf numFmtId="0" fontId="14" fillId="9" borderId="0" xfId="0" applyFont="1" applyFill="1" applyAlignment="1">
      <alignment horizontal="center" vertical="center"/>
    </xf>
    <xf numFmtId="168" fontId="15" fillId="0" borderId="0" xfId="0" applyNumberFormat="1" applyFont="1" applyAlignment="1">
      <alignment horizontal="center" vertical="center"/>
    </xf>
    <xf numFmtId="0" fontId="21" fillId="4" borderId="0" xfId="0" applyFont="1" applyFill="1" applyAlignment="1">
      <alignment horizontal="center" vertical="center"/>
    </xf>
    <xf numFmtId="0" fontId="14" fillId="0" borderId="0" xfId="0" applyFont="1" applyAlignment="1">
      <alignment vertical="center"/>
    </xf>
    <xf numFmtId="0" fontId="15" fillId="0" borderId="0" xfId="0" applyFont="1" applyAlignment="1">
      <alignment vertical="center" wrapText="1"/>
    </xf>
    <xf numFmtId="173" fontId="2" fillId="0" borderId="23" xfId="6" applyNumberFormat="1" applyFont="1" applyBorder="1" applyAlignment="1">
      <alignment horizontal="center" vertical="center" wrapText="1"/>
    </xf>
    <xf numFmtId="173" fontId="2" fillId="0" borderId="2" xfId="6" applyNumberFormat="1" applyFont="1" applyBorder="1" applyAlignment="1">
      <alignment horizontal="center" vertical="center" wrapText="1"/>
    </xf>
    <xf numFmtId="173" fontId="2" fillId="0" borderId="24" xfId="6" applyNumberFormat="1" applyFont="1" applyBorder="1" applyAlignment="1">
      <alignment horizontal="center" vertical="center" wrapText="1"/>
    </xf>
    <xf numFmtId="0" fontId="39" fillId="0" borderId="0" xfId="0" applyFont="1" applyAlignment="1">
      <alignment horizontal="center" vertical="center" wrapText="1"/>
    </xf>
    <xf numFmtId="43" fontId="0" fillId="0" borderId="25" xfId="6" applyFont="1" applyBorder="1" applyAlignment="1">
      <alignment horizontal="center" vertical="center" wrapText="1"/>
    </xf>
    <xf numFmtId="43" fontId="0" fillId="0" borderId="26" xfId="6" applyFont="1" applyBorder="1" applyAlignment="1">
      <alignment horizontal="center" vertical="center" wrapText="1"/>
    </xf>
    <xf numFmtId="0" fontId="2" fillId="0" borderId="23" xfId="0" applyFont="1" applyBorder="1" applyAlignment="1">
      <alignment horizontal="left" vertical="center" wrapText="1"/>
    </xf>
    <xf numFmtId="0" fontId="2" fillId="0" borderId="2" xfId="0" applyFont="1" applyBorder="1" applyAlignment="1">
      <alignment horizontal="left" vertical="center" wrapText="1"/>
    </xf>
    <xf numFmtId="0" fontId="2" fillId="0" borderId="24" xfId="0" applyFont="1" applyBorder="1" applyAlignment="1">
      <alignment horizontal="left" vertical="center" wrapText="1"/>
    </xf>
    <xf numFmtId="0" fontId="18" fillId="10" borderId="0" xfId="0" applyFont="1" applyFill="1" applyAlignment="1">
      <alignment horizontal="center" vertical="center"/>
    </xf>
    <xf numFmtId="0" fontId="18" fillId="10" borderId="0" xfId="0" applyFont="1" applyFill="1"/>
    <xf numFmtId="0" fontId="14" fillId="0" borderId="0" xfId="0" applyFont="1" applyAlignment="1">
      <alignment horizontal="center" vertical="center" wrapText="1"/>
    </xf>
    <xf numFmtId="0" fontId="15" fillId="9" borderId="0" xfId="0" applyFont="1" applyFill="1" applyAlignment="1">
      <alignment vertical="center" wrapText="1"/>
    </xf>
    <xf numFmtId="0" fontId="14" fillId="9" borderId="0" xfId="0" applyFont="1" applyFill="1" applyAlignment="1">
      <alignment vertical="center" wrapText="1"/>
    </xf>
    <xf numFmtId="0" fontId="14" fillId="9" borderId="0" xfId="0" applyFont="1" applyFill="1" applyAlignment="1">
      <alignment vertical="center"/>
    </xf>
    <xf numFmtId="0" fontId="30" fillId="10" borderId="6" xfId="0" applyFont="1" applyFill="1" applyBorder="1" applyAlignment="1">
      <alignment horizontal="center"/>
    </xf>
    <xf numFmtId="0" fontId="30" fillId="10" borderId="7" xfId="0" applyFont="1" applyFill="1" applyBorder="1" applyAlignment="1">
      <alignment horizontal="center"/>
    </xf>
    <xf numFmtId="0" fontId="30" fillId="10" borderId="8" xfId="0" applyFont="1" applyFill="1" applyBorder="1" applyAlignment="1">
      <alignment horizontal="center"/>
    </xf>
    <xf numFmtId="0" fontId="0" fillId="0" borderId="0" xfId="0" applyAlignment="1">
      <alignment horizontal="center"/>
    </xf>
    <xf numFmtId="10" fontId="27" fillId="9" borderId="0" xfId="1" applyNumberFormat="1" applyFont="1" applyFill="1" applyBorder="1" applyAlignment="1">
      <alignment horizontal="center"/>
    </xf>
    <xf numFmtId="0" fontId="26" fillId="2" borderId="0" xfId="0" applyFont="1" applyFill="1" applyAlignment="1">
      <alignment horizontal="right" vertical="center"/>
    </xf>
    <xf numFmtId="0" fontId="20" fillId="2" borderId="0" xfId="0" applyFont="1" applyFill="1" applyAlignment="1">
      <alignment horizontal="center" vertical="center"/>
    </xf>
    <xf numFmtId="2" fontId="18" fillId="10" borderId="0" xfId="2" applyNumberFormat="1" applyFont="1" applyFill="1" applyAlignment="1">
      <alignment horizontal="center" vertical="center" wrapText="1"/>
    </xf>
    <xf numFmtId="10" fontId="18" fillId="10" borderId="0" xfId="3" applyNumberFormat="1" applyFont="1" applyFill="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xf>
    <xf numFmtId="0" fontId="4" fillId="0" borderId="1"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vertical="center"/>
    </xf>
    <xf numFmtId="0" fontId="21" fillId="4" borderId="0" xfId="0" applyFont="1" applyFill="1" applyAlignment="1">
      <alignment vertical="center"/>
    </xf>
  </cellXfs>
  <cellStyles count="11">
    <cellStyle name="Comma" xfId="6" builtinId="3"/>
    <cellStyle name="Comma 5" xfId="4" xr:uid="{00000000-0005-0000-0000-000001000000}"/>
    <cellStyle name="Hyperlink" xfId="8" builtinId="8"/>
    <cellStyle name="Normal" xfId="0" builtinId="0"/>
    <cellStyle name="Normal 10" xfId="9" xr:uid="{3E5A5A53-1C02-4514-9D9C-E3C00E0CA9CC}"/>
    <cellStyle name="Normal 2 2 9 9" xfId="10" xr:uid="{CE096C29-780D-4255-AC44-94DC4F7EC81D}"/>
    <cellStyle name="Normal_Ajit Projections-Hotel" xfId="5" xr:uid="{00000000-0005-0000-0000-000004000000}"/>
    <cellStyle name="Normal_QC sheet and key workings - 19oct4" xfId="7" xr:uid="{00000000-0005-0000-0000-000005000000}"/>
    <cellStyle name="Normal_temp" xfId="2" xr:uid="{00000000-0005-0000-0000-000006000000}"/>
    <cellStyle name="Percent" xfId="1" builtinId="5"/>
    <cellStyle name="Percent 4" xfId="3"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L'!$B$52</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L'!$E$5:$K$5</c:f>
              <c:numCache>
                <c:formatCode>General</c:formatCode>
                <c:ptCount val="7"/>
                <c:pt idx="0">
                  <c:v>2026</c:v>
                </c:pt>
                <c:pt idx="1">
                  <c:v>2027</c:v>
                </c:pt>
                <c:pt idx="2">
                  <c:v>2028</c:v>
                </c:pt>
                <c:pt idx="3">
                  <c:v>2029</c:v>
                </c:pt>
                <c:pt idx="4">
                  <c:v>2030</c:v>
                </c:pt>
                <c:pt idx="5">
                  <c:v>2031</c:v>
                </c:pt>
                <c:pt idx="6">
                  <c:v>2032</c:v>
                </c:pt>
              </c:numCache>
            </c:numRef>
          </c:cat>
          <c:val>
            <c:numRef>
              <c:f>'P &amp; L'!$E$52:$K$52</c:f>
              <c:numCache>
                <c:formatCode>0.0%</c:formatCode>
                <c:ptCount val="7"/>
                <c:pt idx="0">
                  <c:v>2.8653385581709535E-2</c:v>
                </c:pt>
                <c:pt idx="1">
                  <c:v>3.2772995262186945E-2</c:v>
                </c:pt>
                <c:pt idx="2">
                  <c:v>3.5811116043277358E-2</c:v>
                </c:pt>
                <c:pt idx="3">
                  <c:v>3.8126060670098959E-2</c:v>
                </c:pt>
                <c:pt idx="4">
                  <c:v>3.9932723208806552E-2</c:v>
                </c:pt>
                <c:pt idx="5">
                  <c:v>4.13677653040921E-2</c:v>
                </c:pt>
                <c:pt idx="6">
                  <c:v>4.2522209131095945E-2</c:v>
                </c:pt>
              </c:numCache>
            </c:numRef>
          </c:val>
          <c:extLst>
            <c:ext xmlns:c16="http://schemas.microsoft.com/office/drawing/2014/chart" uri="{C3380CC4-5D6E-409C-BE32-E72D297353CC}">
              <c16:uniqueId val="{00000001-8777-4B76-87F4-033BC0CE2C98}"/>
            </c:ext>
          </c:extLst>
        </c:ser>
        <c:dLbls>
          <c:dLblPos val="outEnd"/>
          <c:showLegendKey val="0"/>
          <c:showVal val="1"/>
          <c:showCatName val="0"/>
          <c:showSerName val="0"/>
          <c:showPercent val="0"/>
          <c:showBubbleSize val="0"/>
        </c:dLbls>
        <c:gapWidth val="219"/>
        <c:overlap val="-27"/>
        <c:axId val="338632664"/>
        <c:axId val="338628832"/>
      </c:barChart>
      <c:catAx>
        <c:axId val="33863266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628832"/>
        <c:crosses val="autoZero"/>
        <c:auto val="1"/>
        <c:lblAlgn val="ctr"/>
        <c:lblOffset val="100"/>
        <c:noMultiLvlLbl val="0"/>
      </c:catAx>
      <c:valAx>
        <c:axId val="33862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a:t>
                </a:r>
                <a:r>
                  <a:rPr lang="en-IN" b="1" i="1" baseline="0"/>
                  <a:t> %</a:t>
                </a:r>
                <a:endParaRPr lang="en-IN" b="1" i="1"/>
              </a:p>
            </c:rich>
          </c:tx>
          <c:layout>
            <c:manualLayout>
              <c:xMode val="edge"/>
              <c:yMode val="edge"/>
              <c:x val="1.2705974984736572E-2"/>
              <c:y val="0.37652012248468941"/>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632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L'!$B$54</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L'!$E$5:$K$5</c:f>
              <c:numCache>
                <c:formatCode>General</c:formatCode>
                <c:ptCount val="7"/>
                <c:pt idx="0">
                  <c:v>2026</c:v>
                </c:pt>
                <c:pt idx="1">
                  <c:v>2027</c:v>
                </c:pt>
                <c:pt idx="2">
                  <c:v>2028</c:v>
                </c:pt>
                <c:pt idx="3">
                  <c:v>2029</c:v>
                </c:pt>
                <c:pt idx="4">
                  <c:v>2030</c:v>
                </c:pt>
                <c:pt idx="5">
                  <c:v>2031</c:v>
                </c:pt>
                <c:pt idx="6">
                  <c:v>2032</c:v>
                </c:pt>
              </c:numCache>
            </c:numRef>
          </c:cat>
          <c:val>
            <c:numRef>
              <c:f>'P &amp; L'!$E$54:$K$54</c:f>
              <c:numCache>
                <c:formatCode>0.0%</c:formatCode>
                <c:ptCount val="7"/>
                <c:pt idx="0">
                  <c:v>8.5043909367199053E-3</c:v>
                </c:pt>
                <c:pt idx="1">
                  <c:v>1.8686376268877272E-2</c:v>
                </c:pt>
                <c:pt idx="2">
                  <c:v>2.5753831306208959E-2</c:v>
                </c:pt>
                <c:pt idx="3">
                  <c:v>3.0828681891995446E-2</c:v>
                </c:pt>
                <c:pt idx="4">
                  <c:v>3.4569474324268837E-2</c:v>
                </c:pt>
                <c:pt idx="5">
                  <c:v>3.7384483888620007E-2</c:v>
                </c:pt>
                <c:pt idx="6">
                  <c:v>3.9537838636499109E-2</c:v>
                </c:pt>
              </c:numCache>
            </c:numRef>
          </c:val>
          <c:extLst>
            <c:ext xmlns:c16="http://schemas.microsoft.com/office/drawing/2014/chart" uri="{C3380CC4-5D6E-409C-BE32-E72D297353CC}">
              <c16:uniqueId val="{00000001-A5DD-4640-8CF8-CAA88EBE970F}"/>
            </c:ext>
          </c:extLst>
        </c:ser>
        <c:dLbls>
          <c:dLblPos val="outEnd"/>
          <c:showLegendKey val="0"/>
          <c:showVal val="1"/>
          <c:showCatName val="0"/>
          <c:showSerName val="0"/>
          <c:showPercent val="0"/>
          <c:showBubbleSize val="0"/>
        </c:dLbls>
        <c:gapWidth val="219"/>
        <c:overlap val="-27"/>
        <c:axId val="338778552"/>
        <c:axId val="338778936"/>
      </c:barChart>
      <c:catAx>
        <c:axId val="33877855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9032275346305454"/>
              <c:y val="0.8920622547599610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778936"/>
        <c:crosses val="autoZero"/>
        <c:auto val="1"/>
        <c:lblAlgn val="ctr"/>
        <c:lblOffset val="100"/>
        <c:noMultiLvlLbl val="0"/>
      </c:catAx>
      <c:valAx>
        <c:axId val="338778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2541641397193166E-2"/>
              <c:y val="0.36788568095654711"/>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778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L'!$B$56</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L'!$E$5:$K$5</c:f>
              <c:numCache>
                <c:formatCode>General</c:formatCode>
                <c:ptCount val="7"/>
                <c:pt idx="0">
                  <c:v>2026</c:v>
                </c:pt>
                <c:pt idx="1">
                  <c:v>2027</c:v>
                </c:pt>
                <c:pt idx="2">
                  <c:v>2028</c:v>
                </c:pt>
                <c:pt idx="3">
                  <c:v>2029</c:v>
                </c:pt>
                <c:pt idx="4">
                  <c:v>2030</c:v>
                </c:pt>
                <c:pt idx="5">
                  <c:v>2031</c:v>
                </c:pt>
                <c:pt idx="6">
                  <c:v>2032</c:v>
                </c:pt>
              </c:numCache>
            </c:numRef>
          </c:cat>
          <c:val>
            <c:numRef>
              <c:f>'P &amp; L'!$E$56:$K$56</c:f>
              <c:numCache>
                <c:formatCode>0.0%</c:formatCode>
                <c:ptCount val="7"/>
                <c:pt idx="0">
                  <c:v>2.1735243830767079E-4</c:v>
                </c:pt>
                <c:pt idx="1">
                  <c:v>9.446319648173801E-3</c:v>
                </c:pt>
                <c:pt idx="2">
                  <c:v>1.6008039978852973E-2</c:v>
                </c:pt>
                <c:pt idx="3">
                  <c:v>2.0836886678267143E-2</c:v>
                </c:pt>
                <c:pt idx="4">
                  <c:v>2.4455838346265083E-2</c:v>
                </c:pt>
                <c:pt idx="5">
                  <c:v>2.723247353343208E-2</c:v>
                </c:pt>
                <c:pt idx="6">
                  <c:v>2.9388556409148617E-2</c:v>
                </c:pt>
              </c:numCache>
            </c:numRef>
          </c:val>
          <c:extLst>
            <c:ext xmlns:c16="http://schemas.microsoft.com/office/drawing/2014/chart" uri="{C3380CC4-5D6E-409C-BE32-E72D297353CC}">
              <c16:uniqueId val="{00000001-2AF1-4B22-8EAE-3D14FA2DB6F3}"/>
            </c:ext>
          </c:extLst>
        </c:ser>
        <c:dLbls>
          <c:dLblPos val="outEnd"/>
          <c:showLegendKey val="0"/>
          <c:showVal val="1"/>
          <c:showCatName val="0"/>
          <c:showSerName val="0"/>
          <c:showPercent val="0"/>
          <c:showBubbleSize val="0"/>
        </c:dLbls>
        <c:gapWidth val="219"/>
        <c:overlap val="-27"/>
        <c:axId val="338830032"/>
        <c:axId val="338834520"/>
      </c:barChart>
      <c:catAx>
        <c:axId val="33883003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834520"/>
        <c:crosses val="autoZero"/>
        <c:auto val="1"/>
        <c:lblAlgn val="ctr"/>
        <c:lblOffset val="100"/>
        <c:noMultiLvlLbl val="0"/>
      </c:catAx>
      <c:valAx>
        <c:axId val="338834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2497558301847523E-2"/>
              <c:y val="0.372303762029746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830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L'!$B$58</c:f>
              <c:strCache>
                <c:ptCount val="1"/>
                <c:pt idx="0">
                  <c:v>Revenue Growth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L'!$F$5:$K$5</c:f>
              <c:numCache>
                <c:formatCode>General</c:formatCode>
                <c:ptCount val="6"/>
                <c:pt idx="0">
                  <c:v>2027</c:v>
                </c:pt>
                <c:pt idx="1">
                  <c:v>2028</c:v>
                </c:pt>
                <c:pt idx="2">
                  <c:v>2029</c:v>
                </c:pt>
                <c:pt idx="3">
                  <c:v>2030</c:v>
                </c:pt>
                <c:pt idx="4">
                  <c:v>2031</c:v>
                </c:pt>
                <c:pt idx="5">
                  <c:v>2032</c:v>
                </c:pt>
              </c:numCache>
            </c:numRef>
          </c:cat>
          <c:val>
            <c:numRef>
              <c:f>'P &amp; L'!$F$58:$K$58</c:f>
              <c:numCache>
                <c:formatCode>0.0%</c:formatCode>
                <c:ptCount val="6"/>
                <c:pt idx="0">
                  <c:v>0.22499999999999987</c:v>
                </c:pt>
                <c:pt idx="1">
                  <c:v>0.2000000000000004</c:v>
                </c:pt>
                <c:pt idx="2">
                  <c:v>0.18124999999999991</c:v>
                </c:pt>
                <c:pt idx="3">
                  <c:v>0.16666666666666652</c:v>
                </c:pt>
                <c:pt idx="4">
                  <c:v>0.15500000000000025</c:v>
                </c:pt>
                <c:pt idx="5">
                  <c:v>0.14545454545454528</c:v>
                </c:pt>
              </c:numCache>
            </c:numRef>
          </c:val>
          <c:extLst>
            <c:ext xmlns:c16="http://schemas.microsoft.com/office/drawing/2014/chart" uri="{C3380CC4-5D6E-409C-BE32-E72D297353CC}">
              <c16:uniqueId val="{00000001-428E-4086-90B4-B802920288EF}"/>
            </c:ext>
          </c:extLst>
        </c:ser>
        <c:dLbls>
          <c:dLblPos val="outEnd"/>
          <c:showLegendKey val="0"/>
          <c:showVal val="1"/>
          <c:showCatName val="0"/>
          <c:showSerName val="0"/>
          <c:showPercent val="0"/>
          <c:showBubbleSize val="0"/>
        </c:dLbls>
        <c:gapWidth val="219"/>
        <c:overlap val="-27"/>
        <c:axId val="336979240"/>
        <c:axId val="336979632"/>
      </c:barChart>
      <c:catAx>
        <c:axId val="336979240"/>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9597525815554316"/>
              <c:y val="0.91239268157736431"/>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79632"/>
        <c:crosses val="autoZero"/>
        <c:auto val="1"/>
        <c:lblAlgn val="ctr"/>
        <c:lblOffset val="100"/>
        <c:noMultiLvlLbl val="0"/>
      </c:catAx>
      <c:valAx>
        <c:axId val="336979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Growth Rate</a:t>
                </a:r>
                <a:r>
                  <a:rPr lang="en-IN" b="1" i="1" baseline="0"/>
                  <a:t> %</a:t>
                </a:r>
                <a:endParaRPr lang="en-IN" b="1" i="1"/>
              </a:p>
            </c:rich>
          </c:tx>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79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280987</xdr:colOff>
      <xdr:row>61</xdr:row>
      <xdr:rowOff>104774</xdr:rowOff>
    </xdr:from>
    <xdr:to>
      <xdr:col>11</xdr:col>
      <xdr:colOff>0</xdr:colOff>
      <xdr:row>76</xdr:row>
      <xdr:rowOff>95249</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319086</xdr:colOff>
      <xdr:row>78</xdr:row>
      <xdr:rowOff>38099</xdr:rowOff>
    </xdr:from>
    <xdr:to>
      <xdr:col>11</xdr:col>
      <xdr:colOff>0</xdr:colOff>
      <xdr:row>93</xdr:row>
      <xdr:rowOff>28574</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319087</xdr:colOff>
      <xdr:row>94</xdr:row>
      <xdr:rowOff>114300</xdr:rowOff>
    </xdr:from>
    <xdr:to>
      <xdr:col>11</xdr:col>
      <xdr:colOff>0</xdr:colOff>
      <xdr:row>109</xdr:row>
      <xdr:rowOff>114300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319086</xdr:colOff>
      <xdr:row>111</xdr:row>
      <xdr:rowOff>66674</xdr:rowOff>
    </xdr:from>
    <xdr:to>
      <xdr:col>11</xdr:col>
      <xdr:colOff>0</xdr:colOff>
      <xdr:row>126</xdr:row>
      <xdr:rowOff>171450</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neesh mallick" id="{6C0130F6-A774-4440-8183-9409C2C00431}" userId="S::aneesh.mallick@jcbhalla.com::33b55255-9667-4324-975c-e60f4b50525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 dT="2024-06-26T07:51:57.77" personId="{6C0130F6-A774-4440-8183-9409C2C00431}" id="{BEBFEEAB-0C57-408B-8408-5B3ABE2CAD4A}">
    <text>As per discussion with the banker</text>
  </threadedComment>
  <threadedComment ref="F19" dT="2024-06-26T05:35:26.93" personId="{6C0130F6-A774-4440-8183-9409C2C00431}" id="{4DE01AF1-F379-4B4F-A3DA-21B88B0203A8}">
    <text xml:space="preserve">KVA/KW = 4000
No. of working days= 25 days/month 
= 300 days/annum
No. of shifts = 2 per day
One shift= 8 hours </text>
  </threadedComment>
</ThreadedComments>
</file>

<file path=xl/threadedComments/threadedComment2.xml><?xml version="1.0" encoding="utf-8"?>
<ThreadedComments xmlns="http://schemas.microsoft.com/office/spreadsheetml/2018/threadedcomments" xmlns:x="http://schemas.openxmlformats.org/spreadsheetml/2006/main">
  <threadedComment ref="O12" dT="2024-06-26T07:28:44.41" personId="{6C0130F6-A774-4440-8183-9409C2C00431}" id="{6D65C6DB-866F-47DC-A77C-F4D95AD92A3A}">
    <text>70% CAPACITY UTILISATION ASSUMED</text>
  </threadedComment>
  <threadedComment ref="P12" dT="2024-06-26T07:32:09.02" personId="{6C0130F6-A774-4440-8183-9409C2C00431}" id="{EA20AD91-E529-4F8D-9388-371113B900FD}">
    <text>70% ASSUMED</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conomictimes.indiatimes.com/industry/indl-goods/svs/steel/shyam-metalics-plans-to-invest-rs-850cr-in-fy22-ropes-in-salman-khan-for-tmt-bar-promotion/articleshow/86558558.cms?from=mdr" TargetMode="External"/><Relationship Id="rId2" Type="http://schemas.openxmlformats.org/officeDocument/2006/relationships/hyperlink" Target="https://www.moneycontrol.com/news/business/markets/srf-shares-rise-1-as-company-commissions-rs-536-crore-aluminium-foil-manufacturing-facility-11986161.html"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nalcoindia.com/domestic/current-price/" TargetMode="External"/><Relationship Id="rId7" Type="http://schemas.openxmlformats.org/officeDocument/2006/relationships/comments" Target="../comments1.xml"/><Relationship Id="rId2" Type="http://schemas.openxmlformats.org/officeDocument/2006/relationships/hyperlink" Target="https://aluminiummagazine.com/mag/business/current-aluminium-price.html" TargetMode="External"/><Relationship Id="rId1" Type="http://schemas.openxmlformats.org/officeDocument/2006/relationships/printerSettings" Target="../printerSettings/printerSettings7.bin"/><Relationship Id="rId6" Type="http://schemas.openxmlformats.org/officeDocument/2006/relationships/vmlDrawing" Target="../drawings/vmlDrawing1.vml"/><Relationship Id="rId5" Type="http://schemas.openxmlformats.org/officeDocument/2006/relationships/printerSettings" Target="../printerSettings/printerSettings8.bin"/><Relationship Id="rId4" Type="http://schemas.openxmlformats.org/officeDocument/2006/relationships/hyperlink" Target="https://www.indiamart.com/proddetail/src-aluminium-foil-for-containers-21188344355.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pib.gov.in/PressReleasePage.aspx?PRID=1935893" TargetMode="External"/><Relationship Id="rId2" Type="http://schemas.openxmlformats.org/officeDocument/2006/relationships/hyperlink" Target="https://www.google.com/maps/place/29%C2%B037'25.6%22N+77%C2%B059'36.7%22E/@29.6228603,77.9793391,1059m/data=!3m1!1e3!4m4!3m3!8m2!3d29.6237778!4d77.9935278?entry=ttu" TargetMode="External"/><Relationship Id="rId1" Type="http://schemas.openxmlformats.org/officeDocument/2006/relationships/hyperlink" Target="https://www.downtoearth.org.in/blog/energy/budget-kick-keep-these-factors-in-mind-while-setting-up-a-bio-cng-plant-87471" TargetMode="External"/><Relationship Id="rId5" Type="http://schemas.openxmlformats.org/officeDocument/2006/relationships/printerSettings" Target="../printerSettings/printerSettings9.bin"/><Relationship Id="rId4" Type="http://schemas.openxmlformats.org/officeDocument/2006/relationships/hyperlink" Target="https://gobardhan.co.in/"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2:M204"/>
  <sheetViews>
    <sheetView showGridLines="0" zoomScaleNormal="100" workbookViewId="0">
      <selection activeCell="G1" sqref="G1"/>
    </sheetView>
  </sheetViews>
  <sheetFormatPr defaultColWidth="13" defaultRowHeight="14.5" x14ac:dyDescent="0.35"/>
  <cols>
    <col min="1" max="1" width="4.453125" style="44" customWidth="1"/>
    <col min="2" max="2" width="9.54296875" style="44" customWidth="1"/>
    <col min="3" max="3" width="47.453125" style="45" customWidth="1"/>
    <col min="4" max="4" width="13.7265625" style="44" customWidth="1"/>
    <col min="5" max="5" width="13.453125" style="44" customWidth="1"/>
    <col min="6" max="6" width="20.26953125" style="44" customWidth="1"/>
    <col min="7" max="7" width="21" style="44" customWidth="1"/>
    <col min="8" max="8" width="19.453125" style="44" customWidth="1"/>
    <col min="9" max="9" width="16" style="44" bestFit="1" customWidth="1"/>
    <col min="10" max="12" width="13" style="44"/>
    <col min="13" max="13" width="22.453125" style="44" customWidth="1"/>
    <col min="14" max="16384" width="13" style="44"/>
  </cols>
  <sheetData>
    <row r="2" spans="2:9" ht="20.25" customHeight="1" x14ac:dyDescent="0.35">
      <c r="B2" s="452" t="s">
        <v>6</v>
      </c>
      <c r="C2" s="452"/>
      <c r="D2" s="452"/>
      <c r="E2" s="452"/>
      <c r="F2" s="452"/>
      <c r="G2" s="452"/>
    </row>
    <row r="3" spans="2:9" s="66" customFormat="1" ht="21" customHeight="1" x14ac:dyDescent="0.35">
      <c r="B3" s="70" t="s">
        <v>0</v>
      </c>
      <c r="C3" s="70" t="s">
        <v>1</v>
      </c>
      <c r="D3" s="70" t="s">
        <v>2</v>
      </c>
      <c r="E3" s="70" t="s">
        <v>3</v>
      </c>
      <c r="F3" s="70" t="s">
        <v>4</v>
      </c>
      <c r="G3" s="70" t="s">
        <v>579</v>
      </c>
    </row>
    <row r="4" spans="2:9" ht="18.75" customHeight="1" x14ac:dyDescent="0.35">
      <c r="B4" s="71" t="s">
        <v>79</v>
      </c>
      <c r="C4" s="450" t="s">
        <v>354</v>
      </c>
      <c r="D4" s="454"/>
      <c r="E4" s="454"/>
      <c r="F4" s="454"/>
      <c r="G4" s="454"/>
    </row>
    <row r="5" spans="2:9" x14ac:dyDescent="0.35">
      <c r="B5" s="44">
        <v>1</v>
      </c>
      <c r="C5" s="45" t="s">
        <v>580</v>
      </c>
    </row>
    <row r="6" spans="2:9" ht="14.15" customHeight="1" x14ac:dyDescent="0.35">
      <c r="D6" s="48"/>
      <c r="F6" s="48"/>
      <c r="G6" s="63"/>
    </row>
    <row r="7" spans="2:9" ht="14.15" customHeight="1" x14ac:dyDescent="0.35">
      <c r="D7" s="48"/>
      <c r="F7" s="48"/>
      <c r="G7" s="63"/>
    </row>
    <row r="8" spans="2:9" x14ac:dyDescent="0.35">
      <c r="D8" s="48"/>
      <c r="F8" s="48"/>
      <c r="G8" s="63"/>
    </row>
    <row r="9" spans="2:9" s="47" customFormat="1" ht="22.5" customHeight="1" x14ac:dyDescent="0.35">
      <c r="B9" s="74"/>
      <c r="C9" s="75" t="s">
        <v>585</v>
      </c>
      <c r="D9" s="74"/>
      <c r="E9" s="74"/>
      <c r="F9" s="74"/>
      <c r="G9" s="76">
        <v>5000000</v>
      </c>
      <c r="I9" s="49"/>
    </row>
    <row r="10" spans="2:9" ht="22.5" customHeight="1" x14ac:dyDescent="0.35">
      <c r="B10" s="71" t="s">
        <v>80</v>
      </c>
      <c r="C10" s="450" t="s">
        <v>106</v>
      </c>
      <c r="D10" s="453"/>
      <c r="E10" s="453"/>
      <c r="F10" s="453"/>
      <c r="G10" s="453"/>
    </row>
    <row r="11" spans="2:9" ht="22.5" customHeight="1" x14ac:dyDescent="0.35">
      <c r="B11" s="47">
        <v>1</v>
      </c>
      <c r="C11" s="50" t="s">
        <v>107</v>
      </c>
      <c r="F11" s="48"/>
      <c r="G11" s="63"/>
    </row>
    <row r="12" spans="2:9" ht="22.5" customHeight="1" x14ac:dyDescent="0.35">
      <c r="B12" s="44" t="s">
        <v>84</v>
      </c>
      <c r="C12" s="45" t="s">
        <v>288</v>
      </c>
      <c r="D12" s="48">
        <v>225</v>
      </c>
      <c r="E12" s="44" t="s">
        <v>296</v>
      </c>
      <c r="F12" s="48">
        <v>1400</v>
      </c>
      <c r="G12" s="63">
        <f>D12*F12</f>
        <v>315000</v>
      </c>
      <c r="H12" s="253"/>
    </row>
    <row r="13" spans="2:9" ht="22.5" customHeight="1" x14ac:dyDescent="0.35">
      <c r="B13" s="44" t="s">
        <v>85</v>
      </c>
      <c r="C13" s="45" t="s">
        <v>535</v>
      </c>
      <c r="D13" s="48">
        <v>320</v>
      </c>
      <c r="E13" s="44" t="s">
        <v>296</v>
      </c>
      <c r="F13" s="48">
        <v>6700</v>
      </c>
      <c r="G13" s="63">
        <f t="shared" ref="G13:G22" si="0">D13*F13</f>
        <v>2144000</v>
      </c>
      <c r="H13" s="253"/>
    </row>
    <row r="14" spans="2:9" ht="22.5" customHeight="1" x14ac:dyDescent="0.35">
      <c r="B14" s="44" t="s">
        <v>86</v>
      </c>
      <c r="C14" s="45" t="s">
        <v>286</v>
      </c>
      <c r="D14" s="48">
        <v>16</v>
      </c>
      <c r="E14" s="44" t="s">
        <v>296</v>
      </c>
      <c r="F14" s="48">
        <v>7500</v>
      </c>
      <c r="G14" s="63">
        <f t="shared" si="0"/>
        <v>120000</v>
      </c>
      <c r="H14" s="253"/>
    </row>
    <row r="15" spans="2:9" ht="22.5" customHeight="1" x14ac:dyDescent="0.35">
      <c r="B15" s="44" t="s">
        <v>93</v>
      </c>
      <c r="C15" s="45" t="s">
        <v>287</v>
      </c>
      <c r="D15" s="48">
        <v>3</v>
      </c>
      <c r="E15" s="44" t="s">
        <v>150</v>
      </c>
      <c r="F15" s="48">
        <v>225000</v>
      </c>
      <c r="G15" s="63">
        <f t="shared" si="0"/>
        <v>675000</v>
      </c>
      <c r="H15" s="253"/>
    </row>
    <row r="16" spans="2:9" ht="22.5" customHeight="1" x14ac:dyDescent="0.35">
      <c r="B16" s="44" t="s">
        <v>94</v>
      </c>
      <c r="C16" s="45" t="s">
        <v>611</v>
      </c>
      <c r="D16" s="48">
        <v>700</v>
      </c>
      <c r="E16" s="44" t="s">
        <v>174</v>
      </c>
      <c r="F16" s="48">
        <v>6700</v>
      </c>
      <c r="G16" s="63">
        <f t="shared" si="0"/>
        <v>4690000</v>
      </c>
      <c r="H16" s="253"/>
    </row>
    <row r="17" spans="2:10" ht="35.15" customHeight="1" x14ac:dyDescent="0.35">
      <c r="B17" s="44" t="s">
        <v>95</v>
      </c>
      <c r="C17" s="45" t="s">
        <v>612</v>
      </c>
      <c r="D17" s="48">
        <v>5000</v>
      </c>
      <c r="E17" s="44" t="s">
        <v>296</v>
      </c>
      <c r="F17" s="48">
        <v>1100</v>
      </c>
      <c r="G17" s="63">
        <f t="shared" si="0"/>
        <v>5500000</v>
      </c>
      <c r="H17" s="253"/>
    </row>
    <row r="18" spans="2:10" ht="22.5" customHeight="1" x14ac:dyDescent="0.35">
      <c r="B18" s="44" t="s">
        <v>96</v>
      </c>
      <c r="C18" s="45" t="s">
        <v>561</v>
      </c>
      <c r="D18" s="48">
        <v>350</v>
      </c>
      <c r="E18" s="44" t="s">
        <v>296</v>
      </c>
      <c r="F18" s="48">
        <v>2800</v>
      </c>
      <c r="G18" s="63">
        <f t="shared" si="0"/>
        <v>980000</v>
      </c>
      <c r="H18" s="253"/>
      <c r="I18" s="44" t="s">
        <v>720</v>
      </c>
      <c r="J18" s="44">
        <v>16</v>
      </c>
    </row>
    <row r="19" spans="2:10" ht="22.5" customHeight="1" x14ac:dyDescent="0.35">
      <c r="B19" s="44" t="s">
        <v>97</v>
      </c>
      <c r="C19" s="45" t="s">
        <v>544</v>
      </c>
      <c r="D19" s="48">
        <v>600</v>
      </c>
      <c r="E19" s="44" t="s">
        <v>297</v>
      </c>
      <c r="F19" s="48">
        <v>5000</v>
      </c>
      <c r="G19" s="63">
        <f>D19*F19</f>
        <v>3000000</v>
      </c>
      <c r="H19" s="253"/>
      <c r="J19" s="54">
        <f>(4/3)*(22/7)*16^3</f>
        <v>17164.190476190473</v>
      </c>
    </row>
    <row r="20" spans="2:10" ht="22.5" customHeight="1" x14ac:dyDescent="0.35">
      <c r="B20" s="44" t="s">
        <v>79</v>
      </c>
      <c r="C20" s="45" t="s">
        <v>501</v>
      </c>
      <c r="D20" s="48">
        <v>610</v>
      </c>
      <c r="E20" s="44" t="s">
        <v>296</v>
      </c>
      <c r="F20" s="48">
        <v>6700</v>
      </c>
      <c r="G20" s="63">
        <f t="shared" si="0"/>
        <v>4087000</v>
      </c>
      <c r="H20" s="253"/>
      <c r="J20" s="255" t="s">
        <v>721</v>
      </c>
    </row>
    <row r="21" spans="2:10" ht="22.5" customHeight="1" x14ac:dyDescent="0.35">
      <c r="B21" s="44" t="s">
        <v>98</v>
      </c>
      <c r="C21" s="45" t="s">
        <v>531</v>
      </c>
      <c r="D21" s="48">
        <v>7234</v>
      </c>
      <c r="E21" s="44" t="s">
        <v>297</v>
      </c>
      <c r="F21" s="48">
        <v>2450</v>
      </c>
      <c r="G21" s="63">
        <f t="shared" si="0"/>
        <v>17723300</v>
      </c>
      <c r="H21" s="253"/>
      <c r="J21" s="100">
        <f>(3.14)*16^2*9</f>
        <v>7234.56</v>
      </c>
    </row>
    <row r="22" spans="2:10" ht="22.5" customHeight="1" x14ac:dyDescent="0.35">
      <c r="B22" s="44" t="s">
        <v>289</v>
      </c>
      <c r="C22" s="45" t="s">
        <v>531</v>
      </c>
      <c r="D22" s="48">
        <v>7234</v>
      </c>
      <c r="E22" s="44" t="s">
        <v>297</v>
      </c>
      <c r="F22" s="48">
        <v>2450</v>
      </c>
      <c r="G22" s="63">
        <f t="shared" si="0"/>
        <v>17723300</v>
      </c>
      <c r="H22" s="253"/>
      <c r="J22" s="44">
        <f>3.14*32*32*9/4</f>
        <v>7234.56</v>
      </c>
    </row>
    <row r="23" spans="2:10" ht="22.5" customHeight="1" x14ac:dyDescent="0.35">
      <c r="B23" s="44" t="s">
        <v>284</v>
      </c>
      <c r="C23" s="45" t="s">
        <v>500</v>
      </c>
      <c r="D23" s="48">
        <v>100</v>
      </c>
      <c r="E23" s="44" t="s">
        <v>297</v>
      </c>
      <c r="F23" s="48">
        <v>5000</v>
      </c>
      <c r="G23" s="63">
        <f t="shared" ref="G23:G31" si="1">(D23*F23)</f>
        <v>500000</v>
      </c>
      <c r="H23" s="253"/>
    </row>
    <row r="24" spans="2:10" ht="22.5" customHeight="1" x14ac:dyDescent="0.35">
      <c r="B24" s="44" t="s">
        <v>290</v>
      </c>
      <c r="C24" s="45" t="s">
        <v>349</v>
      </c>
      <c r="D24" s="48">
        <v>24</v>
      </c>
      <c r="E24" s="44" t="s">
        <v>296</v>
      </c>
      <c r="F24" s="48">
        <v>10000</v>
      </c>
      <c r="G24" s="63">
        <f t="shared" si="1"/>
        <v>240000</v>
      </c>
      <c r="H24" s="253"/>
    </row>
    <row r="25" spans="2:10" ht="22.5" customHeight="1" x14ac:dyDescent="0.35">
      <c r="B25" s="44" t="s">
        <v>291</v>
      </c>
      <c r="C25" s="45" t="s">
        <v>502</v>
      </c>
      <c r="D25" s="48">
        <v>600</v>
      </c>
      <c r="E25" s="44" t="s">
        <v>296</v>
      </c>
      <c r="F25" s="48">
        <v>6700</v>
      </c>
      <c r="G25" s="63">
        <f t="shared" si="1"/>
        <v>4020000</v>
      </c>
      <c r="H25" s="253"/>
    </row>
    <row r="26" spans="2:10" ht="22.5" customHeight="1" x14ac:dyDescent="0.35">
      <c r="B26" s="44" t="s">
        <v>292</v>
      </c>
      <c r="C26" s="45" t="s">
        <v>503</v>
      </c>
      <c r="D26" s="48">
        <v>400</v>
      </c>
      <c r="E26" s="44" t="s">
        <v>504</v>
      </c>
      <c r="F26" s="48">
        <v>5000</v>
      </c>
      <c r="G26" s="63">
        <f>(D26*F26)</f>
        <v>2000000</v>
      </c>
      <c r="H26" s="253"/>
    </row>
    <row r="27" spans="2:10" ht="22.5" customHeight="1" x14ac:dyDescent="0.35">
      <c r="B27" s="44" t="s">
        <v>293</v>
      </c>
      <c r="C27" s="51" t="s">
        <v>566</v>
      </c>
      <c r="D27" s="44">
        <v>552</v>
      </c>
      <c r="E27" s="44" t="s">
        <v>296</v>
      </c>
      <c r="F27" s="48">
        <v>1000</v>
      </c>
      <c r="G27" s="63">
        <f>(D27*F27)</f>
        <v>552000</v>
      </c>
      <c r="H27" s="253"/>
    </row>
    <row r="28" spans="2:10" ht="29" x14ac:dyDescent="0.35">
      <c r="B28" s="44" t="s">
        <v>294</v>
      </c>
      <c r="C28" s="45" t="s">
        <v>562</v>
      </c>
      <c r="D28" s="48">
        <v>91</v>
      </c>
      <c r="E28" s="44" t="s">
        <v>296</v>
      </c>
      <c r="F28" s="48">
        <v>9000</v>
      </c>
      <c r="G28" s="63">
        <f>(D28*F28)</f>
        <v>819000</v>
      </c>
      <c r="H28" s="253"/>
    </row>
    <row r="29" spans="2:10" ht="22.5" customHeight="1" x14ac:dyDescent="0.35">
      <c r="B29" s="44" t="s">
        <v>295</v>
      </c>
      <c r="C29" s="45" t="s">
        <v>563</v>
      </c>
      <c r="D29" s="48">
        <v>225</v>
      </c>
      <c r="E29" s="44" t="s">
        <v>296</v>
      </c>
      <c r="F29" s="48">
        <v>15000</v>
      </c>
      <c r="G29" s="63">
        <f>(D29*F29)</f>
        <v>3375000</v>
      </c>
      <c r="H29" s="253"/>
    </row>
    <row r="30" spans="2:10" ht="22.5" customHeight="1" x14ac:dyDescent="0.35">
      <c r="B30" s="44" t="s">
        <v>505</v>
      </c>
      <c r="C30" s="51" t="s">
        <v>565</v>
      </c>
      <c r="D30" s="44">
        <v>165</v>
      </c>
      <c r="E30" s="44" t="s">
        <v>296</v>
      </c>
      <c r="F30" s="48">
        <v>10000</v>
      </c>
      <c r="G30" s="63">
        <f>(D30*F30)</f>
        <v>1650000</v>
      </c>
      <c r="H30" s="253"/>
    </row>
    <row r="31" spans="2:10" ht="22.5" customHeight="1" x14ac:dyDescent="0.35">
      <c r="B31" s="44" t="s">
        <v>564</v>
      </c>
      <c r="C31" s="45" t="s">
        <v>567</v>
      </c>
      <c r="D31" s="48">
        <v>20</v>
      </c>
      <c r="E31" s="44" t="s">
        <v>296</v>
      </c>
      <c r="F31" s="48">
        <v>6500</v>
      </c>
      <c r="G31" s="63">
        <f t="shared" si="1"/>
        <v>130000</v>
      </c>
      <c r="H31" s="253"/>
    </row>
    <row r="32" spans="2:10" s="47" customFormat="1" ht="22.5" customHeight="1" x14ac:dyDescent="0.35">
      <c r="B32" s="74"/>
      <c r="C32" s="80" t="s">
        <v>105</v>
      </c>
      <c r="D32" s="81"/>
      <c r="E32" s="82"/>
      <c r="F32" s="81"/>
      <c r="G32" s="76">
        <f>SUM(G11:G31)</f>
        <v>70243600</v>
      </c>
      <c r="H32" s="254"/>
    </row>
    <row r="33" spans="2:9" s="47" customFormat="1" ht="22.5" customHeight="1" x14ac:dyDescent="0.35">
      <c r="B33" s="47">
        <v>2</v>
      </c>
      <c r="C33" s="50" t="s">
        <v>298</v>
      </c>
      <c r="F33" s="52"/>
      <c r="G33" s="48"/>
    </row>
    <row r="34" spans="2:9" s="47" customFormat="1" ht="22.5" customHeight="1" x14ac:dyDescent="0.35">
      <c r="B34" s="44" t="s">
        <v>84</v>
      </c>
      <c r="C34" s="53" t="s">
        <v>499</v>
      </c>
      <c r="D34" s="54">
        <v>519</v>
      </c>
      <c r="E34" s="44" t="s">
        <v>296</v>
      </c>
      <c r="F34" s="48">
        <v>1000</v>
      </c>
      <c r="G34" s="63">
        <f t="shared" ref="G34:G41" si="2">(D34*F34)</f>
        <v>519000</v>
      </c>
      <c r="H34" s="253"/>
    </row>
    <row r="35" spans="2:9" s="47" customFormat="1" ht="22.5" customHeight="1" x14ac:dyDescent="0.35">
      <c r="B35" s="44" t="s">
        <v>85</v>
      </c>
      <c r="C35" s="53" t="s">
        <v>494</v>
      </c>
      <c r="D35" s="54">
        <v>150</v>
      </c>
      <c r="E35" s="44" t="s">
        <v>296</v>
      </c>
      <c r="F35" s="48">
        <v>1000</v>
      </c>
      <c r="G35" s="63">
        <f t="shared" si="2"/>
        <v>150000</v>
      </c>
      <c r="H35" s="253"/>
    </row>
    <row r="36" spans="2:9" s="47" customFormat="1" ht="22.5" customHeight="1" x14ac:dyDescent="0.35">
      <c r="B36" s="44" t="s">
        <v>86</v>
      </c>
      <c r="C36" s="53" t="s">
        <v>495</v>
      </c>
      <c r="D36" s="54">
        <v>76</v>
      </c>
      <c r="E36" s="44" t="s">
        <v>296</v>
      </c>
      <c r="F36" s="48">
        <v>1000</v>
      </c>
      <c r="G36" s="63">
        <f t="shared" si="2"/>
        <v>76000</v>
      </c>
      <c r="H36" s="253"/>
    </row>
    <row r="37" spans="2:9" s="47" customFormat="1" ht="22.5" customHeight="1" x14ac:dyDescent="0.35">
      <c r="B37" s="44" t="s">
        <v>93</v>
      </c>
      <c r="C37" s="53" t="s">
        <v>496</v>
      </c>
      <c r="D37" s="54">
        <v>100</v>
      </c>
      <c r="E37" s="44" t="s">
        <v>296</v>
      </c>
      <c r="F37" s="48">
        <v>1000</v>
      </c>
      <c r="G37" s="63">
        <f t="shared" si="2"/>
        <v>100000</v>
      </c>
      <c r="H37" s="253"/>
    </row>
    <row r="38" spans="2:9" s="47" customFormat="1" ht="22.5" customHeight="1" x14ac:dyDescent="0.35">
      <c r="B38" s="44" t="s">
        <v>94</v>
      </c>
      <c r="C38" s="53" t="s">
        <v>497</v>
      </c>
      <c r="D38" s="54">
        <v>238</v>
      </c>
      <c r="E38" s="44" t="s">
        <v>296</v>
      </c>
      <c r="F38" s="48">
        <v>4000</v>
      </c>
      <c r="G38" s="63">
        <f t="shared" si="2"/>
        <v>952000</v>
      </c>
      <c r="H38" s="253"/>
    </row>
    <row r="39" spans="2:9" s="47" customFormat="1" ht="22.5" customHeight="1" x14ac:dyDescent="0.35">
      <c r="B39" s="44" t="s">
        <v>95</v>
      </c>
      <c r="C39" s="53" t="s">
        <v>299</v>
      </c>
      <c r="D39" s="54">
        <v>12</v>
      </c>
      <c r="E39" s="44" t="s">
        <v>296</v>
      </c>
      <c r="F39" s="48">
        <v>1500</v>
      </c>
      <c r="G39" s="63">
        <f t="shared" si="2"/>
        <v>18000</v>
      </c>
      <c r="H39" s="253"/>
    </row>
    <row r="40" spans="2:9" s="47" customFormat="1" ht="22.5" customHeight="1" x14ac:dyDescent="0.35">
      <c r="B40" s="44" t="s">
        <v>96</v>
      </c>
      <c r="C40" s="53" t="s">
        <v>498</v>
      </c>
      <c r="D40" s="54">
        <v>36</v>
      </c>
      <c r="E40" s="44" t="s">
        <v>296</v>
      </c>
      <c r="F40" s="48">
        <v>3500</v>
      </c>
      <c r="G40" s="63">
        <f t="shared" si="2"/>
        <v>126000</v>
      </c>
      <c r="H40" s="253"/>
    </row>
    <row r="41" spans="2:9" s="47" customFormat="1" ht="22.5" customHeight="1" x14ac:dyDescent="0.35">
      <c r="B41" s="44" t="s">
        <v>97</v>
      </c>
      <c r="C41" s="53" t="s">
        <v>350</v>
      </c>
      <c r="D41" s="54">
        <v>1</v>
      </c>
      <c r="E41" s="44" t="s">
        <v>178</v>
      </c>
      <c r="F41" s="48">
        <v>100000</v>
      </c>
      <c r="G41" s="63">
        <f t="shared" si="2"/>
        <v>100000</v>
      </c>
      <c r="H41" s="253"/>
    </row>
    <row r="42" spans="2:9" s="47" customFormat="1" ht="22.5" customHeight="1" x14ac:dyDescent="0.35">
      <c r="B42" s="82"/>
      <c r="C42" s="80" t="s">
        <v>5</v>
      </c>
      <c r="D42" s="81"/>
      <c r="E42" s="74"/>
      <c r="F42" s="81"/>
      <c r="G42" s="76">
        <f>SUM(G34:G41)</f>
        <v>2041000</v>
      </c>
      <c r="H42" s="254"/>
    </row>
    <row r="43" spans="2:9" ht="22.5" customHeight="1" x14ac:dyDescent="0.35">
      <c r="B43" s="47">
        <v>3</v>
      </c>
      <c r="C43" s="50" t="s">
        <v>108</v>
      </c>
      <c r="F43" s="48"/>
      <c r="G43" s="63"/>
    </row>
    <row r="44" spans="2:9" ht="22.5" customHeight="1" x14ac:dyDescent="0.35">
      <c r="C44" s="53"/>
      <c r="F44" s="48"/>
      <c r="G44" s="63"/>
    </row>
    <row r="45" spans="2:9" ht="22.5" customHeight="1" x14ac:dyDescent="0.35">
      <c r="B45" s="44" t="s">
        <v>84</v>
      </c>
      <c r="C45" s="53" t="s">
        <v>186</v>
      </c>
      <c r="D45" s="44">
        <v>1</v>
      </c>
      <c r="E45" s="44" t="s">
        <v>175</v>
      </c>
      <c r="F45" s="48">
        <v>287400</v>
      </c>
      <c r="G45" s="63">
        <f>(D45*F45)</f>
        <v>287400</v>
      </c>
      <c r="H45" s="253"/>
    </row>
    <row r="46" spans="2:9" ht="22.5" customHeight="1" x14ac:dyDescent="0.35">
      <c r="B46" s="44" t="s">
        <v>85</v>
      </c>
      <c r="C46" s="53" t="s">
        <v>325</v>
      </c>
      <c r="D46" s="44">
        <v>2000</v>
      </c>
      <c r="E46" s="44" t="s">
        <v>176</v>
      </c>
      <c r="F46" s="48">
        <v>6</v>
      </c>
      <c r="G46" s="63">
        <f>(D46*F46)</f>
        <v>12000</v>
      </c>
      <c r="H46" s="253"/>
      <c r="I46" s="44">
        <f>F49*12%</f>
        <v>8710080</v>
      </c>
    </row>
    <row r="47" spans="2:9" s="47" customFormat="1" ht="22.5" customHeight="1" x14ac:dyDescent="0.35">
      <c r="B47" s="74"/>
      <c r="C47" s="80" t="s">
        <v>5</v>
      </c>
      <c r="D47" s="74"/>
      <c r="E47" s="74"/>
      <c r="F47" s="81"/>
      <c r="G47" s="76">
        <f>SUM(G44:G46)</f>
        <v>299400</v>
      </c>
      <c r="H47" s="254"/>
      <c r="I47" s="254">
        <v>8710080</v>
      </c>
    </row>
    <row r="48" spans="2:9" ht="22.5" customHeight="1" x14ac:dyDescent="0.35">
      <c r="B48" s="47">
        <v>4</v>
      </c>
      <c r="C48" s="50" t="s">
        <v>285</v>
      </c>
    </row>
    <row r="49" spans="2:9" ht="22.5" customHeight="1" x14ac:dyDescent="0.35">
      <c r="B49" s="44" t="s">
        <v>84</v>
      </c>
      <c r="C49" s="45" t="s">
        <v>472</v>
      </c>
      <c r="D49" s="44">
        <v>12</v>
      </c>
      <c r="E49" s="44" t="s">
        <v>8</v>
      </c>
      <c r="F49" s="48">
        <f>(G32+G42+G47)</f>
        <v>72584000</v>
      </c>
      <c r="G49" s="63">
        <f>(D49*F49)/100</f>
        <v>8710080</v>
      </c>
      <c r="H49" s="253"/>
    </row>
    <row r="50" spans="2:9" s="47" customFormat="1" ht="22.5" customHeight="1" x14ac:dyDescent="0.35">
      <c r="B50" s="74"/>
      <c r="C50" s="83" t="s">
        <v>206</v>
      </c>
      <c r="D50" s="74"/>
      <c r="E50" s="74"/>
      <c r="F50" s="81"/>
      <c r="G50" s="76">
        <f>(G32+G42+G47+G49)</f>
        <v>81294080</v>
      </c>
      <c r="H50" s="254"/>
      <c r="I50" s="55"/>
    </row>
    <row r="51" spans="2:9" ht="22.5" customHeight="1" x14ac:dyDescent="0.35">
      <c r="B51" s="71" t="s">
        <v>82</v>
      </c>
      <c r="C51" s="450" t="s">
        <v>109</v>
      </c>
      <c r="D51" s="450"/>
      <c r="E51" s="450"/>
      <c r="F51" s="450"/>
      <c r="G51" s="450"/>
    </row>
    <row r="52" spans="2:9" ht="22.5" customHeight="1" x14ac:dyDescent="0.35">
      <c r="B52" s="47">
        <v>1</v>
      </c>
      <c r="C52" s="56" t="s">
        <v>525</v>
      </c>
      <c r="D52" s="58"/>
      <c r="E52" s="49"/>
      <c r="G52" s="52"/>
    </row>
    <row r="53" spans="2:9" ht="22.5" customHeight="1" x14ac:dyDescent="0.35">
      <c r="B53" s="44" t="s">
        <v>84</v>
      </c>
      <c r="C53" s="57" t="s">
        <v>355</v>
      </c>
      <c r="D53" s="44">
        <v>1</v>
      </c>
      <c r="E53" s="44" t="s">
        <v>175</v>
      </c>
      <c r="F53" s="48">
        <v>825000</v>
      </c>
      <c r="G53" s="63">
        <f>(D53*F53)</f>
        <v>825000</v>
      </c>
      <c r="H53" s="253"/>
    </row>
    <row r="54" spans="2:9" ht="18.75" customHeight="1" x14ac:dyDescent="0.35">
      <c r="C54" s="57"/>
      <c r="F54" s="48"/>
      <c r="G54" s="63"/>
    </row>
    <row r="55" spans="2:9" s="47" customFormat="1" ht="22.5" customHeight="1" x14ac:dyDescent="0.35">
      <c r="B55" s="74"/>
      <c r="C55" s="80" t="s">
        <v>5</v>
      </c>
      <c r="D55" s="74"/>
      <c r="E55" s="84"/>
      <c r="F55" s="81"/>
      <c r="G55" s="76">
        <f>SUM(G53:G54)</f>
        <v>825000</v>
      </c>
    </row>
    <row r="56" spans="2:9" s="47" customFormat="1" ht="22.5" customHeight="1" x14ac:dyDescent="0.35">
      <c r="B56" s="47">
        <v>2</v>
      </c>
      <c r="C56" s="50" t="s">
        <v>569</v>
      </c>
      <c r="E56" s="44"/>
      <c r="F56" s="48"/>
      <c r="G56" s="63"/>
    </row>
    <row r="57" spans="2:9" s="47" customFormat="1" ht="22.5" customHeight="1" x14ac:dyDescent="0.35">
      <c r="B57" s="44" t="s">
        <v>84</v>
      </c>
      <c r="C57" s="53" t="s">
        <v>493</v>
      </c>
      <c r="D57" s="44">
        <v>1</v>
      </c>
      <c r="E57" s="44" t="s">
        <v>175</v>
      </c>
      <c r="F57" s="48">
        <v>1175000</v>
      </c>
      <c r="G57" s="63">
        <f>F57</f>
        <v>1175000</v>
      </c>
      <c r="H57" s="254"/>
    </row>
    <row r="58" spans="2:9" s="47" customFormat="1" ht="22.5" customHeight="1" x14ac:dyDescent="0.35">
      <c r="B58" s="44" t="s">
        <v>85</v>
      </c>
      <c r="C58" s="53" t="s">
        <v>492</v>
      </c>
      <c r="D58" s="44">
        <v>1</v>
      </c>
      <c r="E58" s="44" t="s">
        <v>175</v>
      </c>
      <c r="F58" s="48">
        <v>1060000</v>
      </c>
      <c r="G58" s="63">
        <f>(D58*F58)</f>
        <v>1060000</v>
      </c>
      <c r="H58" s="254"/>
    </row>
    <row r="59" spans="2:9" s="47" customFormat="1" ht="22.5" customHeight="1" x14ac:dyDescent="0.35">
      <c r="B59" s="44" t="s">
        <v>86</v>
      </c>
      <c r="C59" s="53" t="s">
        <v>506</v>
      </c>
      <c r="D59" s="44">
        <v>2</v>
      </c>
      <c r="E59" s="44" t="s">
        <v>175</v>
      </c>
      <c r="F59" s="48">
        <v>2435000</v>
      </c>
      <c r="G59" s="63">
        <f>F59*D59</f>
        <v>4870000</v>
      </c>
      <c r="H59" s="254"/>
    </row>
    <row r="60" spans="2:9" s="47" customFormat="1" ht="22.5" customHeight="1" x14ac:dyDescent="0.35">
      <c r="B60" s="74"/>
      <c r="C60" s="80" t="s">
        <v>5</v>
      </c>
      <c r="D60" s="74"/>
      <c r="E60" s="84"/>
      <c r="F60" s="81"/>
      <c r="G60" s="76">
        <f>SUM(G57:G59)</f>
        <v>7105000</v>
      </c>
      <c r="H60" s="254"/>
    </row>
    <row r="61" spans="2:9" s="47" customFormat="1" ht="22.5" customHeight="1" x14ac:dyDescent="0.35">
      <c r="B61" s="46">
        <v>3</v>
      </c>
      <c r="C61" s="446" t="s">
        <v>342</v>
      </c>
      <c r="D61" s="446"/>
      <c r="E61" s="46"/>
      <c r="F61" s="48"/>
      <c r="G61" s="48"/>
    </row>
    <row r="62" spans="2:9" s="47" customFormat="1" ht="19.5" customHeight="1" x14ac:dyDescent="0.35">
      <c r="B62" s="44" t="s">
        <v>84</v>
      </c>
      <c r="C62" s="53" t="s">
        <v>532</v>
      </c>
      <c r="D62" s="44" t="s">
        <v>526</v>
      </c>
      <c r="E62" s="44" t="s">
        <v>356</v>
      </c>
      <c r="F62" s="48" t="s">
        <v>343</v>
      </c>
      <c r="G62" s="48" t="s">
        <v>343</v>
      </c>
    </row>
    <row r="63" spans="2:9" s="47" customFormat="1" ht="22.5" customHeight="1" x14ac:dyDescent="0.35">
      <c r="B63" s="44" t="s">
        <v>85</v>
      </c>
      <c r="C63" s="53" t="s">
        <v>300</v>
      </c>
      <c r="D63" s="44">
        <v>2</v>
      </c>
      <c r="E63" s="44" t="s">
        <v>175</v>
      </c>
      <c r="F63" s="48" t="s">
        <v>343</v>
      </c>
      <c r="G63" s="48" t="s">
        <v>343</v>
      </c>
    </row>
    <row r="64" spans="2:9" s="47" customFormat="1" ht="22.5" customHeight="1" x14ac:dyDescent="0.35">
      <c r="B64" s="44" t="s">
        <v>86</v>
      </c>
      <c r="C64" s="53" t="s">
        <v>301</v>
      </c>
      <c r="D64" s="44">
        <v>2</v>
      </c>
      <c r="E64" s="44" t="s">
        <v>175</v>
      </c>
      <c r="F64" s="48" t="s">
        <v>343</v>
      </c>
      <c r="G64" s="48" t="s">
        <v>343</v>
      </c>
    </row>
    <row r="65" spans="2:9" s="47" customFormat="1" ht="22.5" customHeight="1" x14ac:dyDescent="0.35">
      <c r="B65" s="44" t="s">
        <v>93</v>
      </c>
      <c r="C65" s="53" t="s">
        <v>490</v>
      </c>
      <c r="D65" s="44">
        <v>2</v>
      </c>
      <c r="E65" s="44" t="s">
        <v>175</v>
      </c>
      <c r="F65" s="48" t="s">
        <v>343</v>
      </c>
      <c r="G65" s="48" t="s">
        <v>343</v>
      </c>
    </row>
    <row r="66" spans="2:9" s="47" customFormat="1" ht="22.5" customHeight="1" x14ac:dyDescent="0.35">
      <c r="B66" s="44" t="s">
        <v>94</v>
      </c>
      <c r="C66" s="53" t="s">
        <v>303</v>
      </c>
      <c r="D66" s="44">
        <v>4</v>
      </c>
      <c r="E66" s="44" t="s">
        <v>175</v>
      </c>
      <c r="F66" s="48" t="s">
        <v>343</v>
      </c>
      <c r="G66" s="48" t="s">
        <v>343</v>
      </c>
    </row>
    <row r="67" spans="2:9" s="47" customFormat="1" ht="22.5" customHeight="1" x14ac:dyDescent="0.35">
      <c r="B67" s="74"/>
      <c r="C67" s="80" t="s">
        <v>5</v>
      </c>
      <c r="D67" s="80">
        <v>2</v>
      </c>
      <c r="E67" s="74" t="s">
        <v>536</v>
      </c>
      <c r="F67" s="76">
        <v>3514000</v>
      </c>
      <c r="G67" s="76">
        <f>F67*D67</f>
        <v>7028000</v>
      </c>
      <c r="H67" s="254"/>
      <c r="I67" s="254"/>
    </row>
    <row r="68" spans="2:9" s="47" customFormat="1" ht="22.5" customHeight="1" x14ac:dyDescent="0.35">
      <c r="B68" s="46">
        <v>4</v>
      </c>
      <c r="C68" s="50" t="s">
        <v>373</v>
      </c>
      <c r="D68" s="46"/>
      <c r="F68" s="48"/>
      <c r="G68" s="55"/>
    </row>
    <row r="69" spans="2:9" s="47" customFormat="1" ht="22.5" customHeight="1" x14ac:dyDescent="0.35">
      <c r="B69" s="44" t="s">
        <v>84</v>
      </c>
      <c r="C69" s="53" t="s">
        <v>374</v>
      </c>
      <c r="D69" s="44">
        <v>3</v>
      </c>
      <c r="E69" s="44" t="s">
        <v>175</v>
      </c>
      <c r="F69" s="48" t="s">
        <v>343</v>
      </c>
      <c r="G69" s="48" t="s">
        <v>343</v>
      </c>
    </row>
    <row r="70" spans="2:9" s="47" customFormat="1" ht="22.5" customHeight="1" x14ac:dyDescent="0.35">
      <c r="B70" s="44" t="s">
        <v>85</v>
      </c>
      <c r="C70" s="53" t="s">
        <v>375</v>
      </c>
      <c r="D70" s="44">
        <v>1</v>
      </c>
      <c r="E70" s="44" t="s">
        <v>175</v>
      </c>
      <c r="F70" s="48" t="s">
        <v>343</v>
      </c>
      <c r="G70" s="48" t="s">
        <v>343</v>
      </c>
    </row>
    <row r="71" spans="2:9" s="47" customFormat="1" ht="22.5" customHeight="1" x14ac:dyDescent="0.35">
      <c r="B71" s="44" t="s">
        <v>86</v>
      </c>
      <c r="C71" s="53" t="s">
        <v>376</v>
      </c>
      <c r="D71" s="44">
        <v>1</v>
      </c>
      <c r="E71" s="44" t="s">
        <v>175</v>
      </c>
      <c r="F71" s="48" t="s">
        <v>343</v>
      </c>
      <c r="G71" s="48" t="s">
        <v>343</v>
      </c>
    </row>
    <row r="72" spans="2:9" s="47" customFormat="1" ht="22.5" customHeight="1" x14ac:dyDescent="0.35">
      <c r="B72" s="82"/>
      <c r="C72" s="80" t="s">
        <v>5</v>
      </c>
      <c r="D72" s="80"/>
      <c r="E72" s="82"/>
      <c r="F72" s="85"/>
      <c r="G72" s="76">
        <v>7525000</v>
      </c>
      <c r="H72" s="254"/>
    </row>
    <row r="73" spans="2:9" ht="22.5" customHeight="1" x14ac:dyDescent="0.35">
      <c r="B73" s="47">
        <v>5</v>
      </c>
      <c r="C73" s="447" t="s">
        <v>340</v>
      </c>
      <c r="D73" s="447"/>
      <c r="F73" s="48"/>
      <c r="G73" s="48"/>
      <c r="I73" s="47"/>
    </row>
    <row r="74" spans="2:9" ht="22.5" customHeight="1" x14ac:dyDescent="0.35">
      <c r="B74" s="44" t="s">
        <v>84</v>
      </c>
      <c r="C74" s="53" t="s">
        <v>299</v>
      </c>
      <c r="D74" s="46">
        <v>2</v>
      </c>
      <c r="E74" s="44" t="s">
        <v>175</v>
      </c>
      <c r="F74" s="48" t="s">
        <v>343</v>
      </c>
      <c r="G74" s="48" t="s">
        <v>343</v>
      </c>
      <c r="I74" s="47"/>
    </row>
    <row r="75" spans="2:9" ht="22.5" customHeight="1" x14ac:dyDescent="0.35">
      <c r="B75" s="44" t="s">
        <v>85</v>
      </c>
      <c r="C75" s="53" t="s">
        <v>357</v>
      </c>
      <c r="D75" s="46">
        <v>12</v>
      </c>
      <c r="E75" s="44" t="s">
        <v>175</v>
      </c>
      <c r="F75" s="48" t="s">
        <v>343</v>
      </c>
      <c r="G75" s="48" t="s">
        <v>343</v>
      </c>
      <c r="I75" s="47"/>
    </row>
    <row r="76" spans="2:9" ht="22.5" customHeight="1" x14ac:dyDescent="0.35">
      <c r="B76" s="44" t="s">
        <v>93</v>
      </c>
      <c r="C76" s="53" t="s">
        <v>491</v>
      </c>
      <c r="D76" s="46">
        <v>2</v>
      </c>
      <c r="E76" s="44" t="s">
        <v>175</v>
      </c>
      <c r="F76" s="48" t="s">
        <v>343</v>
      </c>
      <c r="G76" s="48" t="s">
        <v>343</v>
      </c>
      <c r="I76" s="47"/>
    </row>
    <row r="77" spans="2:9" ht="22.5" customHeight="1" x14ac:dyDescent="0.35">
      <c r="B77" s="44" t="s">
        <v>94</v>
      </c>
      <c r="C77" s="53" t="s">
        <v>307</v>
      </c>
      <c r="D77" s="46">
        <v>4</v>
      </c>
      <c r="E77" s="44" t="s">
        <v>175</v>
      </c>
      <c r="F77" s="48" t="s">
        <v>343</v>
      </c>
      <c r="G77" s="48" t="s">
        <v>343</v>
      </c>
      <c r="I77" s="47"/>
    </row>
    <row r="78" spans="2:9" ht="22.5" customHeight="1" x14ac:dyDescent="0.35">
      <c r="B78" s="44" t="s">
        <v>95</v>
      </c>
      <c r="C78" s="53" t="s">
        <v>303</v>
      </c>
      <c r="D78" s="46">
        <v>4</v>
      </c>
      <c r="E78" s="44" t="s">
        <v>175</v>
      </c>
      <c r="F78" s="48" t="s">
        <v>343</v>
      </c>
      <c r="G78" s="48" t="s">
        <v>343</v>
      </c>
      <c r="I78" s="47"/>
    </row>
    <row r="79" spans="2:9" ht="22.5" customHeight="1" x14ac:dyDescent="0.35">
      <c r="B79" s="44" t="s">
        <v>96</v>
      </c>
      <c r="C79" s="53" t="s">
        <v>311</v>
      </c>
      <c r="D79" s="46">
        <v>8</v>
      </c>
      <c r="E79" s="44" t="s">
        <v>175</v>
      </c>
      <c r="F79" s="48" t="s">
        <v>343</v>
      </c>
      <c r="G79" s="48" t="s">
        <v>343</v>
      </c>
      <c r="I79" s="47"/>
    </row>
    <row r="80" spans="2:9" ht="22.5" customHeight="1" x14ac:dyDescent="0.35">
      <c r="B80" s="44" t="s">
        <v>97</v>
      </c>
      <c r="C80" s="53" t="s">
        <v>312</v>
      </c>
      <c r="D80" s="46">
        <v>2</v>
      </c>
      <c r="E80" s="44" t="s">
        <v>175</v>
      </c>
      <c r="F80" s="48" t="s">
        <v>343</v>
      </c>
      <c r="G80" s="48" t="s">
        <v>343</v>
      </c>
    </row>
    <row r="81" spans="2:9" ht="22.5" customHeight="1" x14ac:dyDescent="0.35">
      <c r="B81" s="44" t="s">
        <v>79</v>
      </c>
      <c r="C81" s="53" t="s">
        <v>313</v>
      </c>
      <c r="D81" s="46">
        <v>2</v>
      </c>
      <c r="E81" s="44" t="s">
        <v>175</v>
      </c>
      <c r="F81" s="48" t="s">
        <v>343</v>
      </c>
      <c r="G81" s="48" t="s">
        <v>343</v>
      </c>
    </row>
    <row r="82" spans="2:9" ht="22.5" customHeight="1" x14ac:dyDescent="0.35">
      <c r="B82" s="44" t="s">
        <v>98</v>
      </c>
      <c r="C82" s="53" t="s">
        <v>314</v>
      </c>
      <c r="D82" s="46">
        <v>4</v>
      </c>
      <c r="E82" s="44" t="s">
        <v>175</v>
      </c>
      <c r="F82" s="48" t="s">
        <v>343</v>
      </c>
      <c r="G82" s="48" t="s">
        <v>343</v>
      </c>
    </row>
    <row r="83" spans="2:9" ht="22.5" customHeight="1" x14ac:dyDescent="0.35">
      <c r="B83" s="44" t="s">
        <v>289</v>
      </c>
      <c r="C83" s="53" t="s">
        <v>315</v>
      </c>
      <c r="D83" s="46">
        <v>2</v>
      </c>
      <c r="E83" s="44" t="s">
        <v>175</v>
      </c>
      <c r="F83" s="48" t="s">
        <v>343</v>
      </c>
      <c r="G83" s="48" t="s">
        <v>343</v>
      </c>
    </row>
    <row r="84" spans="2:9" s="47" customFormat="1" ht="22.5" customHeight="1" x14ac:dyDescent="0.35">
      <c r="B84" s="82"/>
      <c r="C84" s="80" t="s">
        <v>5</v>
      </c>
      <c r="D84" s="74">
        <v>2</v>
      </c>
      <c r="E84" s="74" t="s">
        <v>175</v>
      </c>
      <c r="F84" s="76">
        <v>18000000</v>
      </c>
      <c r="G84" s="76">
        <f>F84*D84</f>
        <v>36000000</v>
      </c>
      <c r="H84" s="254"/>
      <c r="I84" s="254"/>
    </row>
    <row r="85" spans="2:9" s="47" customFormat="1" ht="22.5" customHeight="1" x14ac:dyDescent="0.35">
      <c r="B85" s="47">
        <v>6</v>
      </c>
      <c r="C85" s="447" t="s">
        <v>358</v>
      </c>
      <c r="D85" s="447"/>
      <c r="E85" s="44"/>
      <c r="F85" s="48"/>
      <c r="G85" s="48"/>
    </row>
    <row r="86" spans="2:9" s="47" customFormat="1" ht="22.5" customHeight="1" x14ac:dyDescent="0.35">
      <c r="B86" s="44" t="s">
        <v>84</v>
      </c>
      <c r="C86" s="53" t="s">
        <v>308</v>
      </c>
      <c r="D86" s="448">
        <v>2</v>
      </c>
      <c r="E86" s="44" t="s">
        <v>175</v>
      </c>
      <c r="F86" s="455">
        <v>4550000</v>
      </c>
      <c r="G86" s="455">
        <f>F86 *D86</f>
        <v>9100000</v>
      </c>
    </row>
    <row r="87" spans="2:9" s="47" customFormat="1" ht="22.5" customHeight="1" x14ac:dyDescent="0.35">
      <c r="B87" s="44" t="s">
        <v>85</v>
      </c>
      <c r="C87" s="53" t="s">
        <v>309</v>
      </c>
      <c r="D87" s="448"/>
      <c r="E87" s="44" t="s">
        <v>175</v>
      </c>
      <c r="F87" s="455"/>
      <c r="G87" s="455"/>
    </row>
    <row r="88" spans="2:9" s="47" customFormat="1" ht="22.5" customHeight="1" x14ac:dyDescent="0.35">
      <c r="B88" s="44" t="s">
        <v>86</v>
      </c>
      <c r="C88" s="53" t="s">
        <v>310</v>
      </c>
      <c r="D88" s="448"/>
      <c r="E88" s="44" t="s">
        <v>175</v>
      </c>
      <c r="F88" s="455"/>
      <c r="G88" s="455"/>
      <c r="H88" s="254"/>
      <c r="I88" s="254"/>
    </row>
    <row r="89" spans="2:9" s="47" customFormat="1" ht="22.5" customHeight="1" x14ac:dyDescent="0.35">
      <c r="B89" s="44" t="s">
        <v>93</v>
      </c>
      <c r="C89" s="53" t="s">
        <v>538</v>
      </c>
      <c r="D89" s="448"/>
      <c r="E89" s="44" t="s">
        <v>175</v>
      </c>
      <c r="F89" s="455"/>
      <c r="G89" s="455"/>
    </row>
    <row r="90" spans="2:9" s="47" customFormat="1" x14ac:dyDescent="0.35">
      <c r="B90" s="44" t="s">
        <v>94</v>
      </c>
      <c r="C90" s="53" t="s">
        <v>539</v>
      </c>
      <c r="D90" s="448"/>
      <c r="E90" s="44" t="s">
        <v>175</v>
      </c>
      <c r="F90" s="455"/>
      <c r="G90" s="455"/>
    </row>
    <row r="91" spans="2:9" s="47" customFormat="1" ht="22.5" customHeight="1" x14ac:dyDescent="0.35">
      <c r="B91" s="44"/>
      <c r="C91" s="53"/>
      <c r="D91" s="44"/>
      <c r="E91" s="44"/>
      <c r="F91" s="67"/>
      <c r="G91" s="67"/>
    </row>
    <row r="92" spans="2:9" s="47" customFormat="1" ht="22.5" customHeight="1" x14ac:dyDescent="0.35">
      <c r="B92" s="74"/>
      <c r="C92" s="80" t="s">
        <v>5</v>
      </c>
      <c r="D92" s="80"/>
      <c r="E92" s="74"/>
      <c r="F92" s="86"/>
      <c r="G92" s="76">
        <f>G86+G91</f>
        <v>9100000</v>
      </c>
      <c r="H92" s="254"/>
    </row>
    <row r="93" spans="2:9" s="47" customFormat="1" ht="22.5" customHeight="1" x14ac:dyDescent="0.35">
      <c r="B93" s="47">
        <v>7</v>
      </c>
      <c r="C93" s="447" t="s">
        <v>341</v>
      </c>
      <c r="D93" s="447"/>
      <c r="E93" s="44"/>
      <c r="F93" s="48"/>
      <c r="G93" s="48"/>
    </row>
    <row r="94" spans="2:9" s="47" customFormat="1" ht="22.5" customHeight="1" x14ac:dyDescent="0.35">
      <c r="B94" s="44" t="s">
        <v>84</v>
      </c>
      <c r="C94" s="53" t="s">
        <v>360</v>
      </c>
      <c r="D94" s="44">
        <v>1</v>
      </c>
      <c r="E94" s="44" t="s">
        <v>175</v>
      </c>
      <c r="F94" s="48" t="s">
        <v>343</v>
      </c>
      <c r="G94" s="48" t="s">
        <v>343</v>
      </c>
    </row>
    <row r="95" spans="2:9" s="47" customFormat="1" ht="22.5" customHeight="1" x14ac:dyDescent="0.35">
      <c r="B95" s="44" t="s">
        <v>85</v>
      </c>
      <c r="C95" s="53" t="s">
        <v>306</v>
      </c>
      <c r="D95" s="44">
        <v>1</v>
      </c>
      <c r="E95" s="44" t="s">
        <v>175</v>
      </c>
      <c r="F95" s="48" t="s">
        <v>343</v>
      </c>
      <c r="G95" s="48" t="s">
        <v>343</v>
      </c>
    </row>
    <row r="96" spans="2:9" s="47" customFormat="1" ht="22.5" customHeight="1" x14ac:dyDescent="0.35">
      <c r="B96" s="44" t="s">
        <v>86</v>
      </c>
      <c r="C96" s="53" t="s">
        <v>302</v>
      </c>
      <c r="D96" s="44">
        <v>1</v>
      </c>
      <c r="E96" s="44" t="s">
        <v>175</v>
      </c>
      <c r="F96" s="48" t="s">
        <v>343</v>
      </c>
      <c r="G96" s="48" t="s">
        <v>343</v>
      </c>
    </row>
    <row r="97" spans="2:9" s="47" customFormat="1" ht="22.5" customHeight="1" x14ac:dyDescent="0.35">
      <c r="B97" s="44" t="s">
        <v>93</v>
      </c>
      <c r="C97" s="53" t="s">
        <v>307</v>
      </c>
      <c r="D97" s="44">
        <v>1</v>
      </c>
      <c r="E97" s="44" t="s">
        <v>175</v>
      </c>
      <c r="F97" s="48" t="s">
        <v>343</v>
      </c>
      <c r="G97" s="48" t="s">
        <v>343</v>
      </c>
    </row>
    <row r="98" spans="2:9" s="47" customFormat="1" ht="22.5" customHeight="1" x14ac:dyDescent="0.35">
      <c r="B98" s="44" t="s">
        <v>94</v>
      </c>
      <c r="C98" s="53" t="s">
        <v>303</v>
      </c>
      <c r="D98" s="44">
        <v>2</v>
      </c>
      <c r="E98" s="44" t="s">
        <v>175</v>
      </c>
      <c r="F98" s="48" t="s">
        <v>343</v>
      </c>
      <c r="G98" s="48" t="s">
        <v>343</v>
      </c>
    </row>
    <row r="99" spans="2:9" s="47" customFormat="1" ht="22.5" customHeight="1" x14ac:dyDescent="0.35">
      <c r="B99" s="44" t="s">
        <v>95</v>
      </c>
      <c r="C99" s="53" t="s">
        <v>304</v>
      </c>
      <c r="D99" s="44">
        <v>1</v>
      </c>
      <c r="E99" s="44" t="s">
        <v>175</v>
      </c>
      <c r="F99" s="48" t="s">
        <v>343</v>
      </c>
      <c r="G99" s="48" t="s">
        <v>343</v>
      </c>
    </row>
    <row r="100" spans="2:9" s="47" customFormat="1" ht="22.5" customHeight="1" x14ac:dyDescent="0.35">
      <c r="B100" s="44" t="s">
        <v>96</v>
      </c>
      <c r="C100" s="53" t="s">
        <v>305</v>
      </c>
      <c r="D100" s="44">
        <v>2</v>
      </c>
      <c r="E100" s="44" t="s">
        <v>175</v>
      </c>
      <c r="F100" s="48" t="s">
        <v>343</v>
      </c>
      <c r="G100" s="48" t="s">
        <v>343</v>
      </c>
    </row>
    <row r="101" spans="2:9" s="47" customFormat="1" ht="22.5" customHeight="1" x14ac:dyDescent="0.35">
      <c r="B101" s="74"/>
      <c r="C101" s="80" t="s">
        <v>5</v>
      </c>
      <c r="D101" s="80">
        <v>2</v>
      </c>
      <c r="E101" s="74" t="s">
        <v>175</v>
      </c>
      <c r="F101" s="76">
        <v>3550000</v>
      </c>
      <c r="G101" s="76">
        <f>F101*D101</f>
        <v>7100000</v>
      </c>
      <c r="H101" s="254"/>
      <c r="I101" s="254"/>
    </row>
    <row r="102" spans="2:9" s="47" customFormat="1" ht="34.5" customHeight="1" x14ac:dyDescent="0.35">
      <c r="B102" s="47">
        <v>8</v>
      </c>
      <c r="C102" s="446" t="s">
        <v>545</v>
      </c>
      <c r="D102" s="446"/>
      <c r="E102" s="45"/>
      <c r="F102" s="52"/>
      <c r="G102" s="55"/>
    </row>
    <row r="103" spans="2:9" s="47" customFormat="1" ht="22.5" customHeight="1" x14ac:dyDescent="0.35">
      <c r="B103" s="44" t="s">
        <v>84</v>
      </c>
      <c r="C103" s="45" t="s">
        <v>507</v>
      </c>
      <c r="D103" s="58">
        <v>1</v>
      </c>
      <c r="E103" s="58" t="s">
        <v>175</v>
      </c>
      <c r="F103" s="48" t="s">
        <v>509</v>
      </c>
      <c r="G103" s="48" t="s">
        <v>509</v>
      </c>
    </row>
    <row r="104" spans="2:9" s="47" customFormat="1" ht="22.5" customHeight="1" x14ac:dyDescent="0.35">
      <c r="B104" s="44" t="s">
        <v>85</v>
      </c>
      <c r="C104" s="45" t="s">
        <v>508</v>
      </c>
      <c r="D104" s="58" t="s">
        <v>359</v>
      </c>
      <c r="E104" s="58" t="s">
        <v>264</v>
      </c>
      <c r="F104" s="48" t="s">
        <v>509</v>
      </c>
      <c r="G104" s="48" t="s">
        <v>509</v>
      </c>
    </row>
    <row r="105" spans="2:9" s="47" customFormat="1" ht="22.5" customHeight="1" x14ac:dyDescent="0.35">
      <c r="B105" s="74"/>
      <c r="C105" s="80" t="s">
        <v>5</v>
      </c>
      <c r="D105" s="87"/>
      <c r="E105" s="75"/>
      <c r="F105" s="81"/>
      <c r="G105" s="76">
        <v>6550000</v>
      </c>
      <c r="H105" s="254"/>
    </row>
    <row r="106" spans="2:9" ht="30" customHeight="1" x14ac:dyDescent="0.35">
      <c r="B106" s="47">
        <v>9</v>
      </c>
      <c r="C106" s="446" t="s">
        <v>546</v>
      </c>
      <c r="D106" s="446"/>
      <c r="F106" s="48"/>
      <c r="G106" s="48"/>
    </row>
    <row r="107" spans="2:9" ht="18" customHeight="1" x14ac:dyDescent="0.35">
      <c r="B107" s="44" t="s">
        <v>84</v>
      </c>
      <c r="C107" s="53" t="s">
        <v>361</v>
      </c>
      <c r="D107" s="44">
        <v>1</v>
      </c>
      <c r="E107" s="44" t="s">
        <v>175</v>
      </c>
      <c r="F107" s="48" t="s">
        <v>343</v>
      </c>
      <c r="G107" s="48" t="s">
        <v>343</v>
      </c>
    </row>
    <row r="108" spans="2:9" ht="36" customHeight="1" x14ac:dyDescent="0.35">
      <c r="B108" s="44" t="s">
        <v>85</v>
      </c>
      <c r="C108" s="53" t="s">
        <v>547</v>
      </c>
      <c r="D108" s="44">
        <v>1</v>
      </c>
      <c r="E108" s="44" t="s">
        <v>175</v>
      </c>
      <c r="F108" s="48" t="s">
        <v>343</v>
      </c>
      <c r="G108" s="48" t="s">
        <v>343</v>
      </c>
    </row>
    <row r="109" spans="2:9" ht="62.25" customHeight="1" x14ac:dyDescent="0.35">
      <c r="B109" s="44" t="s">
        <v>86</v>
      </c>
      <c r="C109" s="53" t="s">
        <v>548</v>
      </c>
      <c r="D109" s="44">
        <v>1</v>
      </c>
      <c r="E109" s="44" t="s">
        <v>175</v>
      </c>
      <c r="F109" s="48" t="s">
        <v>343</v>
      </c>
      <c r="G109" s="48" t="s">
        <v>343</v>
      </c>
    </row>
    <row r="110" spans="2:9" ht="18" customHeight="1" x14ac:dyDescent="0.35">
      <c r="B110" s="44" t="s">
        <v>93</v>
      </c>
      <c r="C110" s="53" t="s">
        <v>362</v>
      </c>
      <c r="D110" s="44">
        <v>1</v>
      </c>
      <c r="E110" s="44" t="s">
        <v>175</v>
      </c>
      <c r="F110" s="48" t="s">
        <v>343</v>
      </c>
      <c r="G110" s="48" t="s">
        <v>343</v>
      </c>
    </row>
    <row r="111" spans="2:9" ht="18" customHeight="1" x14ac:dyDescent="0.35">
      <c r="B111" s="44" t="s">
        <v>94</v>
      </c>
      <c r="C111" s="53" t="s">
        <v>363</v>
      </c>
      <c r="D111" s="44">
        <v>1</v>
      </c>
      <c r="E111" s="44" t="s">
        <v>175</v>
      </c>
      <c r="F111" s="48" t="s">
        <v>343</v>
      </c>
      <c r="G111" s="48" t="s">
        <v>343</v>
      </c>
    </row>
    <row r="112" spans="2:9" ht="18" customHeight="1" x14ac:dyDescent="0.35">
      <c r="B112" s="44" t="s">
        <v>95</v>
      </c>
      <c r="C112" s="53" t="s">
        <v>364</v>
      </c>
      <c r="D112" s="44">
        <v>1</v>
      </c>
      <c r="E112" s="44" t="s">
        <v>175</v>
      </c>
      <c r="F112" s="48" t="s">
        <v>343</v>
      </c>
      <c r="G112" s="48" t="s">
        <v>343</v>
      </c>
    </row>
    <row r="113" spans="2:9" ht="18" customHeight="1" x14ac:dyDescent="0.35">
      <c r="C113" s="51"/>
      <c r="F113" s="48"/>
      <c r="G113" s="48"/>
    </row>
    <row r="114" spans="2:9" ht="22.5" customHeight="1" x14ac:dyDescent="0.35">
      <c r="B114" s="82"/>
      <c r="C114" s="80" t="s">
        <v>5</v>
      </c>
      <c r="D114" s="74"/>
      <c r="E114" s="74"/>
      <c r="F114" s="81"/>
      <c r="G114" s="76">
        <v>24000000</v>
      </c>
      <c r="H114" s="253"/>
    </row>
    <row r="115" spans="2:9" ht="29.25" customHeight="1" x14ac:dyDescent="0.35">
      <c r="B115" s="47">
        <v>10</v>
      </c>
      <c r="C115" s="446" t="s">
        <v>527</v>
      </c>
      <c r="D115" s="446"/>
      <c r="E115" s="47"/>
      <c r="F115" s="52"/>
      <c r="G115" s="55"/>
    </row>
    <row r="116" spans="2:9" ht="22.5" customHeight="1" x14ac:dyDescent="0.35">
      <c r="B116" s="44" t="s">
        <v>84</v>
      </c>
      <c r="C116" s="51" t="s">
        <v>528</v>
      </c>
      <c r="D116" s="44">
        <v>1</v>
      </c>
      <c r="E116" s="44" t="s">
        <v>175</v>
      </c>
      <c r="F116" s="48" t="s">
        <v>343</v>
      </c>
      <c r="G116" s="48" t="s">
        <v>343</v>
      </c>
    </row>
    <row r="117" spans="2:9" ht="22.5" customHeight="1" x14ac:dyDescent="0.35">
      <c r="B117" s="44" t="s">
        <v>85</v>
      </c>
      <c r="C117" s="45" t="s">
        <v>549</v>
      </c>
      <c r="D117" s="44">
        <v>1</v>
      </c>
      <c r="E117" s="44" t="s">
        <v>175</v>
      </c>
      <c r="F117" s="48" t="s">
        <v>343</v>
      </c>
      <c r="G117" s="48" t="s">
        <v>343</v>
      </c>
    </row>
    <row r="118" spans="2:9" ht="22.5" customHeight="1" x14ac:dyDescent="0.35">
      <c r="B118" s="82"/>
      <c r="C118" s="80" t="s">
        <v>5</v>
      </c>
      <c r="D118" s="74"/>
      <c r="E118" s="74"/>
      <c r="F118" s="81"/>
      <c r="G118" s="76">
        <v>8550000</v>
      </c>
      <c r="H118" s="253"/>
    </row>
    <row r="119" spans="2:9" ht="27" customHeight="1" x14ac:dyDescent="0.35">
      <c r="B119" s="47">
        <v>11</v>
      </c>
      <c r="C119" s="446" t="s">
        <v>570</v>
      </c>
      <c r="D119" s="446"/>
      <c r="E119" s="47"/>
      <c r="F119" s="52"/>
      <c r="G119" s="55"/>
    </row>
    <row r="120" spans="2:9" ht="29" x14ac:dyDescent="0.35">
      <c r="B120" s="44" t="s">
        <v>84</v>
      </c>
      <c r="C120" s="53" t="s">
        <v>568</v>
      </c>
      <c r="D120" s="44">
        <v>1</v>
      </c>
      <c r="E120" s="44" t="s">
        <v>175</v>
      </c>
      <c r="F120" s="52" t="s">
        <v>343</v>
      </c>
      <c r="G120" s="55" t="s">
        <v>343</v>
      </c>
    </row>
    <row r="121" spans="2:9" x14ac:dyDescent="0.35">
      <c r="B121" s="44" t="s">
        <v>85</v>
      </c>
      <c r="C121" s="53" t="s">
        <v>529</v>
      </c>
      <c r="D121" s="44">
        <v>1</v>
      </c>
      <c r="E121" s="44" t="s">
        <v>175</v>
      </c>
      <c r="F121" s="52" t="s">
        <v>343</v>
      </c>
      <c r="G121" s="55" t="s">
        <v>343</v>
      </c>
    </row>
    <row r="122" spans="2:9" ht="22.5" customHeight="1" x14ac:dyDescent="0.35">
      <c r="B122" s="44" t="s">
        <v>86</v>
      </c>
      <c r="C122" s="45" t="s">
        <v>365</v>
      </c>
      <c r="D122" s="44">
        <v>1</v>
      </c>
      <c r="E122" s="44" t="s">
        <v>175</v>
      </c>
      <c r="F122" s="52" t="s">
        <v>343</v>
      </c>
      <c r="G122" s="55" t="s">
        <v>343</v>
      </c>
    </row>
    <row r="123" spans="2:9" ht="22.5" customHeight="1" x14ac:dyDescent="0.35">
      <c r="B123" s="44" t="s">
        <v>93</v>
      </c>
      <c r="C123" s="45" t="s">
        <v>371</v>
      </c>
      <c r="D123" s="44">
        <v>1</v>
      </c>
      <c r="E123" s="44" t="s">
        <v>175</v>
      </c>
      <c r="F123" s="52" t="s">
        <v>343</v>
      </c>
      <c r="G123" s="55" t="s">
        <v>343</v>
      </c>
    </row>
    <row r="124" spans="2:9" ht="22.5" customHeight="1" x14ac:dyDescent="0.35">
      <c r="B124" s="82"/>
      <c r="C124" s="80" t="s">
        <v>5</v>
      </c>
      <c r="D124" s="74">
        <v>1</v>
      </c>
      <c r="E124" s="74"/>
      <c r="F124" s="76">
        <v>14500000</v>
      </c>
      <c r="G124" s="76">
        <f>F124*D124</f>
        <v>14500000</v>
      </c>
      <c r="H124" s="253"/>
      <c r="I124" s="253"/>
    </row>
    <row r="125" spans="2:9" ht="22.5" customHeight="1" x14ac:dyDescent="0.35">
      <c r="B125" s="47">
        <v>12</v>
      </c>
      <c r="C125" s="446" t="s">
        <v>510</v>
      </c>
      <c r="D125" s="446"/>
      <c r="E125" s="47"/>
      <c r="F125" s="52"/>
      <c r="G125" s="55"/>
    </row>
    <row r="126" spans="2:9" ht="22.5" customHeight="1" x14ac:dyDescent="0.35">
      <c r="B126" s="44" t="s">
        <v>84</v>
      </c>
      <c r="C126" s="45" t="s">
        <v>511</v>
      </c>
      <c r="D126" s="44">
        <v>1</v>
      </c>
      <c r="E126" s="44" t="s">
        <v>175</v>
      </c>
      <c r="F126" s="52" t="s">
        <v>343</v>
      </c>
      <c r="G126" s="55" t="s">
        <v>343</v>
      </c>
    </row>
    <row r="127" spans="2:9" ht="22.5" customHeight="1" x14ac:dyDescent="0.35">
      <c r="B127" s="82"/>
      <c r="C127" s="80" t="s">
        <v>5</v>
      </c>
      <c r="D127" s="74"/>
      <c r="E127" s="74"/>
      <c r="F127" s="81"/>
      <c r="G127" s="76">
        <v>950000</v>
      </c>
      <c r="H127" s="253"/>
    </row>
    <row r="128" spans="2:9" ht="22.5" customHeight="1" x14ac:dyDescent="0.35">
      <c r="B128" s="47">
        <v>13</v>
      </c>
      <c r="C128" s="446" t="s">
        <v>319</v>
      </c>
      <c r="D128" s="446"/>
      <c r="F128" s="48"/>
      <c r="G128" s="48"/>
    </row>
    <row r="129" spans="2:8" ht="22.5" customHeight="1" x14ac:dyDescent="0.35">
      <c r="B129" s="44" t="s">
        <v>84</v>
      </c>
      <c r="C129" s="53" t="s">
        <v>534</v>
      </c>
      <c r="D129" s="44">
        <v>5</v>
      </c>
      <c r="E129" s="44" t="s">
        <v>175</v>
      </c>
      <c r="F129" s="48">
        <v>1850000</v>
      </c>
      <c r="G129" s="63">
        <f>(D129*F129)</f>
        <v>9250000</v>
      </c>
      <c r="H129" s="253"/>
    </row>
    <row r="130" spans="2:8" s="47" customFormat="1" ht="22.5" customHeight="1" x14ac:dyDescent="0.35">
      <c r="B130" s="74"/>
      <c r="C130" s="80" t="s">
        <v>5</v>
      </c>
      <c r="D130" s="74"/>
      <c r="E130" s="74"/>
      <c r="F130" s="85"/>
      <c r="G130" s="76">
        <f>SUM(G129:G129)</f>
        <v>9250000</v>
      </c>
      <c r="H130" s="254"/>
    </row>
    <row r="131" spans="2:8" s="47" customFormat="1" ht="29.25" customHeight="1" x14ac:dyDescent="0.35">
      <c r="B131" s="47">
        <v>14</v>
      </c>
      <c r="C131" s="446" t="s">
        <v>512</v>
      </c>
      <c r="D131" s="446"/>
      <c r="E131" s="44"/>
      <c r="F131" s="48"/>
      <c r="G131" s="48"/>
    </row>
    <row r="132" spans="2:8" s="47" customFormat="1" ht="22.5" customHeight="1" x14ac:dyDescent="0.35">
      <c r="B132" s="44" t="s">
        <v>84</v>
      </c>
      <c r="C132" s="45" t="s">
        <v>317</v>
      </c>
      <c r="D132" s="44">
        <v>1</v>
      </c>
      <c r="E132" s="44" t="s">
        <v>175</v>
      </c>
      <c r="F132" s="48" t="s">
        <v>343</v>
      </c>
      <c r="G132" s="48" t="s">
        <v>343</v>
      </c>
    </row>
    <row r="133" spans="2:8" s="47" customFormat="1" x14ac:dyDescent="0.35">
      <c r="B133" s="44" t="s">
        <v>85</v>
      </c>
      <c r="C133" s="45" t="s">
        <v>368</v>
      </c>
      <c r="D133" s="44">
        <v>1</v>
      </c>
      <c r="E133" s="44" t="s">
        <v>175</v>
      </c>
      <c r="F133" s="48" t="s">
        <v>343</v>
      </c>
      <c r="G133" s="48" t="s">
        <v>343</v>
      </c>
    </row>
    <row r="134" spans="2:8" s="47" customFormat="1" ht="29" x14ac:dyDescent="0.35">
      <c r="B134" s="44" t="s">
        <v>86</v>
      </c>
      <c r="C134" s="45" t="s">
        <v>366</v>
      </c>
      <c r="D134" s="44">
        <v>1</v>
      </c>
      <c r="E134" s="44" t="s">
        <v>175</v>
      </c>
      <c r="F134" s="48" t="s">
        <v>343</v>
      </c>
      <c r="G134" s="48" t="s">
        <v>343</v>
      </c>
    </row>
    <row r="135" spans="2:8" s="47" customFormat="1" ht="22.5" customHeight="1" x14ac:dyDescent="0.35">
      <c r="B135" s="82"/>
      <c r="C135" s="80" t="s">
        <v>5</v>
      </c>
      <c r="D135" s="74"/>
      <c r="E135" s="74"/>
      <c r="F135" s="85"/>
      <c r="G135" s="76">
        <v>8165000</v>
      </c>
      <c r="H135" s="254"/>
    </row>
    <row r="136" spans="2:8" s="47" customFormat="1" ht="22.5" customHeight="1" x14ac:dyDescent="0.35">
      <c r="B136" s="47">
        <v>15</v>
      </c>
      <c r="C136" s="446" t="s">
        <v>367</v>
      </c>
      <c r="D136" s="446"/>
      <c r="F136" s="48"/>
      <c r="G136" s="55"/>
    </row>
    <row r="137" spans="2:8" s="47" customFormat="1" ht="22.5" customHeight="1" x14ac:dyDescent="0.35">
      <c r="B137" s="44" t="s">
        <v>84</v>
      </c>
      <c r="C137" s="45" t="s">
        <v>513</v>
      </c>
      <c r="D137" s="44">
        <v>1</v>
      </c>
      <c r="E137" s="44" t="s">
        <v>175</v>
      </c>
      <c r="F137" s="48" t="s">
        <v>343</v>
      </c>
      <c r="G137" s="48" t="s">
        <v>343</v>
      </c>
    </row>
    <row r="138" spans="2:8" s="47" customFormat="1" ht="22.5" customHeight="1" x14ac:dyDescent="0.35">
      <c r="B138" s="44" t="s">
        <v>85</v>
      </c>
      <c r="C138" s="45" t="s">
        <v>514</v>
      </c>
      <c r="D138" s="44">
        <v>1</v>
      </c>
      <c r="E138" s="44" t="s">
        <v>175</v>
      </c>
      <c r="F138" s="48" t="s">
        <v>343</v>
      </c>
      <c r="G138" s="48" t="s">
        <v>343</v>
      </c>
    </row>
    <row r="139" spans="2:8" s="47" customFormat="1" ht="22.5" customHeight="1" x14ac:dyDescent="0.35">
      <c r="B139" s="44" t="s">
        <v>86</v>
      </c>
      <c r="C139" s="45" t="s">
        <v>515</v>
      </c>
      <c r="D139" s="44">
        <v>1</v>
      </c>
      <c r="E139" s="44" t="s">
        <v>175</v>
      </c>
      <c r="F139" s="48" t="s">
        <v>343</v>
      </c>
      <c r="G139" s="48" t="s">
        <v>343</v>
      </c>
    </row>
    <row r="140" spans="2:8" s="47" customFormat="1" ht="22.5" customHeight="1" x14ac:dyDescent="0.35">
      <c r="B140" s="44" t="s">
        <v>93</v>
      </c>
      <c r="C140" s="45" t="s">
        <v>516</v>
      </c>
      <c r="D140" s="44">
        <v>1</v>
      </c>
      <c r="E140" s="44" t="s">
        <v>175</v>
      </c>
      <c r="F140" s="48" t="s">
        <v>343</v>
      </c>
      <c r="G140" s="48" t="s">
        <v>343</v>
      </c>
    </row>
    <row r="141" spans="2:8" s="47" customFormat="1" ht="22.5" customHeight="1" x14ac:dyDescent="0.35">
      <c r="B141" s="44" t="s">
        <v>94</v>
      </c>
      <c r="C141" s="45" t="s">
        <v>517</v>
      </c>
      <c r="D141" s="44">
        <v>1</v>
      </c>
      <c r="E141" s="44" t="s">
        <v>175</v>
      </c>
      <c r="F141" s="48" t="s">
        <v>343</v>
      </c>
      <c r="G141" s="48" t="s">
        <v>343</v>
      </c>
    </row>
    <row r="142" spans="2:8" s="47" customFormat="1" ht="22.5" customHeight="1" x14ac:dyDescent="0.35">
      <c r="B142" s="82"/>
      <c r="C142" s="80"/>
      <c r="D142" s="82"/>
      <c r="E142" s="82"/>
      <c r="F142" s="85"/>
      <c r="G142" s="76">
        <v>7821000</v>
      </c>
      <c r="H142" s="254"/>
    </row>
    <row r="143" spans="2:8" ht="22.5" customHeight="1" x14ac:dyDescent="0.35">
      <c r="B143" s="47">
        <v>16</v>
      </c>
      <c r="C143" s="448" t="s">
        <v>316</v>
      </c>
      <c r="D143" s="448"/>
      <c r="F143" s="48"/>
      <c r="G143" s="48"/>
    </row>
    <row r="144" spans="2:8" ht="22.5" customHeight="1" x14ac:dyDescent="0.35">
      <c r="B144" s="44" t="s">
        <v>84</v>
      </c>
      <c r="C144" s="45" t="s">
        <v>369</v>
      </c>
      <c r="D144" s="44">
        <v>1</v>
      </c>
      <c r="E144" s="44" t="s">
        <v>175</v>
      </c>
      <c r="F144" s="48" t="s">
        <v>343</v>
      </c>
      <c r="G144" s="48" t="s">
        <v>343</v>
      </c>
    </row>
    <row r="145" spans="2:13" ht="22.5" customHeight="1" x14ac:dyDescent="0.35">
      <c r="B145" s="44" t="s">
        <v>86</v>
      </c>
      <c r="C145" s="45" t="s">
        <v>370</v>
      </c>
      <c r="D145" s="44">
        <v>1</v>
      </c>
      <c r="E145" s="44" t="s">
        <v>175</v>
      </c>
      <c r="F145" s="48" t="s">
        <v>343</v>
      </c>
      <c r="G145" s="48" t="s">
        <v>343</v>
      </c>
    </row>
    <row r="146" spans="2:13" ht="23.25" customHeight="1" x14ac:dyDescent="0.35">
      <c r="B146" s="44" t="s">
        <v>93</v>
      </c>
      <c r="C146" s="45" t="s">
        <v>617</v>
      </c>
      <c r="D146" s="44">
        <v>1</v>
      </c>
      <c r="E146" s="44" t="s">
        <v>175</v>
      </c>
      <c r="F146" s="48" t="s">
        <v>343</v>
      </c>
      <c r="G146" s="48" t="s">
        <v>343</v>
      </c>
    </row>
    <row r="147" spans="2:13" ht="23.25" customHeight="1" x14ac:dyDescent="0.35">
      <c r="B147" s="44" t="s">
        <v>94</v>
      </c>
      <c r="C147" s="45" t="s">
        <v>537</v>
      </c>
      <c r="D147" s="44">
        <v>1</v>
      </c>
      <c r="E147" s="44" t="s">
        <v>175</v>
      </c>
      <c r="F147" s="48" t="s">
        <v>343</v>
      </c>
      <c r="G147" s="48" t="s">
        <v>343</v>
      </c>
    </row>
    <row r="148" spans="2:13" ht="22.5" customHeight="1" x14ac:dyDescent="0.35">
      <c r="B148" s="44" t="s">
        <v>95</v>
      </c>
      <c r="C148" s="45" t="s">
        <v>318</v>
      </c>
      <c r="D148" s="44">
        <v>20</v>
      </c>
      <c r="E148" s="44" t="s">
        <v>175</v>
      </c>
      <c r="F148" s="48" t="s">
        <v>343</v>
      </c>
      <c r="G148" s="48" t="s">
        <v>343</v>
      </c>
    </row>
    <row r="149" spans="2:13" s="47" customFormat="1" ht="22.5" customHeight="1" x14ac:dyDescent="0.35">
      <c r="B149" s="74"/>
      <c r="C149" s="80" t="s">
        <v>5</v>
      </c>
      <c r="D149" s="74"/>
      <c r="E149" s="74"/>
      <c r="F149" s="81"/>
      <c r="G149" s="76">
        <v>8520000</v>
      </c>
      <c r="H149" s="254"/>
    </row>
    <row r="150" spans="2:13" ht="22.5" customHeight="1" x14ac:dyDescent="0.35">
      <c r="B150" s="47">
        <v>17</v>
      </c>
      <c r="C150" s="447" t="s">
        <v>110</v>
      </c>
      <c r="D150" s="447"/>
      <c r="F150" s="48"/>
      <c r="G150" s="48"/>
    </row>
    <row r="151" spans="2:13" ht="22.5" customHeight="1" x14ac:dyDescent="0.35">
      <c r="B151" s="44" t="s">
        <v>84</v>
      </c>
      <c r="C151" s="53" t="s">
        <v>205</v>
      </c>
      <c r="D151" s="44">
        <v>2</v>
      </c>
      <c r="E151" s="44" t="s">
        <v>175</v>
      </c>
      <c r="F151" s="48">
        <v>3100000</v>
      </c>
      <c r="G151" s="63">
        <f>(D151*F151)</f>
        <v>6200000</v>
      </c>
      <c r="H151" s="253"/>
    </row>
    <row r="152" spans="2:13" ht="22.5" customHeight="1" x14ac:dyDescent="0.35">
      <c r="B152" s="44" t="s">
        <v>85</v>
      </c>
      <c r="C152" s="53" t="s">
        <v>279</v>
      </c>
      <c r="D152" s="44">
        <v>1</v>
      </c>
      <c r="E152" s="44" t="s">
        <v>175</v>
      </c>
      <c r="F152" s="48">
        <v>7150000</v>
      </c>
      <c r="G152" s="63">
        <f>(D152*F152)</f>
        <v>7150000</v>
      </c>
      <c r="H152" s="253"/>
    </row>
    <row r="153" spans="2:13" ht="22.5" customHeight="1" x14ac:dyDescent="0.35">
      <c r="B153" s="44" t="s">
        <v>86</v>
      </c>
      <c r="C153" s="53" t="s">
        <v>614</v>
      </c>
      <c r="D153" s="44">
        <v>1</v>
      </c>
      <c r="E153" s="44" t="s">
        <v>175</v>
      </c>
      <c r="F153" s="48">
        <v>5150000</v>
      </c>
      <c r="G153" s="63">
        <f>(D153*F153)</f>
        <v>5150000</v>
      </c>
      <c r="H153" s="253"/>
    </row>
    <row r="154" spans="2:13" s="47" customFormat="1" ht="22.5" customHeight="1" x14ac:dyDescent="0.35">
      <c r="B154" s="74"/>
      <c r="C154" s="80" t="s">
        <v>5</v>
      </c>
      <c r="D154" s="74"/>
      <c r="E154" s="74"/>
      <c r="F154" s="81"/>
      <c r="G154" s="76">
        <f>SUM(G151:G153)</f>
        <v>18500000</v>
      </c>
      <c r="H154" s="254"/>
    </row>
    <row r="155" spans="2:13" ht="22.5" customHeight="1" x14ac:dyDescent="0.35">
      <c r="B155" s="47">
        <v>18</v>
      </c>
      <c r="C155" s="447" t="s">
        <v>323</v>
      </c>
      <c r="D155" s="447"/>
      <c r="F155" s="48"/>
    </row>
    <row r="156" spans="2:13" ht="58" x14ac:dyDescent="0.35">
      <c r="B156" s="44" t="s">
        <v>84</v>
      </c>
      <c r="C156" s="45" t="s">
        <v>372</v>
      </c>
      <c r="D156" s="58">
        <v>1</v>
      </c>
      <c r="E156" s="44" t="s">
        <v>175</v>
      </c>
      <c r="F156" s="48">
        <v>1050000</v>
      </c>
      <c r="G156" s="63">
        <f>F156*D156</f>
        <v>1050000</v>
      </c>
      <c r="H156" s="253"/>
    </row>
    <row r="157" spans="2:13" ht="22.5" customHeight="1" x14ac:dyDescent="0.35">
      <c r="B157" s="44" t="s">
        <v>86</v>
      </c>
      <c r="C157" s="45" t="s">
        <v>322</v>
      </c>
      <c r="D157" s="44">
        <v>1</v>
      </c>
      <c r="E157" s="44" t="s">
        <v>175</v>
      </c>
      <c r="F157" s="48">
        <v>700000</v>
      </c>
      <c r="G157" s="63">
        <f>(D157*F157)</f>
        <v>700000</v>
      </c>
      <c r="H157" s="253"/>
    </row>
    <row r="158" spans="2:13" ht="22.5" customHeight="1" x14ac:dyDescent="0.35">
      <c r="B158" s="44" t="s">
        <v>85</v>
      </c>
      <c r="C158" s="45" t="s">
        <v>321</v>
      </c>
      <c r="D158" s="44">
        <v>1</v>
      </c>
      <c r="E158" s="44" t="s">
        <v>178</v>
      </c>
      <c r="F158" s="48">
        <v>2580000</v>
      </c>
      <c r="G158" s="63">
        <f>(D158*F158)</f>
        <v>2580000</v>
      </c>
      <c r="H158" s="253"/>
    </row>
    <row r="159" spans="2:13" ht="22.5" customHeight="1" x14ac:dyDescent="0.35">
      <c r="B159" s="44" t="s">
        <v>93</v>
      </c>
      <c r="C159" s="45" t="s">
        <v>613</v>
      </c>
      <c r="D159" s="44">
        <v>1</v>
      </c>
      <c r="E159" s="44" t="s">
        <v>175</v>
      </c>
      <c r="F159" s="48">
        <v>4100000</v>
      </c>
      <c r="G159" s="63">
        <f>F159</f>
        <v>4100000</v>
      </c>
      <c r="H159" s="253"/>
    </row>
    <row r="160" spans="2:13" s="47" customFormat="1" ht="22.5" customHeight="1" x14ac:dyDescent="0.35">
      <c r="B160" s="74"/>
      <c r="C160" s="80" t="s">
        <v>5</v>
      </c>
      <c r="D160" s="74"/>
      <c r="E160" s="74"/>
      <c r="F160" s="81"/>
      <c r="G160" s="76">
        <f>SUM(G156:G159)</f>
        <v>8430000</v>
      </c>
      <c r="H160" s="254"/>
      <c r="M160" s="60"/>
    </row>
    <row r="161" spans="2:9" s="47" customFormat="1" ht="22.5" customHeight="1" x14ac:dyDescent="0.35">
      <c r="B161" s="47">
        <v>19</v>
      </c>
      <c r="C161" s="53" t="s">
        <v>320</v>
      </c>
      <c r="D161" s="44"/>
      <c r="E161" s="44"/>
      <c r="G161" s="55">
        <v>2742000</v>
      </c>
      <c r="H161" s="254"/>
    </row>
    <row r="162" spans="2:9" s="47" customFormat="1" ht="22.5" customHeight="1" x14ac:dyDescent="0.35">
      <c r="B162" s="74"/>
      <c r="C162" s="451" t="s">
        <v>177</v>
      </c>
      <c r="D162" s="451"/>
      <c r="E162" s="82"/>
      <c r="F162" s="74"/>
      <c r="G162" s="76">
        <f>G55+G60+G67+G72+G84+G92+G101+G105+G114+G118+G124+G127+G130+G135+G142+G149+G154+G160+G161</f>
        <v>192661000</v>
      </c>
      <c r="H162" s="254"/>
    </row>
    <row r="163" spans="2:9" ht="22.5" customHeight="1" x14ac:dyDescent="0.35">
      <c r="B163" s="47">
        <v>20</v>
      </c>
      <c r="C163" s="53" t="s">
        <v>283</v>
      </c>
      <c r="D163" s="44">
        <v>12</v>
      </c>
      <c r="E163" s="61" t="s">
        <v>8</v>
      </c>
      <c r="F163" s="48"/>
      <c r="G163" s="63">
        <f>G162*D163/100</f>
        <v>23119320</v>
      </c>
      <c r="H163" s="253"/>
    </row>
    <row r="164" spans="2:9" s="47" customFormat="1" ht="22.5" customHeight="1" x14ac:dyDescent="0.35">
      <c r="B164" s="74"/>
      <c r="C164" s="83" t="s">
        <v>179</v>
      </c>
      <c r="D164" s="74"/>
      <c r="E164" s="74"/>
      <c r="F164" s="74"/>
      <c r="G164" s="76">
        <f>SUM(G162:G163)</f>
        <v>215780320</v>
      </c>
      <c r="H164" s="254"/>
    </row>
    <row r="165" spans="2:9" ht="22.5" customHeight="1" x14ac:dyDescent="0.35">
      <c r="B165" s="71" t="s">
        <v>87</v>
      </c>
      <c r="C165" s="450" t="s">
        <v>111</v>
      </c>
      <c r="D165" s="450"/>
      <c r="E165" s="450"/>
      <c r="F165" s="450"/>
      <c r="G165" s="450"/>
    </row>
    <row r="166" spans="2:9" ht="22.5" customHeight="1" x14ac:dyDescent="0.35">
      <c r="B166" s="44">
        <v>1</v>
      </c>
      <c r="C166" s="447" t="s">
        <v>114</v>
      </c>
      <c r="D166" s="447"/>
    </row>
    <row r="167" spans="2:9" ht="22.5" customHeight="1" x14ac:dyDescent="0.35">
      <c r="B167" s="44" t="s">
        <v>84</v>
      </c>
      <c r="C167" s="53" t="s">
        <v>180</v>
      </c>
      <c r="D167" s="44">
        <v>2</v>
      </c>
      <c r="E167" s="44" t="s">
        <v>150</v>
      </c>
      <c r="F167" s="48">
        <v>45000</v>
      </c>
      <c r="G167" s="63">
        <f t="shared" ref="G167:G173" si="3">(D167*F167)</f>
        <v>90000</v>
      </c>
    </row>
    <row r="168" spans="2:9" ht="22.5" customHeight="1" x14ac:dyDescent="0.35">
      <c r="B168" s="44" t="s">
        <v>85</v>
      </c>
      <c r="C168" s="53" t="s">
        <v>187</v>
      </c>
      <c r="D168" s="44">
        <v>1</v>
      </c>
      <c r="E168" s="44" t="s">
        <v>150</v>
      </c>
      <c r="F168" s="48">
        <v>25000</v>
      </c>
      <c r="G168" s="63">
        <f t="shared" si="3"/>
        <v>25000</v>
      </c>
    </row>
    <row r="169" spans="2:9" ht="22.5" customHeight="1" x14ac:dyDescent="0.35">
      <c r="B169" s="44" t="s">
        <v>86</v>
      </c>
      <c r="C169" s="53" t="s">
        <v>115</v>
      </c>
      <c r="D169" s="44">
        <v>2</v>
      </c>
      <c r="E169" s="44" t="s">
        <v>150</v>
      </c>
      <c r="F169" s="48">
        <v>47000</v>
      </c>
      <c r="G169" s="63">
        <f t="shared" si="3"/>
        <v>94000</v>
      </c>
    </row>
    <row r="170" spans="2:9" ht="22.5" customHeight="1" x14ac:dyDescent="0.35">
      <c r="B170" s="44" t="s">
        <v>93</v>
      </c>
      <c r="C170" s="53" t="s">
        <v>282</v>
      </c>
      <c r="D170" s="44">
        <v>1</v>
      </c>
      <c r="E170" s="44" t="s">
        <v>175</v>
      </c>
      <c r="F170" s="48">
        <v>120000</v>
      </c>
      <c r="G170" s="63">
        <f t="shared" si="3"/>
        <v>120000</v>
      </c>
    </row>
    <row r="171" spans="2:9" ht="22.5" customHeight="1" x14ac:dyDescent="0.35">
      <c r="B171" s="44" t="s">
        <v>94</v>
      </c>
      <c r="C171" s="53" t="s">
        <v>181</v>
      </c>
      <c r="D171" s="44">
        <v>2</v>
      </c>
      <c r="E171" s="44" t="s">
        <v>175</v>
      </c>
      <c r="F171" s="48">
        <v>50000</v>
      </c>
      <c r="G171" s="63">
        <f t="shared" si="3"/>
        <v>100000</v>
      </c>
    </row>
    <row r="172" spans="2:9" ht="22.5" customHeight="1" x14ac:dyDescent="0.35">
      <c r="B172" s="44" t="s">
        <v>95</v>
      </c>
      <c r="C172" s="53" t="s">
        <v>182</v>
      </c>
      <c r="D172" s="44">
        <v>1</v>
      </c>
      <c r="E172" s="44" t="s">
        <v>175</v>
      </c>
      <c r="F172" s="48">
        <v>125000</v>
      </c>
      <c r="G172" s="63">
        <f t="shared" si="3"/>
        <v>125000</v>
      </c>
      <c r="I172" s="63">
        <f>G175</f>
        <v>297674400</v>
      </c>
    </row>
    <row r="173" spans="2:9" ht="22.5" customHeight="1" x14ac:dyDescent="0.35">
      <c r="B173" s="44" t="s">
        <v>96</v>
      </c>
      <c r="C173" s="53" t="s">
        <v>183</v>
      </c>
      <c r="D173" s="44">
        <v>1</v>
      </c>
      <c r="E173" s="44" t="s">
        <v>175</v>
      </c>
      <c r="F173" s="48">
        <v>46000</v>
      </c>
      <c r="G173" s="63">
        <f t="shared" si="3"/>
        <v>46000</v>
      </c>
      <c r="I173" s="63">
        <f>G174</f>
        <v>600000</v>
      </c>
    </row>
    <row r="174" spans="2:9" s="47" customFormat="1" ht="22.5" customHeight="1" x14ac:dyDescent="0.35">
      <c r="B174" s="74"/>
      <c r="C174" s="83" t="s">
        <v>188</v>
      </c>
      <c r="D174" s="74"/>
      <c r="E174" s="74"/>
      <c r="F174" s="74"/>
      <c r="G174" s="76">
        <f>SUM(G167:G173)</f>
        <v>600000</v>
      </c>
      <c r="H174" s="47">
        <v>633000</v>
      </c>
      <c r="I174" s="55">
        <f>7100000+7100000*12%</f>
        <v>7952000</v>
      </c>
    </row>
    <row r="175" spans="2:9" s="47" customFormat="1" ht="22.5" customHeight="1" x14ac:dyDescent="0.35">
      <c r="B175" s="77"/>
      <c r="C175" s="88" t="s">
        <v>185</v>
      </c>
      <c r="D175" s="77"/>
      <c r="E175" s="77"/>
      <c r="F175" s="77"/>
      <c r="G175" s="79">
        <f>G50+G164+G174</f>
        <v>297674400</v>
      </c>
      <c r="I175" s="55">
        <f>I172-I173-I174</f>
        <v>289122400</v>
      </c>
    </row>
    <row r="176" spans="2:9" ht="22.5" customHeight="1" x14ac:dyDescent="0.35">
      <c r="B176" s="71" t="s">
        <v>89</v>
      </c>
      <c r="C176" s="450" t="s">
        <v>112</v>
      </c>
      <c r="D176" s="450"/>
      <c r="E176" s="450"/>
      <c r="F176" s="450"/>
      <c r="G176" s="450"/>
    </row>
    <row r="177" spans="2:9" ht="22.5" customHeight="1" x14ac:dyDescent="0.35">
      <c r="B177" s="44">
        <v>1</v>
      </c>
      <c r="C177" s="447" t="s">
        <v>116</v>
      </c>
      <c r="D177" s="447"/>
    </row>
    <row r="178" spans="2:9" ht="22.5" customHeight="1" x14ac:dyDescent="0.35">
      <c r="B178" s="44" t="s">
        <v>84</v>
      </c>
      <c r="C178" s="53" t="s">
        <v>616</v>
      </c>
      <c r="D178" s="62">
        <v>5.0000000000000001E-3</v>
      </c>
      <c r="E178" s="44" t="s">
        <v>8</v>
      </c>
      <c r="F178" s="48">
        <v>220000000</v>
      </c>
      <c r="G178" s="68">
        <f>F178*D178</f>
        <v>1100000</v>
      </c>
      <c r="I178" s="253"/>
    </row>
    <row r="179" spans="2:9" ht="22.5" customHeight="1" x14ac:dyDescent="0.35">
      <c r="B179" s="59" t="s">
        <v>85</v>
      </c>
      <c r="C179" s="53" t="s">
        <v>615</v>
      </c>
      <c r="D179" s="62">
        <v>1.5E-3</v>
      </c>
      <c r="E179" s="44" t="s">
        <v>8</v>
      </c>
      <c r="F179" s="48">
        <f>G192</f>
        <v>320000000</v>
      </c>
      <c r="G179" s="68">
        <f>F179*D179</f>
        <v>480000</v>
      </c>
      <c r="I179" s="253"/>
    </row>
    <row r="180" spans="2:9" ht="22.5" customHeight="1" x14ac:dyDescent="0.35">
      <c r="B180" s="59"/>
      <c r="D180" s="62"/>
      <c r="F180" s="48"/>
      <c r="G180" s="55"/>
      <c r="I180" s="253"/>
    </row>
    <row r="181" spans="2:9" s="47" customFormat="1" ht="22.5" customHeight="1" x14ac:dyDescent="0.35">
      <c r="B181" s="77"/>
      <c r="C181" s="78" t="s">
        <v>5</v>
      </c>
      <c r="D181" s="77"/>
      <c r="E181" s="77"/>
      <c r="F181" s="89"/>
      <c r="G181" s="90">
        <f>SUM(G178:G180)</f>
        <v>1580000</v>
      </c>
      <c r="I181" s="254"/>
    </row>
    <row r="182" spans="2:9" ht="22.5" customHeight="1" x14ac:dyDescent="0.35">
      <c r="B182" s="44">
        <v>2</v>
      </c>
      <c r="C182" s="447" t="s">
        <v>113</v>
      </c>
      <c r="D182" s="447"/>
      <c r="F182" s="48"/>
      <c r="G182" s="55"/>
      <c r="I182" s="253"/>
    </row>
    <row r="183" spans="2:9" ht="22.5" customHeight="1" x14ac:dyDescent="0.35">
      <c r="C183" s="53"/>
      <c r="F183" s="48"/>
      <c r="G183" s="69"/>
      <c r="I183" s="253"/>
    </row>
    <row r="184" spans="2:9" ht="22.5" customHeight="1" x14ac:dyDescent="0.35">
      <c r="C184" s="53"/>
      <c r="D184" s="62"/>
      <c r="F184" s="48"/>
      <c r="G184" s="69"/>
      <c r="I184" s="253"/>
    </row>
    <row r="185" spans="2:9" ht="22.5" customHeight="1" x14ac:dyDescent="0.35">
      <c r="B185" s="44" t="s">
        <v>84</v>
      </c>
      <c r="C185" s="53" t="s">
        <v>104</v>
      </c>
      <c r="F185" s="48"/>
      <c r="G185" s="68">
        <v>1667000</v>
      </c>
      <c r="H185" s="63"/>
      <c r="I185" s="253"/>
    </row>
    <row r="186" spans="2:9" ht="22.5" customHeight="1" x14ac:dyDescent="0.35">
      <c r="B186" s="44" t="s">
        <v>85</v>
      </c>
      <c r="C186" s="53" t="s">
        <v>184</v>
      </c>
      <c r="D186" s="61"/>
      <c r="F186" s="48"/>
      <c r="G186" s="68">
        <f>('TL Schd'!D10+'TL Schd'!E10)*10^5</f>
        <v>17985000</v>
      </c>
      <c r="I186" s="253"/>
    </row>
    <row r="187" spans="2:9" s="47" customFormat="1" ht="22.5" customHeight="1" x14ac:dyDescent="0.35">
      <c r="B187" s="77"/>
      <c r="C187" s="78" t="s">
        <v>5</v>
      </c>
      <c r="D187" s="77"/>
      <c r="E187" s="77"/>
      <c r="F187" s="77"/>
      <c r="G187" s="90">
        <f>SUM(G183:G186)</f>
        <v>19652000</v>
      </c>
    </row>
    <row r="188" spans="2:9" s="47" customFormat="1" ht="22.5" customHeight="1" x14ac:dyDescent="0.35">
      <c r="C188" s="449" t="s">
        <v>117</v>
      </c>
      <c r="D188" s="449"/>
      <c r="E188" s="449"/>
      <c r="G188" s="69">
        <f>(G181+G187)</f>
        <v>21232000</v>
      </c>
    </row>
    <row r="189" spans="2:9" s="47" customFormat="1" ht="22.5" customHeight="1" x14ac:dyDescent="0.35">
      <c r="C189" s="53" t="s">
        <v>540</v>
      </c>
      <c r="E189" s="64"/>
      <c r="G189" s="68" t="e">
        <f>'CoP-MoF'!#REF!</f>
        <v>#REF!</v>
      </c>
    </row>
    <row r="190" spans="2:9" s="47" customFormat="1" ht="22.5" customHeight="1" x14ac:dyDescent="0.35">
      <c r="B190" s="77"/>
      <c r="C190" s="91" t="s">
        <v>118</v>
      </c>
      <c r="D190" s="77"/>
      <c r="E190" s="92"/>
      <c r="F190" s="77"/>
      <c r="G190" s="90" t="e">
        <f>(G175+G188+G189+G9)</f>
        <v>#REF!</v>
      </c>
    </row>
    <row r="191" spans="2:9" ht="22.5" customHeight="1" x14ac:dyDescent="0.35">
      <c r="G191" s="69"/>
    </row>
    <row r="192" spans="2:9" s="47" customFormat="1" ht="22.5" customHeight="1" x14ac:dyDescent="0.35">
      <c r="B192" s="93"/>
      <c r="C192" s="94" t="s">
        <v>281</v>
      </c>
      <c r="D192" s="93"/>
      <c r="E192" s="93"/>
      <c r="F192" s="93"/>
      <c r="G192" s="95">
        <v>320000000</v>
      </c>
    </row>
    <row r="193" spans="3:7" x14ac:dyDescent="0.35">
      <c r="G193" s="65"/>
    </row>
    <row r="194" spans="3:7" x14ac:dyDescent="0.35">
      <c r="G194" s="65"/>
    </row>
    <row r="196" spans="3:7" x14ac:dyDescent="0.35">
      <c r="C196" s="44"/>
    </row>
    <row r="197" spans="3:7" x14ac:dyDescent="0.35">
      <c r="C197" s="44"/>
    </row>
    <row r="198" spans="3:7" x14ac:dyDescent="0.35">
      <c r="C198" s="44"/>
    </row>
    <row r="199" spans="3:7" x14ac:dyDescent="0.35">
      <c r="C199" s="44"/>
    </row>
    <row r="200" spans="3:7" x14ac:dyDescent="0.35">
      <c r="C200" s="44"/>
    </row>
    <row r="201" spans="3:7" x14ac:dyDescent="0.35">
      <c r="C201" s="44"/>
    </row>
    <row r="202" spans="3:7" x14ac:dyDescent="0.35">
      <c r="C202" s="44"/>
    </row>
    <row r="203" spans="3:7" x14ac:dyDescent="0.35">
      <c r="C203" s="44"/>
    </row>
    <row r="204" spans="3:7" x14ac:dyDescent="0.35">
      <c r="C204" s="44"/>
    </row>
  </sheetData>
  <customSheetViews>
    <customSheetView guid="{22475485-DA09-46DB-978D-BB94CE1E5597}" scale="130" hiddenRows="1">
      <selection activeCell="B4" sqref="B4"/>
      <pageMargins left="0.7" right="0.7" top="0.75" bottom="0.75" header="0.3" footer="0.3"/>
      <pageSetup paperSize="9" orientation="portrait" verticalDpi="300" r:id="rId1"/>
    </customSheetView>
  </customSheetViews>
  <mergeCells count="29">
    <mergeCell ref="C73:D73"/>
    <mergeCell ref="C61:D61"/>
    <mergeCell ref="C93:D93"/>
    <mergeCell ref="B2:G2"/>
    <mergeCell ref="C10:G10"/>
    <mergeCell ref="C4:G4"/>
    <mergeCell ref="C51:G51"/>
    <mergeCell ref="C85:D85"/>
    <mergeCell ref="F86:F90"/>
    <mergeCell ref="G86:G90"/>
    <mergeCell ref="D86:D90"/>
    <mergeCell ref="C166:D166"/>
    <mergeCell ref="C177:D177"/>
    <mergeCell ref="C182:D182"/>
    <mergeCell ref="C188:E188"/>
    <mergeCell ref="C155:D155"/>
    <mergeCell ref="C176:G176"/>
    <mergeCell ref="C165:G165"/>
    <mergeCell ref="C162:D162"/>
    <mergeCell ref="C150:D150"/>
    <mergeCell ref="C143:D143"/>
    <mergeCell ref="C128:D128"/>
    <mergeCell ref="C106:D106"/>
    <mergeCell ref="C119:D119"/>
    <mergeCell ref="C102:D102"/>
    <mergeCell ref="C115:D115"/>
    <mergeCell ref="C125:D125"/>
    <mergeCell ref="C136:D136"/>
    <mergeCell ref="C131:D131"/>
  </mergeCells>
  <pageMargins left="0.7" right="0.7" top="0.75" bottom="0.75" header="0.3" footer="0.3"/>
  <pageSetup paperSize="9" scale="75"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sheetPr>
  <dimension ref="A2:V33"/>
  <sheetViews>
    <sheetView showGridLines="0" tabSelected="1" workbookViewId="0">
      <selection activeCell="C6" sqref="C6"/>
    </sheetView>
  </sheetViews>
  <sheetFormatPr defaultColWidth="13" defaultRowHeight="14.5" x14ac:dyDescent="0.35"/>
  <cols>
    <col min="1" max="1" width="4.54296875" style="96" customWidth="1"/>
    <col min="2" max="2" width="10.7265625" style="97" customWidth="1"/>
    <col min="3" max="3" width="52.453125" style="97" customWidth="1"/>
    <col min="4" max="4" width="27.7265625" style="44" customWidth="1"/>
    <col min="5" max="5" width="14.7265625" style="96" bestFit="1" customWidth="1"/>
    <col min="6" max="16384" width="13" style="336"/>
  </cols>
  <sheetData>
    <row r="2" spans="1:22" s="334" customFormat="1" ht="19.5" customHeight="1" x14ac:dyDescent="0.35">
      <c r="A2" s="97"/>
      <c r="B2" s="456" t="s">
        <v>9</v>
      </c>
      <c r="C2" s="456"/>
      <c r="D2" s="456"/>
      <c r="E2" s="97"/>
    </row>
    <row r="3" spans="1:22" s="337" customFormat="1" ht="21" customHeight="1" x14ac:dyDescent="0.35">
      <c r="A3" s="101"/>
      <c r="B3" s="70" t="s">
        <v>622</v>
      </c>
      <c r="C3" s="70" t="s">
        <v>1</v>
      </c>
      <c r="D3" s="70" t="s">
        <v>7</v>
      </c>
      <c r="E3" s="101"/>
    </row>
    <row r="4" spans="1:22" s="334" customFormat="1" ht="21" customHeight="1" x14ac:dyDescent="0.35">
      <c r="A4" s="97"/>
      <c r="B4" s="71" t="s">
        <v>84</v>
      </c>
      <c r="C4" s="103" t="s">
        <v>99</v>
      </c>
      <c r="D4" s="73"/>
      <c r="E4" s="97"/>
      <c r="S4" s="334" t="s">
        <v>1154</v>
      </c>
      <c r="T4" s="334" t="s">
        <v>1155</v>
      </c>
    </row>
    <row r="5" spans="1:22" s="334" customFormat="1" ht="21" customHeight="1" x14ac:dyDescent="0.35">
      <c r="A5" s="97"/>
      <c r="B5" s="44">
        <v>1</v>
      </c>
      <c r="C5" s="97" t="s">
        <v>233</v>
      </c>
      <c r="D5" s="421">
        <f>140.3*10^5</f>
        <v>14030000.000000002</v>
      </c>
      <c r="E5" s="97"/>
      <c r="G5" s="332" t="s">
        <v>1036</v>
      </c>
      <c r="H5" s="332" t="s">
        <v>1116</v>
      </c>
      <c r="R5" s="334">
        <v>2024</v>
      </c>
      <c r="S5" s="334">
        <f>3297671.16</f>
        <v>3297671.16</v>
      </c>
      <c r="T5" s="334">
        <v>297972</v>
      </c>
      <c r="U5" s="334">
        <f>S5/T5</f>
        <v>11.067050461117152</v>
      </c>
      <c r="V5" s="441">
        <f>U5/U6-1</f>
        <v>6.3744874863740586E-2</v>
      </c>
    </row>
    <row r="6" spans="1:22" s="334" customFormat="1" ht="21" customHeight="1" x14ac:dyDescent="0.35">
      <c r="A6" s="97"/>
      <c r="B6" s="44">
        <f>B5+1</f>
        <v>2</v>
      </c>
      <c r="C6" s="97" t="s">
        <v>385</v>
      </c>
      <c r="D6" s="421">
        <f>600*10^5</f>
        <v>60000000</v>
      </c>
      <c r="E6" s="97"/>
      <c r="G6" s="332" t="s">
        <v>1117</v>
      </c>
      <c r="R6" s="334">
        <v>2023</v>
      </c>
      <c r="S6" s="334">
        <v>7248690.2800000003</v>
      </c>
      <c r="T6" s="334">
        <v>696731</v>
      </c>
      <c r="U6" s="334">
        <f>S6/T6</f>
        <v>10.403857844706208</v>
      </c>
      <c r="V6" s="441">
        <f>U6/U7-1</f>
        <v>-8.043922387165503E-2</v>
      </c>
    </row>
    <row r="7" spans="1:22" s="334" customFormat="1" ht="21" customHeight="1" x14ac:dyDescent="0.35">
      <c r="A7" s="97"/>
      <c r="B7" s="44">
        <f t="shared" ref="B7:B11" si="0">B6+1</f>
        <v>3</v>
      </c>
      <c r="C7" s="97" t="s">
        <v>70</v>
      </c>
      <c r="D7" s="421">
        <f>'P&amp;M'!I87</f>
        <v>315894794.30000001</v>
      </c>
      <c r="E7" s="365">
        <v>314957000</v>
      </c>
      <c r="F7" s="366">
        <f>D7-E7</f>
        <v>937794.30000001192</v>
      </c>
      <c r="G7" s="332" t="s">
        <v>1118</v>
      </c>
      <c r="R7" s="334">
        <v>2022</v>
      </c>
      <c r="S7" s="334">
        <v>19474949.629999999</v>
      </c>
      <c r="T7" s="334">
        <v>1721323</v>
      </c>
      <c r="U7" s="334">
        <f>S7/T7</f>
        <v>11.31394260693664</v>
      </c>
      <c r="V7" s="441">
        <f>U7/U8-1</f>
        <v>0.11215326430285555</v>
      </c>
    </row>
    <row r="8" spans="1:22" s="334" customFormat="1" ht="21" customHeight="1" x14ac:dyDescent="0.35">
      <c r="A8" s="97"/>
      <c r="B8" s="44">
        <f t="shared" si="0"/>
        <v>4</v>
      </c>
      <c r="C8" s="97" t="s">
        <v>831</v>
      </c>
      <c r="D8" s="421">
        <f>105.45*10^5-D9</f>
        <v>9870000</v>
      </c>
      <c r="E8" s="97"/>
      <c r="G8" s="332" t="s">
        <v>1117</v>
      </c>
      <c r="R8" s="334">
        <v>2021</v>
      </c>
      <c r="S8" s="334">
        <v>11817910.67</v>
      </c>
      <c r="T8" s="334">
        <v>1161693</v>
      </c>
      <c r="U8" s="334">
        <f>S8/T8</f>
        <v>10.17300669798303</v>
      </c>
    </row>
    <row r="9" spans="1:22" s="334" customFormat="1" ht="21" customHeight="1" x14ac:dyDescent="0.35">
      <c r="A9" s="97"/>
      <c r="B9" s="44">
        <f t="shared" si="0"/>
        <v>5</v>
      </c>
      <c r="C9" s="97" t="s">
        <v>419</v>
      </c>
      <c r="D9" s="421">
        <f>550000+125000</f>
        <v>675000</v>
      </c>
      <c r="E9" s="97" t="s">
        <v>1143</v>
      </c>
      <c r="G9" s="332" t="s">
        <v>1036</v>
      </c>
    </row>
    <row r="10" spans="1:22" s="334" customFormat="1" ht="21" customHeight="1" x14ac:dyDescent="0.35">
      <c r="A10" s="97"/>
      <c r="B10" s="44">
        <f t="shared" si="0"/>
        <v>6</v>
      </c>
      <c r="C10" s="97" t="s">
        <v>523</v>
      </c>
      <c r="D10" s="440">
        <f>WC!D41*A</f>
        <v>0</v>
      </c>
      <c r="E10" s="97" t="s">
        <v>1161</v>
      </c>
    </row>
    <row r="11" spans="1:22" s="334" customFormat="1" ht="21" customHeight="1" x14ac:dyDescent="0.35">
      <c r="A11" s="97"/>
      <c r="B11" s="44">
        <f t="shared" si="0"/>
        <v>7</v>
      </c>
      <c r="C11" s="97" t="s">
        <v>522</v>
      </c>
      <c r="D11" s="421">
        <f>'TL Schd'!D10*A</f>
        <v>17985000</v>
      </c>
      <c r="E11" s="97"/>
    </row>
    <row r="12" spans="1:22" s="334" customFormat="1" ht="21" customHeight="1" x14ac:dyDescent="0.35">
      <c r="A12" s="97"/>
      <c r="B12" s="44">
        <v>8</v>
      </c>
      <c r="C12" s="97" t="s">
        <v>1083</v>
      </c>
      <c r="D12" s="421">
        <f>-MIN('P &amp; L'!D40*A,0)</f>
        <v>0</v>
      </c>
      <c r="E12" s="97"/>
    </row>
    <row r="13" spans="1:22" s="334" customFormat="1" x14ac:dyDescent="0.35">
      <c r="A13" s="97"/>
      <c r="B13" s="51"/>
      <c r="C13" s="97"/>
      <c r="D13" s="63"/>
      <c r="E13" s="97"/>
    </row>
    <row r="14" spans="1:22" s="338" customFormat="1" ht="21" customHeight="1" x14ac:dyDescent="0.35">
      <c r="A14" s="64"/>
      <c r="B14" s="103"/>
      <c r="C14" s="71" t="s">
        <v>43</v>
      </c>
      <c r="D14" s="104">
        <f>SUM(D5:D13)</f>
        <v>418454794.30000001</v>
      </c>
      <c r="E14" s="387" t="s">
        <v>1087</v>
      </c>
    </row>
    <row r="15" spans="1:22" s="334" customFormat="1" ht="21" customHeight="1" x14ac:dyDescent="0.35">
      <c r="A15" s="97"/>
      <c r="B15" s="71" t="s">
        <v>85</v>
      </c>
      <c r="C15" s="103" t="s">
        <v>100</v>
      </c>
      <c r="D15" s="105"/>
      <c r="E15" s="423">
        <f>D14/10^7</f>
        <v>41.845479430000005</v>
      </c>
      <c r="F15" s="424">
        <f>Assump!F11</f>
        <v>33600</v>
      </c>
      <c r="G15" s="423">
        <f>E15/F15</f>
        <v>1.2454011735119049E-3</v>
      </c>
      <c r="I15" s="393" t="s">
        <v>837</v>
      </c>
      <c r="J15" s="393" t="s">
        <v>1091</v>
      </c>
      <c r="K15" s="393" t="s">
        <v>1092</v>
      </c>
      <c r="L15" s="393" t="s">
        <v>1093</v>
      </c>
      <c r="M15" s="393" t="s">
        <v>1095</v>
      </c>
      <c r="N15" s="393" t="s">
        <v>1100</v>
      </c>
      <c r="O15" s="394"/>
      <c r="P15" s="97" t="s">
        <v>1089</v>
      </c>
    </row>
    <row r="16" spans="1:22" s="334" customFormat="1" x14ac:dyDescent="0.35">
      <c r="A16" s="97"/>
      <c r="B16" s="44"/>
      <c r="C16" s="97"/>
      <c r="D16" s="68"/>
      <c r="I16" s="398">
        <v>45292</v>
      </c>
      <c r="J16" s="394" t="s">
        <v>1094</v>
      </c>
      <c r="K16" s="394" t="s">
        <v>1104</v>
      </c>
      <c r="L16" s="395">
        <v>20000</v>
      </c>
      <c r="M16" s="395">
        <f>536*10^7/10^5</f>
        <v>53600</v>
      </c>
      <c r="N16" s="396">
        <f>M16/L16</f>
        <v>2.68</v>
      </c>
      <c r="O16" s="394" t="s">
        <v>1096</v>
      </c>
      <c r="P16" s="391" t="s">
        <v>1090</v>
      </c>
    </row>
    <row r="17" spans="1:16" s="334" customFormat="1" ht="21" customHeight="1" x14ac:dyDescent="0.35">
      <c r="A17" s="97"/>
      <c r="B17" s="44">
        <v>1</v>
      </c>
      <c r="C17" s="97" t="s">
        <v>779</v>
      </c>
      <c r="D17" s="68">
        <v>100000000</v>
      </c>
      <c r="I17" s="398">
        <v>45413</v>
      </c>
      <c r="J17" s="394" t="s">
        <v>1103</v>
      </c>
      <c r="K17" s="394" t="s">
        <v>1097</v>
      </c>
      <c r="L17" s="395">
        <v>25036</v>
      </c>
      <c r="M17" s="395">
        <f>472*10^7/10^5</f>
        <v>47200</v>
      </c>
      <c r="N17" s="396">
        <f>M17/L17</f>
        <v>1.8852851893273685</v>
      </c>
      <c r="O17" s="394" t="s">
        <v>1098</v>
      </c>
      <c r="P17" s="97" t="s">
        <v>1088</v>
      </c>
    </row>
    <row r="18" spans="1:16" s="334" customFormat="1" ht="21" customHeight="1" x14ac:dyDescent="0.35">
      <c r="A18" s="97"/>
      <c r="B18" s="44">
        <v>2</v>
      </c>
      <c r="C18" s="97" t="s">
        <v>1081</v>
      </c>
      <c r="D18" s="440">
        <f>D14-D19-D21-D17</f>
        <v>100454794.30000001</v>
      </c>
      <c r="E18" s="219"/>
      <c r="I18" s="399" t="s">
        <v>1102</v>
      </c>
      <c r="J18" s="394" t="s">
        <v>1099</v>
      </c>
      <c r="K18" s="394" t="s">
        <v>1105</v>
      </c>
      <c r="L18" s="395">
        <v>40000</v>
      </c>
      <c r="M18" s="395">
        <v>40000</v>
      </c>
      <c r="N18" s="396">
        <f>M18/L18</f>
        <v>1</v>
      </c>
      <c r="O18" s="397" t="s">
        <v>1108</v>
      </c>
      <c r="P18" s="392" t="s">
        <v>1101</v>
      </c>
    </row>
    <row r="19" spans="1:16" s="334" customFormat="1" ht="21" customHeight="1" x14ac:dyDescent="0.35">
      <c r="A19" s="97"/>
      <c r="B19" s="44">
        <v>3</v>
      </c>
      <c r="C19" s="97" t="s">
        <v>101</v>
      </c>
      <c r="D19" s="421">
        <f>(15+6.8)*10^7</f>
        <v>218000000</v>
      </c>
      <c r="E19" s="327"/>
      <c r="I19" s="399" t="s">
        <v>1107</v>
      </c>
      <c r="J19" s="394" t="s">
        <v>1106</v>
      </c>
      <c r="K19" s="394" t="s">
        <v>1124</v>
      </c>
      <c r="L19" s="395">
        <v>25000</v>
      </c>
      <c r="M19" s="395">
        <v>80000</v>
      </c>
      <c r="N19" s="396">
        <f>M19/L19</f>
        <v>3.2</v>
      </c>
      <c r="O19" s="394"/>
      <c r="P19" s="392" t="s">
        <v>1109</v>
      </c>
    </row>
    <row r="20" spans="1:16" s="334" customFormat="1" ht="18" hidden="1" customHeight="1" x14ac:dyDescent="0.35">
      <c r="A20" s="97"/>
      <c r="B20" s="51"/>
      <c r="C20" s="53"/>
      <c r="D20" s="421"/>
      <c r="E20" s="97"/>
      <c r="I20" s="399" t="s">
        <v>1110</v>
      </c>
      <c r="J20" s="394" t="s">
        <v>1111</v>
      </c>
      <c r="K20" s="394" t="s">
        <v>1104</v>
      </c>
      <c r="L20" s="395">
        <v>11700</v>
      </c>
      <c r="M20" s="395">
        <v>15000</v>
      </c>
      <c r="N20" s="396">
        <f>M20/L20</f>
        <v>1.2820512820512822</v>
      </c>
      <c r="O20" s="394" t="s">
        <v>1112</v>
      </c>
    </row>
    <row r="21" spans="1:16" s="334" customFormat="1" ht="18" customHeight="1" x14ac:dyDescent="0.35">
      <c r="A21" s="97"/>
      <c r="B21" s="44">
        <v>4</v>
      </c>
      <c r="C21" s="97" t="s">
        <v>468</v>
      </c>
      <c r="D21" s="421">
        <f>0.2*10^7*0</f>
        <v>0</v>
      </c>
      <c r="E21" s="219"/>
    </row>
    <row r="22" spans="1:16" s="334" customFormat="1" ht="34.5" hidden="1" customHeight="1" x14ac:dyDescent="0.35">
      <c r="A22" s="97"/>
      <c r="B22" s="51"/>
      <c r="C22" s="53" t="s">
        <v>560</v>
      </c>
      <c r="D22" s="68"/>
      <c r="E22" s="97"/>
    </row>
    <row r="23" spans="1:16" s="334" customFormat="1" ht="21" customHeight="1" x14ac:dyDescent="0.35">
      <c r="A23" s="97"/>
      <c r="B23" s="103"/>
      <c r="C23" s="71" t="s">
        <v>43</v>
      </c>
      <c r="D23" s="104">
        <f>SUM(D17:D22)</f>
        <v>418454794.30000001</v>
      </c>
      <c r="E23" s="419">
        <f>SUM(D18:D21)/D17</f>
        <v>3.1845479430000001</v>
      </c>
    </row>
    <row r="24" spans="1:16" x14ac:dyDescent="0.35">
      <c r="D24" s="63"/>
    </row>
    <row r="25" spans="1:16" x14ac:dyDescent="0.35">
      <c r="C25" s="96"/>
      <c r="D25" s="96"/>
    </row>
    <row r="26" spans="1:16" x14ac:dyDescent="0.35">
      <c r="B26" s="106"/>
      <c r="C26" s="92" t="s">
        <v>469</v>
      </c>
      <c r="D26" s="90">
        <f>D19+D21</f>
        <v>218000000</v>
      </c>
    </row>
    <row r="29" spans="1:16" x14ac:dyDescent="0.35">
      <c r="D29" s="68"/>
    </row>
    <row r="30" spans="1:16" x14ac:dyDescent="0.35">
      <c r="D30" s="100"/>
    </row>
    <row r="31" spans="1:16" x14ac:dyDescent="0.35">
      <c r="D31" s="100"/>
    </row>
    <row r="32" spans="1:16" x14ac:dyDescent="0.35">
      <c r="D32" s="100"/>
    </row>
    <row r="33" spans="4:4" x14ac:dyDescent="0.35">
      <c r="D33" s="100"/>
    </row>
  </sheetData>
  <customSheetViews>
    <customSheetView guid="{22475485-DA09-46DB-978D-BB94CE1E5597}" topLeftCell="A7">
      <selection activeCell="B13" sqref="B13"/>
      <pageMargins left="0.7" right="0.7" top="0.75" bottom="0.75" header="0.3" footer="0.3"/>
      <pageSetup paperSize="9" orientation="portrait" verticalDpi="300" r:id="rId1"/>
    </customSheetView>
  </customSheetViews>
  <mergeCells count="1">
    <mergeCell ref="B2:D2"/>
  </mergeCells>
  <hyperlinks>
    <hyperlink ref="P16" r:id="rId2" xr:uid="{C76EF73D-56CE-4309-B51C-720CA835420C}"/>
    <hyperlink ref="P18" r:id="rId3" xr:uid="{F3E6C35C-B32C-43C7-8730-C1C7C7B15F90}"/>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249977111117893"/>
  </sheetPr>
  <dimension ref="B2:L86"/>
  <sheetViews>
    <sheetView showGridLines="0" topLeftCell="A3" workbookViewId="0">
      <selection activeCell="D10" sqref="D10"/>
    </sheetView>
  </sheetViews>
  <sheetFormatPr defaultColWidth="13" defaultRowHeight="14.5" x14ac:dyDescent="0.35"/>
  <cols>
    <col min="1" max="1" width="4" style="96" customWidth="1"/>
    <col min="2" max="2" width="10" style="44" customWidth="1"/>
    <col min="3" max="3" width="56.453125" style="101" customWidth="1"/>
    <col min="4" max="4" width="22.81640625" style="44" customWidth="1"/>
    <col min="5" max="5" width="18.26953125" style="44" customWidth="1"/>
    <col min="6" max="6" width="12" style="96" customWidth="1"/>
    <col min="7" max="7" width="12.81640625" style="96" customWidth="1"/>
    <col min="8" max="8" width="16" style="96" customWidth="1"/>
    <col min="9" max="16384" width="13" style="96"/>
  </cols>
  <sheetData>
    <row r="2" spans="2:12" s="97" customFormat="1" ht="21" customHeight="1" x14ac:dyDescent="0.35">
      <c r="B2" s="456" t="s">
        <v>10</v>
      </c>
      <c r="C2" s="456"/>
      <c r="D2" s="456"/>
      <c r="E2" s="456"/>
    </row>
    <row r="3" spans="2:12" s="101" customFormat="1" ht="21" customHeight="1" x14ac:dyDescent="0.35">
      <c r="B3" s="70" t="s">
        <v>0</v>
      </c>
      <c r="C3" s="70" t="s">
        <v>78</v>
      </c>
      <c r="D3" s="70" t="s">
        <v>76</v>
      </c>
      <c r="E3" s="70" t="s">
        <v>77</v>
      </c>
      <c r="F3" s="66"/>
      <c r="G3" s="102"/>
      <c r="H3" s="96"/>
      <c r="I3" s="96"/>
      <c r="J3" s="96"/>
    </row>
    <row r="4" spans="2:12" s="97" customFormat="1" ht="21" customHeight="1" x14ac:dyDescent="0.35">
      <c r="B4" s="71" t="s">
        <v>79</v>
      </c>
      <c r="C4" s="110" t="s">
        <v>81</v>
      </c>
      <c r="D4" s="73"/>
      <c r="E4" s="73"/>
    </row>
    <row r="5" spans="2:12" s="97" customFormat="1" ht="21" customHeight="1" x14ac:dyDescent="0.35">
      <c r="B5" s="44">
        <v>1</v>
      </c>
      <c r="C5" s="53" t="s">
        <v>128</v>
      </c>
      <c r="D5" s="44">
        <v>24</v>
      </c>
      <c r="E5" s="44" t="s">
        <v>154</v>
      </c>
    </row>
    <row r="6" spans="2:12" s="97" customFormat="1" ht="21" customHeight="1" x14ac:dyDescent="0.35">
      <c r="B6" s="44">
        <v>2</v>
      </c>
      <c r="C6" s="53" t="s">
        <v>129</v>
      </c>
      <c r="D6" s="44">
        <v>365</v>
      </c>
      <c r="E6" s="44" t="s">
        <v>155</v>
      </c>
    </row>
    <row r="7" spans="2:12" s="97" customFormat="1" ht="21" customHeight="1" x14ac:dyDescent="0.35">
      <c r="B7" s="44">
        <v>3</v>
      </c>
      <c r="C7" s="53" t="s">
        <v>280</v>
      </c>
      <c r="D7" s="44">
        <v>330</v>
      </c>
      <c r="E7" s="44" t="s">
        <v>155</v>
      </c>
    </row>
    <row r="8" spans="2:12" s="97" customFormat="1" ht="21" customHeight="1" x14ac:dyDescent="0.35">
      <c r="B8" s="44">
        <v>4</v>
      </c>
      <c r="C8" s="53" t="s">
        <v>151</v>
      </c>
      <c r="D8" s="44" t="s">
        <v>745</v>
      </c>
      <c r="E8" s="44" t="s">
        <v>8</v>
      </c>
    </row>
    <row r="9" spans="2:12" s="97" customFormat="1" ht="21" customHeight="1" x14ac:dyDescent="0.35">
      <c r="B9" s="71" t="s">
        <v>80</v>
      </c>
      <c r="C9" s="110" t="s">
        <v>780</v>
      </c>
      <c r="D9" s="71"/>
      <c r="E9" s="71"/>
      <c r="F9" s="64"/>
      <c r="G9" s="64"/>
      <c r="H9" s="64"/>
      <c r="I9" s="64"/>
      <c r="J9" s="64"/>
      <c r="K9" s="64"/>
      <c r="L9" s="64"/>
    </row>
    <row r="10" spans="2:12" s="97" customFormat="1" ht="21" customHeight="1" x14ac:dyDescent="0.35">
      <c r="B10" s="44">
        <v>5</v>
      </c>
      <c r="C10" s="53" t="s">
        <v>746</v>
      </c>
      <c r="D10" s="48">
        <f>40000/0.7</f>
        <v>57142.857142857145</v>
      </c>
      <c r="E10" s="44" t="s">
        <v>158</v>
      </c>
    </row>
    <row r="11" spans="2:12" s="97" customFormat="1" ht="21" customHeight="1" x14ac:dyDescent="0.35">
      <c r="B11" s="44">
        <v>6</v>
      </c>
      <c r="C11" s="53" t="s">
        <v>550</v>
      </c>
      <c r="D11" s="48">
        <v>0</v>
      </c>
      <c r="E11" s="44" t="s">
        <v>152</v>
      </c>
    </row>
    <row r="12" spans="2:12" s="97" customFormat="1" ht="29" x14ac:dyDescent="0.35">
      <c r="B12" s="44">
        <v>7</v>
      </c>
      <c r="C12" s="53" t="s">
        <v>747</v>
      </c>
      <c r="D12" s="48">
        <v>0</v>
      </c>
      <c r="E12" s="44" t="s">
        <v>158</v>
      </c>
    </row>
    <row r="13" spans="2:12" s="97" customFormat="1" ht="21" customHeight="1" x14ac:dyDescent="0.35">
      <c r="B13" s="44">
        <v>8</v>
      </c>
      <c r="C13" s="53" t="s">
        <v>748</v>
      </c>
      <c r="D13" s="48">
        <f>D12*0.9</f>
        <v>0</v>
      </c>
      <c r="E13" s="44" t="s">
        <v>158</v>
      </c>
    </row>
    <row r="14" spans="2:12" s="97" customFormat="1" ht="21" customHeight="1" x14ac:dyDescent="0.35">
      <c r="B14" s="44">
        <v>9</v>
      </c>
      <c r="C14" s="53" t="s">
        <v>190</v>
      </c>
      <c r="D14" s="48">
        <v>0</v>
      </c>
      <c r="E14" s="44" t="s">
        <v>153</v>
      </c>
    </row>
    <row r="15" spans="2:12" s="97" customFormat="1" ht="21" customHeight="1" x14ac:dyDescent="0.35">
      <c r="B15" s="44">
        <v>10</v>
      </c>
      <c r="C15" s="53" t="s">
        <v>130</v>
      </c>
      <c r="D15" s="48">
        <v>0</v>
      </c>
      <c r="E15" s="44" t="s">
        <v>153</v>
      </c>
      <c r="G15" s="258" t="s">
        <v>741</v>
      </c>
      <c r="H15" s="259">
        <v>0.74</v>
      </c>
      <c r="I15" s="64"/>
      <c r="J15" s="64"/>
    </row>
    <row r="16" spans="2:12" s="97" customFormat="1" ht="21" customHeight="1" x14ac:dyDescent="0.35">
      <c r="B16" s="44">
        <v>11</v>
      </c>
      <c r="C16" s="53" t="s">
        <v>131</v>
      </c>
      <c r="D16" s="48">
        <v>40000</v>
      </c>
      <c r="E16" s="44" t="s">
        <v>152</v>
      </c>
      <c r="G16" s="260" t="s">
        <v>742</v>
      </c>
      <c r="H16" s="261">
        <f>0.74*7000</f>
        <v>5180</v>
      </c>
      <c r="I16" s="262" t="s">
        <v>743</v>
      </c>
      <c r="J16" s="263" t="s">
        <v>744</v>
      </c>
    </row>
    <row r="17" spans="2:12" s="97" customFormat="1" ht="21" customHeight="1" x14ac:dyDescent="0.35">
      <c r="B17" s="44">
        <v>12</v>
      </c>
      <c r="C17" s="53" t="s">
        <v>191</v>
      </c>
      <c r="D17" s="48">
        <v>0</v>
      </c>
      <c r="E17" s="44" t="s">
        <v>8</v>
      </c>
      <c r="G17" s="264"/>
      <c r="H17" s="265">
        <f>H16*90%</f>
        <v>4662</v>
      </c>
      <c r="I17" s="64"/>
      <c r="J17" s="64"/>
    </row>
    <row r="18" spans="2:12" s="97" customFormat="1" ht="21" customHeight="1" x14ac:dyDescent="0.35">
      <c r="B18" s="44">
        <v>13</v>
      </c>
      <c r="C18" s="53" t="s">
        <v>623</v>
      </c>
      <c r="D18" s="48">
        <v>0</v>
      </c>
      <c r="E18" s="44" t="s">
        <v>153</v>
      </c>
    </row>
    <row r="19" spans="2:12" s="97" customFormat="1" ht="21" customHeight="1" x14ac:dyDescent="0.35">
      <c r="B19" s="44">
        <v>14</v>
      </c>
      <c r="C19" s="53" t="s">
        <v>189</v>
      </c>
      <c r="D19" s="48">
        <v>0</v>
      </c>
      <c r="E19" s="44" t="s">
        <v>8</v>
      </c>
    </row>
    <row r="20" spans="2:12" s="97" customFormat="1" ht="21" customHeight="1" x14ac:dyDescent="0.35">
      <c r="B20" s="71" t="s">
        <v>82</v>
      </c>
      <c r="C20" s="110" t="s">
        <v>83</v>
      </c>
      <c r="D20" s="71"/>
      <c r="E20" s="71"/>
      <c r="F20" s="64"/>
      <c r="G20" s="64"/>
      <c r="H20" s="64"/>
      <c r="I20" s="64"/>
      <c r="J20" s="64"/>
      <c r="K20" s="64"/>
      <c r="L20" s="64"/>
    </row>
    <row r="21" spans="2:12" s="97" customFormat="1" ht="21" customHeight="1" x14ac:dyDescent="0.35">
      <c r="B21" s="44" t="s">
        <v>84</v>
      </c>
      <c r="C21" s="53" t="s">
        <v>132</v>
      </c>
      <c r="D21" s="44"/>
      <c r="E21" s="44"/>
    </row>
    <row r="22" spans="2:12" s="97" customFormat="1" ht="21" customHeight="1" x14ac:dyDescent="0.35">
      <c r="B22" s="44">
        <v>1</v>
      </c>
      <c r="C22" s="53" t="s">
        <v>530</v>
      </c>
      <c r="D22" s="48">
        <v>40000</v>
      </c>
      <c r="E22" s="44" t="s">
        <v>158</v>
      </c>
    </row>
    <row r="23" spans="2:12" s="97" customFormat="1" ht="21" customHeight="1" x14ac:dyDescent="0.35">
      <c r="B23" s="44" t="s">
        <v>85</v>
      </c>
      <c r="C23" s="53" t="s">
        <v>133</v>
      </c>
      <c r="D23" s="48"/>
      <c r="E23" s="44"/>
    </row>
    <row r="24" spans="2:12" s="97" customFormat="1" ht="21" customHeight="1" x14ac:dyDescent="0.35">
      <c r="B24" s="44">
        <v>2</v>
      </c>
      <c r="C24" s="53" t="s">
        <v>134</v>
      </c>
      <c r="D24" s="48">
        <v>0</v>
      </c>
      <c r="E24" s="44" t="s">
        <v>162</v>
      </c>
    </row>
    <row r="25" spans="2:12" s="97" customFormat="1" ht="21" customHeight="1" x14ac:dyDescent="0.35">
      <c r="B25" s="44">
        <v>3</v>
      </c>
      <c r="C25" s="53" t="s">
        <v>192</v>
      </c>
      <c r="D25" s="48">
        <v>0</v>
      </c>
      <c r="E25" s="44" t="s">
        <v>162</v>
      </c>
    </row>
    <row r="26" spans="2:12" s="97" customFormat="1" ht="21" customHeight="1" x14ac:dyDescent="0.35">
      <c r="B26" s="44">
        <v>4</v>
      </c>
      <c r="C26" s="53" t="s">
        <v>135</v>
      </c>
      <c r="D26" s="48">
        <v>0</v>
      </c>
      <c r="E26" s="44" t="s">
        <v>162</v>
      </c>
    </row>
    <row r="27" spans="2:12" s="97" customFormat="1" ht="21" customHeight="1" x14ac:dyDescent="0.35">
      <c r="B27" s="73" t="s">
        <v>86</v>
      </c>
      <c r="C27" s="110" t="s">
        <v>344</v>
      </c>
      <c r="D27" s="111"/>
      <c r="E27" s="73"/>
    </row>
    <row r="28" spans="2:12" s="97" customFormat="1" ht="21" customHeight="1" x14ac:dyDescent="0.35">
      <c r="B28" s="44">
        <v>5</v>
      </c>
      <c r="C28" s="53" t="s">
        <v>163</v>
      </c>
      <c r="D28" s="48">
        <v>10000</v>
      </c>
      <c r="E28" s="44" t="s">
        <v>162</v>
      </c>
    </row>
    <row r="29" spans="2:12" s="97" customFormat="1" ht="21" customHeight="1" x14ac:dyDescent="0.35">
      <c r="B29" s="44">
        <v>6</v>
      </c>
      <c r="C29" s="53" t="s">
        <v>377</v>
      </c>
      <c r="D29" s="48">
        <v>0</v>
      </c>
      <c r="E29" s="44" t="s">
        <v>162</v>
      </c>
    </row>
    <row r="30" spans="2:12" s="97" customFormat="1" ht="21" customHeight="1" x14ac:dyDescent="0.35">
      <c r="B30" s="44">
        <v>7</v>
      </c>
      <c r="C30" s="53" t="s">
        <v>136</v>
      </c>
      <c r="D30" s="48">
        <f>D28-D29</f>
        <v>10000</v>
      </c>
      <c r="E30" s="44" t="s">
        <v>162</v>
      </c>
    </row>
    <row r="31" spans="2:12" s="97" customFormat="1" ht="21" customHeight="1" x14ac:dyDescent="0.35">
      <c r="B31" s="457"/>
      <c r="C31" s="457"/>
      <c r="D31" s="457"/>
      <c r="E31" s="457"/>
      <c r="F31" s="457"/>
    </row>
    <row r="32" spans="2:12" s="53" customFormat="1" ht="21" customHeight="1" x14ac:dyDescent="0.35">
      <c r="B32" s="94" t="s">
        <v>0</v>
      </c>
      <c r="C32" s="94" t="s">
        <v>78</v>
      </c>
      <c r="D32" s="94" t="s">
        <v>76</v>
      </c>
      <c r="E32" s="94" t="s">
        <v>77</v>
      </c>
      <c r="F32" s="46"/>
      <c r="G32" s="97"/>
      <c r="H32" s="97"/>
    </row>
    <row r="33" spans="2:12" s="97" customFormat="1" ht="21" customHeight="1" x14ac:dyDescent="0.35">
      <c r="B33" s="71" t="s">
        <v>87</v>
      </c>
      <c r="C33" s="110" t="s">
        <v>88</v>
      </c>
      <c r="D33" s="73"/>
      <c r="E33" s="73"/>
    </row>
    <row r="34" spans="2:12" s="97" customFormat="1" ht="21" customHeight="1" x14ac:dyDescent="0.35">
      <c r="B34" s="44">
        <v>1</v>
      </c>
      <c r="C34" s="53" t="s">
        <v>575</v>
      </c>
      <c r="D34" s="48">
        <v>0</v>
      </c>
      <c r="E34" s="44" t="s">
        <v>157</v>
      </c>
      <c r="H34" s="97">
        <v>1000</v>
      </c>
      <c r="I34" s="97">
        <v>400</v>
      </c>
      <c r="J34" s="97">
        <v>20</v>
      </c>
    </row>
    <row r="35" spans="2:12" s="97" customFormat="1" ht="21" customHeight="1" x14ac:dyDescent="0.35">
      <c r="B35" s="44">
        <v>2</v>
      </c>
      <c r="C35" s="53" t="s">
        <v>576</v>
      </c>
      <c r="D35" s="48">
        <v>0</v>
      </c>
      <c r="E35" s="44" t="s">
        <v>157</v>
      </c>
      <c r="F35" s="97">
        <f>D34*90%</f>
        <v>0</v>
      </c>
      <c r="H35" s="97">
        <v>400</v>
      </c>
      <c r="I35" s="97">
        <f>J34/I34</f>
        <v>0.05</v>
      </c>
      <c r="J35" s="97">
        <f>I35*D36</f>
        <v>0</v>
      </c>
    </row>
    <row r="36" spans="2:12" s="97" customFormat="1" ht="21" customHeight="1" x14ac:dyDescent="0.35">
      <c r="B36" s="44">
        <v>3</v>
      </c>
      <c r="C36" s="53" t="s">
        <v>137</v>
      </c>
      <c r="D36" s="48">
        <v>0</v>
      </c>
      <c r="E36" s="44" t="s">
        <v>518</v>
      </c>
      <c r="H36" s="97">
        <f>H34/H35</f>
        <v>2.5</v>
      </c>
    </row>
    <row r="37" spans="2:12" s="97" customFormat="1" ht="21" customHeight="1" x14ac:dyDescent="0.35">
      <c r="B37" s="44">
        <v>4</v>
      </c>
      <c r="C37" s="53" t="s">
        <v>138</v>
      </c>
      <c r="D37" s="48">
        <v>0</v>
      </c>
      <c r="E37" s="44" t="s">
        <v>158</v>
      </c>
      <c r="H37" s="97">
        <f>H36*D36</f>
        <v>0</v>
      </c>
    </row>
    <row r="38" spans="2:12" s="97" customFormat="1" ht="21" customHeight="1" x14ac:dyDescent="0.35">
      <c r="B38" s="44">
        <v>5</v>
      </c>
      <c r="C38" s="53" t="s">
        <v>139</v>
      </c>
      <c r="D38" s="48">
        <v>0</v>
      </c>
      <c r="E38" s="44" t="s">
        <v>162</v>
      </c>
    </row>
    <row r="39" spans="2:12" s="97" customFormat="1" ht="21" customHeight="1" x14ac:dyDescent="0.35">
      <c r="B39" s="71" t="s">
        <v>89</v>
      </c>
      <c r="C39" s="110" t="s">
        <v>143</v>
      </c>
      <c r="D39" s="111"/>
      <c r="E39" s="71"/>
      <c r="F39" s="64"/>
      <c r="I39" s="64"/>
      <c r="J39" s="64"/>
      <c r="K39" s="64"/>
    </row>
    <row r="40" spans="2:12" s="97" customFormat="1" ht="21" customHeight="1" x14ac:dyDescent="0.35">
      <c r="B40" s="44">
        <v>1</v>
      </c>
      <c r="C40" s="53" t="s">
        <v>144</v>
      </c>
      <c r="D40" s="48">
        <v>300</v>
      </c>
      <c r="E40" s="44" t="s">
        <v>164</v>
      </c>
    </row>
    <row r="41" spans="2:12" s="97" customFormat="1" ht="21" customHeight="1" x14ac:dyDescent="0.35">
      <c r="B41" s="44">
        <v>2</v>
      </c>
      <c r="C41" s="53" t="s">
        <v>378</v>
      </c>
      <c r="D41" s="48">
        <v>0</v>
      </c>
      <c r="E41" s="44" t="s">
        <v>164</v>
      </c>
    </row>
    <row r="42" spans="2:12" s="97" customFormat="1" ht="21" customHeight="1" x14ac:dyDescent="0.35">
      <c r="B42" s="44">
        <v>3</v>
      </c>
      <c r="C42" s="53" t="s">
        <v>194</v>
      </c>
      <c r="D42" s="48">
        <v>0</v>
      </c>
      <c r="E42" s="44" t="s">
        <v>164</v>
      </c>
    </row>
    <row r="43" spans="2:12" s="97" customFormat="1" ht="21" customHeight="1" x14ac:dyDescent="0.35">
      <c r="B43" s="44"/>
      <c r="C43" s="53"/>
      <c r="D43" s="48"/>
      <c r="E43" s="44" t="s">
        <v>164</v>
      </c>
    </row>
    <row r="44" spans="2:12" s="97" customFormat="1" ht="21" customHeight="1" x14ac:dyDescent="0.35">
      <c r="B44" s="44">
        <v>4</v>
      </c>
      <c r="C44" s="53" t="s">
        <v>379</v>
      </c>
      <c r="D44" s="48">
        <v>0</v>
      </c>
      <c r="E44" s="44" t="s">
        <v>164</v>
      </c>
    </row>
    <row r="45" spans="2:12" s="97" customFormat="1" ht="21" customHeight="1" x14ac:dyDescent="0.35">
      <c r="B45" s="44"/>
      <c r="C45" s="46" t="s">
        <v>45</v>
      </c>
      <c r="D45" s="48">
        <f>SUM(D40:D44)</f>
        <v>300</v>
      </c>
      <c r="E45" s="44" t="s">
        <v>164</v>
      </c>
    </row>
    <row r="46" spans="2:12" s="97" customFormat="1" ht="21" customHeight="1" x14ac:dyDescent="0.35">
      <c r="B46" s="73"/>
      <c r="C46" s="112" t="s">
        <v>381</v>
      </c>
      <c r="D46" s="111">
        <v>190</v>
      </c>
      <c r="E46" s="73" t="s">
        <v>164</v>
      </c>
    </row>
    <row r="47" spans="2:12" s="97" customFormat="1" ht="21" customHeight="1" x14ac:dyDescent="0.35">
      <c r="B47" s="71" t="s">
        <v>90</v>
      </c>
      <c r="C47" s="110" t="s">
        <v>140</v>
      </c>
      <c r="D47" s="111"/>
      <c r="E47" s="71"/>
      <c r="F47" s="64"/>
      <c r="I47" s="64"/>
      <c r="J47" s="64"/>
      <c r="K47" s="64"/>
      <c r="L47" s="64"/>
    </row>
    <row r="48" spans="2:12" s="97" customFormat="1" ht="21" customHeight="1" x14ac:dyDescent="0.35">
      <c r="B48" s="44">
        <v>1</v>
      </c>
      <c r="C48" s="53" t="s">
        <v>749</v>
      </c>
      <c r="D48" s="48">
        <f>D13*D7</f>
        <v>0</v>
      </c>
      <c r="E48" s="44" t="s">
        <v>152</v>
      </c>
    </row>
    <row r="49" spans="2:11" s="97" customFormat="1" ht="21" customHeight="1" x14ac:dyDescent="0.35">
      <c r="B49" s="44">
        <v>2</v>
      </c>
      <c r="C49" s="53" t="s">
        <v>351</v>
      </c>
      <c r="D49" s="48">
        <f>(D16*D7)</f>
        <v>13200000</v>
      </c>
      <c r="E49" s="44" t="s">
        <v>152</v>
      </c>
    </row>
    <row r="50" spans="2:11" s="97" customFormat="1" ht="21" customHeight="1" x14ac:dyDescent="0.35">
      <c r="B50" s="44">
        <v>3</v>
      </c>
      <c r="C50" s="53" t="s">
        <v>352</v>
      </c>
      <c r="D50" s="48">
        <f>D7*D22</f>
        <v>13200000</v>
      </c>
      <c r="E50" s="44" t="s">
        <v>383</v>
      </c>
    </row>
    <row r="51" spans="2:11" s="97" customFormat="1" ht="21" customHeight="1" x14ac:dyDescent="0.35">
      <c r="B51" s="44">
        <v>4</v>
      </c>
      <c r="C51" s="53" t="s">
        <v>353</v>
      </c>
      <c r="D51" s="48">
        <f>(D38*D7)</f>
        <v>0</v>
      </c>
      <c r="E51" s="44" t="s">
        <v>284</v>
      </c>
    </row>
    <row r="52" spans="2:11" s="97" customFormat="1" ht="21" customHeight="1" x14ac:dyDescent="0.35">
      <c r="B52" s="71" t="s">
        <v>91</v>
      </c>
      <c r="C52" s="110" t="s">
        <v>141</v>
      </c>
      <c r="D52" s="111"/>
      <c r="E52" s="73"/>
      <c r="F52" s="64"/>
      <c r="I52" s="64"/>
      <c r="J52" s="64"/>
    </row>
    <row r="53" spans="2:11" s="97" customFormat="1" ht="21" customHeight="1" x14ac:dyDescent="0.35">
      <c r="B53" s="44">
        <v>1</v>
      </c>
      <c r="C53" s="53" t="s">
        <v>348</v>
      </c>
      <c r="D53" s="48">
        <f>(D10*D7)/1000</f>
        <v>18857.142857142859</v>
      </c>
      <c r="E53" s="44" t="s">
        <v>156</v>
      </c>
    </row>
    <row r="54" spans="2:11" s="97" customFormat="1" ht="21" customHeight="1" x14ac:dyDescent="0.35">
      <c r="B54" s="44">
        <v>2</v>
      </c>
      <c r="C54" s="53" t="s">
        <v>533</v>
      </c>
      <c r="D54" s="48">
        <f>(D11*D7)/1000</f>
        <v>0</v>
      </c>
      <c r="E54" s="44" t="s">
        <v>156</v>
      </c>
      <c r="F54" s="97">
        <v>800</v>
      </c>
      <c r="G54" s="189">
        <f>F54*F55</f>
        <v>596.79999999999995</v>
      </c>
      <c r="H54" s="97">
        <v>600</v>
      </c>
      <c r="I54" s="189">
        <f>H54/F55</f>
        <v>804.28954423592495</v>
      </c>
    </row>
    <row r="55" spans="2:11" s="97" customFormat="1" ht="21" customHeight="1" x14ac:dyDescent="0.35">
      <c r="B55" s="44">
        <v>3</v>
      </c>
      <c r="C55" s="53" t="s">
        <v>382</v>
      </c>
      <c r="D55" s="48">
        <f>D46*20*330</f>
        <v>1254000</v>
      </c>
      <c r="E55" s="44" t="s">
        <v>380</v>
      </c>
      <c r="F55" s="97">
        <v>0.746</v>
      </c>
    </row>
    <row r="56" spans="2:11" s="97" customFormat="1" ht="21" customHeight="1" x14ac:dyDescent="0.35">
      <c r="B56" s="44">
        <v>4</v>
      </c>
      <c r="C56" s="53" t="s">
        <v>347</v>
      </c>
      <c r="D56" s="48">
        <f>(D30*D7)/1000</f>
        <v>3300</v>
      </c>
      <c r="E56" s="44" t="s">
        <v>166</v>
      </c>
    </row>
    <row r="57" spans="2:11" s="97" customFormat="1" ht="21" customHeight="1" x14ac:dyDescent="0.35">
      <c r="B57" s="71" t="s">
        <v>92</v>
      </c>
      <c r="C57" s="110" t="s">
        <v>142</v>
      </c>
      <c r="D57" s="111"/>
      <c r="E57" s="71"/>
      <c r="F57" s="64"/>
      <c r="G57" s="64"/>
      <c r="H57" s="64"/>
      <c r="I57" s="64"/>
      <c r="J57" s="64"/>
      <c r="K57" s="64"/>
    </row>
    <row r="58" spans="2:11" s="97" customFormat="1" ht="21" customHeight="1" x14ac:dyDescent="0.35">
      <c r="B58" s="44">
        <v>1</v>
      </c>
      <c r="C58" s="53" t="s">
        <v>146</v>
      </c>
      <c r="D58" s="48">
        <v>11950</v>
      </c>
      <c r="E58" s="44" t="s">
        <v>167</v>
      </c>
    </row>
    <row r="59" spans="2:11" s="97" customFormat="1" ht="21" customHeight="1" x14ac:dyDescent="0.35">
      <c r="B59" s="44">
        <v>2</v>
      </c>
      <c r="C59" s="53" t="s">
        <v>147</v>
      </c>
      <c r="D59" s="48">
        <v>12870</v>
      </c>
      <c r="E59" s="44" t="s">
        <v>167</v>
      </c>
    </row>
    <row r="60" spans="2:11" s="97" customFormat="1" ht="21" customHeight="1" x14ac:dyDescent="0.35">
      <c r="B60" s="44">
        <v>3</v>
      </c>
      <c r="C60" s="53" t="s">
        <v>195</v>
      </c>
      <c r="D60" s="48" t="s">
        <v>169</v>
      </c>
      <c r="E60" s="44" t="s">
        <v>168</v>
      </c>
    </row>
    <row r="61" spans="2:11" s="97" customFormat="1" ht="21" customHeight="1" x14ac:dyDescent="0.35">
      <c r="B61" s="44">
        <v>4</v>
      </c>
      <c r="C61" s="53" t="s">
        <v>519</v>
      </c>
      <c r="D61" s="63">
        <v>102</v>
      </c>
      <c r="E61" s="44" t="s">
        <v>159</v>
      </c>
    </row>
    <row r="62" spans="2:11" s="97" customFormat="1" ht="21" customHeight="1" x14ac:dyDescent="0.35">
      <c r="B62" s="44">
        <v>5</v>
      </c>
      <c r="C62" s="53" t="s">
        <v>750</v>
      </c>
      <c r="D62" s="63">
        <v>9</v>
      </c>
      <c r="E62" s="44" t="s">
        <v>159</v>
      </c>
    </row>
    <row r="63" spans="2:11" s="97" customFormat="1" ht="21" customHeight="1" x14ac:dyDescent="0.35">
      <c r="B63" s="44">
        <v>6</v>
      </c>
      <c r="C63" s="53" t="s">
        <v>148</v>
      </c>
      <c r="D63" s="63">
        <v>9</v>
      </c>
      <c r="E63" s="44" t="s">
        <v>159</v>
      </c>
    </row>
    <row r="64" spans="2:11" s="97" customFormat="1" ht="21" customHeight="1" x14ac:dyDescent="0.35">
      <c r="B64" s="44">
        <v>7</v>
      </c>
      <c r="C64" s="53" t="s">
        <v>149</v>
      </c>
      <c r="D64" s="63">
        <v>0</v>
      </c>
      <c r="E64" s="44" t="s">
        <v>170</v>
      </c>
    </row>
    <row r="65" spans="2:12" s="97" customFormat="1" ht="21" customHeight="1" x14ac:dyDescent="0.35">
      <c r="B65" s="457"/>
      <c r="C65" s="457"/>
      <c r="D65" s="457"/>
      <c r="E65" s="457"/>
      <c r="F65" s="457"/>
    </row>
    <row r="66" spans="2:12" s="53" customFormat="1" ht="21" customHeight="1" x14ac:dyDescent="0.35">
      <c r="B66" s="46"/>
      <c r="C66" s="46"/>
      <c r="D66" s="46"/>
      <c r="E66" s="46"/>
      <c r="F66" s="46"/>
      <c r="G66" s="58"/>
    </row>
    <row r="67" spans="2:12" s="53" customFormat="1" ht="21" customHeight="1" x14ac:dyDescent="0.35">
      <c r="B67" s="47"/>
      <c r="D67" s="46"/>
      <c r="E67" s="46"/>
      <c r="F67" s="46"/>
      <c r="G67" s="58"/>
    </row>
    <row r="68" spans="2:12" s="97" customFormat="1" ht="21" customHeight="1" x14ac:dyDescent="0.35">
      <c r="B68" s="44"/>
      <c r="C68" s="53"/>
      <c r="D68" s="48"/>
      <c r="E68" s="44"/>
    </row>
    <row r="69" spans="2:12" s="97" customFormat="1" ht="21" customHeight="1" x14ac:dyDescent="0.35">
      <c r="B69" s="44"/>
      <c r="C69" s="53"/>
      <c r="D69" s="48"/>
      <c r="E69" s="44"/>
    </row>
    <row r="70" spans="2:12" s="97" customFormat="1" ht="21" customHeight="1" x14ac:dyDescent="0.35">
      <c r="B70" s="44"/>
      <c r="C70" s="53"/>
      <c r="D70" s="48"/>
      <c r="E70" s="44"/>
    </row>
    <row r="71" spans="2:12" s="97" customFormat="1" ht="21" customHeight="1" x14ac:dyDescent="0.35">
      <c r="B71" s="44"/>
      <c r="C71" s="53"/>
      <c r="D71" s="48"/>
      <c r="E71" s="44"/>
    </row>
    <row r="72" spans="2:12" s="97" customFormat="1" ht="21" customHeight="1" x14ac:dyDescent="0.35">
      <c r="B72" s="44"/>
      <c r="C72" s="53"/>
      <c r="D72" s="48"/>
      <c r="E72" s="44"/>
    </row>
    <row r="73" spans="2:12" s="97" customFormat="1" ht="21" customHeight="1" x14ac:dyDescent="0.35">
      <c r="B73" s="44"/>
      <c r="C73" s="53"/>
      <c r="D73" s="48"/>
      <c r="E73" s="44"/>
    </row>
    <row r="74" spans="2:12" s="97" customFormat="1" ht="21" customHeight="1" x14ac:dyDescent="0.35">
      <c r="B74" s="44"/>
      <c r="C74" s="53"/>
      <c r="D74" s="48"/>
      <c r="E74" s="44"/>
    </row>
    <row r="75" spans="2:12" s="97" customFormat="1" ht="21" customHeight="1" x14ac:dyDescent="0.35">
      <c r="B75" s="44"/>
      <c r="C75" s="53"/>
      <c r="D75" s="48"/>
      <c r="E75" s="44"/>
    </row>
    <row r="76" spans="2:12" s="97" customFormat="1" ht="22.5" customHeight="1" x14ac:dyDescent="0.35">
      <c r="B76" s="47"/>
      <c r="C76" s="458"/>
      <c r="D76" s="457"/>
      <c r="E76" s="47"/>
      <c r="F76" s="64"/>
      <c r="G76" s="64"/>
      <c r="H76" s="64"/>
      <c r="I76" s="64"/>
      <c r="J76" s="64"/>
      <c r="K76" s="64"/>
      <c r="L76" s="64"/>
    </row>
    <row r="77" spans="2:12" s="97" customFormat="1" ht="21" customHeight="1" x14ac:dyDescent="0.35">
      <c r="B77" s="44"/>
      <c r="C77" s="53"/>
      <c r="D77" s="48"/>
      <c r="E77" s="44"/>
    </row>
    <row r="78" spans="2:12" s="97" customFormat="1" ht="21" customHeight="1" x14ac:dyDescent="0.35">
      <c r="B78" s="44"/>
      <c r="C78" s="53"/>
      <c r="D78" s="48"/>
      <c r="E78" s="44"/>
    </row>
    <row r="79" spans="2:12" s="97" customFormat="1" ht="21" customHeight="1" x14ac:dyDescent="0.35">
      <c r="B79" s="44"/>
      <c r="C79" s="53"/>
      <c r="D79" s="48"/>
      <c r="E79" s="44"/>
    </row>
    <row r="80" spans="2:12" s="97" customFormat="1" ht="21" customHeight="1" x14ac:dyDescent="0.35">
      <c r="B80" s="44"/>
      <c r="C80" s="53"/>
      <c r="D80" s="48"/>
      <c r="E80" s="44"/>
    </row>
    <row r="81" spans="2:5" s="97" customFormat="1" ht="21" customHeight="1" x14ac:dyDescent="0.35">
      <c r="B81" s="44"/>
      <c r="C81" s="53"/>
      <c r="D81" s="48"/>
      <c r="E81" s="44"/>
    </row>
    <row r="82" spans="2:5" s="97" customFormat="1" ht="21" customHeight="1" x14ac:dyDescent="0.35">
      <c r="B82" s="44"/>
      <c r="C82" s="53"/>
      <c r="D82" s="48"/>
      <c r="E82" s="44"/>
    </row>
    <row r="83" spans="2:5" s="97" customFormat="1" ht="21" customHeight="1" x14ac:dyDescent="0.35">
      <c r="B83" s="44"/>
      <c r="C83" s="53"/>
      <c r="D83" s="48"/>
      <c r="E83" s="44"/>
    </row>
    <row r="84" spans="2:5" s="97" customFormat="1" ht="21" customHeight="1" x14ac:dyDescent="0.35">
      <c r="B84" s="44"/>
      <c r="C84" s="53"/>
      <c r="D84" s="48"/>
      <c r="E84" s="44"/>
    </row>
    <row r="85" spans="2:5" s="97" customFormat="1" ht="21" customHeight="1" x14ac:dyDescent="0.35">
      <c r="B85" s="44"/>
      <c r="C85" s="53"/>
      <c r="D85" s="48"/>
      <c r="E85" s="44"/>
    </row>
    <row r="86" spans="2:5" s="97" customFormat="1" ht="21" customHeight="1" x14ac:dyDescent="0.35">
      <c r="B86" s="44"/>
      <c r="C86" s="53"/>
      <c r="D86" s="48"/>
      <c r="E86" s="44"/>
    </row>
  </sheetData>
  <customSheetViews>
    <customSheetView guid="{22475485-DA09-46DB-978D-BB94CE1E5597}" topLeftCell="A13">
      <selection activeCell="A28" sqref="A28"/>
      <pageMargins left="0.7" right="0.7" top="0.75" bottom="0.75" header="0.3" footer="0.3"/>
      <pageSetup paperSize="9" orientation="portrait" verticalDpi="300" r:id="rId1"/>
    </customSheetView>
  </customSheetViews>
  <mergeCells count="4">
    <mergeCell ref="B2:E2"/>
    <mergeCell ref="B31:F31"/>
    <mergeCell ref="B65:F65"/>
    <mergeCell ref="C76:D76"/>
  </mergeCells>
  <pageMargins left="0.7" right="0.7" top="0.75" bottom="0.75" header="0.3" footer="0.3"/>
  <pageSetup paperSize="9" orientation="portrait"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F2603-AF2E-451B-AAD3-A8E9DCB941B8}">
  <dimension ref="A2:M92"/>
  <sheetViews>
    <sheetView showGridLines="0" workbookViewId="0">
      <selection activeCell="G3" sqref="G3"/>
    </sheetView>
  </sheetViews>
  <sheetFormatPr defaultRowHeight="14.5" x14ac:dyDescent="0.35"/>
  <cols>
    <col min="1" max="1" width="4.36328125" style="257" customWidth="1"/>
    <col min="2" max="2" width="8.81640625" style="257" bestFit="1" customWidth="1"/>
    <col min="3" max="3" width="27.90625" style="257" customWidth="1"/>
    <col min="4" max="4" width="8.81640625" style="257" bestFit="1" customWidth="1"/>
    <col min="5" max="5" width="10.81640625" style="257" bestFit="1" customWidth="1"/>
    <col min="6" max="6" width="21.6328125" style="257" customWidth="1"/>
    <col min="7" max="7" width="15.54296875" style="257" bestFit="1" customWidth="1"/>
    <col min="8" max="8" width="14.90625" style="257" bestFit="1" customWidth="1"/>
    <col min="9" max="9" width="15.54296875" style="257" bestFit="1" customWidth="1"/>
    <col min="10" max="10" width="16" style="257" bestFit="1" customWidth="1"/>
    <col min="11" max="11" width="14.90625" style="257" bestFit="1" customWidth="1"/>
    <col min="12" max="12" width="15.54296875" style="257" customWidth="1"/>
    <col min="13" max="16384" width="8.7265625" style="257"/>
  </cols>
  <sheetData>
    <row r="2" spans="2:13" x14ac:dyDescent="0.35">
      <c r="B2" s="462" t="s">
        <v>832</v>
      </c>
      <c r="C2" s="462"/>
      <c r="D2" s="462"/>
      <c r="E2" s="462"/>
      <c r="F2" s="462"/>
      <c r="G2" s="462"/>
      <c r="H2" s="349"/>
      <c r="I2" s="349"/>
      <c r="J2" s="349"/>
      <c r="K2" s="349"/>
      <c r="L2" s="349"/>
      <c r="M2" s="349"/>
    </row>
    <row r="3" spans="2:13" x14ac:dyDescent="0.35">
      <c r="B3" s="400" t="s">
        <v>1113</v>
      </c>
      <c r="C3" s="390"/>
      <c r="D3" s="390"/>
      <c r="E3" s="390"/>
      <c r="F3" s="390"/>
      <c r="G3" s="390"/>
      <c r="H3" s="349"/>
      <c r="I3" s="349"/>
      <c r="J3" s="349"/>
      <c r="K3" s="349"/>
      <c r="L3" s="349"/>
      <c r="M3" s="349"/>
    </row>
    <row r="4" spans="2:13" customFormat="1" x14ac:dyDescent="0.35"/>
    <row r="5" spans="2:13" x14ac:dyDescent="0.35">
      <c r="B5" s="465" t="s">
        <v>833</v>
      </c>
      <c r="C5" s="466"/>
      <c r="D5" s="466"/>
      <c r="E5" s="466"/>
      <c r="F5" s="466"/>
      <c r="G5" s="466"/>
      <c r="H5" s="466"/>
      <c r="I5" s="466"/>
      <c r="J5" s="466"/>
      <c r="K5" s="467"/>
      <c r="L5" s="349"/>
      <c r="M5" s="349"/>
    </row>
    <row r="6" spans="2:13" x14ac:dyDescent="0.35">
      <c r="B6" s="341" t="s">
        <v>834</v>
      </c>
      <c r="C6" s="340" t="s">
        <v>835</v>
      </c>
      <c r="D6" s="341" t="s">
        <v>836</v>
      </c>
      <c r="E6" s="341" t="s">
        <v>837</v>
      </c>
      <c r="F6" s="341" t="s">
        <v>838</v>
      </c>
      <c r="G6" s="341" t="s">
        <v>839</v>
      </c>
      <c r="H6" s="341" t="s">
        <v>840</v>
      </c>
      <c r="I6" s="341" t="s">
        <v>841</v>
      </c>
      <c r="J6" s="341" t="s">
        <v>479</v>
      </c>
      <c r="K6" s="341" t="s">
        <v>842</v>
      </c>
      <c r="L6" s="349"/>
      <c r="M6" s="349"/>
    </row>
    <row r="7" spans="2:13" ht="58" x14ac:dyDescent="0.35">
      <c r="B7" s="339">
        <v>1</v>
      </c>
      <c r="C7" s="342" t="s">
        <v>843</v>
      </c>
      <c r="D7" s="339" t="s">
        <v>844</v>
      </c>
      <c r="E7" s="339" t="s">
        <v>845</v>
      </c>
      <c r="F7" s="339" t="s">
        <v>846</v>
      </c>
      <c r="G7" s="339">
        <v>1</v>
      </c>
      <c r="H7" s="350">
        <v>7000000</v>
      </c>
      <c r="I7" s="351">
        <f t="shared" ref="I7:I20" si="0">H7*18%</f>
        <v>1260000</v>
      </c>
      <c r="J7" s="351">
        <f t="shared" ref="J7:J20" si="1">H7+I7</f>
        <v>8260000</v>
      </c>
      <c r="K7" s="351">
        <v>2200000</v>
      </c>
      <c r="L7" s="349"/>
      <c r="M7" s="349"/>
    </row>
    <row r="8" spans="2:13" ht="87" x14ac:dyDescent="0.35">
      <c r="B8" s="339">
        <v>2</v>
      </c>
      <c r="C8" s="342" t="s">
        <v>847</v>
      </c>
      <c r="D8" s="339" t="s">
        <v>848</v>
      </c>
      <c r="E8" s="339" t="s">
        <v>849</v>
      </c>
      <c r="F8" s="339" t="s">
        <v>850</v>
      </c>
      <c r="G8" s="339">
        <v>5</v>
      </c>
      <c r="H8" s="350">
        <v>7100000</v>
      </c>
      <c r="I8" s="351">
        <f t="shared" si="0"/>
        <v>1278000</v>
      </c>
      <c r="J8" s="351">
        <f t="shared" si="1"/>
        <v>8378000</v>
      </c>
      <c r="K8" s="351">
        <v>2000000</v>
      </c>
      <c r="L8" s="349"/>
      <c r="M8" s="349"/>
    </row>
    <row r="9" spans="2:13" ht="58" x14ac:dyDescent="0.35">
      <c r="B9" s="339">
        <v>3</v>
      </c>
      <c r="C9" s="342" t="s">
        <v>851</v>
      </c>
      <c r="D9" s="339"/>
      <c r="E9" s="339"/>
      <c r="F9" s="339"/>
      <c r="G9" s="339">
        <v>8</v>
      </c>
      <c r="H9" s="350">
        <v>3700000</v>
      </c>
      <c r="I9" s="351">
        <f t="shared" si="0"/>
        <v>666000</v>
      </c>
      <c r="J9" s="351">
        <f t="shared" si="1"/>
        <v>4366000</v>
      </c>
      <c r="K9" s="351">
        <v>2300000</v>
      </c>
      <c r="L9" s="349"/>
      <c r="M9" s="349"/>
    </row>
    <row r="10" spans="2:13" ht="87" x14ac:dyDescent="0.35">
      <c r="B10" s="339">
        <v>4</v>
      </c>
      <c r="C10" s="342" t="s">
        <v>852</v>
      </c>
      <c r="D10" s="339" t="s">
        <v>853</v>
      </c>
      <c r="E10" s="352">
        <v>45315</v>
      </c>
      <c r="F10" s="339" t="s">
        <v>854</v>
      </c>
      <c r="G10" s="339">
        <v>15</v>
      </c>
      <c r="H10" s="351">
        <v>1132760</v>
      </c>
      <c r="I10" s="351">
        <f t="shared" si="0"/>
        <v>203896.8</v>
      </c>
      <c r="J10" s="351">
        <f t="shared" si="1"/>
        <v>1336656.8</v>
      </c>
      <c r="K10" s="463">
        <v>2085990</v>
      </c>
      <c r="L10" s="349"/>
      <c r="M10" s="349"/>
    </row>
    <row r="11" spans="2:13" ht="87" x14ac:dyDescent="0.35">
      <c r="B11" s="339">
        <v>6</v>
      </c>
      <c r="C11" s="342" t="s">
        <v>852</v>
      </c>
      <c r="D11" s="339" t="s">
        <v>853</v>
      </c>
      <c r="E11" s="352">
        <v>45125</v>
      </c>
      <c r="F11" s="339" t="s">
        <v>854</v>
      </c>
      <c r="G11" s="339">
        <v>7</v>
      </c>
      <c r="H11" s="351">
        <f>6005077</f>
        <v>6005077</v>
      </c>
      <c r="I11" s="351">
        <f t="shared" si="0"/>
        <v>1080913.8599999999</v>
      </c>
      <c r="J11" s="351">
        <f t="shared" si="1"/>
        <v>7085990.8599999994</v>
      </c>
      <c r="K11" s="464"/>
      <c r="L11" s="349"/>
      <c r="M11" s="349"/>
    </row>
    <row r="12" spans="2:13" ht="58" x14ac:dyDescent="0.35">
      <c r="B12" s="339">
        <v>7</v>
      </c>
      <c r="C12" s="342" t="s">
        <v>855</v>
      </c>
      <c r="D12" s="339" t="s">
        <v>856</v>
      </c>
      <c r="E12" s="352">
        <v>45336</v>
      </c>
      <c r="F12" s="339" t="s">
        <v>857</v>
      </c>
      <c r="G12" s="339">
        <v>1</v>
      </c>
      <c r="H12" s="350">
        <v>10000000</v>
      </c>
      <c r="I12" s="350">
        <f t="shared" si="0"/>
        <v>1800000</v>
      </c>
      <c r="J12" s="350">
        <f t="shared" si="1"/>
        <v>11800000</v>
      </c>
      <c r="K12" s="351">
        <v>3500000</v>
      </c>
      <c r="L12" s="349"/>
      <c r="M12" s="349"/>
    </row>
    <row r="13" spans="2:13" ht="58" x14ac:dyDescent="0.35">
      <c r="B13" s="339">
        <v>8</v>
      </c>
      <c r="C13" s="342" t="s">
        <v>858</v>
      </c>
      <c r="D13" s="339" t="s">
        <v>859</v>
      </c>
      <c r="E13" s="352">
        <v>45362</v>
      </c>
      <c r="F13" s="339" t="s">
        <v>860</v>
      </c>
      <c r="G13" s="339" t="s">
        <v>861</v>
      </c>
      <c r="H13" s="350">
        <v>6500000</v>
      </c>
      <c r="I13" s="350">
        <f t="shared" si="0"/>
        <v>1170000</v>
      </c>
      <c r="J13" s="350">
        <f t="shared" si="1"/>
        <v>7670000</v>
      </c>
      <c r="K13" s="353">
        <v>4200000</v>
      </c>
      <c r="L13" s="349"/>
      <c r="M13" s="349"/>
    </row>
    <row r="14" spans="2:13" ht="43.5" x14ac:dyDescent="0.35">
      <c r="B14" s="339">
        <v>9</v>
      </c>
      <c r="C14" s="342" t="s">
        <v>862</v>
      </c>
      <c r="D14" s="339" t="s">
        <v>863</v>
      </c>
      <c r="E14" s="352">
        <v>45247</v>
      </c>
      <c r="F14" s="339" t="s">
        <v>864</v>
      </c>
      <c r="G14" s="339" t="s">
        <v>865</v>
      </c>
      <c r="H14" s="350">
        <f>1450000*2</f>
        <v>2900000</v>
      </c>
      <c r="I14" s="350">
        <f t="shared" si="0"/>
        <v>522000</v>
      </c>
      <c r="J14" s="350">
        <f t="shared" si="1"/>
        <v>3422000</v>
      </c>
      <c r="K14" s="351">
        <v>1740000</v>
      </c>
      <c r="L14" s="349"/>
      <c r="M14" s="349"/>
    </row>
    <row r="15" spans="2:13" ht="43.5" x14ac:dyDescent="0.35">
      <c r="B15" s="339">
        <v>10</v>
      </c>
      <c r="C15" s="342" t="s">
        <v>866</v>
      </c>
      <c r="D15" s="339" t="s">
        <v>867</v>
      </c>
      <c r="E15" s="352">
        <v>45279</v>
      </c>
      <c r="F15" s="339" t="s">
        <v>868</v>
      </c>
      <c r="G15" s="339" t="s">
        <v>869</v>
      </c>
      <c r="H15" s="350">
        <v>1000000</v>
      </c>
      <c r="I15" s="350">
        <f t="shared" si="0"/>
        <v>180000</v>
      </c>
      <c r="J15" s="350">
        <f t="shared" si="1"/>
        <v>1180000</v>
      </c>
      <c r="K15" s="351"/>
      <c r="L15" s="349"/>
      <c r="M15" s="349"/>
    </row>
    <row r="16" spans="2:13" ht="72.5" x14ac:dyDescent="0.35">
      <c r="B16" s="339">
        <v>11</v>
      </c>
      <c r="C16" s="342" t="s">
        <v>870</v>
      </c>
      <c r="D16" s="339" t="s">
        <v>871</v>
      </c>
      <c r="E16" s="352" t="s">
        <v>872</v>
      </c>
      <c r="F16" s="339" t="s">
        <v>873</v>
      </c>
      <c r="G16" s="339" t="s">
        <v>874</v>
      </c>
      <c r="H16" s="350">
        <v>385652</v>
      </c>
      <c r="I16" s="350">
        <f t="shared" si="0"/>
        <v>69417.36</v>
      </c>
      <c r="J16" s="350">
        <f t="shared" si="1"/>
        <v>455069.36</v>
      </c>
      <c r="K16" s="351">
        <v>155000</v>
      </c>
      <c r="L16" s="349"/>
      <c r="M16" s="349"/>
    </row>
    <row r="17" spans="2:13" ht="58" x14ac:dyDescent="0.35">
      <c r="B17" s="339">
        <v>12</v>
      </c>
      <c r="C17" s="342" t="s">
        <v>875</v>
      </c>
      <c r="D17" s="339">
        <v>254</v>
      </c>
      <c r="E17" s="352">
        <v>45296</v>
      </c>
      <c r="F17" s="339" t="s">
        <v>876</v>
      </c>
      <c r="G17" s="339"/>
      <c r="H17" s="350">
        <v>17599920</v>
      </c>
      <c r="I17" s="350">
        <f t="shared" si="0"/>
        <v>3167985.6</v>
      </c>
      <c r="J17" s="350">
        <f t="shared" si="1"/>
        <v>20767905.600000001</v>
      </c>
      <c r="K17" s="351">
        <v>9600000</v>
      </c>
      <c r="L17" s="349"/>
      <c r="M17" s="349"/>
    </row>
    <row r="18" spans="2:13" ht="72.5" x14ac:dyDescent="0.35">
      <c r="B18" s="339">
        <v>13</v>
      </c>
      <c r="C18" s="342" t="s">
        <v>877</v>
      </c>
      <c r="D18" s="339" t="s">
        <v>878</v>
      </c>
      <c r="E18" s="352">
        <v>45077</v>
      </c>
      <c r="F18" s="339" t="s">
        <v>879</v>
      </c>
      <c r="G18" s="339"/>
      <c r="H18" s="350">
        <f>1512490+137760+852800+3264000</f>
        <v>5767050</v>
      </c>
      <c r="I18" s="350">
        <f t="shared" si="0"/>
        <v>1038069</v>
      </c>
      <c r="J18" s="350">
        <f t="shared" si="1"/>
        <v>6805119</v>
      </c>
      <c r="K18" s="351">
        <v>6805119</v>
      </c>
      <c r="L18" s="349"/>
      <c r="M18" s="349"/>
    </row>
    <row r="19" spans="2:13" ht="43.5" x14ac:dyDescent="0.35">
      <c r="B19" s="339">
        <v>14</v>
      </c>
      <c r="C19" s="342" t="s">
        <v>880</v>
      </c>
      <c r="D19" s="339" t="s">
        <v>881</v>
      </c>
      <c r="E19" s="352">
        <v>44853</v>
      </c>
      <c r="F19" s="354" t="s">
        <v>882</v>
      </c>
      <c r="G19" s="339"/>
      <c r="H19" s="351">
        <v>6900000</v>
      </c>
      <c r="I19" s="351">
        <f t="shared" si="0"/>
        <v>1242000</v>
      </c>
      <c r="J19" s="351">
        <f t="shared" si="1"/>
        <v>8142000</v>
      </c>
      <c r="K19" s="351"/>
      <c r="L19" s="349"/>
      <c r="M19" s="349"/>
    </row>
    <row r="20" spans="2:13" ht="43.5" x14ac:dyDescent="0.35">
      <c r="B20" s="339">
        <v>15</v>
      </c>
      <c r="C20" s="342" t="s">
        <v>880</v>
      </c>
      <c r="D20" s="339" t="s">
        <v>881</v>
      </c>
      <c r="E20" s="352">
        <v>44853</v>
      </c>
      <c r="F20" s="339" t="s">
        <v>883</v>
      </c>
      <c r="G20" s="339"/>
      <c r="H20" s="351">
        <v>2850000</v>
      </c>
      <c r="I20" s="351">
        <f t="shared" si="0"/>
        <v>513000</v>
      </c>
      <c r="J20" s="351">
        <f t="shared" si="1"/>
        <v>3363000</v>
      </c>
      <c r="K20" s="351"/>
      <c r="L20" s="349"/>
      <c r="M20" s="349"/>
    </row>
    <row r="21" spans="2:13" ht="29" x14ac:dyDescent="0.35">
      <c r="B21" s="339">
        <v>16</v>
      </c>
      <c r="C21" s="342" t="s">
        <v>884</v>
      </c>
      <c r="D21" s="339"/>
      <c r="E21" s="352"/>
      <c r="F21" s="339"/>
      <c r="G21" s="339"/>
      <c r="H21" s="351"/>
      <c r="I21" s="351"/>
      <c r="J21" s="351">
        <v>10000000</v>
      </c>
      <c r="K21" s="351"/>
      <c r="L21" s="349"/>
      <c r="M21" s="349"/>
    </row>
    <row r="22" spans="2:13" x14ac:dyDescent="0.35">
      <c r="B22" s="339"/>
      <c r="C22" s="342"/>
      <c r="D22" s="339"/>
      <c r="E22" s="352"/>
      <c r="F22" s="339"/>
      <c r="G22" s="339"/>
      <c r="H22" s="351"/>
      <c r="I22" s="351" t="s">
        <v>45</v>
      </c>
      <c r="J22" s="401">
        <f>SUM(J7:J21)</f>
        <v>103031741.62</v>
      </c>
      <c r="K22" s="351">
        <f>SUM(K7:K21)</f>
        <v>34586109</v>
      </c>
      <c r="L22" s="349"/>
      <c r="M22" s="349"/>
    </row>
    <row r="23" spans="2:13" x14ac:dyDescent="0.35">
      <c r="B23" s="339"/>
      <c r="C23" s="342"/>
      <c r="D23" s="339"/>
      <c r="E23" s="352"/>
      <c r="F23" s="339"/>
      <c r="G23" s="339"/>
      <c r="H23" s="351"/>
      <c r="I23" s="351"/>
      <c r="J23" s="351"/>
      <c r="K23" s="351"/>
      <c r="L23" s="349"/>
      <c r="M23" s="349"/>
    </row>
    <row r="24" spans="2:13" x14ac:dyDescent="0.35">
      <c r="B24" s="355"/>
      <c r="C24" s="349"/>
      <c r="D24" s="343"/>
      <c r="E24" s="344"/>
      <c r="F24" s="343"/>
      <c r="G24" s="349"/>
      <c r="H24" s="349"/>
      <c r="I24" s="349"/>
      <c r="J24" s="349"/>
      <c r="K24" s="349"/>
      <c r="L24" s="349"/>
      <c r="M24" s="349"/>
    </row>
    <row r="25" spans="2:13" x14ac:dyDescent="0.35">
      <c r="B25" s="462"/>
      <c r="C25" s="462"/>
      <c r="D25" s="462"/>
      <c r="E25" s="462"/>
      <c r="F25" s="462"/>
      <c r="G25" s="462"/>
      <c r="H25" s="349"/>
      <c r="I25" s="349"/>
      <c r="J25" s="349"/>
      <c r="K25" s="349"/>
      <c r="L25" s="349"/>
      <c r="M25" s="349"/>
    </row>
    <row r="26" spans="2:13" x14ac:dyDescent="0.35">
      <c r="B26" s="400" t="s">
        <v>1114</v>
      </c>
      <c r="C26" s="356"/>
      <c r="D26" s="356"/>
      <c r="E26" s="356"/>
      <c r="F26" s="356"/>
      <c r="G26" s="356"/>
      <c r="H26" s="356"/>
      <c r="I26" s="356"/>
      <c r="J26" s="356"/>
      <c r="K26" s="356"/>
      <c r="L26" s="356"/>
      <c r="M26" s="349"/>
    </row>
    <row r="27" spans="2:13" x14ac:dyDescent="0.35">
      <c r="B27" s="357"/>
      <c r="C27" s="356"/>
      <c r="D27" s="356"/>
      <c r="E27" s="356"/>
      <c r="F27" s="356"/>
      <c r="G27" s="356"/>
      <c r="H27" s="356"/>
      <c r="I27" s="356"/>
      <c r="J27" s="356"/>
      <c r="K27" s="356"/>
      <c r="L27" s="356"/>
      <c r="M27" s="349"/>
    </row>
    <row r="28" spans="2:13" x14ac:dyDescent="0.35">
      <c r="B28" s="357" t="s">
        <v>885</v>
      </c>
      <c r="C28" s="356"/>
      <c r="D28" s="356"/>
      <c r="E28" s="356"/>
      <c r="F28" s="356"/>
      <c r="G28" s="356"/>
      <c r="H28" s="356"/>
      <c r="I28" s="356"/>
      <c r="J28" s="356"/>
      <c r="K28" s="356"/>
      <c r="L28" s="356"/>
      <c r="M28" s="349"/>
    </row>
    <row r="29" spans="2:13" ht="29" x14ac:dyDescent="0.35">
      <c r="B29" s="345" t="s">
        <v>886</v>
      </c>
      <c r="C29" s="345" t="s">
        <v>835</v>
      </c>
      <c r="D29" s="345" t="s">
        <v>887</v>
      </c>
      <c r="E29" s="345" t="s">
        <v>888</v>
      </c>
      <c r="F29" s="345" t="s">
        <v>889</v>
      </c>
      <c r="G29" s="345" t="s">
        <v>890</v>
      </c>
      <c r="H29" s="345" t="s">
        <v>891</v>
      </c>
      <c r="I29" s="345" t="s">
        <v>892</v>
      </c>
      <c r="J29" s="345" t="s">
        <v>893</v>
      </c>
      <c r="K29" s="346" t="s">
        <v>894</v>
      </c>
      <c r="L29" s="345" t="s">
        <v>895</v>
      </c>
      <c r="M29" s="349"/>
    </row>
    <row r="30" spans="2:13" ht="43.5" x14ac:dyDescent="0.35">
      <c r="B30" s="405">
        <v>1</v>
      </c>
      <c r="C30" s="412" t="s">
        <v>896</v>
      </c>
      <c r="D30" s="405" t="s">
        <v>897</v>
      </c>
      <c r="E30" s="413" t="s">
        <v>898</v>
      </c>
      <c r="F30" s="412" t="s">
        <v>899</v>
      </c>
      <c r="G30" s="405">
        <f>41600*84</f>
        <v>3494400</v>
      </c>
      <c r="H30" s="405">
        <v>0</v>
      </c>
      <c r="I30" s="405">
        <f t="shared" ref="I30:I35" si="2">G30+H30</f>
        <v>3494400</v>
      </c>
      <c r="J30" s="405">
        <v>0</v>
      </c>
      <c r="K30" s="405">
        <v>0</v>
      </c>
      <c r="L30" s="405">
        <f t="shared" ref="L30:L35" si="3">+I30-J30</f>
        <v>3494400</v>
      </c>
      <c r="M30" s="349"/>
    </row>
    <row r="31" spans="2:13" ht="43.5" x14ac:dyDescent="0.35">
      <c r="B31" s="405">
        <v>2</v>
      </c>
      <c r="C31" s="412" t="s">
        <v>900</v>
      </c>
      <c r="D31" s="405" t="s">
        <v>901</v>
      </c>
      <c r="E31" s="413" t="s">
        <v>902</v>
      </c>
      <c r="F31" s="412" t="s">
        <v>903</v>
      </c>
      <c r="G31" s="405">
        <f>82000*84</f>
        <v>6888000</v>
      </c>
      <c r="H31" s="405">
        <v>0</v>
      </c>
      <c r="I31" s="405">
        <f t="shared" si="2"/>
        <v>6888000</v>
      </c>
      <c r="J31" s="405">
        <f>24600*85</f>
        <v>2091000</v>
      </c>
      <c r="K31" s="405">
        <v>0</v>
      </c>
      <c r="L31" s="405">
        <f t="shared" si="3"/>
        <v>4797000</v>
      </c>
      <c r="M31" s="349"/>
    </row>
    <row r="32" spans="2:13" ht="29" x14ac:dyDescent="0.35">
      <c r="B32" s="405">
        <v>3</v>
      </c>
      <c r="C32" s="412" t="s">
        <v>896</v>
      </c>
      <c r="D32" s="405" t="s">
        <v>904</v>
      </c>
      <c r="E32" s="405" t="s">
        <v>905</v>
      </c>
      <c r="F32" s="412" t="s">
        <v>906</v>
      </c>
      <c r="G32" s="405">
        <f>83000*84</f>
        <v>6972000</v>
      </c>
      <c r="H32" s="405">
        <v>0</v>
      </c>
      <c r="I32" s="405">
        <f t="shared" si="2"/>
        <v>6972000</v>
      </c>
      <c r="J32" s="405">
        <f>24900*85</f>
        <v>2116500</v>
      </c>
      <c r="K32" s="405">
        <v>0</v>
      </c>
      <c r="L32" s="405">
        <f t="shared" si="3"/>
        <v>4855500</v>
      </c>
      <c r="M32" s="349"/>
    </row>
    <row r="33" spans="2:13" ht="43.5" x14ac:dyDescent="0.35">
      <c r="B33" s="405">
        <v>4</v>
      </c>
      <c r="C33" s="412" t="s">
        <v>907</v>
      </c>
      <c r="D33" s="405" t="s">
        <v>908</v>
      </c>
      <c r="E33" s="413" t="s">
        <v>909</v>
      </c>
      <c r="F33" s="412" t="s">
        <v>910</v>
      </c>
      <c r="G33" s="405">
        <f>17750*84</f>
        <v>1491000</v>
      </c>
      <c r="H33" s="405">
        <v>0</v>
      </c>
      <c r="I33" s="405">
        <f t="shared" si="2"/>
        <v>1491000</v>
      </c>
      <c r="J33" s="405">
        <v>0</v>
      </c>
      <c r="K33" s="405">
        <v>0</v>
      </c>
      <c r="L33" s="405">
        <f t="shared" si="3"/>
        <v>1491000</v>
      </c>
      <c r="M33" s="349"/>
    </row>
    <row r="34" spans="2:13" ht="29" x14ac:dyDescent="0.35">
      <c r="B34" s="405">
        <v>5</v>
      </c>
      <c r="C34" s="412" t="s">
        <v>911</v>
      </c>
      <c r="D34" s="405" t="s">
        <v>912</v>
      </c>
      <c r="E34" s="413" t="s">
        <v>913</v>
      </c>
      <c r="F34" s="412" t="s">
        <v>914</v>
      </c>
      <c r="G34" s="405">
        <f>16000*84</f>
        <v>1344000</v>
      </c>
      <c r="H34" s="405">
        <v>0</v>
      </c>
      <c r="I34" s="405">
        <f t="shared" si="2"/>
        <v>1344000</v>
      </c>
      <c r="J34" s="405">
        <v>0</v>
      </c>
      <c r="K34" s="405">
        <v>0</v>
      </c>
      <c r="L34" s="405">
        <f t="shared" si="3"/>
        <v>1344000</v>
      </c>
      <c r="M34" s="349"/>
    </row>
    <row r="35" spans="2:13" ht="43.5" x14ac:dyDescent="0.35">
      <c r="B35" s="405">
        <v>6</v>
      </c>
      <c r="C35" s="412" t="s">
        <v>896</v>
      </c>
      <c r="D35" s="405" t="s">
        <v>915</v>
      </c>
      <c r="E35" s="413" t="s">
        <v>898</v>
      </c>
      <c r="F35" s="412" t="s">
        <v>916</v>
      </c>
      <c r="G35" s="405">
        <f>270000*84</f>
        <v>22680000</v>
      </c>
      <c r="H35" s="405">
        <v>0</v>
      </c>
      <c r="I35" s="405">
        <f t="shared" si="2"/>
        <v>22680000</v>
      </c>
      <c r="J35" s="405">
        <v>0</v>
      </c>
      <c r="K35" s="405">
        <v>0</v>
      </c>
      <c r="L35" s="405">
        <f t="shared" si="3"/>
        <v>22680000</v>
      </c>
      <c r="M35" s="349"/>
    </row>
    <row r="36" spans="2:13" x14ac:dyDescent="0.35">
      <c r="B36" s="359"/>
      <c r="C36" s="358"/>
      <c r="D36" s="358"/>
      <c r="E36" s="358"/>
      <c r="F36" s="358"/>
      <c r="G36" s="360">
        <f t="shared" ref="G36:L36" si="4">SUM(G30:G35)</f>
        <v>42869400</v>
      </c>
      <c r="H36" s="360">
        <f t="shared" si="4"/>
        <v>0</v>
      </c>
      <c r="I36" s="360">
        <f t="shared" si="4"/>
        <v>42869400</v>
      </c>
      <c r="J36" s="360">
        <f t="shared" si="4"/>
        <v>4207500</v>
      </c>
      <c r="K36" s="360">
        <f t="shared" si="4"/>
        <v>0</v>
      </c>
      <c r="L36" s="360">
        <f t="shared" si="4"/>
        <v>38661900</v>
      </c>
      <c r="M36" s="349"/>
    </row>
    <row r="37" spans="2:13" ht="29" x14ac:dyDescent="0.35">
      <c r="B37" s="361"/>
      <c r="C37" s="358" t="s">
        <v>917</v>
      </c>
      <c r="D37" s="358"/>
      <c r="E37" s="358"/>
      <c r="F37" s="358"/>
      <c r="G37" s="358"/>
      <c r="H37" s="358"/>
      <c r="I37" s="358"/>
      <c r="J37" s="358"/>
      <c r="K37" s="358"/>
      <c r="L37" s="358">
        <v>3500000</v>
      </c>
      <c r="M37" s="349"/>
    </row>
    <row r="38" spans="2:13" x14ac:dyDescent="0.35">
      <c r="B38" s="459" t="s">
        <v>918</v>
      </c>
      <c r="C38" s="460"/>
      <c r="D38" s="460"/>
      <c r="E38" s="460"/>
      <c r="F38" s="461"/>
      <c r="G38" s="361">
        <f>SUM(G36)</f>
        <v>42869400</v>
      </c>
      <c r="H38" s="361">
        <f>SUM(H36)</f>
        <v>0</v>
      </c>
      <c r="I38" s="361">
        <f>SUM(I36)</f>
        <v>42869400</v>
      </c>
      <c r="J38" s="361">
        <f>SUM(J36)</f>
        <v>4207500</v>
      </c>
      <c r="K38" s="361">
        <f>SUM(K36)</f>
        <v>0</v>
      </c>
      <c r="L38" s="361">
        <f>+L36+L37</f>
        <v>42161900</v>
      </c>
      <c r="M38" s="349"/>
    </row>
    <row r="39" spans="2:13" x14ac:dyDescent="0.35">
      <c r="B39" s="356"/>
      <c r="C39" s="356"/>
      <c r="D39" s="356"/>
      <c r="E39" s="356"/>
      <c r="F39" s="356"/>
      <c r="G39" s="356"/>
      <c r="H39" s="356"/>
      <c r="I39" s="356"/>
      <c r="J39" s="356"/>
      <c r="K39" s="356"/>
      <c r="L39" s="356"/>
      <c r="M39" s="349"/>
    </row>
    <row r="40" spans="2:13" ht="29" x14ac:dyDescent="0.35">
      <c r="B40" s="357" t="s">
        <v>833</v>
      </c>
      <c r="C40" s="356"/>
      <c r="D40" s="356"/>
      <c r="E40" s="356"/>
      <c r="F40" s="356"/>
      <c r="G40" s="356"/>
      <c r="H40" s="356"/>
      <c r="I40" s="356"/>
      <c r="J40" s="356"/>
      <c r="K40" s="356"/>
      <c r="L40" s="356"/>
      <c r="M40" s="349"/>
    </row>
    <row r="41" spans="2:13" ht="29" x14ac:dyDescent="0.35">
      <c r="B41" s="345" t="s">
        <v>886</v>
      </c>
      <c r="C41" s="345" t="s">
        <v>835</v>
      </c>
      <c r="D41" s="345" t="s">
        <v>887</v>
      </c>
      <c r="E41" s="345" t="s">
        <v>888</v>
      </c>
      <c r="F41" s="345" t="s">
        <v>889</v>
      </c>
      <c r="G41" s="345" t="s">
        <v>890</v>
      </c>
      <c r="H41" s="345" t="s">
        <v>891</v>
      </c>
      <c r="I41" s="345" t="s">
        <v>892</v>
      </c>
      <c r="J41" s="345" t="s">
        <v>893</v>
      </c>
      <c r="K41" s="346" t="s">
        <v>894</v>
      </c>
      <c r="L41" s="345" t="s">
        <v>895</v>
      </c>
      <c r="M41" s="349"/>
    </row>
    <row r="42" spans="2:13" ht="43.5" x14ac:dyDescent="0.35">
      <c r="B42" s="405">
        <v>1</v>
      </c>
      <c r="C42" s="406" t="s">
        <v>919</v>
      </c>
      <c r="D42" s="407" t="s">
        <v>920</v>
      </c>
      <c r="E42" s="407" t="s">
        <v>921</v>
      </c>
      <c r="F42" s="407" t="s">
        <v>922</v>
      </c>
      <c r="G42" s="407">
        <f>48200+83550+39030+47150+48220+29450</f>
        <v>295600</v>
      </c>
      <c r="H42" s="407">
        <f>G42*18%</f>
        <v>53208</v>
      </c>
      <c r="I42" s="407">
        <f>G42+H42</f>
        <v>348808</v>
      </c>
      <c r="J42" s="407"/>
      <c r="K42" s="407"/>
      <c r="L42" s="407">
        <f>I42-J42</f>
        <v>348808</v>
      </c>
      <c r="M42" s="349"/>
    </row>
    <row r="43" spans="2:13" ht="43.5" x14ac:dyDescent="0.35">
      <c r="B43" s="405">
        <f>+B42+1</f>
        <v>2</v>
      </c>
      <c r="C43" s="406" t="s">
        <v>923</v>
      </c>
      <c r="D43" s="407" t="s">
        <v>924</v>
      </c>
      <c r="E43" s="407" t="s">
        <v>925</v>
      </c>
      <c r="F43" s="407" t="s">
        <v>926</v>
      </c>
      <c r="G43" s="407">
        <v>174000</v>
      </c>
      <c r="H43" s="407">
        <f>G43*18%</f>
        <v>31320</v>
      </c>
      <c r="I43" s="407">
        <f>G43+H43</f>
        <v>205320</v>
      </c>
      <c r="J43" s="407"/>
      <c r="K43" s="407"/>
      <c r="L43" s="407">
        <f>I43-J43</f>
        <v>205320</v>
      </c>
      <c r="M43" s="349"/>
    </row>
    <row r="44" spans="2:13" ht="58" x14ac:dyDescent="0.35">
      <c r="B44" s="405">
        <f>+B43+1</f>
        <v>3</v>
      </c>
      <c r="C44" s="406" t="s">
        <v>927</v>
      </c>
      <c r="D44" s="407" t="s">
        <v>928</v>
      </c>
      <c r="E44" s="407" t="s">
        <v>929</v>
      </c>
      <c r="F44" s="407" t="s">
        <v>930</v>
      </c>
      <c r="G44" s="407">
        <f>3800000+3650000</f>
        <v>7450000</v>
      </c>
      <c r="H44" s="407">
        <f>G44*18%</f>
        <v>1341000</v>
      </c>
      <c r="I44" s="407">
        <f>G44+H44</f>
        <v>8791000</v>
      </c>
      <c r="J44" s="407"/>
      <c r="K44" s="407"/>
      <c r="L44" s="407">
        <f>I44-J44</f>
        <v>8791000</v>
      </c>
      <c r="M44" s="349"/>
    </row>
    <row r="45" spans="2:13" ht="58" x14ac:dyDescent="0.35">
      <c r="B45" s="405">
        <f t="shared" ref="B45:B82" si="5">+B44+1</f>
        <v>4</v>
      </c>
      <c r="C45" s="406" t="s">
        <v>1035</v>
      </c>
      <c r="D45" s="407" t="s">
        <v>931</v>
      </c>
      <c r="E45" s="408" t="s">
        <v>898</v>
      </c>
      <c r="F45" s="407" t="s">
        <v>932</v>
      </c>
      <c r="G45" s="407">
        <v>739600</v>
      </c>
      <c r="H45" s="407">
        <f t="shared" ref="H45:H75" si="6">G45*18%</f>
        <v>133128</v>
      </c>
      <c r="I45" s="407">
        <f t="shared" ref="I45:I82" si="7">G45+H45</f>
        <v>872728</v>
      </c>
      <c r="J45" s="407"/>
      <c r="K45" s="407"/>
      <c r="L45" s="407">
        <f t="shared" ref="L45:L82" si="8">I45-J45</f>
        <v>872728</v>
      </c>
      <c r="M45" s="349"/>
    </row>
    <row r="46" spans="2:13" ht="43.5" x14ac:dyDescent="0.35">
      <c r="B46" s="405">
        <f t="shared" si="5"/>
        <v>5</v>
      </c>
      <c r="C46" s="406" t="s">
        <v>933</v>
      </c>
      <c r="D46" s="407" t="s">
        <v>934</v>
      </c>
      <c r="E46" s="408" t="s">
        <v>935</v>
      </c>
      <c r="F46" s="407" t="s">
        <v>936</v>
      </c>
      <c r="G46" s="407">
        <v>1000000</v>
      </c>
      <c r="H46" s="407">
        <f t="shared" si="6"/>
        <v>180000</v>
      </c>
      <c r="I46" s="407">
        <f t="shared" si="7"/>
        <v>1180000</v>
      </c>
      <c r="J46" s="407"/>
      <c r="K46" s="407"/>
      <c r="L46" s="407">
        <f t="shared" si="8"/>
        <v>1180000</v>
      </c>
      <c r="M46" s="349"/>
    </row>
    <row r="47" spans="2:13" ht="58" x14ac:dyDescent="0.35">
      <c r="B47" s="405">
        <f t="shared" si="5"/>
        <v>6</v>
      </c>
      <c r="C47" s="406" t="s">
        <v>937</v>
      </c>
      <c r="D47" s="407" t="s">
        <v>938</v>
      </c>
      <c r="E47" s="408" t="s">
        <v>939</v>
      </c>
      <c r="F47" s="407" t="s">
        <v>940</v>
      </c>
      <c r="G47" s="407">
        <v>10593220</v>
      </c>
      <c r="H47" s="407">
        <f t="shared" si="6"/>
        <v>1906779.5999999999</v>
      </c>
      <c r="I47" s="407">
        <f t="shared" si="7"/>
        <v>12499999.6</v>
      </c>
      <c r="J47" s="407">
        <v>1250000</v>
      </c>
      <c r="K47" s="407"/>
      <c r="L47" s="407">
        <f t="shared" si="8"/>
        <v>11249999.6</v>
      </c>
      <c r="M47" s="349"/>
    </row>
    <row r="48" spans="2:13" ht="29" x14ac:dyDescent="0.35">
      <c r="B48" s="405">
        <f t="shared" si="5"/>
        <v>7</v>
      </c>
      <c r="C48" s="406" t="s">
        <v>941</v>
      </c>
      <c r="D48" s="407">
        <v>26</v>
      </c>
      <c r="E48" s="408" t="s">
        <v>942</v>
      </c>
      <c r="F48" s="407" t="s">
        <v>943</v>
      </c>
      <c r="G48" s="407">
        <v>215208</v>
      </c>
      <c r="H48" s="407">
        <f t="shared" si="6"/>
        <v>38737.439999999995</v>
      </c>
      <c r="I48" s="407">
        <f t="shared" si="7"/>
        <v>253945.44</v>
      </c>
      <c r="J48" s="407"/>
      <c r="K48" s="407"/>
      <c r="L48" s="407">
        <f t="shared" si="8"/>
        <v>253945.44</v>
      </c>
      <c r="M48" s="349"/>
    </row>
    <row r="49" spans="1:13" ht="58" x14ac:dyDescent="0.35">
      <c r="B49" s="405">
        <f t="shared" si="5"/>
        <v>8</v>
      </c>
      <c r="C49" s="406" t="s">
        <v>944</v>
      </c>
      <c r="D49" s="407" t="s">
        <v>945</v>
      </c>
      <c r="E49" s="408" t="s">
        <v>942</v>
      </c>
      <c r="F49" s="407" t="s">
        <v>946</v>
      </c>
      <c r="G49" s="407">
        <v>509067</v>
      </c>
      <c r="H49" s="407">
        <f t="shared" si="6"/>
        <v>91632.06</v>
      </c>
      <c r="I49" s="407">
        <f t="shared" si="7"/>
        <v>600699.06000000006</v>
      </c>
      <c r="J49" s="407"/>
      <c r="K49" s="407"/>
      <c r="L49" s="407">
        <f t="shared" si="8"/>
        <v>600699.06000000006</v>
      </c>
      <c r="M49" s="349"/>
    </row>
    <row r="50" spans="1:13" ht="43.5" x14ac:dyDescent="0.35">
      <c r="B50" s="405">
        <f t="shared" si="5"/>
        <v>9</v>
      </c>
      <c r="C50" s="406" t="s">
        <v>947</v>
      </c>
      <c r="D50" s="408" t="s">
        <v>948</v>
      </c>
      <c r="E50" s="408" t="s">
        <v>925</v>
      </c>
      <c r="F50" s="407" t="s">
        <v>949</v>
      </c>
      <c r="G50" s="407">
        <v>8000000</v>
      </c>
      <c r="H50" s="407">
        <f t="shared" si="6"/>
        <v>1440000</v>
      </c>
      <c r="I50" s="407">
        <f t="shared" si="7"/>
        <v>9440000</v>
      </c>
      <c r="J50" s="407"/>
      <c r="K50" s="407"/>
      <c r="L50" s="407">
        <f t="shared" si="8"/>
        <v>9440000</v>
      </c>
      <c r="M50" s="349"/>
    </row>
    <row r="51" spans="1:13" ht="29" x14ac:dyDescent="0.35">
      <c r="B51" s="405">
        <f t="shared" si="5"/>
        <v>10</v>
      </c>
      <c r="C51" s="406" t="s">
        <v>950</v>
      </c>
      <c r="D51" s="407" t="s">
        <v>951</v>
      </c>
      <c r="E51" s="408" t="s">
        <v>942</v>
      </c>
      <c r="F51" s="407" t="s">
        <v>952</v>
      </c>
      <c r="G51" s="407">
        <v>2000000</v>
      </c>
      <c r="H51" s="407">
        <f t="shared" si="6"/>
        <v>360000</v>
      </c>
      <c r="I51" s="407">
        <f t="shared" si="7"/>
        <v>2360000</v>
      </c>
      <c r="J51" s="407"/>
      <c r="K51" s="407"/>
      <c r="L51" s="407">
        <f t="shared" si="8"/>
        <v>2360000</v>
      </c>
      <c r="M51" s="349"/>
    </row>
    <row r="52" spans="1:13" ht="29" x14ac:dyDescent="0.35">
      <c r="B52" s="405">
        <f t="shared" si="5"/>
        <v>11</v>
      </c>
      <c r="C52" s="406" t="s">
        <v>950</v>
      </c>
      <c r="D52" s="407" t="s">
        <v>951</v>
      </c>
      <c r="E52" s="408" t="s">
        <v>942</v>
      </c>
      <c r="F52" s="407" t="s">
        <v>953</v>
      </c>
      <c r="G52" s="407">
        <v>5000000</v>
      </c>
      <c r="H52" s="407">
        <f t="shared" si="6"/>
        <v>900000</v>
      </c>
      <c r="I52" s="407">
        <f t="shared" si="7"/>
        <v>5900000</v>
      </c>
      <c r="J52" s="407"/>
      <c r="K52" s="407"/>
      <c r="L52" s="407">
        <f t="shared" si="8"/>
        <v>5900000</v>
      </c>
      <c r="M52" s="349"/>
    </row>
    <row r="53" spans="1:13" ht="29" x14ac:dyDescent="0.35">
      <c r="B53" s="405">
        <f t="shared" si="5"/>
        <v>12</v>
      </c>
      <c r="C53" s="406" t="s">
        <v>954</v>
      </c>
      <c r="D53" s="407" t="s">
        <v>955</v>
      </c>
      <c r="E53" s="408" t="s">
        <v>942</v>
      </c>
      <c r="F53" s="407" t="s">
        <v>956</v>
      </c>
      <c r="G53" s="407">
        <v>1540000</v>
      </c>
      <c r="H53" s="407">
        <f t="shared" si="6"/>
        <v>277200</v>
      </c>
      <c r="I53" s="407">
        <f t="shared" si="7"/>
        <v>1817200</v>
      </c>
      <c r="J53" s="407"/>
      <c r="K53" s="407"/>
      <c r="L53" s="407">
        <f t="shared" si="8"/>
        <v>1817200</v>
      </c>
      <c r="M53" s="349"/>
    </row>
    <row r="54" spans="1:13" ht="29" x14ac:dyDescent="0.35">
      <c r="B54" s="405">
        <f t="shared" si="5"/>
        <v>13</v>
      </c>
      <c r="C54" s="406" t="s">
        <v>957</v>
      </c>
      <c r="D54" s="408" t="s">
        <v>958</v>
      </c>
      <c r="E54" s="408" t="s">
        <v>959</v>
      </c>
      <c r="F54" s="407" t="s">
        <v>960</v>
      </c>
      <c r="G54" s="407">
        <v>11600000</v>
      </c>
      <c r="H54" s="407">
        <f t="shared" si="6"/>
        <v>2088000</v>
      </c>
      <c r="I54" s="407">
        <f t="shared" si="7"/>
        <v>13688000</v>
      </c>
      <c r="J54" s="407"/>
      <c r="K54" s="407"/>
      <c r="L54" s="407">
        <f t="shared" si="8"/>
        <v>13688000</v>
      </c>
      <c r="M54" s="349"/>
    </row>
    <row r="55" spans="1:13" ht="58" x14ac:dyDescent="0.35">
      <c r="B55" s="405">
        <f t="shared" si="5"/>
        <v>14</v>
      </c>
      <c r="C55" s="406" t="s">
        <v>961</v>
      </c>
      <c r="D55" s="407" t="s">
        <v>962</v>
      </c>
      <c r="E55" s="408" t="s">
        <v>942</v>
      </c>
      <c r="F55" s="407" t="s">
        <v>963</v>
      </c>
      <c r="G55" s="407">
        <v>11104060</v>
      </c>
      <c r="H55" s="407">
        <f t="shared" si="6"/>
        <v>1998730.7999999998</v>
      </c>
      <c r="I55" s="407">
        <f t="shared" si="7"/>
        <v>13102790.800000001</v>
      </c>
      <c r="J55" s="407"/>
      <c r="K55" s="407"/>
      <c r="L55" s="407">
        <f t="shared" si="8"/>
        <v>13102790.800000001</v>
      </c>
      <c r="M55" s="349"/>
    </row>
    <row r="56" spans="1:13" ht="29" x14ac:dyDescent="0.35">
      <c r="B56" s="405">
        <f t="shared" si="5"/>
        <v>15</v>
      </c>
      <c r="C56" s="406" t="s">
        <v>964</v>
      </c>
      <c r="D56" s="407" t="s">
        <v>965</v>
      </c>
      <c r="E56" s="408" t="s">
        <v>966</v>
      </c>
      <c r="F56" s="407" t="s">
        <v>967</v>
      </c>
      <c r="G56" s="407">
        <v>2082360</v>
      </c>
      <c r="H56" s="407">
        <f t="shared" si="6"/>
        <v>374824.8</v>
      </c>
      <c r="I56" s="407">
        <f t="shared" si="7"/>
        <v>2457184.7999999998</v>
      </c>
      <c r="J56" s="407"/>
      <c r="K56" s="407"/>
      <c r="L56" s="407">
        <f t="shared" si="8"/>
        <v>2457184.7999999998</v>
      </c>
      <c r="M56" s="349"/>
    </row>
    <row r="57" spans="1:13" ht="43.5" x14ac:dyDescent="0.35">
      <c r="B57" s="405">
        <f t="shared" si="5"/>
        <v>16</v>
      </c>
      <c r="C57" s="406" t="s">
        <v>968</v>
      </c>
      <c r="D57" s="407" t="s">
        <v>969</v>
      </c>
      <c r="E57" s="408" t="s">
        <v>970</v>
      </c>
      <c r="F57" s="407" t="s">
        <v>971</v>
      </c>
      <c r="G57" s="407">
        <v>1619399</v>
      </c>
      <c r="H57" s="407">
        <f t="shared" si="6"/>
        <v>291491.82</v>
      </c>
      <c r="I57" s="407">
        <f t="shared" si="7"/>
        <v>1910890.82</v>
      </c>
      <c r="J57" s="407"/>
      <c r="K57" s="407"/>
      <c r="L57" s="407">
        <f t="shared" si="8"/>
        <v>1910890.82</v>
      </c>
      <c r="M57" s="349"/>
    </row>
    <row r="58" spans="1:13" ht="29" x14ac:dyDescent="0.35">
      <c r="B58" s="358">
        <f t="shared" si="5"/>
        <v>17</v>
      </c>
      <c r="C58" s="347" t="s">
        <v>972</v>
      </c>
      <c r="D58" s="348" t="s">
        <v>973</v>
      </c>
      <c r="E58" s="362" t="s">
        <v>974</v>
      </c>
      <c r="F58" s="363" t="s">
        <v>975</v>
      </c>
      <c r="G58" s="348">
        <v>229525</v>
      </c>
      <c r="H58" s="348">
        <f t="shared" si="6"/>
        <v>41314.5</v>
      </c>
      <c r="I58" s="348">
        <f t="shared" si="7"/>
        <v>270839.5</v>
      </c>
      <c r="J58" s="348"/>
      <c r="K58" s="348"/>
      <c r="L58" s="348">
        <f t="shared" si="8"/>
        <v>270839.5</v>
      </c>
      <c r="M58" s="349"/>
    </row>
    <row r="59" spans="1:13" ht="58" x14ac:dyDescent="0.35">
      <c r="B59" s="405">
        <f t="shared" si="5"/>
        <v>18</v>
      </c>
      <c r="C59" s="406" t="s">
        <v>944</v>
      </c>
      <c r="D59" s="407" t="s">
        <v>976</v>
      </c>
      <c r="E59" s="408" t="s">
        <v>977</v>
      </c>
      <c r="F59" s="407" t="s">
        <v>978</v>
      </c>
      <c r="G59" s="407">
        <v>496632</v>
      </c>
      <c r="H59" s="407">
        <f t="shared" si="6"/>
        <v>89393.76</v>
      </c>
      <c r="I59" s="407">
        <f t="shared" si="7"/>
        <v>586025.76</v>
      </c>
      <c r="J59" s="407"/>
      <c r="K59" s="407"/>
      <c r="L59" s="407">
        <f t="shared" si="8"/>
        <v>586025.76</v>
      </c>
      <c r="M59" s="349"/>
    </row>
    <row r="60" spans="1:13" ht="58" x14ac:dyDescent="0.35">
      <c r="B60" s="405">
        <f t="shared" si="5"/>
        <v>19</v>
      </c>
      <c r="C60" s="406" t="s">
        <v>979</v>
      </c>
      <c r="D60" s="407" t="s">
        <v>980</v>
      </c>
      <c r="E60" s="408" t="s">
        <v>966</v>
      </c>
      <c r="F60" s="407" t="s">
        <v>981</v>
      </c>
      <c r="G60" s="407">
        <f>86500*6</f>
        <v>519000</v>
      </c>
      <c r="H60" s="407">
        <f>G60*28%</f>
        <v>145320</v>
      </c>
      <c r="I60" s="407">
        <f t="shared" si="7"/>
        <v>664320</v>
      </c>
      <c r="J60" s="407"/>
      <c r="K60" s="407"/>
      <c r="L60" s="407">
        <f t="shared" si="8"/>
        <v>664320</v>
      </c>
      <c r="M60" s="349"/>
    </row>
    <row r="61" spans="1:13" ht="43.5" x14ac:dyDescent="0.35">
      <c r="B61" s="405">
        <f t="shared" si="5"/>
        <v>20</v>
      </c>
      <c r="C61" s="406" t="s">
        <v>923</v>
      </c>
      <c r="D61" s="407" t="s">
        <v>982</v>
      </c>
      <c r="E61" s="408" t="s">
        <v>925</v>
      </c>
      <c r="F61" s="407" t="s">
        <v>983</v>
      </c>
      <c r="G61" s="407">
        <v>272800</v>
      </c>
      <c r="H61" s="407">
        <f>G61*18%</f>
        <v>49104</v>
      </c>
      <c r="I61" s="407">
        <f t="shared" si="7"/>
        <v>321904</v>
      </c>
      <c r="J61" s="407"/>
      <c r="K61" s="407"/>
      <c r="L61" s="407">
        <f t="shared" si="8"/>
        <v>321904</v>
      </c>
      <c r="M61" s="349"/>
    </row>
    <row r="62" spans="1:13" ht="29" x14ac:dyDescent="0.35">
      <c r="A62" s="411"/>
      <c r="B62" s="405">
        <f t="shared" si="5"/>
        <v>21</v>
      </c>
      <c r="C62" s="406" t="s">
        <v>984</v>
      </c>
      <c r="D62" s="407" t="s">
        <v>985</v>
      </c>
      <c r="E62" s="408" t="s">
        <v>966</v>
      </c>
      <c r="F62" s="407" t="s">
        <v>986</v>
      </c>
      <c r="G62" s="407">
        <f>90*215</f>
        <v>19350</v>
      </c>
      <c r="H62" s="407">
        <f t="shared" si="6"/>
        <v>3483</v>
      </c>
      <c r="I62" s="407">
        <f t="shared" si="7"/>
        <v>22833</v>
      </c>
      <c r="J62" s="407"/>
      <c r="K62" s="407"/>
      <c r="L62" s="407">
        <f t="shared" si="8"/>
        <v>22833</v>
      </c>
    </row>
    <row r="63" spans="1:13" ht="29" x14ac:dyDescent="0.35">
      <c r="A63" s="411"/>
      <c r="B63" s="405">
        <f t="shared" si="5"/>
        <v>22</v>
      </c>
      <c r="C63" s="406" t="s">
        <v>984</v>
      </c>
      <c r="D63" s="407" t="s">
        <v>985</v>
      </c>
      <c r="E63" s="408" t="s">
        <v>966</v>
      </c>
      <c r="F63" s="407" t="s">
        <v>987</v>
      </c>
      <c r="G63" s="407">
        <f>36*310</f>
        <v>11160</v>
      </c>
      <c r="H63" s="407">
        <f t="shared" si="6"/>
        <v>2008.8</v>
      </c>
      <c r="I63" s="407">
        <f t="shared" si="7"/>
        <v>13168.8</v>
      </c>
      <c r="J63" s="407"/>
      <c r="K63" s="407"/>
      <c r="L63" s="407">
        <f t="shared" si="8"/>
        <v>13168.8</v>
      </c>
    </row>
    <row r="64" spans="1:13" ht="29" x14ac:dyDescent="0.35">
      <c r="A64" s="411"/>
      <c r="B64" s="405">
        <f t="shared" si="5"/>
        <v>23</v>
      </c>
      <c r="C64" s="406" t="s">
        <v>984</v>
      </c>
      <c r="D64" s="407" t="s">
        <v>985</v>
      </c>
      <c r="E64" s="409" t="s">
        <v>988</v>
      </c>
      <c r="F64" s="407" t="s">
        <v>989</v>
      </c>
      <c r="G64" s="407">
        <f>5040*102</f>
        <v>514080</v>
      </c>
      <c r="H64" s="407">
        <f t="shared" si="6"/>
        <v>92534.399999999994</v>
      </c>
      <c r="I64" s="407">
        <f t="shared" si="7"/>
        <v>606614.4</v>
      </c>
      <c r="J64" s="407"/>
      <c r="K64" s="407"/>
      <c r="L64" s="407">
        <f t="shared" si="8"/>
        <v>606614.4</v>
      </c>
    </row>
    <row r="65" spans="1:13" ht="29" x14ac:dyDescent="0.35">
      <c r="A65" s="411"/>
      <c r="B65" s="405">
        <f t="shared" si="5"/>
        <v>24</v>
      </c>
      <c r="C65" s="406" t="s">
        <v>984</v>
      </c>
      <c r="D65" s="407" t="s">
        <v>985</v>
      </c>
      <c r="E65" s="409" t="s">
        <v>990</v>
      </c>
      <c r="F65" s="407" t="s">
        <v>991</v>
      </c>
      <c r="G65" s="407">
        <f>3150*102</f>
        <v>321300</v>
      </c>
      <c r="H65" s="407">
        <f t="shared" si="6"/>
        <v>57834</v>
      </c>
      <c r="I65" s="407">
        <f t="shared" si="7"/>
        <v>379134</v>
      </c>
      <c r="J65" s="407"/>
      <c r="K65" s="407"/>
      <c r="L65" s="407">
        <f t="shared" si="8"/>
        <v>379134</v>
      </c>
    </row>
    <row r="66" spans="1:13" ht="29" x14ac:dyDescent="0.35">
      <c r="A66" s="411"/>
      <c r="B66" s="405">
        <f t="shared" si="5"/>
        <v>25</v>
      </c>
      <c r="C66" s="406" t="s">
        <v>984</v>
      </c>
      <c r="D66" s="407" t="s">
        <v>985</v>
      </c>
      <c r="E66" s="409" t="s">
        <v>990</v>
      </c>
      <c r="F66" s="407" t="s">
        <v>992</v>
      </c>
      <c r="G66" s="407">
        <f>7980*138</f>
        <v>1101240</v>
      </c>
      <c r="H66" s="407">
        <f t="shared" si="6"/>
        <v>198223.19999999998</v>
      </c>
      <c r="I66" s="407">
        <f t="shared" si="7"/>
        <v>1299463.2</v>
      </c>
      <c r="J66" s="407"/>
      <c r="K66" s="407"/>
      <c r="L66" s="407">
        <f t="shared" si="8"/>
        <v>1299463.2</v>
      </c>
    </row>
    <row r="67" spans="1:13" ht="43.5" x14ac:dyDescent="0.35">
      <c r="A67" s="411"/>
      <c r="B67" s="405">
        <f t="shared" si="5"/>
        <v>26</v>
      </c>
      <c r="C67" s="406" t="s">
        <v>993</v>
      </c>
      <c r="D67" s="407" t="s">
        <v>942</v>
      </c>
      <c r="E67" s="409" t="s">
        <v>990</v>
      </c>
      <c r="F67" s="407" t="s">
        <v>994</v>
      </c>
      <c r="G67" s="407">
        <f>60000*95</f>
        <v>5700000</v>
      </c>
      <c r="H67" s="407">
        <f t="shared" si="6"/>
        <v>1026000</v>
      </c>
      <c r="I67" s="407">
        <f t="shared" si="7"/>
        <v>6726000</v>
      </c>
      <c r="J67" s="407"/>
      <c r="K67" s="407"/>
      <c r="L67" s="407">
        <f t="shared" si="8"/>
        <v>6726000</v>
      </c>
    </row>
    <row r="68" spans="1:13" ht="43.5" x14ac:dyDescent="0.35">
      <c r="A68" s="411"/>
      <c r="B68" s="405">
        <f t="shared" si="5"/>
        <v>27</v>
      </c>
      <c r="C68" s="406" t="s">
        <v>993</v>
      </c>
      <c r="D68" s="407" t="s">
        <v>942</v>
      </c>
      <c r="E68" s="409" t="s">
        <v>990</v>
      </c>
      <c r="F68" s="410" t="s">
        <v>995</v>
      </c>
      <c r="G68" s="407">
        <f>80000*94</f>
        <v>7520000</v>
      </c>
      <c r="H68" s="407">
        <f t="shared" si="6"/>
        <v>1353600</v>
      </c>
      <c r="I68" s="407">
        <f t="shared" si="7"/>
        <v>8873600</v>
      </c>
      <c r="J68" s="407"/>
      <c r="K68" s="407"/>
      <c r="L68" s="407">
        <f t="shared" si="8"/>
        <v>8873600</v>
      </c>
    </row>
    <row r="69" spans="1:13" ht="43.5" x14ac:dyDescent="0.35">
      <c r="A69" s="411"/>
      <c r="B69" s="405">
        <f t="shared" si="5"/>
        <v>28</v>
      </c>
      <c r="C69" s="406" t="s">
        <v>993</v>
      </c>
      <c r="D69" s="407" t="s">
        <v>942</v>
      </c>
      <c r="E69" s="409" t="s">
        <v>990</v>
      </c>
      <c r="F69" s="407" t="s">
        <v>996</v>
      </c>
      <c r="G69" s="407">
        <f>6000*215</f>
        <v>1290000</v>
      </c>
      <c r="H69" s="407">
        <f t="shared" si="6"/>
        <v>232200</v>
      </c>
      <c r="I69" s="407">
        <f t="shared" si="7"/>
        <v>1522200</v>
      </c>
      <c r="J69" s="407"/>
      <c r="K69" s="407"/>
      <c r="L69" s="407">
        <f t="shared" si="8"/>
        <v>1522200</v>
      </c>
    </row>
    <row r="70" spans="1:13" ht="43.5" x14ac:dyDescent="0.35">
      <c r="B70" s="405">
        <f t="shared" si="5"/>
        <v>29</v>
      </c>
      <c r="C70" s="406" t="s">
        <v>997</v>
      </c>
      <c r="D70" s="407" t="s">
        <v>998</v>
      </c>
      <c r="E70" s="408" t="s">
        <v>939</v>
      </c>
      <c r="F70" s="407" t="s">
        <v>999</v>
      </c>
      <c r="G70" s="407">
        <f>214987+59670</f>
        <v>274657</v>
      </c>
      <c r="H70" s="407">
        <f t="shared" si="6"/>
        <v>49438.259999999995</v>
      </c>
      <c r="I70" s="407">
        <f t="shared" si="7"/>
        <v>324095.26</v>
      </c>
      <c r="J70" s="407"/>
      <c r="K70" s="407"/>
      <c r="L70" s="407">
        <f t="shared" si="8"/>
        <v>324095.26</v>
      </c>
      <c r="M70" s="349"/>
    </row>
    <row r="71" spans="1:13" ht="43.5" x14ac:dyDescent="0.35">
      <c r="B71" s="405">
        <f t="shared" si="5"/>
        <v>30</v>
      </c>
      <c r="C71" s="406" t="s">
        <v>1000</v>
      </c>
      <c r="D71" s="407" t="s">
        <v>1001</v>
      </c>
      <c r="E71" s="407" t="s">
        <v>942</v>
      </c>
      <c r="F71" s="407" t="s">
        <v>1002</v>
      </c>
      <c r="G71" s="407">
        <v>6560000</v>
      </c>
      <c r="H71" s="407">
        <f t="shared" si="6"/>
        <v>1180800</v>
      </c>
      <c r="I71" s="407">
        <f t="shared" si="7"/>
        <v>7740800</v>
      </c>
      <c r="J71" s="407"/>
      <c r="K71" s="407"/>
      <c r="L71" s="407">
        <f t="shared" si="8"/>
        <v>7740800</v>
      </c>
      <c r="M71" s="349"/>
    </row>
    <row r="72" spans="1:13" ht="58" x14ac:dyDescent="0.35">
      <c r="B72" s="405">
        <f t="shared" si="5"/>
        <v>31</v>
      </c>
      <c r="C72" s="406" t="s">
        <v>1003</v>
      </c>
      <c r="D72" s="407" t="s">
        <v>1004</v>
      </c>
      <c r="E72" s="407" t="s">
        <v>1005</v>
      </c>
      <c r="F72" s="407" t="s">
        <v>1006</v>
      </c>
      <c r="G72" s="407">
        <f>21000000*2</f>
        <v>42000000</v>
      </c>
      <c r="H72" s="407">
        <f t="shared" si="6"/>
        <v>7560000</v>
      </c>
      <c r="I72" s="407">
        <f t="shared" si="7"/>
        <v>49560000</v>
      </c>
      <c r="J72" s="407"/>
      <c r="K72" s="407"/>
      <c r="L72" s="407">
        <f t="shared" si="8"/>
        <v>49560000</v>
      </c>
      <c r="M72" s="349"/>
    </row>
    <row r="73" spans="1:13" ht="43.5" x14ac:dyDescent="0.35">
      <c r="B73" s="405">
        <f t="shared" si="5"/>
        <v>32</v>
      </c>
      <c r="C73" s="406" t="s">
        <v>947</v>
      </c>
      <c r="D73" s="408" t="s">
        <v>1007</v>
      </c>
      <c r="E73" s="408" t="s">
        <v>925</v>
      </c>
      <c r="F73" s="406" t="s">
        <v>1008</v>
      </c>
      <c r="G73" s="407">
        <f>8500*110</f>
        <v>935000</v>
      </c>
      <c r="H73" s="407">
        <f t="shared" si="6"/>
        <v>168300</v>
      </c>
      <c r="I73" s="407">
        <f t="shared" si="7"/>
        <v>1103300</v>
      </c>
      <c r="J73" s="407"/>
      <c r="K73" s="407"/>
      <c r="L73" s="407">
        <f t="shared" si="8"/>
        <v>1103300</v>
      </c>
      <c r="M73" s="349"/>
    </row>
    <row r="74" spans="1:13" ht="58" x14ac:dyDescent="0.35">
      <c r="B74" s="405">
        <f>+B73+1</f>
        <v>33</v>
      </c>
      <c r="C74" s="406" t="s">
        <v>1009</v>
      </c>
      <c r="D74" s="407" t="s">
        <v>1010</v>
      </c>
      <c r="E74" s="407" t="s">
        <v>925</v>
      </c>
      <c r="F74" s="407" t="s">
        <v>1011</v>
      </c>
      <c r="G74" s="407">
        <v>144000</v>
      </c>
      <c r="H74" s="407">
        <f t="shared" si="6"/>
        <v>25920</v>
      </c>
      <c r="I74" s="407">
        <f t="shared" si="7"/>
        <v>169920</v>
      </c>
      <c r="J74" s="407"/>
      <c r="K74" s="407"/>
      <c r="L74" s="407">
        <f t="shared" si="8"/>
        <v>169920</v>
      </c>
      <c r="M74" s="349"/>
    </row>
    <row r="75" spans="1:13" ht="58" x14ac:dyDescent="0.35">
      <c r="B75" s="405">
        <f t="shared" si="5"/>
        <v>34</v>
      </c>
      <c r="C75" s="406" t="s">
        <v>1009</v>
      </c>
      <c r="D75" s="407" t="s">
        <v>1010</v>
      </c>
      <c r="E75" s="407" t="s">
        <v>925</v>
      </c>
      <c r="F75" s="407" t="s">
        <v>1012</v>
      </c>
      <c r="G75" s="407">
        <v>348000</v>
      </c>
      <c r="H75" s="407">
        <f t="shared" si="6"/>
        <v>62640</v>
      </c>
      <c r="I75" s="407">
        <f t="shared" si="7"/>
        <v>410640</v>
      </c>
      <c r="J75" s="407"/>
      <c r="K75" s="407"/>
      <c r="L75" s="407">
        <f t="shared" si="8"/>
        <v>410640</v>
      </c>
      <c r="M75" s="349"/>
    </row>
    <row r="76" spans="1:13" ht="58" x14ac:dyDescent="0.35">
      <c r="B76" s="405">
        <f t="shared" si="5"/>
        <v>35</v>
      </c>
      <c r="C76" s="406" t="s">
        <v>1009</v>
      </c>
      <c r="D76" s="407" t="s">
        <v>1010</v>
      </c>
      <c r="E76" s="407" t="s">
        <v>925</v>
      </c>
      <c r="F76" s="407" t="s">
        <v>1013</v>
      </c>
      <c r="G76" s="407">
        <v>324000</v>
      </c>
      <c r="H76" s="407">
        <f>G76*12%</f>
        <v>38880</v>
      </c>
      <c r="I76" s="407">
        <f t="shared" si="7"/>
        <v>362880</v>
      </c>
      <c r="J76" s="407"/>
      <c r="K76" s="407"/>
      <c r="L76" s="407">
        <f t="shared" si="8"/>
        <v>362880</v>
      </c>
      <c r="M76" s="349"/>
    </row>
    <row r="77" spans="1:13" ht="29" x14ac:dyDescent="0.35">
      <c r="B77" s="405">
        <f t="shared" si="5"/>
        <v>36</v>
      </c>
      <c r="C77" s="406" t="s">
        <v>1014</v>
      </c>
      <c r="D77" s="407" t="s">
        <v>1015</v>
      </c>
      <c r="E77" s="407" t="s">
        <v>974</v>
      </c>
      <c r="F77" s="407" t="s">
        <v>1016</v>
      </c>
      <c r="G77" s="407">
        <v>488968</v>
      </c>
      <c r="H77" s="407">
        <f>G77*18%</f>
        <v>88014.239999999991</v>
      </c>
      <c r="I77" s="407">
        <f t="shared" si="7"/>
        <v>576982.24</v>
      </c>
      <c r="J77" s="407"/>
      <c r="K77" s="407"/>
      <c r="L77" s="407">
        <f t="shared" si="8"/>
        <v>576982.24</v>
      </c>
      <c r="M77" s="349"/>
    </row>
    <row r="78" spans="1:13" ht="43.5" x14ac:dyDescent="0.35">
      <c r="B78" s="405">
        <f t="shared" si="5"/>
        <v>37</v>
      </c>
      <c r="C78" s="406" t="s">
        <v>1000</v>
      </c>
      <c r="D78" s="407" t="s">
        <v>1017</v>
      </c>
      <c r="E78" s="407" t="s">
        <v>942</v>
      </c>
      <c r="F78" s="407" t="s">
        <v>1018</v>
      </c>
      <c r="G78" s="407">
        <v>4944000</v>
      </c>
      <c r="H78" s="407">
        <v>1384320</v>
      </c>
      <c r="I78" s="407">
        <f t="shared" si="7"/>
        <v>6328320</v>
      </c>
      <c r="J78" s="407"/>
      <c r="K78" s="407"/>
      <c r="L78" s="407">
        <f t="shared" si="8"/>
        <v>6328320</v>
      </c>
      <c r="M78" s="349"/>
    </row>
    <row r="79" spans="1:13" ht="43.5" x14ac:dyDescent="0.35">
      <c r="B79" s="405">
        <f t="shared" si="5"/>
        <v>38</v>
      </c>
      <c r="C79" s="406" t="s">
        <v>1019</v>
      </c>
      <c r="D79" s="407" t="s">
        <v>1020</v>
      </c>
      <c r="E79" s="408" t="s">
        <v>1021</v>
      </c>
      <c r="F79" s="407" t="s">
        <v>1022</v>
      </c>
      <c r="G79" s="407">
        <f>359510+260190</f>
        <v>619700</v>
      </c>
      <c r="H79" s="407">
        <f>G79*18%</f>
        <v>111546</v>
      </c>
      <c r="I79" s="407">
        <f t="shared" si="7"/>
        <v>731246</v>
      </c>
      <c r="J79" s="407"/>
      <c r="K79" s="407"/>
      <c r="L79" s="407">
        <f t="shared" si="8"/>
        <v>731246</v>
      </c>
      <c r="M79" s="349"/>
    </row>
    <row r="80" spans="1:13" ht="145" x14ac:dyDescent="0.35">
      <c r="B80" s="405">
        <f t="shared" si="5"/>
        <v>39</v>
      </c>
      <c r="C80" s="406" t="s">
        <v>1023</v>
      </c>
      <c r="D80" s="407" t="s">
        <v>1024</v>
      </c>
      <c r="E80" s="408" t="s">
        <v>1025</v>
      </c>
      <c r="F80" s="407" t="s">
        <v>1026</v>
      </c>
      <c r="G80" s="407">
        <v>1900000</v>
      </c>
      <c r="H80" s="407">
        <f>G80*18%</f>
        <v>342000</v>
      </c>
      <c r="I80" s="407">
        <f t="shared" si="7"/>
        <v>2242000</v>
      </c>
      <c r="J80" s="407"/>
      <c r="K80" s="407"/>
      <c r="L80" s="407">
        <f t="shared" si="8"/>
        <v>2242000</v>
      </c>
      <c r="M80" s="349"/>
    </row>
    <row r="81" spans="2:13" ht="43.5" x14ac:dyDescent="0.35">
      <c r="B81" s="405">
        <f t="shared" si="5"/>
        <v>40</v>
      </c>
      <c r="C81" s="406" t="s">
        <v>1027</v>
      </c>
      <c r="D81" s="407" t="s">
        <v>1028</v>
      </c>
      <c r="E81" s="408" t="s">
        <v>1029</v>
      </c>
      <c r="F81" s="407" t="s">
        <v>1030</v>
      </c>
      <c r="G81" s="407">
        <v>2125000</v>
      </c>
      <c r="H81" s="407">
        <f>G81*18%</f>
        <v>382500</v>
      </c>
      <c r="I81" s="407">
        <f t="shared" si="7"/>
        <v>2507500</v>
      </c>
      <c r="J81" s="407"/>
      <c r="K81" s="407"/>
      <c r="L81" s="407">
        <f t="shared" si="8"/>
        <v>2507500</v>
      </c>
      <c r="M81" s="349"/>
    </row>
    <row r="82" spans="2:13" ht="87" x14ac:dyDescent="0.35">
      <c r="B82" s="405">
        <f t="shared" si="5"/>
        <v>41</v>
      </c>
      <c r="C82" s="406" t="s">
        <v>1031</v>
      </c>
      <c r="D82" s="407" t="s">
        <v>1032</v>
      </c>
      <c r="E82" s="408" t="s">
        <v>1025</v>
      </c>
      <c r="F82" s="407" t="s">
        <v>1033</v>
      </c>
      <c r="G82" s="407">
        <f>950000+85000</f>
        <v>1035000</v>
      </c>
      <c r="H82" s="407">
        <f>G82*18%</f>
        <v>186300</v>
      </c>
      <c r="I82" s="407">
        <f t="shared" si="7"/>
        <v>1221300</v>
      </c>
      <c r="J82" s="407"/>
      <c r="K82" s="407"/>
      <c r="L82" s="407">
        <f t="shared" si="8"/>
        <v>1221300</v>
      </c>
      <c r="M82" s="349"/>
    </row>
    <row r="83" spans="2:13" x14ac:dyDescent="0.35">
      <c r="B83" s="459" t="s">
        <v>479</v>
      </c>
      <c r="C83" s="460"/>
      <c r="D83" s="460"/>
      <c r="E83" s="460"/>
      <c r="F83" s="461"/>
      <c r="G83" s="361">
        <f>SUM(G42:G82)</f>
        <v>143615926</v>
      </c>
      <c r="H83" s="361">
        <f>SUM(H42:H82)</f>
        <v>26377726.679999996</v>
      </c>
      <c r="I83" s="361">
        <f>SUM(I42:I82)</f>
        <v>169993652.68000001</v>
      </c>
      <c r="J83" s="361">
        <f>SUM(J42:J82)</f>
        <v>1250000</v>
      </c>
      <c r="K83" s="361">
        <f>SUM(K42:K79)</f>
        <v>0</v>
      </c>
      <c r="L83" s="361">
        <f>SUM(L42:L82)</f>
        <v>168743652.68000001</v>
      </c>
      <c r="M83" s="349"/>
    </row>
    <row r="84" spans="2:13" x14ac:dyDescent="0.35">
      <c r="B84" s="356"/>
      <c r="C84" s="356"/>
      <c r="D84" s="356"/>
      <c r="E84" s="356"/>
      <c r="F84" s="356"/>
      <c r="G84" s="356"/>
      <c r="H84" s="356"/>
      <c r="I84" s="356"/>
      <c r="J84" s="356"/>
      <c r="K84" s="356"/>
      <c r="L84" s="356"/>
      <c r="M84" s="349"/>
    </row>
    <row r="85" spans="2:13" x14ac:dyDescent="0.35">
      <c r="B85" s="459" t="s">
        <v>1034</v>
      </c>
      <c r="C85" s="460"/>
      <c r="D85" s="460"/>
      <c r="E85" s="460"/>
      <c r="F85" s="461"/>
      <c r="G85" s="361">
        <f t="shared" ref="G85:L85" si="9">+G83+G38</f>
        <v>186485326</v>
      </c>
      <c r="H85" s="361">
        <f t="shared" si="9"/>
        <v>26377726.679999996</v>
      </c>
      <c r="I85" s="361">
        <f t="shared" si="9"/>
        <v>212863052.68000001</v>
      </c>
      <c r="J85" s="361">
        <f t="shared" si="9"/>
        <v>5457500</v>
      </c>
      <c r="K85" s="361">
        <f t="shared" si="9"/>
        <v>0</v>
      </c>
      <c r="L85" s="361">
        <f t="shared" si="9"/>
        <v>210905552.68000001</v>
      </c>
      <c r="M85" s="349"/>
    </row>
    <row r="86" spans="2:13" x14ac:dyDescent="0.35">
      <c r="B86" s="349"/>
      <c r="C86" s="349"/>
      <c r="D86" s="349"/>
      <c r="E86" s="349"/>
      <c r="F86" s="349"/>
      <c r="G86" s="349"/>
      <c r="H86" s="349"/>
      <c r="I86" s="349"/>
      <c r="J86" s="349"/>
      <c r="K86" s="349"/>
      <c r="L86" s="349"/>
      <c r="M86" s="349"/>
    </row>
    <row r="87" spans="2:13" x14ac:dyDescent="0.35">
      <c r="B87" s="349"/>
      <c r="C87" s="349"/>
      <c r="D87" s="349"/>
      <c r="E87" s="349"/>
      <c r="F87" s="349"/>
      <c r="G87" s="402" t="s">
        <v>1115</v>
      </c>
      <c r="H87" s="403"/>
      <c r="I87" s="404">
        <f>I85+J22</f>
        <v>315894794.30000001</v>
      </c>
      <c r="J87" s="349"/>
      <c r="K87" s="349"/>
      <c r="L87" s="349"/>
      <c r="M87" s="349"/>
    </row>
    <row r="88" spans="2:13" x14ac:dyDescent="0.35">
      <c r="B88" s="349"/>
      <c r="C88" s="349"/>
      <c r="D88" s="349"/>
      <c r="E88" s="349"/>
      <c r="F88" s="349"/>
      <c r="G88" s="349"/>
      <c r="H88" s="349"/>
      <c r="I88" s="68"/>
      <c r="J88" s="349"/>
      <c r="K88" s="349"/>
      <c r="L88" s="349"/>
      <c r="M88" s="349"/>
    </row>
    <row r="89" spans="2:13" x14ac:dyDescent="0.35">
      <c r="B89" s="349"/>
      <c r="C89" s="349"/>
      <c r="D89" s="349"/>
      <c r="E89" s="349"/>
      <c r="F89" s="349"/>
      <c r="G89" s="349"/>
      <c r="H89" s="349"/>
      <c r="I89" s="364"/>
      <c r="J89" s="349"/>
      <c r="K89" s="349"/>
      <c r="L89" s="349"/>
      <c r="M89" s="349"/>
    </row>
    <row r="90" spans="2:13" x14ac:dyDescent="0.35">
      <c r="B90" s="349"/>
      <c r="C90" s="349"/>
      <c r="D90" s="349"/>
      <c r="E90" s="349"/>
      <c r="F90" s="349"/>
      <c r="G90" s="349"/>
      <c r="H90" s="349"/>
      <c r="I90" s="349"/>
      <c r="J90" s="349"/>
      <c r="K90" s="349"/>
      <c r="L90" s="349"/>
      <c r="M90" s="349"/>
    </row>
    <row r="91" spans="2:13" x14ac:dyDescent="0.35">
      <c r="B91" s="349"/>
      <c r="C91" s="349"/>
      <c r="D91" s="349"/>
      <c r="E91" s="349"/>
      <c r="F91" s="349"/>
      <c r="G91" s="349"/>
      <c r="H91" s="349"/>
      <c r="I91" s="349"/>
      <c r="J91" s="349"/>
      <c r="K91" s="349"/>
      <c r="L91" s="349"/>
      <c r="M91" s="349"/>
    </row>
    <row r="92" spans="2:13" x14ac:dyDescent="0.35">
      <c r="B92" s="349"/>
      <c r="C92" s="349"/>
      <c r="D92" s="349"/>
      <c r="E92" s="349"/>
      <c r="F92" s="349"/>
      <c r="G92" s="349"/>
      <c r="H92" s="349"/>
      <c r="I92" s="349"/>
      <c r="J92" s="349"/>
      <c r="K92" s="349"/>
      <c r="L92" s="349"/>
      <c r="M92" s="349"/>
    </row>
  </sheetData>
  <mergeCells count="7">
    <mergeCell ref="B85:F85"/>
    <mergeCell ref="B2:G2"/>
    <mergeCell ref="K10:K11"/>
    <mergeCell ref="B25:G25"/>
    <mergeCell ref="B38:F38"/>
    <mergeCell ref="B83:F83"/>
    <mergeCell ref="B5: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B2:I29"/>
  <sheetViews>
    <sheetView showGridLines="0" workbookViewId="0">
      <selection activeCell="F4" sqref="F4"/>
    </sheetView>
  </sheetViews>
  <sheetFormatPr defaultColWidth="13" defaultRowHeight="14.5" x14ac:dyDescent="0.35"/>
  <cols>
    <col min="1" max="1" width="4.54296875" style="96" customWidth="1"/>
    <col min="2" max="2" width="8.453125" style="47" customWidth="1"/>
    <col min="3" max="3" width="48.453125" style="96" customWidth="1"/>
    <col min="4" max="4" width="19.7265625" style="109" customWidth="1"/>
    <col min="5" max="5" width="18.54296875" style="44" customWidth="1"/>
    <col min="6" max="7" width="21" style="44" customWidth="1"/>
    <col min="8" max="8" width="29.36328125" style="96" bestFit="1" customWidth="1"/>
    <col min="9" max="16384" width="13" style="96"/>
  </cols>
  <sheetData>
    <row r="2" spans="2:9" x14ac:dyDescent="0.35">
      <c r="B2" s="107" t="s">
        <v>1158</v>
      </c>
      <c r="D2" s="109" t="s">
        <v>1040</v>
      </c>
      <c r="F2" s="415"/>
    </row>
    <row r="3" spans="2:9" x14ac:dyDescent="0.35">
      <c r="B3" s="107" t="s">
        <v>1119</v>
      </c>
      <c r="D3" s="386">
        <v>45747</v>
      </c>
      <c r="E3" s="388"/>
      <c r="F3" s="415"/>
    </row>
    <row r="4" spans="2:9" x14ac:dyDescent="0.35">
      <c r="F4" s="250">
        <v>0</v>
      </c>
    </row>
    <row r="5" spans="2:9" ht="19.5" customHeight="1" x14ac:dyDescent="0.35">
      <c r="B5" s="93"/>
      <c r="C5" s="468" t="s">
        <v>1159</v>
      </c>
      <c r="D5" s="468"/>
      <c r="E5" s="468"/>
      <c r="F5" s="469"/>
      <c r="G5" s="469"/>
    </row>
    <row r="6" spans="2:9" s="46" customFormat="1" ht="30" customHeight="1" x14ac:dyDescent="0.35">
      <c r="B6" s="72"/>
      <c r="C6" s="72" t="s">
        <v>11</v>
      </c>
      <c r="D6" s="72" t="s">
        <v>4</v>
      </c>
      <c r="E6" s="72" t="s">
        <v>12</v>
      </c>
      <c r="F6" s="72" t="s">
        <v>1041</v>
      </c>
      <c r="G6" s="72" t="s">
        <v>196</v>
      </c>
      <c r="H6" s="387"/>
    </row>
    <row r="7" spans="2:9" s="97" customFormat="1" ht="21" customHeight="1" x14ac:dyDescent="0.35">
      <c r="B7" s="47"/>
      <c r="C7" s="447" t="s">
        <v>71</v>
      </c>
      <c r="D7" s="449"/>
      <c r="E7" s="449"/>
      <c r="F7" s="449"/>
      <c r="G7" s="449"/>
    </row>
    <row r="8" spans="2:9" s="97" customFormat="1" ht="21" customHeight="1" x14ac:dyDescent="0.35">
      <c r="B8" s="47" t="s">
        <v>84</v>
      </c>
      <c r="C8" s="53" t="s">
        <v>1136</v>
      </c>
      <c r="D8" s="113">
        <v>290000</v>
      </c>
      <c r="E8" s="58" t="s">
        <v>173</v>
      </c>
      <c r="F8" s="48">
        <f>986*12*(1-F4)</f>
        <v>11832</v>
      </c>
      <c r="G8" s="48">
        <f>(F8*D8)</f>
        <v>3431280000</v>
      </c>
      <c r="H8" s="97" t="s">
        <v>1141</v>
      </c>
      <c r="I8" s="391" t="s">
        <v>1138</v>
      </c>
    </row>
    <row r="9" spans="2:9" s="97" customFormat="1" ht="21" customHeight="1" x14ac:dyDescent="0.35">
      <c r="B9" s="47" t="s">
        <v>85</v>
      </c>
      <c r="C9" s="53" t="s">
        <v>1137</v>
      </c>
      <c r="D9" s="113">
        <v>270000</v>
      </c>
      <c r="E9" s="58" t="s">
        <v>173</v>
      </c>
      <c r="F9" s="48">
        <f>1478*12*(1-F4)</f>
        <v>17736</v>
      </c>
      <c r="G9" s="48">
        <f t="shared" ref="G9:G10" si="0">(F9*D9)</f>
        <v>4788720000</v>
      </c>
      <c r="H9" s="97" t="s">
        <v>1142</v>
      </c>
      <c r="I9" s="391" t="s">
        <v>1140</v>
      </c>
    </row>
    <row r="10" spans="2:9" s="97" customFormat="1" ht="21" customHeight="1" x14ac:dyDescent="0.35">
      <c r="B10" s="47" t="s">
        <v>86</v>
      </c>
      <c r="C10" s="53" t="s">
        <v>1039</v>
      </c>
      <c r="D10" s="113">
        <v>185000</v>
      </c>
      <c r="E10" s="58" t="s">
        <v>173</v>
      </c>
      <c r="F10" s="48">
        <f>336*12*(1-F4)</f>
        <v>4032</v>
      </c>
      <c r="G10" s="48">
        <f t="shared" si="0"/>
        <v>745920000</v>
      </c>
      <c r="H10" s="97" t="s">
        <v>1123</v>
      </c>
      <c r="I10" s="391" t="s">
        <v>1122</v>
      </c>
    </row>
    <row r="11" spans="2:9" s="64" customFormat="1" ht="21" customHeight="1" x14ac:dyDescent="0.35">
      <c r="B11" s="74"/>
      <c r="C11" s="116" t="s">
        <v>72</v>
      </c>
      <c r="D11" s="80"/>
      <c r="E11" s="80"/>
      <c r="F11" s="81">
        <f>SUM(F8:F10)</f>
        <v>33600</v>
      </c>
      <c r="G11" s="81">
        <f>SUM(G8:G10)</f>
        <v>8965920000</v>
      </c>
      <c r="H11" s="97"/>
      <c r="I11" s="97"/>
    </row>
    <row r="12" spans="2:9" s="64" customFormat="1" ht="21" customHeight="1" x14ac:dyDescent="0.35">
      <c r="B12" s="47"/>
      <c r="C12" s="108"/>
      <c r="D12" s="46"/>
      <c r="E12" s="46"/>
      <c r="F12" s="52"/>
      <c r="G12" s="52"/>
      <c r="H12" s="97"/>
      <c r="I12" s="97"/>
    </row>
    <row r="13" spans="2:9" s="97" customFormat="1" ht="21" customHeight="1" x14ac:dyDescent="0.35">
      <c r="B13" s="47"/>
      <c r="C13" s="447" t="s">
        <v>73</v>
      </c>
      <c r="D13" s="449"/>
      <c r="E13" s="449"/>
      <c r="F13" s="449"/>
      <c r="G13" s="449"/>
    </row>
    <row r="14" spans="2:9" s="97" customFormat="1" ht="21" customHeight="1" x14ac:dyDescent="0.35">
      <c r="B14" s="47"/>
      <c r="C14" s="447" t="s">
        <v>74</v>
      </c>
      <c r="D14" s="470"/>
      <c r="E14" s="470"/>
      <c r="F14" s="470"/>
      <c r="G14" s="470"/>
    </row>
    <row r="15" spans="2:9" s="97" customFormat="1" ht="21" customHeight="1" x14ac:dyDescent="0.35">
      <c r="B15" s="71">
        <v>1</v>
      </c>
      <c r="C15" s="471" t="s">
        <v>201</v>
      </c>
      <c r="D15" s="472"/>
      <c r="E15" s="472"/>
      <c r="F15" s="472"/>
      <c r="G15" s="472"/>
      <c r="H15" s="422" t="s">
        <v>1152</v>
      </c>
    </row>
    <row r="16" spans="2:9" s="97" customFormat="1" x14ac:dyDescent="0.35">
      <c r="B16" s="47" t="s">
        <v>84</v>
      </c>
      <c r="C16" s="53" t="s">
        <v>1135</v>
      </c>
      <c r="D16" s="58">
        <v>245000</v>
      </c>
      <c r="E16" s="58" t="s">
        <v>173</v>
      </c>
      <c r="F16" s="48">
        <f>F11</f>
        <v>33600</v>
      </c>
      <c r="G16" s="48">
        <f>(F16*D16)</f>
        <v>8232000000</v>
      </c>
      <c r="H16" s="391" t="s">
        <v>1121</v>
      </c>
      <c r="I16" s="231"/>
    </row>
    <row r="17" spans="2:9" s="64" customFormat="1" ht="21" customHeight="1" x14ac:dyDescent="0.35">
      <c r="B17" s="74"/>
      <c r="C17" s="80" t="s">
        <v>43</v>
      </c>
      <c r="D17" s="80"/>
      <c r="E17" s="80"/>
      <c r="F17" s="81">
        <f>SUM(F16:F16)</f>
        <v>33600</v>
      </c>
      <c r="G17" s="81">
        <f>SUM(G16:G16)</f>
        <v>8232000000</v>
      </c>
      <c r="I17" s="97"/>
    </row>
    <row r="18" spans="2:9" s="97" customFormat="1" ht="21" customHeight="1" x14ac:dyDescent="0.35">
      <c r="B18" s="71">
        <v>2</v>
      </c>
      <c r="C18" s="471" t="s">
        <v>578</v>
      </c>
      <c r="D18" s="473"/>
      <c r="E18" s="473"/>
      <c r="F18" s="473"/>
      <c r="G18" s="473"/>
      <c r="H18" s="64"/>
    </row>
    <row r="19" spans="2:9" s="97" customFormat="1" ht="21" customHeight="1" x14ac:dyDescent="0.35">
      <c r="B19" s="47" t="s">
        <v>84</v>
      </c>
      <c r="C19" s="53" t="s">
        <v>1042</v>
      </c>
      <c r="D19" s="58">
        <v>7.3</v>
      </c>
      <c r="E19" s="58" t="s">
        <v>197</v>
      </c>
      <c r="F19" s="48">
        <f>4000*300*8*2</f>
        <v>19200000</v>
      </c>
      <c r="G19" s="416">
        <f>D19*F19</f>
        <v>140160000</v>
      </c>
      <c r="H19" s="422" t="s">
        <v>1144</v>
      </c>
    </row>
    <row r="20" spans="2:9" s="97" customFormat="1" ht="21" customHeight="1" x14ac:dyDescent="0.35">
      <c r="B20" s="47" t="s">
        <v>85</v>
      </c>
      <c r="C20" s="53" t="s">
        <v>1043</v>
      </c>
      <c r="D20" s="58"/>
      <c r="E20" s="58" t="s">
        <v>581</v>
      </c>
      <c r="F20" s="48"/>
      <c r="G20" s="416">
        <f>50000*12</f>
        <v>600000</v>
      </c>
      <c r="H20" s="422" t="s">
        <v>1139</v>
      </c>
    </row>
    <row r="21" spans="2:9" s="97" customFormat="1" ht="21" customHeight="1" x14ac:dyDescent="0.35">
      <c r="B21" s="47" t="s">
        <v>86</v>
      </c>
      <c r="C21" s="53" t="s">
        <v>1044</v>
      </c>
      <c r="D21" s="177">
        <f>SUM('CoP-MoF'!D6,'CoP-MoF'!D7,'CoP-MoF'!D8)*5%</f>
        <v>19288239.715</v>
      </c>
      <c r="E21" s="58" t="s">
        <v>199</v>
      </c>
      <c r="F21" s="48">
        <v>1</v>
      </c>
      <c r="G21" s="48">
        <f>(F21*D21)</f>
        <v>19288239.715</v>
      </c>
      <c r="H21" s="327"/>
    </row>
    <row r="22" spans="2:9" s="97" customFormat="1" ht="21" customHeight="1" x14ac:dyDescent="0.35">
      <c r="B22" s="74"/>
      <c r="C22" s="80" t="s">
        <v>43</v>
      </c>
      <c r="D22" s="80"/>
      <c r="E22" s="80"/>
      <c r="F22" s="85"/>
      <c r="G22" s="81">
        <f>SUM(G19:G21)</f>
        <v>160048239.715</v>
      </c>
    </row>
    <row r="23" spans="2:9" s="46" customFormat="1" ht="19.5" customHeight="1" x14ac:dyDescent="0.35">
      <c r="B23" s="94"/>
      <c r="C23" s="94" t="s">
        <v>11</v>
      </c>
      <c r="D23" s="94" t="s">
        <v>4</v>
      </c>
      <c r="E23" s="94" t="s">
        <v>12</v>
      </c>
      <c r="F23" s="94" t="s">
        <v>13</v>
      </c>
      <c r="G23" s="94" t="s">
        <v>196</v>
      </c>
      <c r="H23" s="97"/>
      <c r="I23" s="97"/>
    </row>
    <row r="24" spans="2:9" s="97" customFormat="1" ht="21" customHeight="1" x14ac:dyDescent="0.35">
      <c r="B24" s="47"/>
      <c r="C24" s="447" t="s">
        <v>75</v>
      </c>
      <c r="D24" s="447"/>
      <c r="E24" s="447"/>
      <c r="F24" s="447"/>
      <c r="G24" s="447"/>
    </row>
    <row r="25" spans="2:9" s="97" customFormat="1" ht="21" customHeight="1" x14ac:dyDescent="0.35">
      <c r="B25" s="71">
        <v>1</v>
      </c>
      <c r="C25" s="110" t="s">
        <v>202</v>
      </c>
      <c r="D25" s="117"/>
      <c r="E25" s="117"/>
      <c r="F25" s="117"/>
      <c r="G25" s="117"/>
    </row>
    <row r="26" spans="2:9" s="97" customFormat="1" ht="21" customHeight="1" x14ac:dyDescent="0.35">
      <c r="B26" s="47" t="s">
        <v>93</v>
      </c>
      <c r="C26" s="53" t="s">
        <v>1060</v>
      </c>
      <c r="D26" s="177">
        <f>'sal &amp; wages'!F15</f>
        <v>5440000</v>
      </c>
      <c r="E26" s="58" t="s">
        <v>198</v>
      </c>
      <c r="F26" s="48">
        <v>12</v>
      </c>
      <c r="G26" s="48">
        <f t="shared" ref="G26:G27" si="1">(F26*D26)</f>
        <v>65280000</v>
      </c>
      <c r="H26" s="387" t="s">
        <v>1084</v>
      </c>
    </row>
    <row r="27" spans="2:9" x14ac:dyDescent="0.35">
      <c r="B27" s="47" t="s">
        <v>94</v>
      </c>
      <c r="C27" s="53" t="s">
        <v>1061</v>
      </c>
      <c r="D27" s="109">
        <f>101*10^5</f>
        <v>10100000</v>
      </c>
      <c r="E27" s="58" t="s">
        <v>199</v>
      </c>
      <c r="F27" s="48">
        <v>1</v>
      </c>
      <c r="G27" s="48">
        <f t="shared" si="1"/>
        <v>10100000</v>
      </c>
      <c r="H27" s="387" t="s">
        <v>1084</v>
      </c>
    </row>
    <row r="28" spans="2:9" x14ac:dyDescent="0.35">
      <c r="B28" s="375" t="s">
        <v>95</v>
      </c>
      <c r="C28" s="376" t="s">
        <v>1062</v>
      </c>
      <c r="D28" s="377">
        <f>25*10^5</f>
        <v>2500000</v>
      </c>
      <c r="E28" s="378" t="s">
        <v>199</v>
      </c>
      <c r="F28" s="379">
        <v>1</v>
      </c>
      <c r="G28" s="379">
        <f t="shared" ref="G28" si="2">(F28*D28)</f>
        <v>2500000</v>
      </c>
      <c r="H28" s="387" t="s">
        <v>1084</v>
      </c>
    </row>
    <row r="29" spans="2:9" x14ac:dyDescent="0.35">
      <c r="G29" s="52">
        <f>SUM(G26:G28)</f>
        <v>77880000</v>
      </c>
    </row>
  </sheetData>
  <customSheetViews>
    <customSheetView guid="{22475485-DA09-46DB-978D-BB94CE1E5597}">
      <selection activeCell="C4" sqref="C4"/>
      <pageMargins left="0.7" right="0.7" top="0.75" bottom="0.75" header="0.3" footer="0.3"/>
      <pageSetup paperSize="9" orientation="landscape" r:id="rId1"/>
    </customSheetView>
  </customSheetViews>
  <mergeCells count="7">
    <mergeCell ref="C5:G5"/>
    <mergeCell ref="C14:G14"/>
    <mergeCell ref="C7:G7"/>
    <mergeCell ref="C13:G13"/>
    <mergeCell ref="C24:G24"/>
    <mergeCell ref="C15:G15"/>
    <mergeCell ref="C18:G18"/>
  </mergeCells>
  <dataValidations count="1">
    <dataValidation type="list" allowBlank="1" showInputMessage="1" showErrorMessage="1" sqref="F4" xr:uid="{AE329937-56F4-4989-AB25-7051AEA7CE95}">
      <formula1>"0%,10%"</formula1>
    </dataValidation>
  </dataValidations>
  <hyperlinks>
    <hyperlink ref="I10" r:id="rId2" location="google_vignette" xr:uid="{7C54ABEF-0A3D-4D20-8DAD-98986F94FE2C}"/>
    <hyperlink ref="H16" r:id="rId3" xr:uid="{47162E07-B277-4E66-B243-8D531A814368}"/>
    <hyperlink ref="I8" r:id="rId4" xr:uid="{BB877602-9D78-41D8-9C3B-34D903946156}"/>
  </hyperlinks>
  <pageMargins left="0.7" right="0.7" top="0.75" bottom="0.75" header="0.3" footer="0.3"/>
  <pageSetup paperSize="9" orientation="landscape"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145"/>
  <sheetViews>
    <sheetView topLeftCell="A124" workbookViewId="0">
      <selection activeCell="C140" sqref="C140"/>
    </sheetView>
  </sheetViews>
  <sheetFormatPr defaultRowHeight="14.5" x14ac:dyDescent="0.35"/>
  <cols>
    <col min="1" max="1" width="5.1796875" customWidth="1"/>
    <col min="2" max="2" width="7.453125" customWidth="1"/>
    <col min="3" max="3" width="25.81640625" customWidth="1"/>
    <col min="4" max="4" width="10" bestFit="1" customWidth="1"/>
    <col min="6" max="6" width="11.26953125" customWidth="1"/>
    <col min="15" max="15" width="16.81640625" bestFit="1" customWidth="1"/>
    <col min="17" max="17" width="14.26953125" bestFit="1" customWidth="1"/>
  </cols>
  <sheetData>
    <row r="2" spans="2:17" x14ac:dyDescent="0.35">
      <c r="B2" t="s">
        <v>656</v>
      </c>
    </row>
    <row r="4" spans="2:17" x14ac:dyDescent="0.35">
      <c r="B4" t="s">
        <v>657</v>
      </c>
    </row>
    <row r="6" spans="2:17" ht="15" thickBot="1" x14ac:dyDescent="0.4">
      <c r="B6" t="s">
        <v>658</v>
      </c>
    </row>
    <row r="7" spans="2:17" x14ac:dyDescent="0.35">
      <c r="B7" t="s">
        <v>659</v>
      </c>
      <c r="O7" s="474" t="s">
        <v>663</v>
      </c>
      <c r="P7" s="475"/>
      <c r="Q7" s="476"/>
    </row>
    <row r="8" spans="2:17" x14ac:dyDescent="0.35">
      <c r="O8" s="235"/>
      <c r="Q8" s="236"/>
    </row>
    <row r="9" spans="2:17" x14ac:dyDescent="0.35">
      <c r="B9" t="s">
        <v>660</v>
      </c>
      <c r="O9" s="237">
        <f>26*10^7</f>
        <v>260000000</v>
      </c>
      <c r="P9" s="232"/>
      <c r="Q9" s="238">
        <f>O9/O10</f>
        <v>32500000</v>
      </c>
    </row>
    <row r="10" spans="2:17" x14ac:dyDescent="0.35">
      <c r="O10" s="239">
        <v>8</v>
      </c>
      <c r="P10" s="233"/>
      <c r="Q10" s="240"/>
    </row>
    <row r="11" spans="2:17" x14ac:dyDescent="0.35">
      <c r="B11" t="s">
        <v>661</v>
      </c>
      <c r="O11" s="235"/>
      <c r="Q11" s="236"/>
    </row>
    <row r="12" spans="2:17" x14ac:dyDescent="0.35">
      <c r="O12" s="241">
        <f>32*10^7</f>
        <v>320000000</v>
      </c>
      <c r="P12" s="232"/>
      <c r="Q12" s="242">
        <f>O12/O13</f>
        <v>64000000</v>
      </c>
    </row>
    <row r="13" spans="2:17" x14ac:dyDescent="0.35">
      <c r="B13" t="s">
        <v>662</v>
      </c>
      <c r="O13" s="239">
        <v>5</v>
      </c>
      <c r="P13" s="233"/>
      <c r="Q13" s="240"/>
    </row>
    <row r="14" spans="2:17" x14ac:dyDescent="0.35">
      <c r="O14" s="235"/>
      <c r="Q14" s="236"/>
    </row>
    <row r="15" spans="2:17" x14ac:dyDescent="0.35">
      <c r="B15" t="s">
        <v>676</v>
      </c>
      <c r="O15" s="241">
        <f>150*10^7</f>
        <v>1500000000</v>
      </c>
      <c r="P15" s="232"/>
      <c r="Q15" s="242">
        <f>O15/O16</f>
        <v>83333333.333333328</v>
      </c>
    </row>
    <row r="16" spans="2:17" x14ac:dyDescent="0.35">
      <c r="O16" s="239">
        <v>18</v>
      </c>
      <c r="P16" s="233"/>
      <c r="Q16" s="240"/>
    </row>
    <row r="17" spans="2:17" x14ac:dyDescent="0.35">
      <c r="B17" t="s">
        <v>677</v>
      </c>
      <c r="O17" s="235"/>
      <c r="Q17" s="236"/>
    </row>
    <row r="18" spans="2:17" x14ac:dyDescent="0.35">
      <c r="O18" s="237">
        <f>230*10^7</f>
        <v>2300000000</v>
      </c>
      <c r="P18" s="232"/>
      <c r="Q18" s="242">
        <f>O18/O19</f>
        <v>69696969.696969703</v>
      </c>
    </row>
    <row r="19" spans="2:17" ht="15" thickBot="1" x14ac:dyDescent="0.4">
      <c r="C19" t="s">
        <v>717</v>
      </c>
      <c r="O19" s="243">
        <v>33</v>
      </c>
      <c r="P19" s="244"/>
      <c r="Q19" s="245"/>
    </row>
    <row r="21" spans="2:17" x14ac:dyDescent="0.35">
      <c r="C21" t="s">
        <v>718</v>
      </c>
    </row>
    <row r="22" spans="2:17" x14ac:dyDescent="0.35">
      <c r="C22" s="234" t="s">
        <v>664</v>
      </c>
      <c r="D22" s="234"/>
      <c r="E22" s="234"/>
      <c r="F22" s="234"/>
    </row>
    <row r="23" spans="2:17" x14ac:dyDescent="0.35">
      <c r="D23" s="477" t="s">
        <v>665</v>
      </c>
      <c r="E23" s="477"/>
      <c r="F23" t="s">
        <v>669</v>
      </c>
    </row>
    <row r="24" spans="2:17" x14ac:dyDescent="0.35">
      <c r="C24" t="s">
        <v>667</v>
      </c>
      <c r="D24" s="248">
        <v>22267</v>
      </c>
      <c r="E24" s="247" t="s">
        <v>666</v>
      </c>
      <c r="F24" s="11">
        <v>5</v>
      </c>
      <c r="G24" t="s">
        <v>670</v>
      </c>
    </row>
    <row r="25" spans="2:17" x14ac:dyDescent="0.35">
      <c r="C25" t="s">
        <v>668</v>
      </c>
      <c r="D25" s="246">
        <v>22540</v>
      </c>
      <c r="E25" s="11" t="s">
        <v>666</v>
      </c>
    </row>
    <row r="27" spans="2:17" x14ac:dyDescent="0.35">
      <c r="C27" s="249" t="s">
        <v>671</v>
      </c>
      <c r="D27" s="477" t="s">
        <v>672</v>
      </c>
      <c r="E27" s="477"/>
      <c r="F27" s="247" t="s">
        <v>673</v>
      </c>
    </row>
    <row r="29" spans="2:17" ht="130.5" x14ac:dyDescent="0.35">
      <c r="C29" s="251" t="s">
        <v>679</v>
      </c>
      <c r="D29" s="247">
        <v>4000</v>
      </c>
      <c r="E29" s="247" t="s">
        <v>666</v>
      </c>
      <c r="F29" s="247">
        <v>50</v>
      </c>
      <c r="G29" s="247" t="s">
        <v>678</v>
      </c>
    </row>
    <row r="31" spans="2:17" x14ac:dyDescent="0.35">
      <c r="D31">
        <v>50</v>
      </c>
      <c r="E31">
        <v>4000</v>
      </c>
    </row>
    <row r="32" spans="2:17" x14ac:dyDescent="0.35">
      <c r="D32">
        <v>1</v>
      </c>
      <c r="E32">
        <f>E31/D31</f>
        <v>80</v>
      </c>
    </row>
    <row r="33" spans="3:5" x14ac:dyDescent="0.35">
      <c r="D33">
        <v>700</v>
      </c>
      <c r="E33">
        <f>D33*E32</f>
        <v>56000</v>
      </c>
    </row>
    <row r="41" spans="3:5" x14ac:dyDescent="0.35">
      <c r="C41" t="s">
        <v>707</v>
      </c>
    </row>
    <row r="43" spans="3:5" x14ac:dyDescent="0.35">
      <c r="C43" t="s">
        <v>675</v>
      </c>
    </row>
    <row r="44" spans="3:5" x14ac:dyDescent="0.35">
      <c r="C44" t="s">
        <v>682</v>
      </c>
    </row>
    <row r="46" spans="3:5" x14ac:dyDescent="0.35">
      <c r="C46" t="s">
        <v>680</v>
      </c>
    </row>
    <row r="47" spans="3:5" x14ac:dyDescent="0.35">
      <c r="C47" t="s">
        <v>683</v>
      </c>
    </row>
    <row r="48" spans="3:5" x14ac:dyDescent="0.35">
      <c r="C48" t="s">
        <v>681</v>
      </c>
    </row>
    <row r="49" spans="3:3" x14ac:dyDescent="0.35">
      <c r="C49" t="s">
        <v>684</v>
      </c>
    </row>
    <row r="50" spans="3:3" x14ac:dyDescent="0.35">
      <c r="C50" t="s">
        <v>685</v>
      </c>
    </row>
    <row r="53" spans="3:3" x14ac:dyDescent="0.35">
      <c r="C53" t="s">
        <v>690</v>
      </c>
    </row>
    <row r="54" spans="3:3" x14ac:dyDescent="0.35">
      <c r="C54" t="s">
        <v>692</v>
      </c>
    </row>
    <row r="55" spans="3:3" x14ac:dyDescent="0.35">
      <c r="C55" t="s">
        <v>686</v>
      </c>
    </row>
    <row r="57" spans="3:3" x14ac:dyDescent="0.35">
      <c r="C57" t="s">
        <v>687</v>
      </c>
    </row>
    <row r="59" spans="3:3" x14ac:dyDescent="0.35">
      <c r="C59" t="s">
        <v>688</v>
      </c>
    </row>
    <row r="60" spans="3:3" x14ac:dyDescent="0.35">
      <c r="C60" t="s">
        <v>689</v>
      </c>
    </row>
    <row r="62" spans="3:3" x14ac:dyDescent="0.35">
      <c r="C62" t="s">
        <v>691</v>
      </c>
    </row>
    <row r="64" spans="3:3" x14ac:dyDescent="0.35">
      <c r="C64" t="s">
        <v>719</v>
      </c>
    </row>
    <row r="66" spans="3:4" x14ac:dyDescent="0.35">
      <c r="C66" t="s">
        <v>693</v>
      </c>
    </row>
    <row r="67" spans="3:4" x14ac:dyDescent="0.35">
      <c r="C67" t="s">
        <v>694</v>
      </c>
    </row>
    <row r="69" spans="3:4" x14ac:dyDescent="0.35">
      <c r="C69" t="s">
        <v>696</v>
      </c>
    </row>
    <row r="70" spans="3:4" x14ac:dyDescent="0.35">
      <c r="C70" t="s">
        <v>695</v>
      </c>
    </row>
    <row r="73" spans="3:4" x14ac:dyDescent="0.35">
      <c r="C73" t="s">
        <v>697</v>
      </c>
    </row>
    <row r="75" spans="3:4" x14ac:dyDescent="0.35">
      <c r="C75" t="s">
        <v>698</v>
      </c>
    </row>
    <row r="77" spans="3:4" x14ac:dyDescent="0.35">
      <c r="C77" t="s">
        <v>699</v>
      </c>
    </row>
    <row r="78" spans="3:4" x14ac:dyDescent="0.35">
      <c r="C78" t="s">
        <v>700</v>
      </c>
    </row>
    <row r="79" spans="3:4" x14ac:dyDescent="0.35">
      <c r="C79">
        <v>9626875</v>
      </c>
      <c r="D79">
        <v>9626874</v>
      </c>
    </row>
    <row r="80" spans="3:4" x14ac:dyDescent="0.35">
      <c r="C80" t="s">
        <v>695</v>
      </c>
    </row>
    <row r="82" spans="3:3" x14ac:dyDescent="0.35">
      <c r="C82" t="s">
        <v>701</v>
      </c>
    </row>
    <row r="85" spans="3:3" x14ac:dyDescent="0.35">
      <c r="C85" t="s">
        <v>702</v>
      </c>
    </row>
    <row r="86" spans="3:3" x14ac:dyDescent="0.35">
      <c r="C86" t="s">
        <v>703</v>
      </c>
    </row>
    <row r="88" spans="3:3" x14ac:dyDescent="0.35">
      <c r="C88" t="s">
        <v>700</v>
      </c>
    </row>
    <row r="89" spans="3:3" x14ac:dyDescent="0.35">
      <c r="C89" t="s">
        <v>704</v>
      </c>
    </row>
    <row r="91" spans="3:3" x14ac:dyDescent="0.35">
      <c r="C91" t="s">
        <v>705</v>
      </c>
    </row>
    <row r="92" spans="3:3" x14ac:dyDescent="0.35">
      <c r="C92" t="s">
        <v>706</v>
      </c>
    </row>
    <row r="94" spans="3:3" x14ac:dyDescent="0.35">
      <c r="C94" t="s">
        <v>716</v>
      </c>
    </row>
    <row r="95" spans="3:3" x14ac:dyDescent="0.35">
      <c r="C95" t="s">
        <v>714</v>
      </c>
    </row>
    <row r="96" spans="3:3" x14ac:dyDescent="0.35">
      <c r="C96" t="s">
        <v>708</v>
      </c>
    </row>
    <row r="97" spans="3:3" x14ac:dyDescent="0.35">
      <c r="C97" t="s">
        <v>709</v>
      </c>
    </row>
    <row r="99" spans="3:3" x14ac:dyDescent="0.35">
      <c r="C99" t="s">
        <v>710</v>
      </c>
    </row>
    <row r="100" spans="3:3" x14ac:dyDescent="0.35">
      <c r="C100" t="s">
        <v>715</v>
      </c>
    </row>
    <row r="101" spans="3:3" x14ac:dyDescent="0.35">
      <c r="C101" t="s">
        <v>711</v>
      </c>
    </row>
    <row r="102" spans="3:3" x14ac:dyDescent="0.35">
      <c r="C102" s="252" t="s">
        <v>712</v>
      </c>
    </row>
    <row r="103" spans="3:3" x14ac:dyDescent="0.35">
      <c r="C103" t="s">
        <v>713</v>
      </c>
    </row>
    <row r="107" spans="3:3" x14ac:dyDescent="0.35">
      <c r="C107" t="s">
        <v>723</v>
      </c>
    </row>
    <row r="110" spans="3:3" x14ac:dyDescent="0.35">
      <c r="C110" t="s">
        <v>722</v>
      </c>
    </row>
    <row r="111" spans="3:3" x14ac:dyDescent="0.35">
      <c r="C111" t="s">
        <v>724</v>
      </c>
    </row>
    <row r="114" spans="3:3" x14ac:dyDescent="0.35">
      <c r="C114" t="s">
        <v>725</v>
      </c>
    </row>
    <row r="120" spans="3:3" x14ac:dyDescent="0.35">
      <c r="C120" t="s">
        <v>726</v>
      </c>
    </row>
    <row r="122" spans="3:3" x14ac:dyDescent="0.35">
      <c r="C122" t="s">
        <v>727</v>
      </c>
    </row>
    <row r="126" spans="3:3" x14ac:dyDescent="0.35">
      <c r="C126" t="s">
        <v>731</v>
      </c>
    </row>
    <row r="127" spans="3:3" x14ac:dyDescent="0.35">
      <c r="C127" s="252" t="s">
        <v>730</v>
      </c>
    </row>
    <row r="128" spans="3:3" x14ac:dyDescent="0.35">
      <c r="C128" t="s">
        <v>729</v>
      </c>
    </row>
    <row r="130" spans="3:3" x14ac:dyDescent="0.35">
      <c r="C130" t="s">
        <v>728</v>
      </c>
    </row>
    <row r="131" spans="3:3" x14ac:dyDescent="0.35">
      <c r="C131" t="s">
        <v>734</v>
      </c>
    </row>
    <row r="132" spans="3:3" x14ac:dyDescent="0.35">
      <c r="C132" t="s">
        <v>733</v>
      </c>
    </row>
    <row r="133" spans="3:3" x14ac:dyDescent="0.35">
      <c r="C133" s="252" t="s">
        <v>732</v>
      </c>
    </row>
    <row r="134" spans="3:3" x14ac:dyDescent="0.35">
      <c r="C134" t="s">
        <v>735</v>
      </c>
    </row>
    <row r="136" spans="3:3" x14ac:dyDescent="0.35">
      <c r="C136" t="s">
        <v>739</v>
      </c>
    </row>
    <row r="138" spans="3:3" x14ac:dyDescent="0.35">
      <c r="C138" t="s">
        <v>736</v>
      </c>
    </row>
    <row r="140" spans="3:3" x14ac:dyDescent="0.35">
      <c r="C140" t="s">
        <v>740</v>
      </c>
    </row>
    <row r="142" spans="3:3" x14ac:dyDescent="0.35">
      <c r="C142" t="s">
        <v>737</v>
      </c>
    </row>
    <row r="145" spans="3:3" ht="409.5" x14ac:dyDescent="0.35">
      <c r="C145" s="257" t="s">
        <v>738</v>
      </c>
    </row>
  </sheetData>
  <mergeCells count="3">
    <mergeCell ref="O7:Q7"/>
    <mergeCell ref="D23:E23"/>
    <mergeCell ref="D27:E27"/>
  </mergeCells>
  <hyperlinks>
    <hyperlink ref="C29" r:id="rId1" location=":~:text=Feedstock%20storage,compartments%20and%20other%20auxiliary%20machinery." xr:uid="{00000000-0004-0000-0400-000000000000}"/>
    <hyperlink ref="C102" r:id="rId2" xr:uid="{00000000-0004-0000-0400-000001000000}"/>
    <hyperlink ref="C127" r:id="rId3" xr:uid="{00000000-0004-0000-0400-000002000000}"/>
    <hyperlink ref="C133" r:id="rId4" xr:uid="{00000000-0004-0000-0400-000003000000}"/>
  </hyperlinks>
  <pageMargins left="0.7" right="0.7" top="0.75" bottom="0.75" header="0.3" footer="0.3"/>
  <pageSetup orientation="portrait"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8" tint="-0.249977111117893"/>
  </sheetPr>
  <dimension ref="A1:Q59"/>
  <sheetViews>
    <sheetView showGridLines="0" workbookViewId="0">
      <pane xSplit="2" ySplit="5" topLeftCell="D6" activePane="bottomRight" state="frozen"/>
      <selection activeCell="A2" sqref="A2"/>
      <selection pane="topRight" activeCell="B2" sqref="B2"/>
      <selection pane="bottomLeft" activeCell="A5" sqref="A5"/>
      <selection pane="bottomRight" activeCell="D12" sqref="D12"/>
    </sheetView>
  </sheetViews>
  <sheetFormatPr defaultColWidth="32.26953125" defaultRowHeight="14.5" x14ac:dyDescent="0.35"/>
  <cols>
    <col min="1" max="1" width="4.81640625" style="96" customWidth="1"/>
    <col min="2" max="2" width="36.7265625" style="121" customWidth="1"/>
    <col min="3" max="3" width="8.453125" style="96" hidden="1" customWidth="1"/>
    <col min="4" max="11" width="11.7265625" style="96" customWidth="1"/>
    <col min="12" max="16384" width="32.26953125" style="96"/>
  </cols>
  <sheetData>
    <row r="1" spans="1:17" hidden="1" x14ac:dyDescent="0.35">
      <c r="B1" s="121">
        <v>100000</v>
      </c>
    </row>
    <row r="3" spans="1:17" s="97" customFormat="1" ht="19.5" customHeight="1" x14ac:dyDescent="0.35">
      <c r="B3" s="456" t="s">
        <v>204</v>
      </c>
      <c r="C3" s="456"/>
      <c r="D3" s="456"/>
      <c r="E3" s="456"/>
      <c r="F3" s="456"/>
      <c r="G3" s="456"/>
      <c r="H3" s="456"/>
      <c r="I3" s="456"/>
      <c r="J3" s="456"/>
      <c r="K3" s="456"/>
    </row>
    <row r="4" spans="1:17" s="97" customFormat="1" ht="18.75" customHeight="1" x14ac:dyDescent="0.35">
      <c r="B4" s="122" t="s">
        <v>542</v>
      </c>
      <c r="C4" s="93">
        <v>0</v>
      </c>
      <c r="D4" s="93">
        <v>0</v>
      </c>
      <c r="E4" s="93">
        <v>12</v>
      </c>
      <c r="F4" s="93">
        <v>12</v>
      </c>
      <c r="G4" s="93">
        <v>12</v>
      </c>
      <c r="H4" s="93">
        <v>12</v>
      </c>
      <c r="I4" s="93">
        <v>12</v>
      </c>
      <c r="J4" s="93">
        <v>12</v>
      </c>
      <c r="K4" s="93">
        <v>12</v>
      </c>
    </row>
    <row r="5" spans="1:17" s="58" customFormat="1" ht="19.5" customHeight="1" x14ac:dyDescent="0.35">
      <c r="B5" s="124" t="s">
        <v>14</v>
      </c>
      <c r="C5" s="125"/>
      <c r="D5" s="125">
        <v>2025</v>
      </c>
      <c r="E5" s="125">
        <f>D5+1</f>
        <v>2026</v>
      </c>
      <c r="F5" s="125">
        <f t="shared" ref="F5:J5" si="0">E5+1</f>
        <v>2027</v>
      </c>
      <c r="G5" s="125">
        <f t="shared" si="0"/>
        <v>2028</v>
      </c>
      <c r="H5" s="125">
        <f t="shared" si="0"/>
        <v>2029</v>
      </c>
      <c r="I5" s="125">
        <f t="shared" si="0"/>
        <v>2030</v>
      </c>
      <c r="J5" s="125">
        <f t="shared" si="0"/>
        <v>2031</v>
      </c>
      <c r="K5" s="125">
        <f>J5+1</f>
        <v>2032</v>
      </c>
    </row>
    <row r="6" spans="1:17" s="97" customFormat="1" ht="21" customHeight="1" x14ac:dyDescent="0.35">
      <c r="B6" s="107" t="s">
        <v>50</v>
      </c>
      <c r="C6" s="61"/>
      <c r="D6" s="433">
        <v>0</v>
      </c>
      <c r="E6" s="433">
        <v>0.3</v>
      </c>
      <c r="F6" s="433">
        <v>0.35</v>
      </c>
      <c r="G6" s="433">
        <v>0.4</v>
      </c>
      <c r="H6" s="433">
        <v>0.45</v>
      </c>
      <c r="I6" s="433">
        <v>0.5</v>
      </c>
      <c r="J6" s="433">
        <v>0.55000000000000004</v>
      </c>
      <c r="K6" s="433">
        <v>0.6</v>
      </c>
    </row>
    <row r="7" spans="1:17" s="97" customFormat="1" ht="21" customHeight="1" x14ac:dyDescent="0.35">
      <c r="B7" s="107" t="s">
        <v>1132</v>
      </c>
      <c r="C7" s="61"/>
      <c r="D7" s="434">
        <f>D6*Assump!$F$11</f>
        <v>0</v>
      </c>
      <c r="E7" s="434">
        <f>E6*Assump!$F$11</f>
        <v>10080</v>
      </c>
      <c r="F7" s="434">
        <f>F6*Assump!$F$11</f>
        <v>11760</v>
      </c>
      <c r="G7" s="434">
        <f>G6*Assump!$F$11</f>
        <v>13440</v>
      </c>
      <c r="H7" s="434">
        <f>H6*Assump!$F$11</f>
        <v>15120</v>
      </c>
      <c r="I7" s="434">
        <f>I6*Assump!$F$11</f>
        <v>16800</v>
      </c>
      <c r="J7" s="434">
        <f>J6*Assump!$F$11</f>
        <v>18480</v>
      </c>
      <c r="K7" s="434">
        <f>K6*Assump!$F$11</f>
        <v>20160</v>
      </c>
    </row>
    <row r="8" spans="1:17" s="97" customFormat="1" ht="21" customHeight="1" x14ac:dyDescent="0.35">
      <c r="B8" s="414" t="s">
        <v>1156</v>
      </c>
      <c r="C8" s="98"/>
      <c r="D8" s="100">
        <v>1</v>
      </c>
      <c r="E8" s="100">
        <f>(D8*1.05)</f>
        <v>1.05</v>
      </c>
      <c r="F8" s="100">
        <f t="shared" ref="F8:K8" si="1">(E8*1.05)</f>
        <v>1.1025</v>
      </c>
      <c r="G8" s="100">
        <f t="shared" si="1"/>
        <v>1.1576250000000001</v>
      </c>
      <c r="H8" s="100">
        <f t="shared" si="1"/>
        <v>1.2155062500000002</v>
      </c>
      <c r="I8" s="100">
        <f t="shared" si="1"/>
        <v>1.2762815625000004</v>
      </c>
      <c r="J8" s="100">
        <f t="shared" si="1"/>
        <v>1.3400956406250004</v>
      </c>
      <c r="K8" s="100">
        <f t="shared" si="1"/>
        <v>1.4071004226562505</v>
      </c>
      <c r="L8" s="387" t="s">
        <v>1157</v>
      </c>
    </row>
    <row r="9" spans="1:17" s="97" customFormat="1" ht="21" customHeight="1" x14ac:dyDescent="0.35">
      <c r="B9" s="51" t="s">
        <v>1037</v>
      </c>
      <c r="C9" s="98"/>
      <c r="D9" s="198">
        <f>(Assump!$G$8)/A*D$6*D$8*D4/12</f>
        <v>0</v>
      </c>
      <c r="E9" s="198">
        <f>(Assump!$G$8)/A*E$6*E$8*E4/12</f>
        <v>10808.532000000001</v>
      </c>
      <c r="F9" s="198">
        <f>(Assump!$G$8)/A*F$6*F$8*F4/12</f>
        <v>13240.4517</v>
      </c>
      <c r="G9" s="198">
        <f>(Assump!$G$8)/A*G$6*G$8*G4/12</f>
        <v>15888.542040000006</v>
      </c>
      <c r="H9" s="198">
        <f>(Assump!$G$8)/A*H$6*H$8*H4/12</f>
        <v>18768.340284750007</v>
      </c>
      <c r="I9" s="198">
        <f>(Assump!$G$8)/A*I$6*I$8*I4/12</f>
        <v>21896.396998875007</v>
      </c>
      <c r="J9" s="198">
        <f>(Assump!$G$8)/A*J$6*J$8*J4/12</f>
        <v>25290.338533700637</v>
      </c>
      <c r="K9" s="198">
        <f>(Assump!$G$8)/A*K$6*K$8*K4/12</f>
        <v>28968.933229511636</v>
      </c>
      <c r="N9" s="417" t="s">
        <v>1130</v>
      </c>
      <c r="O9" s="417" t="s">
        <v>1131</v>
      </c>
      <c r="P9" s="97" t="s">
        <v>1133</v>
      </c>
      <c r="Q9" s="97" t="s">
        <v>1134</v>
      </c>
    </row>
    <row r="10" spans="1:17" s="97" customFormat="1" ht="21" customHeight="1" x14ac:dyDescent="0.35">
      <c r="B10" s="51" t="s">
        <v>1038</v>
      </c>
      <c r="C10" s="98"/>
      <c r="D10" s="198">
        <f>(Assump!$G$9)/A*D$6*D$8*D4/12</f>
        <v>0</v>
      </c>
      <c r="E10" s="198">
        <f>(Assump!$G$9)/A*E$6*E$8*E4/12</f>
        <v>15084.467999999999</v>
      </c>
      <c r="F10" s="198">
        <f>(Assump!$G$9)/A*F$6*F$8*F4/12</f>
        <v>18478.473299999998</v>
      </c>
      <c r="G10" s="198">
        <f>(Assump!$G$9)/A*G$6*G$8*G4/12</f>
        <v>22174.167960000002</v>
      </c>
      <c r="H10" s="198">
        <f>(Assump!$G$9)/A*H$6*H$8*H4/12</f>
        <v>26193.235902750002</v>
      </c>
      <c r="I10" s="198">
        <f>(Assump!$G$9)/A*I$6*I$8*I4/12</f>
        <v>30558.775219875006</v>
      </c>
      <c r="J10" s="198">
        <f>(Assump!$G$9)/A*J$6*J$8*J4/12</f>
        <v>35295.385378955638</v>
      </c>
      <c r="K10" s="198">
        <f>(Assump!$G$9)/A*K$6*K$8*K4/12</f>
        <v>40429.259615894633</v>
      </c>
      <c r="N10" s="417"/>
      <c r="O10" s="417"/>
    </row>
    <row r="11" spans="1:17" s="97" customFormat="1" ht="21" customHeight="1" x14ac:dyDescent="0.35">
      <c r="B11" s="51" t="s">
        <v>1039</v>
      </c>
      <c r="C11" s="98"/>
      <c r="D11" s="198">
        <f>(Assump!$G$10)/A*D$6*D$8*D4/12</f>
        <v>0</v>
      </c>
      <c r="E11" s="198">
        <f>(Assump!$G$10)/A*E$6*E$8*E4/12</f>
        <v>2349.6479999999997</v>
      </c>
      <c r="F11" s="198">
        <f>(Assump!$G$10)/A*F$6*F$8*F4/12</f>
        <v>2878.3187999999996</v>
      </c>
      <c r="G11" s="198">
        <f>(Assump!$G$10)/A*G$6*G$8*G4/12</f>
        <v>3453.9825600000008</v>
      </c>
      <c r="H11" s="198">
        <f>(Assump!$G$10)/A*H$6*H$8*H4/12</f>
        <v>4080.0168990000006</v>
      </c>
      <c r="I11" s="198">
        <f>(Assump!$G$10)/A*I$6*I$8*I4/12</f>
        <v>4760.0197155000014</v>
      </c>
      <c r="J11" s="198">
        <f>(Assump!$G$10)/A*J$6*J$8*J4/12</f>
        <v>5497.8227714025024</v>
      </c>
      <c r="K11" s="198">
        <f>(Assump!$G$10)/A*K$6*K$8*K4/12</f>
        <v>6297.5060836065013</v>
      </c>
      <c r="M11" s="97" t="s">
        <v>1128</v>
      </c>
      <c r="N11" s="97">
        <f>33731.81</f>
        <v>33731.81</v>
      </c>
      <c r="O11" s="97">
        <v>78144</v>
      </c>
      <c r="P11" s="97">
        <v>34815</v>
      </c>
      <c r="Q11" s="97">
        <v>83542</v>
      </c>
    </row>
    <row r="12" spans="1:17" s="97" customFormat="1" ht="18" customHeight="1" x14ac:dyDescent="0.35">
      <c r="A12" s="250">
        <v>0</v>
      </c>
      <c r="B12" s="126" t="s">
        <v>53</v>
      </c>
      <c r="C12" s="127"/>
      <c r="D12" s="299">
        <f>SUM(D9:D11)*(1-$A$12)</f>
        <v>0</v>
      </c>
      <c r="E12" s="299">
        <f t="shared" ref="E12:K12" si="2">SUM(E9:E11)*(1-$A$12)</f>
        <v>28242.648000000001</v>
      </c>
      <c r="F12" s="299">
        <f t="shared" si="2"/>
        <v>34597.243799999997</v>
      </c>
      <c r="G12" s="299">
        <f t="shared" si="2"/>
        <v>41516.69256000001</v>
      </c>
      <c r="H12" s="299">
        <f t="shared" si="2"/>
        <v>49041.593086500012</v>
      </c>
      <c r="I12" s="299">
        <f t="shared" si="2"/>
        <v>57215.191934250011</v>
      </c>
      <c r="J12" s="299">
        <f t="shared" si="2"/>
        <v>66083.546684058776</v>
      </c>
      <c r="K12" s="299">
        <f t="shared" si="2"/>
        <v>75695.698929012768</v>
      </c>
      <c r="L12" s="300"/>
      <c r="M12" s="97" t="s">
        <v>1127</v>
      </c>
      <c r="N12" s="97">
        <v>6138.1329999999998</v>
      </c>
      <c r="O12" s="418">
        <f>25000*70%</f>
        <v>17500</v>
      </c>
      <c r="P12" s="418">
        <f>19183*70%</f>
        <v>13428.099999999999</v>
      </c>
      <c r="Q12" s="418">
        <f>76000*70%</f>
        <v>53200</v>
      </c>
    </row>
    <row r="13" spans="1:17" s="97" customFormat="1" ht="18" customHeight="1" x14ac:dyDescent="0.35">
      <c r="B13" s="107" t="s">
        <v>1129</v>
      </c>
      <c r="C13" s="420"/>
      <c r="D13" s="307" t="e">
        <f t="shared" ref="D13:K13" si="3">D12/D7</f>
        <v>#DIV/0!</v>
      </c>
      <c r="E13" s="307">
        <f t="shared" si="3"/>
        <v>2.80185</v>
      </c>
      <c r="F13" s="307">
        <f t="shared" si="3"/>
        <v>2.9419424999999997</v>
      </c>
      <c r="G13" s="307">
        <f t="shared" si="3"/>
        <v>3.0890396250000007</v>
      </c>
      <c r="H13" s="307">
        <f t="shared" si="3"/>
        <v>3.243491606250001</v>
      </c>
      <c r="I13" s="307">
        <f t="shared" si="3"/>
        <v>3.4056661865625006</v>
      </c>
      <c r="J13" s="307">
        <f t="shared" si="3"/>
        <v>3.5759494958906264</v>
      </c>
      <c r="K13" s="307">
        <f t="shared" si="3"/>
        <v>3.7547469706851571</v>
      </c>
      <c r="L13" s="300"/>
      <c r="M13" s="97" t="s">
        <v>1129</v>
      </c>
      <c r="N13" s="419">
        <f>N11/N12</f>
        <v>5.495451141250931</v>
      </c>
      <c r="O13" s="419">
        <f>O11/O12</f>
        <v>4.4653714285714283</v>
      </c>
      <c r="P13" s="419">
        <f>P11/P12</f>
        <v>2.5926974032067087</v>
      </c>
      <c r="Q13" s="419">
        <f>Q11/Q12</f>
        <v>1.5703383458646616</v>
      </c>
    </row>
    <row r="14" spans="1:17" s="97" customFormat="1" ht="21" customHeight="1" x14ac:dyDescent="0.35">
      <c r="B14" s="107" t="s">
        <v>54</v>
      </c>
      <c r="C14" s="98"/>
      <c r="D14" s="198"/>
      <c r="E14" s="198"/>
      <c r="F14" s="198"/>
      <c r="G14" s="198"/>
      <c r="H14" s="198"/>
      <c r="I14" s="198"/>
      <c r="J14" s="198"/>
      <c r="K14" s="198"/>
    </row>
    <row r="15" spans="1:17" s="97" customFormat="1" ht="21" customHeight="1" x14ac:dyDescent="0.35">
      <c r="A15" s="250">
        <v>0</v>
      </c>
      <c r="B15" s="51" t="s">
        <v>55</v>
      </c>
      <c r="C15" s="98"/>
      <c r="D15" s="198">
        <f>((Assump!$G$17)/A*D$6*D$8*D4/12)*(1+$A$15)</f>
        <v>0</v>
      </c>
      <c r="E15" s="198">
        <f>((Assump!$G$17)/A*E$6*E$8*E4/12)*(1+$A$15)</f>
        <v>25930.800000000003</v>
      </c>
      <c r="F15" s="198">
        <f>((Assump!$G$17)/A*F$6*F$8*F4/12)*(1+$A$15)</f>
        <v>31765.229999999996</v>
      </c>
      <c r="G15" s="198">
        <f>((Assump!$G$17)/A*G$6*G$8*G4/12)*(1+$A$15)</f>
        <v>38118.276000000005</v>
      </c>
      <c r="H15" s="198">
        <f>((Assump!$G$17)/A*H$6*H$8*H4/12)*(1+$A$15)</f>
        <v>45027.213525000006</v>
      </c>
      <c r="I15" s="198">
        <f>((Assump!$G$17)/A*I$6*I$8*I4/12)*(1+$A$15)</f>
        <v>52531.749112500016</v>
      </c>
      <c r="J15" s="198">
        <f>((Assump!$G$17)/A*J$6*J$8*J4/12)*(1+$A$15)</f>
        <v>60674.17022493753</v>
      </c>
      <c r="K15" s="198">
        <f>((Assump!$G$17)/A*K$6*K$8*K4/12)*(1+$A$15)</f>
        <v>69499.504075837525</v>
      </c>
    </row>
    <row r="16" spans="1:17" s="97" customFormat="1" ht="21" customHeight="1" x14ac:dyDescent="0.35">
      <c r="A16" s="250"/>
      <c r="B16" s="51" t="s">
        <v>1063</v>
      </c>
      <c r="C16" s="98"/>
      <c r="D16" s="198">
        <f>(Assump!$G$19)/A*D$6*D$8*D4/12</f>
        <v>0</v>
      </c>
      <c r="E16" s="198">
        <f>(Assump!$G$19)/A*E$6*E$8*E4/12</f>
        <v>441.50399999999996</v>
      </c>
      <c r="F16" s="198">
        <f>(Assump!$G$19)/A*F$6*F$8*F4/12</f>
        <v>540.8424</v>
      </c>
      <c r="G16" s="198">
        <f>(Assump!$G$19)/A*G$6*G$8*G4/12</f>
        <v>649.01088000000004</v>
      </c>
      <c r="H16" s="198">
        <f>(Assump!$G$19)/A*H$6*H$8*H4/12</f>
        <v>766.6441020000002</v>
      </c>
      <c r="I16" s="198">
        <f>(Assump!$G$19)/A*I$6*I$8*I4/12</f>
        <v>894.41811900000027</v>
      </c>
      <c r="J16" s="198">
        <f>(Assump!$G$19)/A*J$6*J$8*J4/12</f>
        <v>1033.0529274450003</v>
      </c>
      <c r="K16" s="198">
        <f>(Assump!$G$19)/A*K$6*K$8*K4/12</f>
        <v>1183.3151714370003</v>
      </c>
    </row>
    <row r="17" spans="2:11" s="97" customFormat="1" ht="21" customHeight="1" x14ac:dyDescent="0.35">
      <c r="B17" s="51" t="s">
        <v>1064</v>
      </c>
      <c r="C17" s="98"/>
      <c r="D17" s="198">
        <f>(Assump!$G$20)/A*D$6*D$8*D4/12</f>
        <v>0</v>
      </c>
      <c r="E17" s="198">
        <f>(Assump!$G$20)/A*E$6*E$8*E4/12</f>
        <v>1.89</v>
      </c>
      <c r="F17" s="198">
        <f>(Assump!$G$20)/A*F$6*F$8*F4/12</f>
        <v>2.3152499999999998</v>
      </c>
      <c r="G17" s="198">
        <f>(Assump!$G$20)/A*G$6*G$8*G4/12</f>
        <v>2.7783000000000002</v>
      </c>
      <c r="H17" s="198">
        <f>(Assump!$G$20)/A*H$6*H$8*H4/12</f>
        <v>3.2818668750000008</v>
      </c>
      <c r="I17" s="198">
        <f>(Assump!$G$20)/A*I$6*I$8*I4/12</f>
        <v>3.8288446875000006</v>
      </c>
      <c r="J17" s="198">
        <f>(Assump!$G$20)/A*J$6*J$8*J4/12</f>
        <v>4.4223156140625015</v>
      </c>
      <c r="K17" s="198">
        <f>(Assump!$G$20)/A*K$6*K$8*K4/12</f>
        <v>5.0655615215625014</v>
      </c>
    </row>
    <row r="18" spans="2:11" s="97" customFormat="1" ht="21" customHeight="1" x14ac:dyDescent="0.35">
      <c r="B18" s="51" t="s">
        <v>1066</v>
      </c>
      <c r="C18" s="98"/>
      <c r="D18" s="198">
        <f>Assump!$G$21/A*D8*D4/12</f>
        <v>0</v>
      </c>
      <c r="E18" s="198">
        <f>Assump!$G$21/A*E8*E4/12</f>
        <v>202.52651700750002</v>
      </c>
      <c r="F18" s="198">
        <f>Assump!$G$21/A*F8*F4/12</f>
        <v>212.65284285787502</v>
      </c>
      <c r="G18" s="198">
        <f>Assump!$G$21/A*G8*G4/12</f>
        <v>223.28548500076877</v>
      </c>
      <c r="H18" s="198">
        <f>Assump!$G$21/A*H8*H4/12</f>
        <v>234.44975925080723</v>
      </c>
      <c r="I18" s="198">
        <f>Assump!$G$21/A*I8*I4/12</f>
        <v>246.17224721334762</v>
      </c>
      <c r="J18" s="198">
        <f>Assump!$G$21/A*J8*J4/12</f>
        <v>258.48085957401503</v>
      </c>
      <c r="K18" s="198">
        <f>Assump!$G$21/A*K8*K4/12</f>
        <v>271.40490255271578</v>
      </c>
    </row>
    <row r="19" spans="2:11" s="97" customFormat="1" ht="21" customHeight="1" x14ac:dyDescent="0.35">
      <c r="B19" s="126" t="s">
        <v>56</v>
      </c>
      <c r="C19" s="127"/>
      <c r="D19" s="299">
        <f>SUM(D15:D18)</f>
        <v>0</v>
      </c>
      <c r="E19" s="299">
        <f t="shared" ref="E19:K19" si="4">SUM(E15:E18)</f>
        <v>26576.720517007503</v>
      </c>
      <c r="F19" s="299">
        <f t="shared" si="4"/>
        <v>32521.040492857872</v>
      </c>
      <c r="G19" s="299">
        <f t="shared" si="4"/>
        <v>38993.350665000777</v>
      </c>
      <c r="H19" s="299">
        <f t="shared" si="4"/>
        <v>46031.589253125807</v>
      </c>
      <c r="I19" s="299">
        <f t="shared" si="4"/>
        <v>53676.168323400867</v>
      </c>
      <c r="J19" s="299">
        <f t="shared" si="4"/>
        <v>61970.126327570615</v>
      </c>
      <c r="K19" s="299">
        <f t="shared" si="4"/>
        <v>70959.289711348814</v>
      </c>
    </row>
    <row r="20" spans="2:11" s="97" customFormat="1" ht="21" customHeight="1" x14ac:dyDescent="0.35">
      <c r="B20" s="107" t="s">
        <v>57</v>
      </c>
      <c r="C20" s="99"/>
      <c r="D20" s="301"/>
      <c r="E20" s="301"/>
      <c r="F20" s="301"/>
      <c r="G20" s="301"/>
      <c r="H20" s="301"/>
      <c r="I20" s="301"/>
      <c r="J20" s="301"/>
      <c r="K20" s="301"/>
    </row>
    <row r="21" spans="2:11" s="97" customFormat="1" ht="21" customHeight="1" x14ac:dyDescent="0.35">
      <c r="B21" s="51" t="s">
        <v>1065</v>
      </c>
      <c r="C21" s="98"/>
      <c r="D21" s="302">
        <f>(Assump!$G$26)/A*1.1*D4/12</f>
        <v>0</v>
      </c>
      <c r="E21" s="302">
        <f>(Assump!$G$26)/A*1.1*E4/12</f>
        <v>718.08</v>
      </c>
      <c r="F21" s="302">
        <f>E21*1.1</f>
        <v>789.88800000000015</v>
      </c>
      <c r="G21" s="302">
        <f t="shared" ref="G21:J21" si="5">F21*1.1</f>
        <v>868.87680000000023</v>
      </c>
      <c r="H21" s="302">
        <f t="shared" si="5"/>
        <v>955.76448000000028</v>
      </c>
      <c r="I21" s="302">
        <f t="shared" si="5"/>
        <v>1051.3409280000003</v>
      </c>
      <c r="J21" s="302">
        <f t="shared" si="5"/>
        <v>1156.4750208000005</v>
      </c>
      <c r="K21" s="302">
        <f t="shared" ref="K21:K23" si="6">J21*1.1</f>
        <v>1272.1225228800006</v>
      </c>
    </row>
    <row r="22" spans="2:11" s="97" customFormat="1" ht="21" customHeight="1" x14ac:dyDescent="0.35">
      <c r="B22" s="51" t="s">
        <v>1067</v>
      </c>
      <c r="C22" s="98"/>
      <c r="D22" s="302">
        <f>Assump!$G$27/A*1.1*D4/12</f>
        <v>0</v>
      </c>
      <c r="E22" s="302">
        <f>Assump!$G$27/A*1.1*E4/12</f>
        <v>111.10000000000001</v>
      </c>
      <c r="F22" s="302">
        <f>E22*1.1</f>
        <v>122.21000000000002</v>
      </c>
      <c r="G22" s="302">
        <f t="shared" ref="G22:J22" si="7">F22*1.1</f>
        <v>134.43100000000004</v>
      </c>
      <c r="H22" s="302">
        <f t="shared" si="7"/>
        <v>147.87410000000006</v>
      </c>
      <c r="I22" s="302">
        <f t="shared" si="7"/>
        <v>162.66151000000008</v>
      </c>
      <c r="J22" s="302">
        <f t="shared" si="7"/>
        <v>178.92766100000011</v>
      </c>
      <c r="K22" s="302">
        <f t="shared" si="6"/>
        <v>196.82042710000013</v>
      </c>
    </row>
    <row r="23" spans="2:11" s="97" customFormat="1" ht="21" customHeight="1" x14ac:dyDescent="0.35">
      <c r="B23" s="51" t="s">
        <v>792</v>
      </c>
      <c r="C23" s="98"/>
      <c r="D23" s="302">
        <f>(Assump!$G$28)/A*1.1*D4/12</f>
        <v>0</v>
      </c>
      <c r="E23" s="302">
        <f>(Assump!$G$28)/A*1.1*E4/12</f>
        <v>27.500000000000004</v>
      </c>
      <c r="F23" s="302">
        <f>E23*1.1</f>
        <v>30.250000000000007</v>
      </c>
      <c r="G23" s="302">
        <f t="shared" ref="G23:J23" si="8">F23*1.1</f>
        <v>33.275000000000013</v>
      </c>
      <c r="H23" s="302">
        <f t="shared" si="8"/>
        <v>36.60250000000002</v>
      </c>
      <c r="I23" s="302">
        <f t="shared" si="8"/>
        <v>40.262750000000025</v>
      </c>
      <c r="J23" s="302">
        <f t="shared" si="8"/>
        <v>44.289025000000031</v>
      </c>
      <c r="K23" s="302">
        <f t="shared" si="6"/>
        <v>48.717927500000037</v>
      </c>
    </row>
    <row r="24" spans="2:11" s="97" customFormat="1" ht="18" customHeight="1" x14ac:dyDescent="0.35">
      <c r="B24" s="126" t="s">
        <v>58</v>
      </c>
      <c r="C24" s="128"/>
      <c r="D24" s="299">
        <f t="shared" ref="D24:K24" si="9">SUM(D21:D23)</f>
        <v>0</v>
      </c>
      <c r="E24" s="299">
        <f t="shared" si="9"/>
        <v>856.68000000000006</v>
      </c>
      <c r="F24" s="299">
        <f t="shared" si="9"/>
        <v>942.34800000000018</v>
      </c>
      <c r="G24" s="299">
        <f t="shared" si="9"/>
        <v>1036.5828000000004</v>
      </c>
      <c r="H24" s="299">
        <f t="shared" si="9"/>
        <v>1140.2410800000002</v>
      </c>
      <c r="I24" s="299">
        <f t="shared" si="9"/>
        <v>1254.2651880000005</v>
      </c>
      <c r="J24" s="299">
        <f t="shared" si="9"/>
        <v>1379.6917068000007</v>
      </c>
      <c r="K24" s="299">
        <f t="shared" si="9"/>
        <v>1517.6608774800009</v>
      </c>
    </row>
    <row r="25" spans="2:11" s="97" customFormat="1" ht="21" customHeight="1" x14ac:dyDescent="0.35">
      <c r="B25" s="126" t="s">
        <v>59</v>
      </c>
      <c r="C25" s="127"/>
      <c r="D25" s="299">
        <f t="shared" ref="D25:K25" si="10">(D19+D24)</f>
        <v>0</v>
      </c>
      <c r="E25" s="299">
        <f t="shared" si="10"/>
        <v>27433.400517007503</v>
      </c>
      <c r="F25" s="299">
        <f t="shared" si="10"/>
        <v>33463.38849285787</v>
      </c>
      <c r="G25" s="299">
        <f t="shared" si="10"/>
        <v>40029.93346500078</v>
      </c>
      <c r="H25" s="299">
        <f t="shared" si="10"/>
        <v>47171.830333125807</v>
      </c>
      <c r="I25" s="299">
        <f t="shared" si="10"/>
        <v>54930.433511400865</v>
      </c>
      <c r="J25" s="299">
        <f t="shared" si="10"/>
        <v>63349.818034370619</v>
      </c>
      <c r="K25" s="299">
        <f t="shared" si="10"/>
        <v>72476.950588828811</v>
      </c>
    </row>
    <row r="26" spans="2:11" s="97" customFormat="1" ht="21" customHeight="1" x14ac:dyDescent="0.35">
      <c r="B26" s="51" t="s">
        <v>60</v>
      </c>
      <c r="C26" s="98"/>
      <c r="D26" s="198">
        <f t="shared" ref="D26:K26" si="11">(D12-D25)</f>
        <v>0</v>
      </c>
      <c r="E26" s="198">
        <f t="shared" si="11"/>
        <v>809.24748299249768</v>
      </c>
      <c r="F26" s="198">
        <f t="shared" si="11"/>
        <v>1133.8553071421265</v>
      </c>
      <c r="G26" s="198">
        <f t="shared" si="11"/>
        <v>1486.75909499923</v>
      </c>
      <c r="H26" s="198">
        <f t="shared" si="11"/>
        <v>1869.7627533742052</v>
      </c>
      <c r="I26" s="198">
        <f t="shared" si="11"/>
        <v>2284.7584228491469</v>
      </c>
      <c r="J26" s="198">
        <f t="shared" si="11"/>
        <v>2733.728649688157</v>
      </c>
      <c r="K26" s="198">
        <f t="shared" si="11"/>
        <v>3218.7483401839563</v>
      </c>
    </row>
    <row r="27" spans="2:11" s="97" customFormat="1" ht="21" customHeight="1" x14ac:dyDescent="0.35">
      <c r="B27" s="51" t="s">
        <v>61</v>
      </c>
      <c r="C27" s="98"/>
      <c r="D27" s="198">
        <f>'TL Schd'!D11</f>
        <v>0</v>
      </c>
      <c r="E27" s="198">
        <f>'TL Schd'!E11</f>
        <v>230.63333333333333</v>
      </c>
      <c r="F27" s="198">
        <f>'TL Schd'!F11</f>
        <v>208.41333333333336</v>
      </c>
      <c r="G27" s="198">
        <f>'TL Schd'!G11</f>
        <v>179.73999999999995</v>
      </c>
      <c r="H27" s="198">
        <f>'TL Schd'!H11</f>
        <v>144.97999999999999</v>
      </c>
      <c r="I27" s="198">
        <f>'TL Schd'!I11</f>
        <v>106.7</v>
      </c>
      <c r="J27" s="198">
        <f>'TL Schd'!J11</f>
        <v>65.621111108666668</v>
      </c>
      <c r="K27" s="198">
        <f>'TL Schd'!K11</f>
        <v>20.068888871166667</v>
      </c>
    </row>
    <row r="28" spans="2:11" s="97" customFormat="1" ht="21" customHeight="1" x14ac:dyDescent="0.35">
      <c r="B28" s="51" t="s">
        <v>1150</v>
      </c>
      <c r="C28" s="98"/>
      <c r="D28" s="198">
        <v>0</v>
      </c>
      <c r="E28" s="198">
        <v>0</v>
      </c>
      <c r="F28" s="198">
        <v>0</v>
      </c>
      <c r="G28" s="198">
        <v>0</v>
      </c>
      <c r="H28" s="198">
        <v>0</v>
      </c>
      <c r="I28" s="198">
        <v>0</v>
      </c>
      <c r="J28" s="198">
        <v>0</v>
      </c>
      <c r="K28" s="198">
        <v>0</v>
      </c>
    </row>
    <row r="29" spans="2:11" s="97" customFormat="1" ht="21" customHeight="1" x14ac:dyDescent="0.35">
      <c r="B29" s="51" t="s">
        <v>1151</v>
      </c>
      <c r="C29" s="98"/>
      <c r="D29" s="302">
        <f>'TL Schd'!D265</f>
        <v>0</v>
      </c>
      <c r="E29" s="302">
        <f>'TL Schd'!E265</f>
        <v>0</v>
      </c>
      <c r="F29" s="302">
        <f>'TL Schd'!F265</f>
        <v>0</v>
      </c>
      <c r="G29" s="302">
        <f>'TL Schd'!G265</f>
        <v>0</v>
      </c>
      <c r="H29" s="302">
        <f>'TL Schd'!H265</f>
        <v>0</v>
      </c>
      <c r="I29" s="302">
        <f>'TL Schd'!I265</f>
        <v>0</v>
      </c>
      <c r="J29" s="302">
        <f>'TL Schd'!J265</f>
        <v>0</v>
      </c>
      <c r="K29" s="302">
        <f>'TL Schd'!K265</f>
        <v>0</v>
      </c>
    </row>
    <row r="30" spans="2:11" s="97" customFormat="1" ht="21" customHeight="1" x14ac:dyDescent="0.35">
      <c r="B30" s="51" t="s">
        <v>62</v>
      </c>
      <c r="C30" s="98"/>
      <c r="D30" s="198">
        <v>0</v>
      </c>
      <c r="E30" s="198">
        <f>Depr!C21</f>
        <v>569.06096331232709</v>
      </c>
      <c r="F30" s="198">
        <f>Depr!D21</f>
        <v>487.35819162924531</v>
      </c>
      <c r="G30" s="198">
        <f>Depr!E21</f>
        <v>417.54519841724908</v>
      </c>
      <c r="H30" s="198">
        <f>Depr!F21</f>
        <v>357.87508063381324</v>
      </c>
      <c r="I30" s="198">
        <f>Depr!G21</f>
        <v>306.85931431997761</v>
      </c>
      <c r="J30" s="198">
        <f>Depr!H21</f>
        <v>263.22936337509367</v>
      </c>
      <c r="K30" s="198">
        <f>Depr!I21</f>
        <v>225.90401045163105</v>
      </c>
    </row>
    <row r="31" spans="2:11" s="97" customFormat="1" ht="21" customHeight="1" x14ac:dyDescent="0.35">
      <c r="B31" s="51" t="s">
        <v>781</v>
      </c>
      <c r="C31" s="98"/>
      <c r="D31" s="198">
        <f>'CoP-MoF'!D9/A/5*D4/12</f>
        <v>0</v>
      </c>
      <c r="E31" s="198">
        <f>'CoP-MoF'!D9/A/5*E4/12</f>
        <v>1.3500000000000003</v>
      </c>
      <c r="F31" s="198">
        <f t="shared" ref="F31:H31" si="12">E31</f>
        <v>1.3500000000000003</v>
      </c>
      <c r="G31" s="198">
        <f t="shared" si="12"/>
        <v>1.3500000000000003</v>
      </c>
      <c r="H31" s="198">
        <f t="shared" si="12"/>
        <v>1.3500000000000003</v>
      </c>
      <c r="I31" s="302">
        <f>H31</f>
        <v>1.3500000000000003</v>
      </c>
      <c r="J31" s="198">
        <v>0</v>
      </c>
      <c r="K31" s="198">
        <v>0</v>
      </c>
    </row>
    <row r="32" spans="2:11" s="97" customFormat="1" ht="21" customHeight="1" x14ac:dyDescent="0.35">
      <c r="B32" s="51" t="s">
        <v>63</v>
      </c>
      <c r="C32" s="98"/>
      <c r="D32" s="198">
        <f>D26-D27-D30-D29-D31</f>
        <v>0</v>
      </c>
      <c r="E32" s="198">
        <f t="shared" ref="E32:K32" si="13">E26-E27-E30-E29-E31</f>
        <v>8.2031863468372652</v>
      </c>
      <c r="F32" s="198">
        <f t="shared" si="13"/>
        <v>436.7337821795478</v>
      </c>
      <c r="G32" s="198">
        <f t="shared" si="13"/>
        <v>888.12389658198083</v>
      </c>
      <c r="H32" s="198">
        <f t="shared" si="13"/>
        <v>1365.557672740392</v>
      </c>
      <c r="I32" s="198">
        <f t="shared" si="13"/>
        <v>1869.8491085291696</v>
      </c>
      <c r="J32" s="198">
        <f t="shared" si="13"/>
        <v>2404.8781752043965</v>
      </c>
      <c r="K32" s="198">
        <f t="shared" si="13"/>
        <v>2972.7754408611586</v>
      </c>
    </row>
    <row r="33" spans="1:11" s="97" customFormat="1" ht="21" customHeight="1" x14ac:dyDescent="0.35">
      <c r="A33" s="190">
        <v>0.25168000000000001</v>
      </c>
      <c r="B33" s="51" t="s">
        <v>786</v>
      </c>
      <c r="C33" s="98"/>
      <c r="D33" s="198">
        <f t="shared" ref="D33:G33" si="14">D32*$A$33</f>
        <v>0</v>
      </c>
      <c r="E33" s="198">
        <f t="shared" si="14"/>
        <v>2.0645779397720032</v>
      </c>
      <c r="F33" s="198">
        <f t="shared" si="14"/>
        <v>109.91715829894859</v>
      </c>
      <c r="G33" s="198">
        <f t="shared" si="14"/>
        <v>223.52302229175294</v>
      </c>
      <c r="H33" s="198">
        <f t="shared" ref="H33:J33" si="15">H32*$A$33</f>
        <v>343.68355507530191</v>
      </c>
      <c r="I33" s="198">
        <f t="shared" si="15"/>
        <v>470.60362363462144</v>
      </c>
      <c r="J33" s="198">
        <f t="shared" si="15"/>
        <v>605.25973913544249</v>
      </c>
      <c r="K33" s="198">
        <f>K32*$A$33</f>
        <v>748.18812295593648</v>
      </c>
    </row>
    <row r="34" spans="1:11" s="97" customFormat="1" ht="21" customHeight="1" x14ac:dyDescent="0.35">
      <c r="B34" s="129" t="s">
        <v>64</v>
      </c>
      <c r="C34" s="130"/>
      <c r="D34" s="303">
        <f t="shared" ref="D34:I34" si="16">D32-D33</f>
        <v>0</v>
      </c>
      <c r="E34" s="303">
        <f t="shared" si="16"/>
        <v>6.138608407065262</v>
      </c>
      <c r="F34" s="303">
        <f t="shared" si="16"/>
        <v>326.8166238805992</v>
      </c>
      <c r="G34" s="303">
        <f t="shared" si="16"/>
        <v>664.60087429022792</v>
      </c>
      <c r="H34" s="303">
        <f t="shared" si="16"/>
        <v>1021.8741176650901</v>
      </c>
      <c r="I34" s="303">
        <f t="shared" si="16"/>
        <v>1399.2454848945481</v>
      </c>
      <c r="J34" s="303">
        <f t="shared" ref="J34" si="17">J32-J33</f>
        <v>1799.618436068954</v>
      </c>
      <c r="K34" s="303">
        <f t="shared" ref="K34" si="18">K32-K33</f>
        <v>2224.5873179052223</v>
      </c>
    </row>
    <row r="35" spans="1:11" s="97" customFormat="1" ht="21" customHeight="1" x14ac:dyDescent="0.35">
      <c r="B35" s="51"/>
      <c r="C35" s="98"/>
      <c r="D35" s="198"/>
      <c r="E35" s="198"/>
      <c r="F35" s="198"/>
      <c r="G35" s="198"/>
      <c r="H35" s="198"/>
      <c r="I35" s="198"/>
      <c r="J35" s="198"/>
      <c r="K35" s="198"/>
    </row>
    <row r="36" spans="1:11" s="97" customFormat="1" ht="21" customHeight="1" x14ac:dyDescent="0.35">
      <c r="B36" s="51" t="s">
        <v>65</v>
      </c>
      <c r="C36" s="98"/>
      <c r="D36" s="198">
        <f t="shared" ref="D36:I36" si="19">D30</f>
        <v>0</v>
      </c>
      <c r="E36" s="198">
        <f t="shared" si="19"/>
        <v>569.06096331232709</v>
      </c>
      <c r="F36" s="198">
        <f t="shared" si="19"/>
        <v>487.35819162924531</v>
      </c>
      <c r="G36" s="198">
        <f t="shared" si="19"/>
        <v>417.54519841724908</v>
      </c>
      <c r="H36" s="198">
        <f t="shared" si="19"/>
        <v>357.87508063381324</v>
      </c>
      <c r="I36" s="198">
        <f t="shared" si="19"/>
        <v>306.85931431997761</v>
      </c>
      <c r="J36" s="198">
        <f t="shared" ref="J36" si="20">J30</f>
        <v>263.22936337509367</v>
      </c>
      <c r="K36" s="198">
        <f t="shared" ref="K36" si="21">K30</f>
        <v>225.90401045163105</v>
      </c>
    </row>
    <row r="37" spans="1:11" s="97" customFormat="1" ht="21" customHeight="1" x14ac:dyDescent="0.35">
      <c r="B37" s="51" t="s">
        <v>437</v>
      </c>
      <c r="C37" s="98"/>
      <c r="D37" s="198">
        <f t="shared" ref="D37:I37" si="22">D34+D36</f>
        <v>0</v>
      </c>
      <c r="E37" s="198">
        <f t="shared" si="22"/>
        <v>575.19957171939234</v>
      </c>
      <c r="F37" s="198">
        <f t="shared" si="22"/>
        <v>814.17481550984451</v>
      </c>
      <c r="G37" s="198">
        <f t="shared" si="22"/>
        <v>1082.1460727074771</v>
      </c>
      <c r="H37" s="198">
        <f t="shared" si="22"/>
        <v>1379.7491982989034</v>
      </c>
      <c r="I37" s="198">
        <f t="shared" si="22"/>
        <v>1706.1047992145257</v>
      </c>
      <c r="J37" s="198">
        <f t="shared" ref="J37" si="23">J34+J36</f>
        <v>2062.8477994440477</v>
      </c>
      <c r="K37" s="198">
        <f t="shared" ref="K37" si="24">K34+K36</f>
        <v>2450.4913283568535</v>
      </c>
    </row>
    <row r="38" spans="1:11" s="97" customFormat="1" ht="21" customHeight="1" x14ac:dyDescent="0.35">
      <c r="B38" s="51" t="s">
        <v>66</v>
      </c>
      <c r="C38" s="98"/>
      <c r="D38" s="198">
        <f>'Cash Flow'!C23</f>
        <v>0</v>
      </c>
      <c r="E38" s="198">
        <f>'Cash Flow'!D23</f>
        <v>170</v>
      </c>
      <c r="F38" s="198">
        <f>'Cash Flow'!E23</f>
        <v>236</v>
      </c>
      <c r="G38" s="198">
        <f>'Cash Flow'!F23</f>
        <v>288</v>
      </c>
      <c r="H38" s="198">
        <f>'Cash Flow'!G23</f>
        <v>336</v>
      </c>
      <c r="I38" s="198">
        <f>'Cash Flow'!H23</f>
        <v>360</v>
      </c>
      <c r="J38" s="198">
        <f>'Cash Flow'!I23</f>
        <v>392.66666679999997</v>
      </c>
      <c r="K38" s="198">
        <f>'Cash Flow'!J23</f>
        <v>397.33333320000003</v>
      </c>
    </row>
    <row r="39" spans="1:11" s="97" customFormat="1" ht="21" customHeight="1" x14ac:dyDescent="0.35">
      <c r="B39" s="51" t="s">
        <v>438</v>
      </c>
      <c r="C39" s="98"/>
      <c r="D39" s="198">
        <f t="shared" ref="D39:I39" si="25">D37-D38</f>
        <v>0</v>
      </c>
      <c r="E39" s="198">
        <f t="shared" si="25"/>
        <v>405.19957171939234</v>
      </c>
      <c r="F39" s="198">
        <f t="shared" si="25"/>
        <v>578.17481550984451</v>
      </c>
      <c r="G39" s="198">
        <f t="shared" si="25"/>
        <v>794.14607270747706</v>
      </c>
      <c r="H39" s="198">
        <f t="shared" si="25"/>
        <v>1043.7491982989034</v>
      </c>
      <c r="I39" s="198">
        <f t="shared" si="25"/>
        <v>1346.1047992145257</v>
      </c>
      <c r="J39" s="198">
        <f t="shared" ref="J39" si="26">J37-J38</f>
        <v>1670.1811326440477</v>
      </c>
      <c r="K39" s="198">
        <f t="shared" ref="K39" si="27">K37-K38</f>
        <v>2053.1579951568533</v>
      </c>
    </row>
    <row r="40" spans="1:11" s="64" customFormat="1" ht="18.75" customHeight="1" x14ac:dyDescent="0.35">
      <c r="B40" s="132" t="s">
        <v>67</v>
      </c>
      <c r="C40" s="131"/>
      <c r="D40" s="304">
        <f>C40+D39</f>
        <v>0</v>
      </c>
      <c r="E40" s="304">
        <f>D40+E39</f>
        <v>405.19957171939234</v>
      </c>
      <c r="F40" s="304">
        <f t="shared" ref="F40:J40" si="28">E40+F39</f>
        <v>983.37438722923685</v>
      </c>
      <c r="G40" s="304">
        <f t="shared" si="28"/>
        <v>1777.5204599367139</v>
      </c>
      <c r="H40" s="304">
        <f t="shared" si="28"/>
        <v>2821.2696582356175</v>
      </c>
      <c r="I40" s="304">
        <f t="shared" si="28"/>
        <v>4167.3744574501434</v>
      </c>
      <c r="J40" s="304">
        <f t="shared" si="28"/>
        <v>5837.5555900941908</v>
      </c>
      <c r="K40" s="304">
        <f>J40+K39</f>
        <v>7890.7135852510437</v>
      </c>
    </row>
    <row r="41" spans="1:11" s="97" customFormat="1" ht="21" customHeight="1" x14ac:dyDescent="0.35">
      <c r="B41" s="51"/>
      <c r="C41" s="98"/>
      <c r="D41" s="98"/>
      <c r="E41" s="98"/>
      <c r="F41" s="98"/>
      <c r="G41" s="98"/>
      <c r="H41" s="98"/>
      <c r="I41" s="98"/>
      <c r="J41" s="98"/>
      <c r="K41" s="98"/>
    </row>
    <row r="42" spans="1:11" x14ac:dyDescent="0.35">
      <c r="C42" s="119"/>
      <c r="D42" s="119" t="e">
        <f t="shared" ref="D42:K42" si="29">D26/D12</f>
        <v>#DIV/0!</v>
      </c>
      <c r="E42" s="119">
        <f t="shared" si="29"/>
        <v>2.8653385581709535E-2</v>
      </c>
      <c r="F42" s="119">
        <f t="shared" si="29"/>
        <v>3.2772995262186945E-2</v>
      </c>
      <c r="G42" s="119">
        <f t="shared" si="29"/>
        <v>3.5811116043277358E-2</v>
      </c>
      <c r="H42" s="119">
        <f t="shared" si="29"/>
        <v>3.8126060670098959E-2</v>
      </c>
      <c r="I42" s="119">
        <f t="shared" si="29"/>
        <v>3.9932723208806552E-2</v>
      </c>
      <c r="J42" s="119">
        <f t="shared" si="29"/>
        <v>4.13677653040921E-2</v>
      </c>
      <c r="K42" s="119">
        <f t="shared" si="29"/>
        <v>4.2522209131095945E-2</v>
      </c>
    </row>
    <row r="43" spans="1:11" x14ac:dyDescent="0.35">
      <c r="C43" s="119"/>
      <c r="D43" s="119" t="e">
        <f t="shared" ref="D43:K43" si="30">D34/D12</f>
        <v>#DIV/0!</v>
      </c>
      <c r="E43" s="119">
        <f t="shared" si="30"/>
        <v>2.1735243830767079E-4</v>
      </c>
      <c r="F43" s="119">
        <f t="shared" si="30"/>
        <v>9.446319648173801E-3</v>
      </c>
      <c r="G43" s="119">
        <f t="shared" si="30"/>
        <v>1.6008039978852973E-2</v>
      </c>
      <c r="H43" s="119">
        <f t="shared" si="30"/>
        <v>2.0836886678267143E-2</v>
      </c>
      <c r="I43" s="119">
        <f t="shared" si="30"/>
        <v>2.4455838346265083E-2</v>
      </c>
      <c r="J43" s="119">
        <f t="shared" si="30"/>
        <v>2.723247353343208E-2</v>
      </c>
      <c r="K43" s="119">
        <f t="shared" si="30"/>
        <v>2.9388556409148617E-2</v>
      </c>
    </row>
    <row r="47" spans="1:11" x14ac:dyDescent="0.35">
      <c r="B47" s="229" t="s">
        <v>650</v>
      </c>
      <c r="C47" s="120"/>
      <c r="D47" s="120">
        <f t="shared" ref="D47:K47" si="31">D12</f>
        <v>0</v>
      </c>
      <c r="E47" s="120">
        <f t="shared" si="31"/>
        <v>28242.648000000001</v>
      </c>
      <c r="F47" s="120">
        <f t="shared" si="31"/>
        <v>34597.243799999997</v>
      </c>
      <c r="G47" s="120">
        <f t="shared" si="31"/>
        <v>41516.69256000001</v>
      </c>
      <c r="H47" s="120">
        <f t="shared" si="31"/>
        <v>49041.593086500012</v>
      </c>
      <c r="I47" s="120">
        <f t="shared" si="31"/>
        <v>57215.191934250011</v>
      </c>
      <c r="J47" s="120">
        <f t="shared" si="31"/>
        <v>66083.546684058776</v>
      </c>
      <c r="K47" s="120">
        <f t="shared" si="31"/>
        <v>75695.698929012768</v>
      </c>
    </row>
    <row r="48" spans="1:11" x14ac:dyDescent="0.35">
      <c r="B48" s="229" t="s">
        <v>649</v>
      </c>
      <c r="D48" s="120">
        <f t="shared" ref="D48:K48" si="32">D26</f>
        <v>0</v>
      </c>
      <c r="E48" s="120">
        <f t="shared" si="32"/>
        <v>809.24748299249768</v>
      </c>
      <c r="F48" s="120">
        <f t="shared" si="32"/>
        <v>1133.8553071421265</v>
      </c>
      <c r="G48" s="120">
        <f t="shared" si="32"/>
        <v>1486.75909499923</v>
      </c>
      <c r="H48" s="120">
        <f t="shared" si="32"/>
        <v>1869.7627533742052</v>
      </c>
      <c r="I48" s="120">
        <f t="shared" si="32"/>
        <v>2284.7584228491469</v>
      </c>
      <c r="J48" s="120">
        <f t="shared" si="32"/>
        <v>2733.728649688157</v>
      </c>
      <c r="K48" s="120">
        <f t="shared" si="32"/>
        <v>3218.7483401839563</v>
      </c>
    </row>
    <row r="49" spans="2:14" x14ac:dyDescent="0.35">
      <c r="B49" s="229" t="s">
        <v>588</v>
      </c>
      <c r="D49" s="120">
        <f>D48-D30</f>
        <v>0</v>
      </c>
      <c r="E49" s="120">
        <f t="shared" ref="E49:J49" si="33">E48-E30</f>
        <v>240.18651968017059</v>
      </c>
      <c r="F49" s="120">
        <f t="shared" si="33"/>
        <v>646.49711551288124</v>
      </c>
      <c r="G49" s="120">
        <f t="shared" si="33"/>
        <v>1069.2138965819809</v>
      </c>
      <c r="H49" s="120">
        <f t="shared" si="33"/>
        <v>1511.887672740392</v>
      </c>
      <c r="I49" s="120">
        <f t="shared" si="33"/>
        <v>1977.8991085291693</v>
      </c>
      <c r="J49" s="120">
        <f t="shared" si="33"/>
        <v>2470.4992863130633</v>
      </c>
      <c r="K49" s="120">
        <f t="shared" ref="K49" si="34">K48-K30</f>
        <v>2992.8443297323251</v>
      </c>
    </row>
    <row r="50" spans="2:14" x14ac:dyDescent="0.35">
      <c r="B50" s="229" t="s">
        <v>64</v>
      </c>
      <c r="D50" s="120">
        <f>D34</f>
        <v>0</v>
      </c>
      <c r="E50" s="120">
        <f t="shared" ref="E50:J50" si="35">E34</f>
        <v>6.138608407065262</v>
      </c>
      <c r="F50" s="120">
        <f t="shared" si="35"/>
        <v>326.8166238805992</v>
      </c>
      <c r="G50" s="120">
        <f t="shared" si="35"/>
        <v>664.60087429022792</v>
      </c>
      <c r="H50" s="120">
        <f t="shared" si="35"/>
        <v>1021.8741176650901</v>
      </c>
      <c r="I50" s="120">
        <f t="shared" si="35"/>
        <v>1399.2454848945481</v>
      </c>
      <c r="J50" s="120">
        <f t="shared" si="35"/>
        <v>1799.618436068954</v>
      </c>
      <c r="K50" s="120">
        <f t="shared" ref="K50" si="36">K34</f>
        <v>2224.5873179052223</v>
      </c>
    </row>
    <row r="51" spans="2:14" x14ac:dyDescent="0.35">
      <c r="B51" s="229"/>
      <c r="N51" s="436"/>
    </row>
    <row r="52" spans="2:14" x14ac:dyDescent="0.35">
      <c r="B52" s="229" t="s">
        <v>651</v>
      </c>
      <c r="D52" s="305" t="e">
        <f>D48/D47</f>
        <v>#DIV/0!</v>
      </c>
      <c r="E52" s="305">
        <f t="shared" ref="E52:J52" si="37">E48/E47</f>
        <v>2.8653385581709535E-2</v>
      </c>
      <c r="F52" s="305">
        <f t="shared" si="37"/>
        <v>3.2772995262186945E-2</v>
      </c>
      <c r="G52" s="305">
        <f t="shared" si="37"/>
        <v>3.5811116043277358E-2</v>
      </c>
      <c r="H52" s="305">
        <f t="shared" si="37"/>
        <v>3.8126060670098959E-2</v>
      </c>
      <c r="I52" s="305">
        <f t="shared" si="37"/>
        <v>3.9932723208806552E-2</v>
      </c>
      <c r="J52" s="305">
        <f t="shared" si="37"/>
        <v>4.13677653040921E-2</v>
      </c>
      <c r="K52" s="305">
        <f t="shared" ref="K52" si="38">K48/K47</f>
        <v>4.2522209131095945E-2</v>
      </c>
      <c r="N52" s="437"/>
    </row>
    <row r="53" spans="2:14" x14ac:dyDescent="0.35">
      <c r="B53" s="229" t="s">
        <v>655</v>
      </c>
      <c r="D53" s="478">
        <f>AVERAGE(E52:K52)</f>
        <v>3.7026607885895346E-2</v>
      </c>
      <c r="E53" s="478"/>
      <c r="F53" s="478"/>
      <c r="G53" s="478"/>
      <c r="H53" s="478"/>
      <c r="I53" s="478"/>
      <c r="J53" s="478"/>
      <c r="K53" s="478"/>
      <c r="L53" s="96" t="s">
        <v>1145</v>
      </c>
      <c r="N53" s="437"/>
    </row>
    <row r="54" spans="2:14" x14ac:dyDescent="0.35">
      <c r="B54" s="229" t="s">
        <v>652</v>
      </c>
      <c r="D54" s="305" t="e">
        <f>D49/D47</f>
        <v>#DIV/0!</v>
      </c>
      <c r="E54" s="305">
        <f t="shared" ref="E54:K54" si="39">E49/E47</f>
        <v>8.5043909367199053E-3</v>
      </c>
      <c r="F54" s="305">
        <f t="shared" si="39"/>
        <v>1.8686376268877272E-2</v>
      </c>
      <c r="G54" s="305">
        <f t="shared" si="39"/>
        <v>2.5753831306208959E-2</v>
      </c>
      <c r="H54" s="305">
        <f t="shared" si="39"/>
        <v>3.0828681891995446E-2</v>
      </c>
      <c r="I54" s="305">
        <f t="shared" si="39"/>
        <v>3.4569474324268837E-2</v>
      </c>
      <c r="J54" s="305">
        <f t="shared" si="39"/>
        <v>3.7384483888620007E-2</v>
      </c>
      <c r="K54" s="305">
        <f t="shared" si="39"/>
        <v>3.9537838636499109E-2</v>
      </c>
      <c r="N54"/>
    </row>
    <row r="55" spans="2:14" x14ac:dyDescent="0.35">
      <c r="B55" s="229" t="s">
        <v>655</v>
      </c>
      <c r="D55" s="478">
        <f>AVERAGE(E54:K54)</f>
        <v>2.7895011036169932E-2</v>
      </c>
      <c r="E55" s="478"/>
      <c r="F55" s="478"/>
      <c r="G55" s="478"/>
      <c r="H55" s="478"/>
      <c r="I55" s="478"/>
      <c r="J55" s="478"/>
      <c r="K55" s="478"/>
    </row>
    <row r="56" spans="2:14" x14ac:dyDescent="0.35">
      <c r="B56" s="229" t="s">
        <v>653</v>
      </c>
      <c r="D56" s="305" t="e">
        <f>D50/D47</f>
        <v>#DIV/0!</v>
      </c>
      <c r="E56" s="305">
        <f t="shared" ref="E56:K56" si="40">E50/E47</f>
        <v>2.1735243830767079E-4</v>
      </c>
      <c r="F56" s="305">
        <f t="shared" si="40"/>
        <v>9.446319648173801E-3</v>
      </c>
      <c r="G56" s="305">
        <f t="shared" si="40"/>
        <v>1.6008039978852973E-2</v>
      </c>
      <c r="H56" s="305">
        <f t="shared" si="40"/>
        <v>2.0836886678267143E-2</v>
      </c>
      <c r="I56" s="305">
        <f t="shared" si="40"/>
        <v>2.4455838346265083E-2</v>
      </c>
      <c r="J56" s="305">
        <f t="shared" si="40"/>
        <v>2.723247353343208E-2</v>
      </c>
      <c r="K56" s="305">
        <f t="shared" si="40"/>
        <v>2.9388556409148617E-2</v>
      </c>
      <c r="L56" s="96" t="s">
        <v>1126</v>
      </c>
    </row>
    <row r="57" spans="2:14" x14ac:dyDescent="0.35">
      <c r="B57" s="229" t="s">
        <v>655</v>
      </c>
      <c r="D57" s="478">
        <f>AVERAGE(E56:K56)</f>
        <v>1.8226495290349625E-2</v>
      </c>
      <c r="E57" s="478"/>
      <c r="F57" s="478"/>
      <c r="G57" s="478"/>
      <c r="H57" s="478"/>
      <c r="I57" s="478"/>
      <c r="J57" s="478"/>
      <c r="K57" s="478"/>
    </row>
    <row r="58" spans="2:14" x14ac:dyDescent="0.35">
      <c r="B58" s="229" t="s">
        <v>654</v>
      </c>
      <c r="D58" s="230"/>
      <c r="E58" s="305" t="e">
        <f>E47/(D47)-1</f>
        <v>#DIV/0!</v>
      </c>
      <c r="F58" s="305">
        <f t="shared" ref="F58:J58" si="41">F47/E47-1</f>
        <v>0.22499999999999987</v>
      </c>
      <c r="G58" s="305">
        <f t="shared" si="41"/>
        <v>0.2000000000000004</v>
      </c>
      <c r="H58" s="305">
        <f t="shared" si="41"/>
        <v>0.18124999999999991</v>
      </c>
      <c r="I58" s="305">
        <f t="shared" si="41"/>
        <v>0.16666666666666652</v>
      </c>
      <c r="J58" s="305">
        <f t="shared" si="41"/>
        <v>0.15500000000000025</v>
      </c>
      <c r="K58" s="305">
        <f>K47/J47-1</f>
        <v>0.14545454545454528</v>
      </c>
    </row>
    <row r="59" spans="2:14" x14ac:dyDescent="0.35">
      <c r="B59" s="229" t="s">
        <v>655</v>
      </c>
      <c r="D59" s="478">
        <f>AVERAGE(F58:K58)</f>
        <v>0.17889520202020204</v>
      </c>
      <c r="E59" s="478"/>
      <c r="F59" s="478"/>
      <c r="G59" s="478"/>
      <c r="H59" s="478"/>
      <c r="I59" s="478"/>
      <c r="J59" s="478"/>
      <c r="K59" s="478"/>
    </row>
  </sheetData>
  <customSheetViews>
    <customSheetView guid="{22475485-DA09-46DB-978D-BB94CE1E5597}" hiddenRows="1">
      <pane xSplit="1" ySplit="4" topLeftCell="B5" activePane="bottomRight" state="frozen"/>
      <selection pane="bottomRight" activeCell="D3" sqref="D3"/>
      <pageMargins left="0.7" right="0.7" top="0.75" bottom="0.75" header="0.3" footer="0.3"/>
      <pageSetup paperSize="9" orientation="landscape" verticalDpi="300" r:id="rId1"/>
    </customSheetView>
  </customSheetViews>
  <mergeCells count="5">
    <mergeCell ref="B3:K3"/>
    <mergeCell ref="D53:K53"/>
    <mergeCell ref="D55:K55"/>
    <mergeCell ref="D57:K57"/>
    <mergeCell ref="D59:K59"/>
  </mergeCells>
  <dataValidations disablePrompts="1" count="1">
    <dataValidation type="list" allowBlank="1" showInputMessage="1" showErrorMessage="1" sqref="A15:A16 A12" xr:uid="{00000000-0002-0000-0500-000000000000}">
      <formula1>"0%,10%"</formula1>
    </dataValidation>
  </dataValidations>
  <pageMargins left="0.7" right="0.7" top="0.75" bottom="0.75" header="0.3" footer="0.3"/>
  <pageSetup paperSize="9" orientation="landscape" verticalDpi="300" r:id="rId2"/>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7" tint="-0.249977111117893"/>
  </sheetPr>
  <dimension ref="B1:J32"/>
  <sheetViews>
    <sheetView showGridLines="0" zoomScaleNormal="99" workbookViewId="0">
      <pane xSplit="2" ySplit="3" topLeftCell="C24" activePane="bottomRight" state="frozen"/>
      <selection activeCell="B8" sqref="B8"/>
      <selection pane="topRight" activeCell="B8" sqref="B8"/>
      <selection pane="bottomLeft" activeCell="B8" sqref="B8"/>
      <selection pane="bottomRight" activeCell="F32" sqref="F32"/>
    </sheetView>
  </sheetViews>
  <sheetFormatPr defaultColWidth="32.26953125" defaultRowHeight="14.5" x14ac:dyDescent="0.35"/>
  <cols>
    <col min="1" max="1" width="4.81640625" style="96" customWidth="1"/>
    <col min="2" max="2" width="40.453125" style="51" customWidth="1"/>
    <col min="3" max="5" width="12.7265625" style="96" customWidth="1"/>
    <col min="6" max="10" width="12.7265625" style="44" customWidth="1"/>
    <col min="11" max="16384" width="32.26953125" style="96"/>
  </cols>
  <sheetData>
    <row r="1" spans="2:10" ht="15.75" customHeight="1" x14ac:dyDescent="0.35"/>
    <row r="2" spans="2:10" s="97" customFormat="1" ht="19.5" customHeight="1" x14ac:dyDescent="0.35">
      <c r="B2" s="456" t="s">
        <v>830</v>
      </c>
      <c r="C2" s="456"/>
      <c r="D2" s="456"/>
      <c r="E2" s="456"/>
      <c r="F2" s="456"/>
      <c r="G2" s="456"/>
      <c r="H2" s="456"/>
      <c r="I2" s="456"/>
      <c r="J2" s="456"/>
    </row>
    <row r="3" spans="2:10" s="58" customFormat="1" ht="21" customHeight="1" x14ac:dyDescent="0.35">
      <c r="B3" s="123" t="s">
        <v>14</v>
      </c>
      <c r="C3" s="94">
        <v>2025</v>
      </c>
      <c r="D3" s="94">
        <f t="shared" ref="D3:I3" si="0">C3+1</f>
        <v>2026</v>
      </c>
      <c r="E3" s="94">
        <f t="shared" si="0"/>
        <v>2027</v>
      </c>
      <c r="F3" s="94">
        <f t="shared" si="0"/>
        <v>2028</v>
      </c>
      <c r="G3" s="94">
        <f t="shared" si="0"/>
        <v>2029</v>
      </c>
      <c r="H3" s="94">
        <f t="shared" si="0"/>
        <v>2030</v>
      </c>
      <c r="I3" s="94">
        <f t="shared" si="0"/>
        <v>2031</v>
      </c>
      <c r="J3" s="94">
        <f>I3+1</f>
        <v>2032</v>
      </c>
    </row>
    <row r="4" spans="2:10" s="58" customFormat="1" ht="21" customHeight="1" x14ac:dyDescent="0.35">
      <c r="B4" s="112" t="s">
        <v>386</v>
      </c>
      <c r="C4" s="71" t="s">
        <v>1160</v>
      </c>
      <c r="D4" s="71" t="s">
        <v>541</v>
      </c>
      <c r="E4" s="71" t="s">
        <v>541</v>
      </c>
      <c r="F4" s="71" t="s">
        <v>541</v>
      </c>
      <c r="G4" s="71" t="s">
        <v>541</v>
      </c>
      <c r="H4" s="71" t="s">
        <v>541</v>
      </c>
      <c r="I4" s="71" t="s">
        <v>541</v>
      </c>
      <c r="J4" s="71" t="s">
        <v>541</v>
      </c>
    </row>
    <row r="5" spans="2:10" s="97" customFormat="1" ht="21" customHeight="1" x14ac:dyDescent="0.35">
      <c r="B5" s="107" t="s">
        <v>42</v>
      </c>
      <c r="F5" s="44"/>
      <c r="G5" s="44"/>
      <c r="H5" s="44"/>
      <c r="I5" s="44"/>
      <c r="J5" s="44"/>
    </row>
    <row r="6" spans="2:10" s="97" customFormat="1" ht="21" customHeight="1" x14ac:dyDescent="0.35">
      <c r="B6" s="51" t="s">
        <v>574</v>
      </c>
      <c r="C6" s="198">
        <f>'CoP-MoF'!D17/A</f>
        <v>1000</v>
      </c>
      <c r="D6" s="198">
        <f>C6</f>
        <v>1000</v>
      </c>
      <c r="E6" s="198">
        <f t="shared" ref="E6:I6" si="1">D6</f>
        <v>1000</v>
      </c>
      <c r="F6" s="198">
        <f t="shared" si="1"/>
        <v>1000</v>
      </c>
      <c r="G6" s="198">
        <f t="shared" si="1"/>
        <v>1000</v>
      </c>
      <c r="H6" s="198">
        <f t="shared" si="1"/>
        <v>1000</v>
      </c>
      <c r="I6" s="198">
        <f t="shared" si="1"/>
        <v>1000</v>
      </c>
      <c r="J6" s="198">
        <f>I6</f>
        <v>1000</v>
      </c>
    </row>
    <row r="7" spans="2:10" s="97" customFormat="1" ht="21" customHeight="1" x14ac:dyDescent="0.35">
      <c r="B7" s="51" t="s">
        <v>423</v>
      </c>
      <c r="C7" s="198">
        <f>'P &amp; L'!D34</f>
        <v>0</v>
      </c>
      <c r="D7" s="198">
        <f>C7+'P &amp; L'!E34</f>
        <v>6.138608407065262</v>
      </c>
      <c r="E7" s="198">
        <f>D7+'P &amp; L'!F34</f>
        <v>332.95523228766444</v>
      </c>
      <c r="F7" s="198">
        <f>E7+'P &amp; L'!G34</f>
        <v>997.55610657789236</v>
      </c>
      <c r="G7" s="198">
        <f>F7+'P &amp; L'!H34</f>
        <v>2019.4302242429826</v>
      </c>
      <c r="H7" s="198">
        <f>G7+'P &amp; L'!I34</f>
        <v>3418.6757091375307</v>
      </c>
      <c r="I7" s="198">
        <f>H7+'P &amp; L'!J34</f>
        <v>5218.2941452064842</v>
      </c>
      <c r="J7" s="198">
        <f>I7+'P &amp; L'!K34</f>
        <v>7442.8814631117066</v>
      </c>
    </row>
    <row r="8" spans="2:10" s="97" customFormat="1" ht="21" customHeight="1" x14ac:dyDescent="0.35">
      <c r="B8" s="51" t="s">
        <v>422</v>
      </c>
      <c r="C8" s="198">
        <f>'Cash Flow'!C8-C12-'Cash Flow'!C23</f>
        <v>2010</v>
      </c>
      <c r="D8" s="198">
        <f>C8+'Cash Flow'!D8-D12</f>
        <v>1774</v>
      </c>
      <c r="E8" s="198">
        <f>D8+'Cash Flow'!E8-E12</f>
        <v>1486</v>
      </c>
      <c r="F8" s="198">
        <f>E8+'Cash Flow'!F8-F12</f>
        <v>1150</v>
      </c>
      <c r="G8" s="198">
        <f>F8+'Cash Flow'!G8-G12</f>
        <v>790</v>
      </c>
      <c r="H8" s="198">
        <f>G8+'Cash Flow'!H8-H12</f>
        <v>397.33333320000003</v>
      </c>
      <c r="I8" s="198">
        <f>H8+'Cash Flow'!I8-I12</f>
        <v>0</v>
      </c>
      <c r="J8" s="198">
        <f>I8+'Cash Flow'!J8-J12</f>
        <v>0</v>
      </c>
    </row>
    <row r="9" spans="2:10" s="97" customFormat="1" ht="21" customHeight="1" x14ac:dyDescent="0.35">
      <c r="B9" s="51" t="s">
        <v>1081</v>
      </c>
      <c r="C9" s="198">
        <f>'CoP-MoF'!D18/A</f>
        <v>1004.5479430000001</v>
      </c>
      <c r="D9" s="266">
        <f>C9+537</f>
        <v>1541.547943</v>
      </c>
      <c r="E9" s="198">
        <f>D9</f>
        <v>1541.547943</v>
      </c>
      <c r="F9" s="198">
        <f t="shared" ref="F9:I9" si="2">E9</f>
        <v>1541.547943</v>
      </c>
      <c r="G9" s="198">
        <f t="shared" si="2"/>
        <v>1541.547943</v>
      </c>
      <c r="H9" s="198">
        <f t="shared" si="2"/>
        <v>1541.547943</v>
      </c>
      <c r="I9" s="198">
        <f t="shared" si="2"/>
        <v>1541.547943</v>
      </c>
      <c r="J9" s="198">
        <f>I9</f>
        <v>1541.547943</v>
      </c>
    </row>
    <row r="10" spans="2:10" s="97" customFormat="1" ht="21" customHeight="1" x14ac:dyDescent="0.35">
      <c r="B10" s="107" t="s">
        <v>400</v>
      </c>
      <c r="C10" s="198"/>
      <c r="D10" s="198"/>
      <c r="E10" s="198"/>
      <c r="F10" s="198"/>
      <c r="G10" s="198"/>
      <c r="H10" s="198"/>
      <c r="I10" s="198"/>
      <c r="J10" s="198"/>
    </row>
    <row r="11" spans="2:10" s="97" customFormat="1" ht="21" customHeight="1" x14ac:dyDescent="0.35">
      <c r="B11" s="51" t="s">
        <v>752</v>
      </c>
      <c r="C11" s="198">
        <f>WC!D32</f>
        <v>0</v>
      </c>
      <c r="D11" s="198">
        <f>WC!E32</f>
        <v>1109.3336924797604</v>
      </c>
      <c r="E11" s="198">
        <f>WC!F32</f>
        <v>1353.0764935421046</v>
      </c>
      <c r="F11" s="198">
        <f>WC!G32</f>
        <v>1618.5082555479771</v>
      </c>
      <c r="G11" s="198">
        <f>WC!H32</f>
        <v>1907.1973190959236</v>
      </c>
      <c r="H11" s="198">
        <f>WC!I32</f>
        <v>2220.8155165926723</v>
      </c>
      <c r="I11" s="198">
        <f>WC!J32</f>
        <v>2561.1446885975211</v>
      </c>
      <c r="J11" s="198">
        <f>WC!K32</f>
        <v>2930.0836018731525</v>
      </c>
    </row>
    <row r="12" spans="2:10" s="97" customFormat="1" ht="30.75" customHeight="1" x14ac:dyDescent="0.35">
      <c r="B12" s="45" t="s">
        <v>573</v>
      </c>
      <c r="C12" s="198">
        <f>'TL Schd'!E7</f>
        <v>170</v>
      </c>
      <c r="D12" s="198">
        <f>'TL Schd'!F7</f>
        <v>236</v>
      </c>
      <c r="E12" s="198">
        <f>'TL Schd'!G7</f>
        <v>288</v>
      </c>
      <c r="F12" s="198">
        <f>'TL Schd'!H7</f>
        <v>336</v>
      </c>
      <c r="G12" s="198">
        <f>'TL Schd'!I7</f>
        <v>360</v>
      </c>
      <c r="H12" s="198">
        <f>'TL Schd'!J7</f>
        <v>392.66666679999997</v>
      </c>
      <c r="I12" s="198">
        <f>'TL Schd'!K7</f>
        <v>397.33333320000003</v>
      </c>
      <c r="J12" s="198">
        <f>'TL Schd'!L7</f>
        <v>0</v>
      </c>
    </row>
    <row r="13" spans="2:10" s="97" customFormat="1" ht="21" customHeight="1" x14ac:dyDescent="0.35">
      <c r="B13" s="51" t="s">
        <v>477</v>
      </c>
      <c r="C13" s="302">
        <f>'TL Schd'!D260</f>
        <v>0</v>
      </c>
      <c r="D13" s="302">
        <f>'TL Schd'!E260</f>
        <v>0</v>
      </c>
      <c r="E13" s="302">
        <f>'TL Schd'!F260</f>
        <v>0</v>
      </c>
      <c r="F13" s="302">
        <f>'TL Schd'!G260</f>
        <v>0</v>
      </c>
      <c r="G13" s="302">
        <f>'TL Schd'!H260</f>
        <v>0</v>
      </c>
      <c r="H13" s="302">
        <f>'TL Schd'!I260</f>
        <v>0</v>
      </c>
      <c r="I13" s="302">
        <f>'TL Schd'!J260</f>
        <v>0</v>
      </c>
      <c r="J13" s="302">
        <f>'TL Schd'!K260</f>
        <v>0</v>
      </c>
    </row>
    <row r="14" spans="2:10" s="97" customFormat="1" ht="21" customHeight="1" x14ac:dyDescent="0.35">
      <c r="B14" s="122" t="s">
        <v>43</v>
      </c>
      <c r="C14" s="306">
        <f t="shared" ref="C14:J14" si="3">SUM(C6:C13)</f>
        <v>4184.5479429999996</v>
      </c>
      <c r="D14" s="306">
        <f t="shared" si="3"/>
        <v>5667.0202438868255</v>
      </c>
      <c r="E14" s="306">
        <f t="shared" si="3"/>
        <v>6001.5796688297687</v>
      </c>
      <c r="F14" s="306">
        <f t="shared" si="3"/>
        <v>6643.6123051258692</v>
      </c>
      <c r="G14" s="306">
        <f t="shared" si="3"/>
        <v>7618.175486338906</v>
      </c>
      <c r="H14" s="306">
        <f t="shared" si="3"/>
        <v>8971.0391687302035</v>
      </c>
      <c r="I14" s="306">
        <f t="shared" si="3"/>
        <v>10718.320110004006</v>
      </c>
      <c r="J14" s="306">
        <f t="shared" si="3"/>
        <v>12914.513007984857</v>
      </c>
    </row>
    <row r="15" spans="2:10" s="97" customFormat="1" ht="21" customHeight="1" x14ac:dyDescent="0.35">
      <c r="B15" s="107" t="s">
        <v>418</v>
      </c>
      <c r="C15" s="198" t="s">
        <v>787</v>
      </c>
      <c r="D15" s="198"/>
      <c r="E15" s="198"/>
      <c r="F15" s="198"/>
      <c r="G15" s="198"/>
      <c r="H15" s="198"/>
      <c r="I15" s="198"/>
      <c r="J15" s="198"/>
    </row>
    <row r="16" spans="2:10" s="97" customFormat="1" ht="14.5" hidden="1" customHeight="1" x14ac:dyDescent="0.35">
      <c r="B16" s="51"/>
      <c r="C16" s="198"/>
      <c r="D16" s="198"/>
      <c r="E16" s="198"/>
      <c r="F16" s="198"/>
      <c r="G16" s="198"/>
      <c r="H16" s="198"/>
      <c r="I16" s="198"/>
      <c r="J16" s="198"/>
    </row>
    <row r="17" spans="2:10" s="97" customFormat="1" ht="14.5" customHeight="1" x14ac:dyDescent="0.35">
      <c r="B17" s="51"/>
      <c r="C17" s="198"/>
      <c r="D17" s="198"/>
      <c r="E17" s="198"/>
      <c r="F17" s="198"/>
      <c r="G17" s="198"/>
      <c r="H17" s="198"/>
      <c r="I17" s="198"/>
      <c r="J17" s="198"/>
    </row>
    <row r="18" spans="2:10" s="97" customFormat="1" ht="14.5" customHeight="1" x14ac:dyDescent="0.35">
      <c r="B18" s="51" t="s">
        <v>1068</v>
      </c>
      <c r="C18" s="198">
        <f>'CoP-MoF'!D5/10^5</f>
        <v>140.30000000000001</v>
      </c>
      <c r="D18" s="198">
        <f>C18</f>
        <v>140.30000000000001</v>
      </c>
      <c r="E18" s="198">
        <f t="shared" ref="E18:I18" si="4">D18</f>
        <v>140.30000000000001</v>
      </c>
      <c r="F18" s="198">
        <f t="shared" si="4"/>
        <v>140.30000000000001</v>
      </c>
      <c r="G18" s="198">
        <f t="shared" si="4"/>
        <v>140.30000000000001</v>
      </c>
      <c r="H18" s="198">
        <f t="shared" si="4"/>
        <v>140.30000000000001</v>
      </c>
      <c r="I18" s="198">
        <f t="shared" si="4"/>
        <v>140.30000000000001</v>
      </c>
      <c r="J18" s="198">
        <f t="shared" ref="J18:J21" si="5">I18</f>
        <v>140.30000000000001</v>
      </c>
    </row>
    <row r="19" spans="2:10" s="97" customFormat="1" ht="21" customHeight="1" x14ac:dyDescent="0.35">
      <c r="B19" s="51" t="s">
        <v>434</v>
      </c>
      <c r="C19" s="198">
        <f>Depr!F3</f>
        <v>627.97300365260423</v>
      </c>
      <c r="D19" s="198">
        <f t="shared" ref="D19:I19" si="6">C19</f>
        <v>627.97300365260423</v>
      </c>
      <c r="E19" s="198">
        <f t="shared" si="6"/>
        <v>627.97300365260423</v>
      </c>
      <c r="F19" s="198">
        <f t="shared" si="6"/>
        <v>627.97300365260423</v>
      </c>
      <c r="G19" s="198">
        <f t="shared" si="6"/>
        <v>627.97300365260423</v>
      </c>
      <c r="H19" s="198">
        <f t="shared" si="6"/>
        <v>627.97300365260423</v>
      </c>
      <c r="I19" s="198">
        <f t="shared" si="6"/>
        <v>627.97300365260423</v>
      </c>
      <c r="J19" s="198">
        <f t="shared" si="5"/>
        <v>627.97300365260423</v>
      </c>
    </row>
    <row r="20" spans="2:10" s="97" customFormat="1" ht="21" customHeight="1" x14ac:dyDescent="0.35">
      <c r="B20" s="51" t="s">
        <v>109</v>
      </c>
      <c r="C20" s="198">
        <f>Depr!F4</f>
        <v>3306.2233802465425</v>
      </c>
      <c r="D20" s="198">
        <f t="shared" ref="D20:I20" si="7">C20</f>
        <v>3306.2233802465425</v>
      </c>
      <c r="E20" s="198">
        <f t="shared" si="7"/>
        <v>3306.2233802465425</v>
      </c>
      <c r="F20" s="198">
        <f t="shared" si="7"/>
        <v>3306.2233802465425</v>
      </c>
      <c r="G20" s="198">
        <f t="shared" si="7"/>
        <v>3306.2233802465425</v>
      </c>
      <c r="H20" s="198">
        <f t="shared" si="7"/>
        <v>3306.2233802465425</v>
      </c>
      <c r="I20" s="198">
        <f t="shared" si="7"/>
        <v>3306.2233802465425</v>
      </c>
      <c r="J20" s="198">
        <f t="shared" si="5"/>
        <v>3306.2233802465425</v>
      </c>
    </row>
    <row r="21" spans="2:10" s="97" customFormat="1" ht="21" customHeight="1" x14ac:dyDescent="0.35">
      <c r="B21" s="51" t="s">
        <v>1069</v>
      </c>
      <c r="C21" s="198">
        <f>Depr!F5</f>
        <v>103.3015591008534</v>
      </c>
      <c r="D21" s="198">
        <f t="shared" ref="D21" si="8">C21</f>
        <v>103.3015591008534</v>
      </c>
      <c r="E21" s="198">
        <f t="shared" ref="E21" si="9">D21</f>
        <v>103.3015591008534</v>
      </c>
      <c r="F21" s="198">
        <f t="shared" ref="F21" si="10">E21</f>
        <v>103.3015591008534</v>
      </c>
      <c r="G21" s="198">
        <f t="shared" ref="G21" si="11">F21</f>
        <v>103.3015591008534</v>
      </c>
      <c r="H21" s="198">
        <f t="shared" ref="H21" si="12">G21</f>
        <v>103.3015591008534</v>
      </c>
      <c r="I21" s="198">
        <f t="shared" ref="I21" si="13">H21</f>
        <v>103.3015591008534</v>
      </c>
      <c r="J21" s="198">
        <f t="shared" si="5"/>
        <v>103.3015591008534</v>
      </c>
    </row>
    <row r="22" spans="2:10" s="97" customFormat="1" ht="21" customHeight="1" x14ac:dyDescent="0.35">
      <c r="B22" s="107" t="s">
        <v>420</v>
      </c>
      <c r="C22" s="307">
        <f>SUM(C16:C21)</f>
        <v>4177.7979430000005</v>
      </c>
      <c r="D22" s="307">
        <f t="shared" ref="D22:J22" si="14">SUM(D16:D21)</f>
        <v>4177.7979430000005</v>
      </c>
      <c r="E22" s="307">
        <f t="shared" si="14"/>
        <v>4177.7979430000005</v>
      </c>
      <c r="F22" s="307">
        <f t="shared" si="14"/>
        <v>4177.7979430000005</v>
      </c>
      <c r="G22" s="307">
        <f t="shared" si="14"/>
        <v>4177.7979430000005</v>
      </c>
      <c r="H22" s="307">
        <f t="shared" si="14"/>
        <v>4177.7979430000005</v>
      </c>
      <c r="I22" s="307">
        <f t="shared" si="14"/>
        <v>4177.7979430000005</v>
      </c>
      <c r="J22" s="307">
        <f t="shared" si="14"/>
        <v>4177.7979430000005</v>
      </c>
    </row>
    <row r="23" spans="2:10" s="97" customFormat="1" ht="21" customHeight="1" x14ac:dyDescent="0.35">
      <c r="B23" s="51" t="s">
        <v>250</v>
      </c>
      <c r="C23" s="198">
        <f>'P &amp; L'!D30</f>
        <v>0</v>
      </c>
      <c r="D23" s="198">
        <f>C23+'P &amp; L'!E30</f>
        <v>569.06096331232709</v>
      </c>
      <c r="E23" s="198">
        <f>D23+'P &amp; L'!F30</f>
        <v>1056.4191549415723</v>
      </c>
      <c r="F23" s="198">
        <f>E23+'P &amp; L'!G30</f>
        <v>1473.9643533588214</v>
      </c>
      <c r="G23" s="198">
        <f>F23+'P &amp; L'!H30</f>
        <v>1831.8394339926347</v>
      </c>
      <c r="H23" s="198">
        <f>G23+'P &amp; L'!I30</f>
        <v>2138.6987483126122</v>
      </c>
      <c r="I23" s="198">
        <f>H23+'P &amp; L'!J30</f>
        <v>2401.928111687706</v>
      </c>
      <c r="J23" s="198">
        <f>I23+'P &amp; L'!K30</f>
        <v>2627.8321221393371</v>
      </c>
    </row>
    <row r="24" spans="2:10" s="97" customFormat="1" ht="21" customHeight="1" x14ac:dyDescent="0.35">
      <c r="B24" s="107" t="s">
        <v>435</v>
      </c>
      <c r="C24" s="307">
        <f t="shared" ref="C24:H24" si="15">C22-C23</f>
        <v>4177.7979430000005</v>
      </c>
      <c r="D24" s="307">
        <f t="shared" si="15"/>
        <v>3608.7369796876733</v>
      </c>
      <c r="E24" s="307">
        <f t="shared" si="15"/>
        <v>3121.3787880584282</v>
      </c>
      <c r="F24" s="307">
        <f t="shared" si="15"/>
        <v>2703.8335896411791</v>
      </c>
      <c r="G24" s="307">
        <f t="shared" si="15"/>
        <v>2345.958509007366</v>
      </c>
      <c r="H24" s="307">
        <f t="shared" si="15"/>
        <v>2039.0991946873883</v>
      </c>
      <c r="I24" s="307">
        <f t="shared" ref="I24:J24" si="16">I22-I23</f>
        <v>1775.8698313122945</v>
      </c>
      <c r="J24" s="307">
        <f t="shared" si="16"/>
        <v>1549.9658208606634</v>
      </c>
    </row>
    <row r="25" spans="2:10" s="97" customFormat="1" ht="21" customHeight="1" x14ac:dyDescent="0.35">
      <c r="B25" s="107" t="s">
        <v>421</v>
      </c>
      <c r="C25" s="307">
        <f t="shared" ref="C25:H25" si="17">SUM(C26:C28)</f>
        <v>0</v>
      </c>
      <c r="D25" s="307">
        <f t="shared" si="17"/>
        <v>2052.8832641991526</v>
      </c>
      <c r="E25" s="307">
        <f t="shared" si="17"/>
        <v>2876.1508807713412</v>
      </c>
      <c r="F25" s="307">
        <f t="shared" si="17"/>
        <v>3937.0787154846903</v>
      </c>
      <c r="G25" s="307">
        <f t="shared" si="17"/>
        <v>5270.8669773315405</v>
      </c>
      <c r="H25" s="307">
        <f t="shared" si="17"/>
        <v>6931.9399740428153</v>
      </c>
      <c r="I25" s="307">
        <f t="shared" ref="I25:J25" si="18">SUM(I26:I28)</f>
        <v>8942.450278691711</v>
      </c>
      <c r="J25" s="307">
        <f t="shared" si="18"/>
        <v>11364.547187124197</v>
      </c>
    </row>
    <row r="26" spans="2:10" s="97" customFormat="1" ht="21" customHeight="1" x14ac:dyDescent="0.35">
      <c r="B26" s="51" t="s">
        <v>396</v>
      </c>
      <c r="C26" s="198">
        <f>WC!D35</f>
        <v>0</v>
      </c>
      <c r="D26" s="198">
        <f>WC!E35</f>
        <v>773.77117808219168</v>
      </c>
      <c r="E26" s="198">
        <f>WC!F35</f>
        <v>947.86969315068484</v>
      </c>
      <c r="F26" s="198">
        <f>WC!G35</f>
        <v>1137.4436317808222</v>
      </c>
      <c r="G26" s="198">
        <f>WC!H35</f>
        <v>1343.6052900410962</v>
      </c>
      <c r="H26" s="198">
        <f>WC!I35</f>
        <v>1567.5395050479456</v>
      </c>
      <c r="I26" s="198">
        <f>WC!J35</f>
        <v>1810.5081283303775</v>
      </c>
      <c r="J26" s="198">
        <f>WC!K35</f>
        <v>2073.854765178432</v>
      </c>
    </row>
    <row r="27" spans="2:10" s="97" customFormat="1" ht="21" customHeight="1" x14ac:dyDescent="0.35">
      <c r="B27" s="51" t="s">
        <v>397</v>
      </c>
      <c r="C27" s="198">
        <f>WC!D37</f>
        <v>0</v>
      </c>
      <c r="D27" s="198">
        <f>WC!E37</f>
        <v>1278.7791780821919</v>
      </c>
      <c r="E27" s="198">
        <f>WC!F37</f>
        <v>1566.5044931506845</v>
      </c>
      <c r="F27" s="198">
        <f>WC!G37</f>
        <v>1879.8053917808222</v>
      </c>
      <c r="G27" s="198">
        <f>WC!H37</f>
        <v>2220.5201190410962</v>
      </c>
      <c r="H27" s="198">
        <f>WC!I37</f>
        <v>2590.6068055479459</v>
      </c>
      <c r="I27" s="198">
        <f>WC!J37</f>
        <v>2992.1508604078781</v>
      </c>
      <c r="J27" s="198">
        <f>WC!K37</f>
        <v>3427.3728037399328</v>
      </c>
    </row>
    <row r="28" spans="2:10" s="97" customFormat="1" ht="21" customHeight="1" x14ac:dyDescent="0.35">
      <c r="B28" s="51" t="s">
        <v>436</v>
      </c>
      <c r="C28" s="198">
        <f>'Cash Flow'!C32</f>
        <v>0</v>
      </c>
      <c r="D28" s="198">
        <f>'Cash Flow'!D32</f>
        <v>0.33290803476893416</v>
      </c>
      <c r="E28" s="198">
        <f>'Cash Flow'!E32</f>
        <v>361.77669446997186</v>
      </c>
      <c r="F28" s="198">
        <f>'Cash Flow'!F32</f>
        <v>919.82969192304631</v>
      </c>
      <c r="G28" s="198">
        <f>'Cash Flow'!G32</f>
        <v>1706.7415682493481</v>
      </c>
      <c r="H28" s="198">
        <f>'Cash Flow'!H32</f>
        <v>2773.7936634469233</v>
      </c>
      <c r="I28" s="198">
        <f>'Cash Flow'!I32</f>
        <v>4139.7912899534558</v>
      </c>
      <c r="J28" s="198">
        <f>'Cash Flow'!J32</f>
        <v>5863.3196182058318</v>
      </c>
    </row>
    <row r="29" spans="2:10" s="97" customFormat="1" ht="21" customHeight="1" x14ac:dyDescent="0.35">
      <c r="B29" s="51" t="s">
        <v>426</v>
      </c>
      <c r="C29" s="198">
        <f>'CoP-MoF'!D9/A-'P &amp; L'!D31</f>
        <v>6.75</v>
      </c>
      <c r="D29" s="198">
        <f>C29-'P &amp; L'!E31</f>
        <v>5.3999999999999995</v>
      </c>
      <c r="E29" s="198">
        <f>D29-'P &amp; L'!F31</f>
        <v>4.0499999999999989</v>
      </c>
      <c r="F29" s="198">
        <f>E29-'P &amp; L'!G31</f>
        <v>2.6999999999999984</v>
      </c>
      <c r="G29" s="198">
        <f>F29-'P &amp; L'!H31</f>
        <v>1.3499999999999981</v>
      </c>
      <c r="H29" s="198">
        <f>G29-'P &amp; L'!I31</f>
        <v>-2.2204460492503131E-15</v>
      </c>
      <c r="I29" s="198">
        <f>H29-'P &amp; L'!J31</f>
        <v>-2.2204460492503131E-15</v>
      </c>
      <c r="J29" s="198">
        <f>I29-'P &amp; L'!K31</f>
        <v>-2.2204460492503131E-15</v>
      </c>
    </row>
    <row r="30" spans="2:10" s="97" customFormat="1" ht="21" customHeight="1" x14ac:dyDescent="0.35">
      <c r="B30" s="122" t="s">
        <v>43</v>
      </c>
      <c r="C30" s="306">
        <f>C24+C25+C29</f>
        <v>4184.5479430000005</v>
      </c>
      <c r="D30" s="306">
        <f t="shared" ref="D30:J30" si="19">D24+D25+D29</f>
        <v>5667.0202438868255</v>
      </c>
      <c r="E30" s="306">
        <f t="shared" si="19"/>
        <v>6001.5796688297696</v>
      </c>
      <c r="F30" s="306">
        <f t="shared" si="19"/>
        <v>6643.6123051258692</v>
      </c>
      <c r="G30" s="306">
        <f t="shared" si="19"/>
        <v>7618.1754863389069</v>
      </c>
      <c r="H30" s="306">
        <f t="shared" si="19"/>
        <v>8971.0391687302035</v>
      </c>
      <c r="I30" s="306">
        <f t="shared" si="19"/>
        <v>10718.320110004006</v>
      </c>
      <c r="J30" s="306">
        <f t="shared" si="19"/>
        <v>12914.51300798486</v>
      </c>
    </row>
    <row r="32" spans="2:10" x14ac:dyDescent="0.35">
      <c r="B32" s="134" t="s">
        <v>432</v>
      </c>
      <c r="C32" s="133">
        <f t="shared" ref="C32:J32" si="20">C30-C14</f>
        <v>0</v>
      </c>
      <c r="D32" s="133">
        <f t="shared" si="20"/>
        <v>0</v>
      </c>
      <c r="E32" s="133">
        <f>E30-E14</f>
        <v>0</v>
      </c>
      <c r="F32" s="135">
        <f t="shared" si="20"/>
        <v>0</v>
      </c>
      <c r="G32" s="135">
        <f t="shared" si="20"/>
        <v>0</v>
      </c>
      <c r="H32" s="135">
        <f t="shared" si="20"/>
        <v>0</v>
      </c>
      <c r="I32" s="135">
        <f t="shared" si="20"/>
        <v>0</v>
      </c>
      <c r="J32" s="135">
        <f t="shared" si="20"/>
        <v>0</v>
      </c>
    </row>
  </sheetData>
  <customSheetViews>
    <customSheetView guid="{22475485-DA09-46DB-978D-BB94CE1E5597}">
      <pane xSplit="1" ySplit="2" topLeftCell="B20" activePane="bottomRight" state="frozen"/>
      <selection pane="bottomRight" activeCell="C22" sqref="C22"/>
      <pageMargins left="0.43" right="0.7" top="0.75" bottom="0.75" header="0.3" footer="0.3"/>
      <pageSetup paperSize="9" orientation="landscape" verticalDpi="300" r:id="rId1"/>
    </customSheetView>
  </customSheetViews>
  <mergeCells count="1">
    <mergeCell ref="B2:J2"/>
  </mergeCells>
  <pageMargins left="0.43" right="0.7" top="0.75" bottom="0.75" header="0.3" footer="0.3"/>
  <pageSetup paperSize="9" orientation="landscape"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J32"/>
  <sheetViews>
    <sheetView showGridLines="0" zoomScaleNormal="100" workbookViewId="0">
      <pane xSplit="2" ySplit="3" topLeftCell="C23" activePane="bottomRight" state="frozen"/>
      <selection pane="topRight" activeCell="B1" sqref="B1"/>
      <selection pane="bottomLeft" activeCell="A3" sqref="A3"/>
      <selection pane="bottomRight" activeCell="G29" sqref="G29:J32"/>
    </sheetView>
  </sheetViews>
  <sheetFormatPr defaultColWidth="32.26953125" defaultRowHeight="14.5" x14ac:dyDescent="0.35"/>
  <cols>
    <col min="1" max="1" width="4.7265625" style="96" customWidth="1"/>
    <col min="2" max="2" width="40.26953125" style="97" customWidth="1"/>
    <col min="3" max="10" width="12.7265625" style="44" customWidth="1"/>
    <col min="11" max="16384" width="32.26953125" style="96"/>
  </cols>
  <sheetData>
    <row r="1" spans="2:10" ht="18.75" customHeight="1" x14ac:dyDescent="0.35"/>
    <row r="2" spans="2:10" ht="17.25" customHeight="1" x14ac:dyDescent="0.35">
      <c r="B2" s="456" t="s">
        <v>433</v>
      </c>
      <c r="C2" s="456"/>
      <c r="D2" s="456"/>
      <c r="E2" s="456"/>
      <c r="F2" s="456"/>
      <c r="G2" s="456"/>
      <c r="H2" s="456"/>
      <c r="I2" s="456"/>
      <c r="J2" s="456"/>
    </row>
    <row r="3" spans="2:10" s="58" customFormat="1" ht="18.75" customHeight="1" x14ac:dyDescent="0.35">
      <c r="B3" s="137" t="s">
        <v>14</v>
      </c>
      <c r="C3" s="94">
        <v>2025</v>
      </c>
      <c r="D3" s="94">
        <f t="shared" ref="D3:I3" si="0">C3+1</f>
        <v>2026</v>
      </c>
      <c r="E3" s="94">
        <f t="shared" si="0"/>
        <v>2027</v>
      </c>
      <c r="F3" s="94">
        <f t="shared" si="0"/>
        <v>2028</v>
      </c>
      <c r="G3" s="94">
        <f t="shared" si="0"/>
        <v>2029</v>
      </c>
      <c r="H3" s="94">
        <f t="shared" si="0"/>
        <v>2030</v>
      </c>
      <c r="I3" s="94">
        <f t="shared" si="0"/>
        <v>2031</v>
      </c>
      <c r="J3" s="94">
        <f>I3+1</f>
        <v>2032</v>
      </c>
    </row>
    <row r="4" spans="2:10" s="97" customFormat="1" ht="21" customHeight="1" x14ac:dyDescent="0.35">
      <c r="B4" s="103" t="s">
        <v>386</v>
      </c>
      <c r="C4" s="71" t="s">
        <v>1160</v>
      </c>
      <c r="D4" s="71" t="s">
        <v>541</v>
      </c>
      <c r="E4" s="71" t="s">
        <v>541</v>
      </c>
      <c r="F4" s="71" t="s">
        <v>541</v>
      </c>
      <c r="G4" s="71" t="s">
        <v>541</v>
      </c>
      <c r="H4" s="71" t="s">
        <v>541</v>
      </c>
      <c r="I4" s="71" t="s">
        <v>541</v>
      </c>
      <c r="J4" s="71" t="s">
        <v>541</v>
      </c>
    </row>
    <row r="5" spans="2:10" s="97" customFormat="1" ht="21" customHeight="1" x14ac:dyDescent="0.35">
      <c r="B5" s="64" t="s">
        <v>44</v>
      </c>
      <c r="C5" s="44"/>
      <c r="D5" s="44"/>
      <c r="E5" s="44"/>
      <c r="F5" s="44"/>
      <c r="G5" s="44"/>
      <c r="H5" s="44"/>
      <c r="I5" s="44"/>
      <c r="J5" s="44"/>
    </row>
    <row r="6" spans="2:10" s="97" customFormat="1" ht="21" customHeight="1" x14ac:dyDescent="0.35">
      <c r="B6" s="97" t="s">
        <v>429</v>
      </c>
      <c r="C6" s="198">
        <f>'P &amp; L'!D34</f>
        <v>0</v>
      </c>
      <c r="D6" s="198">
        <f>'P &amp; L'!E34</f>
        <v>6.138608407065262</v>
      </c>
      <c r="E6" s="198">
        <f>'P &amp; L'!F34</f>
        <v>326.8166238805992</v>
      </c>
      <c r="F6" s="198">
        <f>'P &amp; L'!G34</f>
        <v>664.60087429022792</v>
      </c>
      <c r="G6" s="198">
        <f>'P &amp; L'!H34</f>
        <v>1021.8741176650901</v>
      </c>
      <c r="H6" s="198">
        <f>'P &amp; L'!I34</f>
        <v>1399.2454848945481</v>
      </c>
      <c r="I6" s="198">
        <f>'P &amp; L'!J34</f>
        <v>1799.618436068954</v>
      </c>
      <c r="J6" s="198">
        <f>'P &amp; L'!K34</f>
        <v>2224.5873179052223</v>
      </c>
    </row>
    <row r="7" spans="2:10" s="97" customFormat="1" ht="21" customHeight="1" x14ac:dyDescent="0.35">
      <c r="B7" s="97" t="s">
        <v>577</v>
      </c>
      <c r="C7" s="198">
        <f>BS!C6</f>
        <v>1000</v>
      </c>
      <c r="D7" s="198">
        <f>BS!D6-BS!C6</f>
        <v>0</v>
      </c>
      <c r="E7" s="198">
        <f>BS!E6-BS!D6</f>
        <v>0</v>
      </c>
      <c r="F7" s="198">
        <f>BS!F6-BS!E6</f>
        <v>0</v>
      </c>
      <c r="G7" s="198">
        <f>BS!G6-BS!F6</f>
        <v>0</v>
      </c>
      <c r="H7" s="198">
        <f>BS!H6-BS!G6</f>
        <v>0</v>
      </c>
      <c r="I7" s="198">
        <f>BS!I6-BS!H6</f>
        <v>0</v>
      </c>
      <c r="J7" s="198">
        <f>BS!J6-BS!I6</f>
        <v>0</v>
      </c>
    </row>
    <row r="8" spans="2:10" s="97" customFormat="1" ht="21" customHeight="1" x14ac:dyDescent="0.35">
      <c r="B8" s="97" t="s">
        <v>489</v>
      </c>
      <c r="C8" s="198">
        <f>'TL Schd'!D6</f>
        <v>2180</v>
      </c>
      <c r="D8" s="198">
        <f>'TL Schd'!E6</f>
        <v>0</v>
      </c>
      <c r="E8" s="198">
        <f>'TL Schd'!F6</f>
        <v>0</v>
      </c>
      <c r="F8" s="198">
        <f>'TL Schd'!G6</f>
        <v>0</v>
      </c>
      <c r="G8" s="198">
        <f>'TL Schd'!H6</f>
        <v>0</v>
      </c>
      <c r="H8" s="198">
        <f>'TL Schd'!I6</f>
        <v>0</v>
      </c>
      <c r="I8" s="198">
        <f>'TL Schd'!J6</f>
        <v>0</v>
      </c>
      <c r="J8" s="198">
        <f>'TL Schd'!K6</f>
        <v>0</v>
      </c>
    </row>
    <row r="9" spans="2:10" s="97" customFormat="1" ht="21" customHeight="1" x14ac:dyDescent="0.35">
      <c r="B9" s="97" t="s">
        <v>1082</v>
      </c>
      <c r="C9" s="198">
        <f>BS!C9</f>
        <v>1004.5479430000001</v>
      </c>
      <c r="D9" s="198">
        <f>BS!D9-BS!C9</f>
        <v>536.99999999999989</v>
      </c>
      <c r="E9" s="198">
        <f>BS!E9-BS!D9</f>
        <v>0</v>
      </c>
      <c r="F9" s="198">
        <f>BS!F9-BS!E9</f>
        <v>0</v>
      </c>
      <c r="G9" s="198">
        <f>BS!G9-BS!F9</f>
        <v>0</v>
      </c>
      <c r="H9" s="198">
        <f>BS!H9-BS!G9</f>
        <v>0</v>
      </c>
      <c r="I9" s="198">
        <f>BS!I9-BS!H9</f>
        <v>0</v>
      </c>
      <c r="J9" s="198">
        <f>BS!J9-BS!I9</f>
        <v>0</v>
      </c>
    </row>
    <row r="10" spans="2:10" s="97" customFormat="1" ht="21" customHeight="1" x14ac:dyDescent="0.35">
      <c r="B10" s="97" t="s">
        <v>783</v>
      </c>
      <c r="C10" s="302">
        <f>BS!C13</f>
        <v>0</v>
      </c>
      <c r="D10" s="302">
        <f>BS!D13-BS!C13</f>
        <v>0</v>
      </c>
      <c r="E10" s="302">
        <f>BS!E13-BS!D13</f>
        <v>0</v>
      </c>
      <c r="F10" s="302">
        <f>BS!F13-BS!E13</f>
        <v>0</v>
      </c>
      <c r="G10" s="302">
        <f>BS!G13-BS!F13</f>
        <v>0</v>
      </c>
      <c r="H10" s="302">
        <f>BS!H13-BS!G13</f>
        <v>0</v>
      </c>
      <c r="I10" s="302">
        <f>BS!I13-BS!H13</f>
        <v>0</v>
      </c>
      <c r="J10" s="302">
        <f>BS!J13-BS!I13</f>
        <v>0</v>
      </c>
    </row>
    <row r="11" spans="2:10" s="97" customFormat="1" ht="21" customHeight="1" x14ac:dyDescent="0.35">
      <c r="B11" s="97" t="s">
        <v>788</v>
      </c>
      <c r="C11" s="302">
        <v>0</v>
      </c>
      <c r="D11" s="302">
        <v>0</v>
      </c>
      <c r="E11" s="302">
        <v>0</v>
      </c>
      <c r="F11" s="302">
        <v>0</v>
      </c>
      <c r="G11" s="302">
        <v>0</v>
      </c>
      <c r="H11" s="302">
        <v>0</v>
      </c>
      <c r="I11" s="302">
        <v>0</v>
      </c>
      <c r="J11" s="302">
        <v>0</v>
      </c>
    </row>
    <row r="12" spans="2:10" s="97" customFormat="1" ht="21" customHeight="1" x14ac:dyDescent="0.35">
      <c r="B12" s="97" t="s">
        <v>789</v>
      </c>
      <c r="C12" s="302">
        <v>0</v>
      </c>
      <c r="D12" s="302">
        <v>0</v>
      </c>
      <c r="E12" s="302">
        <v>0</v>
      </c>
      <c r="F12" s="302">
        <v>0</v>
      </c>
      <c r="G12" s="302">
        <v>0</v>
      </c>
      <c r="H12" s="302">
        <v>0</v>
      </c>
      <c r="I12" s="302">
        <v>0</v>
      </c>
      <c r="J12" s="302">
        <v>0</v>
      </c>
    </row>
    <row r="13" spans="2:10" s="97" customFormat="1" ht="21" customHeight="1" x14ac:dyDescent="0.35">
      <c r="B13" s="97" t="s">
        <v>62</v>
      </c>
      <c r="C13" s="198">
        <f>'P &amp; L'!D36</f>
        <v>0</v>
      </c>
      <c r="D13" s="198">
        <f>'P &amp; L'!E36</f>
        <v>569.06096331232709</v>
      </c>
      <c r="E13" s="198">
        <f>'P &amp; L'!F36</f>
        <v>487.35819162924531</v>
      </c>
      <c r="F13" s="198">
        <f>'P &amp; L'!G36</f>
        <v>417.54519841724908</v>
      </c>
      <c r="G13" s="198">
        <f>'P &amp; L'!H36</f>
        <v>357.87508063381324</v>
      </c>
      <c r="H13" s="198">
        <f>'P &amp; L'!I36</f>
        <v>306.85931431997761</v>
      </c>
      <c r="I13" s="198">
        <f>'P &amp; L'!J36</f>
        <v>263.22936337509367</v>
      </c>
      <c r="J13" s="198">
        <f>'P &amp; L'!K36</f>
        <v>225.90401045163105</v>
      </c>
    </row>
    <row r="14" spans="2:10" s="97" customFormat="1" ht="21" customHeight="1" x14ac:dyDescent="0.35">
      <c r="B14" s="97" t="s">
        <v>826</v>
      </c>
      <c r="C14" s="198">
        <f>'P &amp; L'!D31</f>
        <v>0</v>
      </c>
      <c r="D14" s="198">
        <f>'P &amp; L'!E31</f>
        <v>1.3500000000000003</v>
      </c>
      <c r="E14" s="198">
        <f>'P &amp; L'!F31</f>
        <v>1.3500000000000003</v>
      </c>
      <c r="F14" s="198">
        <f>'P &amp; L'!G31</f>
        <v>1.3500000000000003</v>
      </c>
      <c r="G14" s="198">
        <f>'P &amp; L'!H31</f>
        <v>1.3500000000000003</v>
      </c>
      <c r="H14" s="198">
        <f>'P &amp; L'!I31</f>
        <v>1.3500000000000003</v>
      </c>
      <c r="I14" s="198">
        <f>'P &amp; L'!J31</f>
        <v>0</v>
      </c>
      <c r="J14" s="198">
        <f>'P &amp; L'!K31</f>
        <v>0</v>
      </c>
    </row>
    <row r="15" spans="2:10" s="97" customFormat="1" ht="21" customHeight="1" x14ac:dyDescent="0.35">
      <c r="B15" s="97" t="s">
        <v>790</v>
      </c>
      <c r="C15" s="198">
        <f>BS!C11</f>
        <v>0</v>
      </c>
      <c r="D15" s="198">
        <f>BS!D11-BS!C11</f>
        <v>1109.3336924797604</v>
      </c>
      <c r="E15" s="198">
        <f>BS!E11-BS!D11</f>
        <v>243.74280106234414</v>
      </c>
      <c r="F15" s="198">
        <f>BS!F11-BS!E11</f>
        <v>265.43176200587254</v>
      </c>
      <c r="G15" s="198">
        <f>BS!G11-BS!F11</f>
        <v>288.68906354794649</v>
      </c>
      <c r="H15" s="198">
        <f>BS!H11-BS!G11</f>
        <v>313.61819749674873</v>
      </c>
      <c r="I15" s="198">
        <f>BS!I11-BS!H11</f>
        <v>340.32917200484872</v>
      </c>
      <c r="J15" s="198">
        <f>BS!J11-BS!I11</f>
        <v>368.93891327563142</v>
      </c>
    </row>
    <row r="16" spans="2:10" s="97" customFormat="1" ht="21" customHeight="1" x14ac:dyDescent="0.35">
      <c r="B16" s="97" t="s">
        <v>753</v>
      </c>
      <c r="C16" s="198">
        <v>0</v>
      </c>
      <c r="D16" s="198">
        <v>0</v>
      </c>
      <c r="E16" s="198">
        <v>0</v>
      </c>
      <c r="F16" s="198">
        <v>0</v>
      </c>
      <c r="G16" s="198">
        <v>0</v>
      </c>
      <c r="H16" s="198">
        <v>0</v>
      </c>
      <c r="I16" s="198">
        <v>0</v>
      </c>
      <c r="J16" s="198">
        <v>0</v>
      </c>
    </row>
    <row r="17" spans="2:10" s="97" customFormat="1" ht="21" hidden="1" customHeight="1" x14ac:dyDescent="0.35">
      <c r="B17" s="97" t="s">
        <v>442</v>
      </c>
      <c r="C17" s="100">
        <v>0</v>
      </c>
      <c r="D17" s="100">
        <v>0</v>
      </c>
      <c r="E17" s="100">
        <v>0</v>
      </c>
      <c r="F17" s="100"/>
      <c r="G17" s="100"/>
      <c r="H17" s="100"/>
      <c r="I17" s="100"/>
      <c r="J17" s="100"/>
    </row>
    <row r="18" spans="2:10" s="97" customFormat="1" ht="21" customHeight="1" x14ac:dyDescent="0.35">
      <c r="B18" s="92" t="s">
        <v>45</v>
      </c>
      <c r="C18" s="308">
        <f t="shared" ref="C18:J18" si="1">SUM(C6:C17)</f>
        <v>4184.5479430000005</v>
      </c>
      <c r="D18" s="308">
        <f t="shared" si="1"/>
        <v>2222.8832641991526</v>
      </c>
      <c r="E18" s="308">
        <f t="shared" si="1"/>
        <v>1059.2676165721887</v>
      </c>
      <c r="F18" s="308">
        <f t="shared" si="1"/>
        <v>1348.9278347133495</v>
      </c>
      <c r="G18" s="308">
        <f t="shared" si="1"/>
        <v>1669.7882618468498</v>
      </c>
      <c r="H18" s="308">
        <f t="shared" si="1"/>
        <v>2021.0729967112743</v>
      </c>
      <c r="I18" s="308">
        <f t="shared" si="1"/>
        <v>2403.1769714488964</v>
      </c>
      <c r="J18" s="308">
        <f t="shared" si="1"/>
        <v>2819.4302416324849</v>
      </c>
    </row>
    <row r="19" spans="2:10" s="97" customFormat="1" ht="21" customHeight="1" x14ac:dyDescent="0.35">
      <c r="B19" s="97" t="s">
        <v>46</v>
      </c>
      <c r="C19" s="44"/>
      <c r="D19" s="44"/>
      <c r="E19" s="44"/>
      <c r="F19" s="44"/>
      <c r="G19" s="44"/>
      <c r="H19" s="44"/>
      <c r="I19" s="44"/>
      <c r="J19" s="44"/>
    </row>
    <row r="20" spans="2:10" s="97" customFormat="1" ht="21" customHeight="1" x14ac:dyDescent="0.35">
      <c r="C20" s="44"/>
      <c r="D20" s="44"/>
      <c r="E20" s="44"/>
      <c r="F20" s="44"/>
      <c r="G20" s="44"/>
      <c r="H20" s="44"/>
      <c r="I20" s="44"/>
      <c r="J20" s="44"/>
    </row>
    <row r="21" spans="2:10" s="97" customFormat="1" ht="21" customHeight="1" x14ac:dyDescent="0.35">
      <c r="B21" s="97" t="s">
        <v>427</v>
      </c>
      <c r="C21" s="198">
        <f>BS!C22</f>
        <v>4177.7979430000005</v>
      </c>
      <c r="D21" s="198">
        <v>0</v>
      </c>
      <c r="E21" s="198">
        <v>0</v>
      </c>
      <c r="F21" s="198">
        <v>0</v>
      </c>
      <c r="G21" s="198">
        <v>0</v>
      </c>
      <c r="H21" s="198">
        <v>0</v>
      </c>
      <c r="I21" s="198">
        <v>0</v>
      </c>
      <c r="J21" s="198">
        <v>0</v>
      </c>
    </row>
    <row r="22" spans="2:10" s="97" customFormat="1" ht="21" customHeight="1" x14ac:dyDescent="0.35">
      <c r="B22" s="97" t="s">
        <v>781</v>
      </c>
      <c r="C22" s="198">
        <f>'CoP-MoF'!D9/A</f>
        <v>6.75</v>
      </c>
      <c r="D22" s="198">
        <v>0</v>
      </c>
      <c r="E22" s="198">
        <v>0</v>
      </c>
      <c r="F22" s="198">
        <v>0</v>
      </c>
      <c r="G22" s="198">
        <v>0</v>
      </c>
      <c r="H22" s="198">
        <v>0</v>
      </c>
      <c r="I22" s="198">
        <v>0</v>
      </c>
      <c r="J22" s="198">
        <v>0</v>
      </c>
    </row>
    <row r="23" spans="2:10" s="97" customFormat="1" ht="21" customHeight="1" x14ac:dyDescent="0.35">
      <c r="B23" s="97" t="s">
        <v>430</v>
      </c>
      <c r="C23" s="198">
        <f>'TL Schd'!D7</f>
        <v>0</v>
      </c>
      <c r="D23" s="198">
        <f>'TL Schd'!E7</f>
        <v>170</v>
      </c>
      <c r="E23" s="198">
        <f>'TL Schd'!F7</f>
        <v>236</v>
      </c>
      <c r="F23" s="198">
        <f>'TL Schd'!G7</f>
        <v>288</v>
      </c>
      <c r="G23" s="198">
        <f>'TL Schd'!H7</f>
        <v>336</v>
      </c>
      <c r="H23" s="198">
        <f>'TL Schd'!I7</f>
        <v>360</v>
      </c>
      <c r="I23" s="198">
        <f>'TL Schd'!J7</f>
        <v>392.66666679999997</v>
      </c>
      <c r="J23" s="198">
        <f>'TL Schd'!K7</f>
        <v>397.33333320000003</v>
      </c>
    </row>
    <row r="24" spans="2:10" s="97" customFormat="1" ht="21" customHeight="1" x14ac:dyDescent="0.35">
      <c r="B24" s="97" t="s">
        <v>784</v>
      </c>
      <c r="C24" s="198">
        <v>0</v>
      </c>
      <c r="D24" s="198">
        <v>0</v>
      </c>
      <c r="E24" s="198">
        <v>0</v>
      </c>
      <c r="F24" s="198">
        <v>0</v>
      </c>
      <c r="G24" s="198">
        <v>0</v>
      </c>
      <c r="H24" s="198">
        <v>0</v>
      </c>
      <c r="I24" s="198">
        <v>0</v>
      </c>
      <c r="J24" s="198">
        <v>0</v>
      </c>
    </row>
    <row r="25" spans="2:10" s="97" customFormat="1" ht="21" customHeight="1" x14ac:dyDescent="0.35">
      <c r="B25" s="97" t="s">
        <v>424</v>
      </c>
      <c r="C25" s="198">
        <f>BS!C26</f>
        <v>0</v>
      </c>
      <c r="D25" s="198">
        <f>BS!D26-BS!C26</f>
        <v>773.77117808219168</v>
      </c>
      <c r="E25" s="198">
        <f>BS!E26-BS!D26</f>
        <v>174.09851506849316</v>
      </c>
      <c r="F25" s="198">
        <f>BS!F26-BS!E26</f>
        <v>189.57393863013738</v>
      </c>
      <c r="G25" s="198">
        <f>BS!G26-BS!F26</f>
        <v>206.16165826027395</v>
      </c>
      <c r="H25" s="198">
        <f>BS!H26-BS!G26</f>
        <v>223.9342150068494</v>
      </c>
      <c r="I25" s="198">
        <f>BS!I26-BS!H26</f>
        <v>242.96862328243196</v>
      </c>
      <c r="J25" s="198">
        <f>BS!J26-BS!I26</f>
        <v>263.34663684805446</v>
      </c>
    </row>
    <row r="26" spans="2:10" s="97" customFormat="1" ht="21" customHeight="1" x14ac:dyDescent="0.35">
      <c r="B26" s="97" t="s">
        <v>428</v>
      </c>
      <c r="C26" s="198">
        <v>0</v>
      </c>
      <c r="D26" s="198">
        <v>0</v>
      </c>
      <c r="E26" s="198">
        <v>0</v>
      </c>
      <c r="F26" s="198">
        <v>0</v>
      </c>
      <c r="G26" s="198">
        <v>0</v>
      </c>
      <c r="H26" s="198">
        <v>0</v>
      </c>
      <c r="I26" s="198">
        <v>0</v>
      </c>
      <c r="J26" s="198">
        <v>0</v>
      </c>
    </row>
    <row r="27" spans="2:10" s="97" customFormat="1" ht="21" customHeight="1" x14ac:dyDescent="0.35">
      <c r="B27" s="97" t="s">
        <v>425</v>
      </c>
      <c r="C27" s="198">
        <f>BS!C27</f>
        <v>0</v>
      </c>
      <c r="D27" s="198">
        <f>BS!D27-BS!C27</f>
        <v>1278.7791780821919</v>
      </c>
      <c r="E27" s="198">
        <f>BS!E27-BS!D27</f>
        <v>287.72531506849259</v>
      </c>
      <c r="F27" s="198">
        <f>BS!F27-BS!E27</f>
        <v>313.30089863013768</v>
      </c>
      <c r="G27" s="198">
        <f>BS!G27-BS!F27</f>
        <v>340.714727260274</v>
      </c>
      <c r="H27" s="198">
        <f>BS!H27-BS!G27</f>
        <v>370.08668650684967</v>
      </c>
      <c r="I27" s="198">
        <f>BS!I27-BS!H27</f>
        <v>401.5440548599322</v>
      </c>
      <c r="J27" s="198">
        <f>BS!J27-BS!I27</f>
        <v>435.22194333205471</v>
      </c>
    </row>
    <row r="28" spans="2:10" s="97" customFormat="1" ht="21" hidden="1" customHeight="1" x14ac:dyDescent="0.35">
      <c r="B28" s="97" t="s">
        <v>419</v>
      </c>
      <c r="C28" s="198"/>
      <c r="D28" s="198"/>
      <c r="E28" s="198"/>
      <c r="F28" s="198"/>
      <c r="G28" s="198"/>
      <c r="H28" s="198"/>
      <c r="I28" s="198"/>
      <c r="J28" s="198"/>
    </row>
    <row r="29" spans="2:10" s="97" customFormat="1" ht="21" customHeight="1" x14ac:dyDescent="0.35">
      <c r="B29" s="92" t="s">
        <v>43</v>
      </c>
      <c r="C29" s="308">
        <f t="shared" ref="C29:J29" si="2">SUM(C21:C28)</f>
        <v>4184.5479430000005</v>
      </c>
      <c r="D29" s="308">
        <f t="shared" si="2"/>
        <v>2222.5503561643836</v>
      </c>
      <c r="E29" s="308">
        <f t="shared" si="2"/>
        <v>697.82383013698575</v>
      </c>
      <c r="F29" s="308">
        <f t="shared" si="2"/>
        <v>790.87483726027506</v>
      </c>
      <c r="G29" s="308">
        <f t="shared" si="2"/>
        <v>882.87638552054796</v>
      </c>
      <c r="H29" s="308">
        <f t="shared" si="2"/>
        <v>954.02090151369907</v>
      </c>
      <c r="I29" s="308">
        <f t="shared" si="2"/>
        <v>1037.1793449423642</v>
      </c>
      <c r="J29" s="308">
        <f t="shared" si="2"/>
        <v>1095.9019133801091</v>
      </c>
    </row>
    <row r="30" spans="2:10" s="97" customFormat="1" ht="21" customHeight="1" x14ac:dyDescent="0.35">
      <c r="B30" s="97" t="s">
        <v>431</v>
      </c>
      <c r="C30" s="198">
        <v>0</v>
      </c>
      <c r="D30" s="198">
        <f t="shared" ref="D30:I30" si="3">C32</f>
        <v>0</v>
      </c>
      <c r="E30" s="198">
        <f t="shared" si="3"/>
        <v>0.33290803476893416</v>
      </c>
      <c r="F30" s="198">
        <f t="shared" si="3"/>
        <v>361.77669446997186</v>
      </c>
      <c r="G30" s="198">
        <f t="shared" si="3"/>
        <v>919.82969192304631</v>
      </c>
      <c r="H30" s="198">
        <f t="shared" si="3"/>
        <v>1706.7415682493481</v>
      </c>
      <c r="I30" s="198">
        <f t="shared" si="3"/>
        <v>2773.7936634469233</v>
      </c>
      <c r="J30" s="198">
        <f>I32</f>
        <v>4139.7912899534558</v>
      </c>
    </row>
    <row r="31" spans="2:10" s="97" customFormat="1" ht="21" customHeight="1" x14ac:dyDescent="0.35">
      <c r="B31" s="97" t="s">
        <v>47</v>
      </c>
      <c r="C31" s="198">
        <f t="shared" ref="C31:J31" si="4">C18-C29</f>
        <v>0</v>
      </c>
      <c r="D31" s="198">
        <f t="shared" si="4"/>
        <v>0.33290803476893416</v>
      </c>
      <c r="E31" s="198">
        <f t="shared" si="4"/>
        <v>361.44378643520292</v>
      </c>
      <c r="F31" s="198">
        <f t="shared" si="4"/>
        <v>558.05299745307445</v>
      </c>
      <c r="G31" s="198">
        <f t="shared" si="4"/>
        <v>786.91187632630181</v>
      </c>
      <c r="H31" s="198">
        <f t="shared" si="4"/>
        <v>1067.0520951975752</v>
      </c>
      <c r="I31" s="198">
        <f t="shared" si="4"/>
        <v>1365.9976265065322</v>
      </c>
      <c r="J31" s="198">
        <f t="shared" si="4"/>
        <v>1723.5283282523758</v>
      </c>
    </row>
    <row r="32" spans="2:10" s="97" customFormat="1" ht="21" customHeight="1" x14ac:dyDescent="0.35">
      <c r="B32" s="140" t="s">
        <v>48</v>
      </c>
      <c r="C32" s="306">
        <f t="shared" ref="C32:G32" si="5">C30+C31</f>
        <v>0</v>
      </c>
      <c r="D32" s="306">
        <f t="shared" si="5"/>
        <v>0.33290803476893416</v>
      </c>
      <c r="E32" s="306">
        <f t="shared" si="5"/>
        <v>361.77669446997186</v>
      </c>
      <c r="F32" s="306">
        <f t="shared" si="5"/>
        <v>919.82969192304631</v>
      </c>
      <c r="G32" s="306">
        <f t="shared" si="5"/>
        <v>1706.7415682493481</v>
      </c>
      <c r="H32" s="306">
        <f t="shared" ref="H32:I32" si="6">H30+H31</f>
        <v>2773.7936634469233</v>
      </c>
      <c r="I32" s="306">
        <f t="shared" si="6"/>
        <v>4139.7912899534558</v>
      </c>
      <c r="J32" s="306">
        <f t="shared" ref="J32" si="7">J30+J31</f>
        <v>5863.3196182058318</v>
      </c>
    </row>
  </sheetData>
  <customSheetViews>
    <customSheetView guid="{22475485-DA09-46DB-978D-BB94CE1E5597}">
      <pane xSplit="2" ySplit="2" topLeftCell="C20" activePane="bottomRight" state="frozen"/>
      <selection pane="bottomRight" activeCell="A28" sqref="A28"/>
      <pageMargins left="0.35" right="0.7" top="0.75" bottom="0.75" header="0.3" footer="0.3"/>
      <pageSetup paperSize="9" orientation="landscape" verticalDpi="300" r:id="rId1"/>
    </customSheetView>
  </customSheetViews>
  <mergeCells count="1">
    <mergeCell ref="B2:J2"/>
  </mergeCells>
  <pageMargins left="0.35" right="0.7" top="0.75" bottom="0.75" header="0.3" footer="0.3"/>
  <pageSetup paperSize="9" orientation="landscape" verticalDpi="3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B2:J54"/>
  <sheetViews>
    <sheetView showGridLines="0" workbookViewId="0">
      <selection activeCell="D5" sqref="D5:J12"/>
    </sheetView>
  </sheetViews>
  <sheetFormatPr defaultColWidth="9.1796875" defaultRowHeight="14.5" x14ac:dyDescent="0.35"/>
  <cols>
    <col min="1" max="1" width="4.453125" style="142" customWidth="1"/>
    <col min="2" max="2" width="27" style="158" customWidth="1"/>
    <col min="3" max="10" width="12.7265625" style="148" customWidth="1"/>
    <col min="11" max="16384" width="9.1796875" style="142"/>
  </cols>
  <sheetData>
    <row r="2" spans="2:10" ht="18" customHeight="1" x14ac:dyDescent="0.35">
      <c r="B2" s="150" t="s">
        <v>604</v>
      </c>
      <c r="C2" s="136"/>
      <c r="D2" s="136"/>
      <c r="E2" s="136"/>
      <c r="F2" s="136"/>
      <c r="G2" s="136"/>
      <c r="H2" s="136"/>
      <c r="I2" s="136"/>
      <c r="J2" s="136"/>
    </row>
    <row r="3" spans="2:10" x14ac:dyDescent="0.35">
      <c r="B3" s="151"/>
      <c r="C3" s="160"/>
      <c r="D3" s="160"/>
      <c r="E3" s="160"/>
      <c r="F3" s="160"/>
      <c r="G3" s="160"/>
      <c r="H3" s="160"/>
      <c r="I3" s="160"/>
    </row>
    <row r="4" spans="2:10" ht="20.25" customHeight="1" x14ac:dyDescent="0.35">
      <c r="B4" s="122" t="s">
        <v>624</v>
      </c>
      <c r="C4" s="93">
        <v>2025</v>
      </c>
      <c r="D4" s="93">
        <f t="shared" ref="D4:I4" si="0">C4+1</f>
        <v>2026</v>
      </c>
      <c r="E4" s="93">
        <f t="shared" si="0"/>
        <v>2027</v>
      </c>
      <c r="F4" s="93">
        <f t="shared" si="0"/>
        <v>2028</v>
      </c>
      <c r="G4" s="93">
        <f t="shared" si="0"/>
        <v>2029</v>
      </c>
      <c r="H4" s="93">
        <f t="shared" si="0"/>
        <v>2030</v>
      </c>
      <c r="I4" s="93">
        <f t="shared" si="0"/>
        <v>2031</v>
      </c>
      <c r="J4" s="93">
        <f>I4+1</f>
        <v>2032</v>
      </c>
    </row>
    <row r="5" spans="2:10" ht="20.149999999999999" customHeight="1" x14ac:dyDescent="0.35">
      <c r="B5" s="152" t="s">
        <v>605</v>
      </c>
      <c r="C5" s="314">
        <f>'P &amp; L'!D12</f>
        <v>0</v>
      </c>
      <c r="D5" s="314">
        <f>'P &amp; L'!E12</f>
        <v>28242.648000000001</v>
      </c>
      <c r="E5" s="314">
        <f>'P &amp; L'!F12</f>
        <v>34597.243799999997</v>
      </c>
      <c r="F5" s="314">
        <f>'P &amp; L'!G12</f>
        <v>41516.69256000001</v>
      </c>
      <c r="G5" s="314">
        <f>'P &amp; L'!H12</f>
        <v>49041.593086500012</v>
      </c>
      <c r="H5" s="314">
        <f>'P &amp; L'!I12</f>
        <v>57215.191934250011</v>
      </c>
      <c r="I5" s="314">
        <f>'P &amp; L'!J12</f>
        <v>66083.546684058776</v>
      </c>
      <c r="J5" s="314">
        <f>'P &amp; L'!K12</f>
        <v>75695.698929012768</v>
      </c>
    </row>
    <row r="6" spans="2:10" ht="20.149999999999999" customHeight="1" x14ac:dyDescent="0.35">
      <c r="B6" s="152" t="s">
        <v>606</v>
      </c>
      <c r="C6" s="314">
        <f>'P &amp; L'!D19</f>
        <v>0</v>
      </c>
      <c r="D6" s="314">
        <f>'P &amp; L'!E19</f>
        <v>26576.720517007503</v>
      </c>
      <c r="E6" s="314">
        <f>'P &amp; L'!F19</f>
        <v>32521.040492857872</v>
      </c>
      <c r="F6" s="314">
        <f>'P &amp; L'!G19</f>
        <v>38993.350665000777</v>
      </c>
      <c r="G6" s="314">
        <f>'P &amp; L'!H19</f>
        <v>46031.589253125807</v>
      </c>
      <c r="H6" s="314">
        <f>'P &amp; L'!I19</f>
        <v>53676.168323400867</v>
      </c>
      <c r="I6" s="314">
        <f>'P &amp; L'!J19</f>
        <v>61970.126327570615</v>
      </c>
      <c r="J6" s="314">
        <f>'P &amp; L'!K19</f>
        <v>70959.289711348814</v>
      </c>
    </row>
    <row r="7" spans="2:10" ht="20.149999999999999" customHeight="1" x14ac:dyDescent="0.35">
      <c r="B7" s="152" t="s">
        <v>607</v>
      </c>
      <c r="C7" s="314">
        <f>C5-C6</f>
        <v>0</v>
      </c>
      <c r="D7" s="314">
        <f t="shared" ref="D7:J7" si="1">D5-D6</f>
        <v>1665.927482992498</v>
      </c>
      <c r="E7" s="314">
        <f t="shared" si="1"/>
        <v>2076.2033071421247</v>
      </c>
      <c r="F7" s="314">
        <f t="shared" si="1"/>
        <v>2523.3418949992338</v>
      </c>
      <c r="G7" s="314">
        <f t="shared" si="1"/>
        <v>3010.003833374205</v>
      </c>
      <c r="H7" s="314">
        <f t="shared" si="1"/>
        <v>3539.0236108491445</v>
      </c>
      <c r="I7" s="314">
        <f t="shared" si="1"/>
        <v>4113.4203564881609</v>
      </c>
      <c r="J7" s="314">
        <f t="shared" si="1"/>
        <v>4736.4092176639533</v>
      </c>
    </row>
    <row r="8" spans="2:10" ht="29" x14ac:dyDescent="0.35">
      <c r="B8" s="153" t="s">
        <v>791</v>
      </c>
      <c r="C8" s="314">
        <f>'P &amp; L'!D24+'P &amp; L'!D27+'P &amp; L'!D29+'P &amp; L'!D30</f>
        <v>0</v>
      </c>
      <c r="D8" s="314">
        <f>'P &amp; L'!E24+'P &amp; L'!E27+'P &amp; L'!E29+'P &amp; L'!E30</f>
        <v>1656.3742966456607</v>
      </c>
      <c r="E8" s="314">
        <f>'P &amp; L'!F24+'P &amp; L'!F27+'P &amp; L'!F29+'P &amp; L'!F30</f>
        <v>1638.1195249625789</v>
      </c>
      <c r="F8" s="314">
        <f>'P &amp; L'!G24+'P &amp; L'!G27+'P &amp; L'!G29+'P &amp; L'!G30</f>
        <v>1633.8679984172495</v>
      </c>
      <c r="G8" s="314">
        <f>'P &amp; L'!H24+'P &amp; L'!H27+'P &amp; L'!H29+'P &amp; L'!H30</f>
        <v>1643.0961606338135</v>
      </c>
      <c r="H8" s="314">
        <f>'P &amp; L'!I24+'P &amp; L'!I27+'P &amp; L'!I29+'P &amp; L'!I30</f>
        <v>1667.8245023199781</v>
      </c>
      <c r="I8" s="314">
        <f>'P &amp; L'!J24+'P &amp; L'!J27+'P &amp; L'!J29+'P &amp; L'!J30</f>
        <v>1708.542181283761</v>
      </c>
      <c r="J8" s="314">
        <f>'P &amp; L'!K24+'P &amp; L'!K27+'P &amp; L'!K29+'P &amp; L'!K30</f>
        <v>1763.6337768027984</v>
      </c>
    </row>
    <row r="9" spans="2:10" ht="20.149999999999999" customHeight="1" x14ac:dyDescent="0.35">
      <c r="B9" s="152" t="s">
        <v>460</v>
      </c>
      <c r="C9" s="314">
        <f t="shared" ref="C9:J9" si="2">C7-C8</f>
        <v>0</v>
      </c>
      <c r="D9" s="314">
        <f t="shared" si="2"/>
        <v>9.5531863468372649</v>
      </c>
      <c r="E9" s="314">
        <f t="shared" si="2"/>
        <v>438.08378217954578</v>
      </c>
      <c r="F9" s="314">
        <f t="shared" si="2"/>
        <v>889.47389658198426</v>
      </c>
      <c r="G9" s="314">
        <f t="shared" si="2"/>
        <v>1366.9076727403915</v>
      </c>
      <c r="H9" s="314">
        <f t="shared" si="2"/>
        <v>1871.1991085291663</v>
      </c>
      <c r="I9" s="314">
        <f t="shared" si="2"/>
        <v>2404.8781752043997</v>
      </c>
      <c r="J9" s="314">
        <f t="shared" si="2"/>
        <v>2972.7754408611549</v>
      </c>
    </row>
    <row r="10" spans="2:10" ht="20.149999999999999" customHeight="1" x14ac:dyDescent="0.35">
      <c r="B10" s="171" t="s">
        <v>608</v>
      </c>
      <c r="C10" s="316" t="e">
        <f t="shared" ref="C10:J10" si="3">C7/C5</f>
        <v>#DIV/0!</v>
      </c>
      <c r="D10" s="316">
        <f t="shared" si="3"/>
        <v>5.8986235390976721E-2</v>
      </c>
      <c r="E10" s="316">
        <f t="shared" si="3"/>
        <v>6.0010656315406398E-2</v>
      </c>
      <c r="F10" s="316">
        <f t="shared" si="3"/>
        <v>6.077897200872865E-2</v>
      </c>
      <c r="G10" s="316">
        <f t="shared" si="3"/>
        <v>6.1376550881312782E-2</v>
      </c>
      <c r="H10" s="316">
        <f t="shared" si="3"/>
        <v>6.1854613979379545E-2</v>
      </c>
      <c r="I10" s="316">
        <f t="shared" si="3"/>
        <v>6.2245756514161706E-2</v>
      </c>
      <c r="J10" s="316">
        <f t="shared" si="3"/>
        <v>6.2571708626480163E-2</v>
      </c>
    </row>
    <row r="11" spans="2:10" ht="30" customHeight="1" x14ac:dyDescent="0.35">
      <c r="B11" s="153" t="s">
        <v>609</v>
      </c>
      <c r="C11" s="312" t="e">
        <f t="shared" ref="C11:J11" si="4">(C8/C7)*C5</f>
        <v>#DIV/0!</v>
      </c>
      <c r="D11" s="312">
        <f t="shared" si="4"/>
        <v>28080.691803210764</v>
      </c>
      <c r="E11" s="312">
        <f t="shared" si="4"/>
        <v>27297.143966446311</v>
      </c>
      <c r="F11" s="312">
        <f t="shared" si="4"/>
        <v>26882.126242322833</v>
      </c>
      <c r="G11" s="312">
        <f t="shared" si="4"/>
        <v>26770.747737375452</v>
      </c>
      <c r="H11" s="312">
        <f t="shared" si="4"/>
        <v>26963.623164409048</v>
      </c>
      <c r="I11" s="312">
        <f t="shared" si="4"/>
        <v>27448.331853674968</v>
      </c>
      <c r="J11" s="312">
        <f t="shared" si="4"/>
        <v>28185.801786726879</v>
      </c>
    </row>
    <row r="12" spans="2:10" s="172" customFormat="1" ht="20.149999999999999" customHeight="1" x14ac:dyDescent="0.35">
      <c r="B12" s="171" t="s">
        <v>610</v>
      </c>
      <c r="C12" s="317" t="e">
        <f t="shared" ref="C12:J12" si="5">C11/C5</f>
        <v>#DIV/0!</v>
      </c>
      <c r="D12" s="317">
        <f t="shared" si="5"/>
        <v>0.99426554490254471</v>
      </c>
      <c r="E12" s="317">
        <f t="shared" si="5"/>
        <v>0.78899764744977496</v>
      </c>
      <c r="F12" s="317">
        <f t="shared" si="5"/>
        <v>0.64750163331225696</v>
      </c>
      <c r="G12" s="317">
        <f t="shared" si="5"/>
        <v>0.54587842793273378</v>
      </c>
      <c r="H12" s="317">
        <f t="shared" si="5"/>
        <v>0.47126684806711544</v>
      </c>
      <c r="I12" s="317">
        <f t="shared" si="5"/>
        <v>0.41535803132516014</v>
      </c>
      <c r="J12" s="317">
        <f t="shared" si="5"/>
        <v>0.3723567149192909</v>
      </c>
    </row>
    <row r="13" spans="2:10" ht="20.149999999999999" customHeight="1" x14ac:dyDescent="0.35">
      <c r="B13" s="154"/>
      <c r="C13" s="161"/>
      <c r="D13" s="146"/>
      <c r="E13" s="161"/>
      <c r="F13" s="162"/>
      <c r="G13" s="163"/>
      <c r="H13" s="141"/>
      <c r="I13" s="163"/>
    </row>
    <row r="14" spans="2:10" x14ac:dyDescent="0.35">
      <c r="B14" s="154"/>
      <c r="C14" s="164"/>
      <c r="D14" s="164"/>
      <c r="E14" s="164"/>
      <c r="F14" s="164"/>
      <c r="G14" s="164"/>
      <c r="H14" s="165"/>
      <c r="I14" s="165"/>
    </row>
    <row r="15" spans="2:10" hidden="1" x14ac:dyDescent="0.35">
      <c r="B15" s="155"/>
      <c r="C15" s="166"/>
      <c r="D15" s="166"/>
      <c r="E15" s="166"/>
      <c r="F15" s="166"/>
      <c r="G15" s="166"/>
      <c r="H15" s="163"/>
      <c r="I15" s="163"/>
    </row>
    <row r="16" spans="2:10" hidden="1" x14ac:dyDescent="0.35">
      <c r="B16" s="479" t="s">
        <v>595</v>
      </c>
      <c r="C16" s="479"/>
      <c r="D16" s="479"/>
      <c r="E16" s="479"/>
      <c r="F16" s="479"/>
      <c r="G16" s="479"/>
      <c r="H16" s="479"/>
      <c r="I16" s="479"/>
    </row>
    <row r="17" spans="2:10" hidden="1" x14ac:dyDescent="0.35">
      <c r="B17" s="145" t="s">
        <v>596</v>
      </c>
      <c r="C17" s="144">
        <f t="shared" ref="C17:J17" si="6">C4</f>
        <v>2025</v>
      </c>
      <c r="D17" s="144">
        <f t="shared" si="6"/>
        <v>2026</v>
      </c>
      <c r="E17" s="144">
        <f t="shared" si="6"/>
        <v>2027</v>
      </c>
      <c r="F17" s="144">
        <f t="shared" si="6"/>
        <v>2028</v>
      </c>
      <c r="G17" s="144">
        <f t="shared" si="6"/>
        <v>2029</v>
      </c>
      <c r="H17" s="144">
        <f t="shared" si="6"/>
        <v>2030</v>
      </c>
      <c r="I17" s="144">
        <f t="shared" si="6"/>
        <v>2031</v>
      </c>
      <c r="J17" s="144">
        <f t="shared" si="6"/>
        <v>2032</v>
      </c>
    </row>
    <row r="18" spans="2:10" hidden="1" x14ac:dyDescent="0.35">
      <c r="B18" s="156" t="s">
        <v>597</v>
      </c>
      <c r="C18" s="147">
        <v>0.13</v>
      </c>
      <c r="D18" s="147">
        <f>C18</f>
        <v>0.13</v>
      </c>
      <c r="E18" s="147">
        <f t="shared" ref="E18:I18" si="7">D18</f>
        <v>0.13</v>
      </c>
      <c r="F18" s="147">
        <f t="shared" si="7"/>
        <v>0.13</v>
      </c>
      <c r="G18" s="147">
        <f t="shared" si="7"/>
        <v>0.13</v>
      </c>
      <c r="H18" s="147">
        <f t="shared" si="7"/>
        <v>0.13</v>
      </c>
      <c r="I18" s="147">
        <f t="shared" si="7"/>
        <v>0.13</v>
      </c>
      <c r="J18" s="147">
        <f>I18</f>
        <v>0.13</v>
      </c>
    </row>
    <row r="19" spans="2:10" hidden="1" x14ac:dyDescent="0.35">
      <c r="B19" s="156" t="s">
        <v>598</v>
      </c>
      <c r="C19" s="147">
        <v>0.2</v>
      </c>
      <c r="D19" s="147">
        <v>0.2</v>
      </c>
      <c r="E19" s="147">
        <v>0.2</v>
      </c>
      <c r="F19" s="147">
        <v>0.2</v>
      </c>
      <c r="G19" s="147">
        <v>0.2</v>
      </c>
      <c r="H19" s="147">
        <v>0.2</v>
      </c>
      <c r="I19" s="147">
        <v>0.2</v>
      </c>
      <c r="J19" s="147">
        <v>0.2</v>
      </c>
    </row>
    <row r="20" spans="2:10" hidden="1" x14ac:dyDescent="0.35">
      <c r="B20" s="156" t="s">
        <v>599</v>
      </c>
      <c r="C20" s="167">
        <v>0</v>
      </c>
      <c r="D20" s="167">
        <v>0</v>
      </c>
      <c r="E20" s="167">
        <v>0</v>
      </c>
      <c r="F20" s="167">
        <v>0</v>
      </c>
      <c r="G20" s="167">
        <v>0</v>
      </c>
      <c r="H20" s="167">
        <v>0</v>
      </c>
      <c r="I20" s="167">
        <v>0</v>
      </c>
      <c r="J20" s="167">
        <v>0</v>
      </c>
    </row>
    <row r="21" spans="2:10" hidden="1" x14ac:dyDescent="0.35">
      <c r="B21" s="156" t="s">
        <v>600</v>
      </c>
      <c r="C21" s="167">
        <v>0.33989999999999998</v>
      </c>
      <c r="D21" s="167">
        <v>0.33989999999999998</v>
      </c>
      <c r="E21" s="167">
        <v>0.33989999999999998</v>
      </c>
      <c r="F21" s="167">
        <v>0.33989999999999998</v>
      </c>
      <c r="G21" s="167">
        <v>0.33989999999999998</v>
      </c>
      <c r="H21" s="167">
        <v>0.33989999999999998</v>
      </c>
      <c r="I21" s="167">
        <v>0.33989999999999998</v>
      </c>
      <c r="J21" s="167">
        <v>0.33989999999999998</v>
      </c>
    </row>
    <row r="22" spans="2:10" hidden="1" x14ac:dyDescent="0.35">
      <c r="B22" s="157" t="s">
        <v>601</v>
      </c>
      <c r="C22" s="168">
        <f>C18*C20*(1-C21)+C19*(1-C20)</f>
        <v>0.2</v>
      </c>
      <c r="D22" s="168">
        <f>D18*D20*(1-D21)+D19*(1-D20)</f>
        <v>0.2</v>
      </c>
      <c r="E22" s="168">
        <f>E18*E20*(1-E21)+E19*(1-E20)</f>
        <v>0.2</v>
      </c>
      <c r="F22" s="168">
        <f t="shared" ref="F22:J22" si="8">F18*F20*(1-F21)+F19*(1-F20)</f>
        <v>0.2</v>
      </c>
      <c r="G22" s="168">
        <f t="shared" si="8"/>
        <v>0.2</v>
      </c>
      <c r="H22" s="168">
        <f t="shared" si="8"/>
        <v>0.2</v>
      </c>
      <c r="I22" s="168">
        <f t="shared" si="8"/>
        <v>0.2</v>
      </c>
      <c r="J22" s="168">
        <f t="shared" si="8"/>
        <v>0.2</v>
      </c>
    </row>
    <row r="23" spans="2:10" hidden="1" x14ac:dyDescent="0.35">
      <c r="B23" s="156" t="s">
        <v>602</v>
      </c>
      <c r="E23" s="149">
        <f>1/(1+E22)</f>
        <v>0.83333333333333337</v>
      </c>
      <c r="F23" s="169">
        <f t="shared" ref="F23:I23" si="9">E23/(1+F22)</f>
        <v>0.69444444444444453</v>
      </c>
      <c r="G23" s="169">
        <f t="shared" si="9"/>
        <v>0.57870370370370383</v>
      </c>
      <c r="H23" s="169">
        <f t="shared" si="9"/>
        <v>0.48225308641975323</v>
      </c>
      <c r="I23" s="169">
        <f t="shared" si="9"/>
        <v>0.40187757201646102</v>
      </c>
      <c r="J23" s="169">
        <f>I23/(1+J22)</f>
        <v>0.33489797668038418</v>
      </c>
    </row>
    <row r="24" spans="2:10" hidden="1" x14ac:dyDescent="0.35">
      <c r="E24" s="170"/>
      <c r="F24" s="170"/>
      <c r="G24" s="170"/>
      <c r="H24" s="170"/>
      <c r="I24" s="170"/>
    </row>
    <row r="25" spans="2:10" hidden="1" x14ac:dyDescent="0.35">
      <c r="E25" s="170"/>
      <c r="F25" s="170"/>
      <c r="G25" s="170"/>
      <c r="H25" s="170"/>
      <c r="I25" s="170"/>
    </row>
    <row r="26" spans="2:10" hidden="1" x14ac:dyDescent="0.35">
      <c r="B26" s="154"/>
    </row>
    <row r="27" spans="2:10" hidden="1" x14ac:dyDescent="0.35">
      <c r="B27" s="154"/>
    </row>
    <row r="28" spans="2:10" hidden="1" x14ac:dyDescent="0.35"/>
    <row r="29" spans="2:10" hidden="1" x14ac:dyDescent="0.35"/>
    <row r="30" spans="2:10" hidden="1" x14ac:dyDescent="0.35">
      <c r="E30" s="170"/>
      <c r="F30" s="170"/>
      <c r="G30" s="170"/>
      <c r="H30" s="170"/>
      <c r="I30" s="170"/>
      <c r="J30" s="170"/>
    </row>
    <row r="31" spans="2:10" hidden="1" x14ac:dyDescent="0.35">
      <c r="B31" s="154"/>
      <c r="C31" s="146"/>
      <c r="D31" s="146"/>
    </row>
    <row r="32" spans="2:10" hidden="1" x14ac:dyDescent="0.35">
      <c r="B32" s="159"/>
      <c r="C32" s="147"/>
      <c r="D32" s="147"/>
    </row>
    <row r="33" spans="2:9" hidden="1" x14ac:dyDescent="0.35">
      <c r="B33" s="159"/>
      <c r="C33" s="147"/>
      <c r="D33" s="147"/>
    </row>
    <row r="34" spans="2:9" hidden="1" x14ac:dyDescent="0.35">
      <c r="B34" s="159"/>
      <c r="C34" s="147"/>
      <c r="D34" s="147"/>
    </row>
    <row r="35" spans="2:9" x14ac:dyDescent="0.35">
      <c r="B35" s="159"/>
      <c r="C35" s="147"/>
      <c r="D35" s="147"/>
      <c r="E35" s="170"/>
      <c r="F35" s="170"/>
      <c r="G35" s="170"/>
      <c r="H35" s="170"/>
      <c r="I35" s="170"/>
    </row>
    <row r="36" spans="2:9" x14ac:dyDescent="0.35">
      <c r="B36" s="159"/>
      <c r="C36" s="147"/>
      <c r="D36" s="147"/>
    </row>
    <row r="37" spans="2:9" x14ac:dyDescent="0.35">
      <c r="B37" s="159"/>
      <c r="C37" s="147"/>
      <c r="D37" s="147"/>
    </row>
    <row r="38" spans="2:9" x14ac:dyDescent="0.35">
      <c r="B38" s="159"/>
      <c r="C38" s="147"/>
      <c r="D38" s="147"/>
    </row>
    <row r="39" spans="2:9" x14ac:dyDescent="0.35">
      <c r="B39" s="159"/>
      <c r="C39" s="147"/>
      <c r="D39" s="147"/>
      <c r="E39" s="147"/>
      <c r="F39" s="147"/>
    </row>
    <row r="41" spans="2:9" x14ac:dyDescent="0.35">
      <c r="B41" s="159"/>
      <c r="C41" s="147"/>
      <c r="D41" s="147"/>
    </row>
    <row r="43" spans="2:9" x14ac:dyDescent="0.35">
      <c r="B43" s="480"/>
      <c r="C43" s="480"/>
      <c r="D43" s="480"/>
    </row>
    <row r="44" spans="2:9" x14ac:dyDescent="0.35">
      <c r="B44" s="154"/>
      <c r="C44" s="146"/>
      <c r="D44" s="146"/>
    </row>
    <row r="45" spans="2:9" x14ac:dyDescent="0.35">
      <c r="B45" s="154"/>
      <c r="C45" s="147"/>
      <c r="D45" s="147"/>
    </row>
    <row r="46" spans="2:9" x14ac:dyDescent="0.35">
      <c r="B46" s="154"/>
      <c r="C46" s="147"/>
      <c r="D46" s="147"/>
    </row>
    <row r="47" spans="2:9" x14ac:dyDescent="0.35">
      <c r="B47" s="154"/>
      <c r="D47" s="147"/>
    </row>
    <row r="48" spans="2:9" x14ac:dyDescent="0.35">
      <c r="B48" s="154"/>
    </row>
    <row r="49" spans="2:4" x14ac:dyDescent="0.35">
      <c r="B49" s="154"/>
    </row>
    <row r="50" spans="2:4" x14ac:dyDescent="0.35">
      <c r="B50" s="480"/>
      <c r="C50" s="480"/>
      <c r="D50" s="480"/>
    </row>
    <row r="51" spans="2:4" x14ac:dyDescent="0.35">
      <c r="C51" s="146"/>
      <c r="D51" s="146"/>
    </row>
    <row r="52" spans="2:4" x14ac:dyDescent="0.35">
      <c r="B52" s="154"/>
      <c r="D52" s="149"/>
    </row>
    <row r="53" spans="2:4" x14ac:dyDescent="0.35">
      <c r="B53" s="154"/>
      <c r="C53" s="147"/>
      <c r="D53" s="147"/>
    </row>
    <row r="54" spans="2:4" x14ac:dyDescent="0.35">
      <c r="B54" s="154"/>
      <c r="C54" s="147"/>
      <c r="D54" s="147"/>
    </row>
  </sheetData>
  <mergeCells count="3">
    <mergeCell ref="B16:I16"/>
    <mergeCell ref="B43:D43"/>
    <mergeCell ref="B50:D5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L91"/>
  <sheetViews>
    <sheetView showGridLines="0" topLeftCell="A67" workbookViewId="0">
      <selection activeCell="D84" sqref="D84"/>
    </sheetView>
  </sheetViews>
  <sheetFormatPr defaultColWidth="9.1796875" defaultRowHeight="14.5" x14ac:dyDescent="0.35"/>
  <cols>
    <col min="1" max="1" width="6.1796875" style="142" bestFit="1" customWidth="1"/>
    <col min="2" max="2" width="37.453125" style="158" customWidth="1"/>
    <col min="3" max="3" width="12.81640625" style="158" customWidth="1"/>
    <col min="4" max="11" width="11.7265625" style="148" customWidth="1"/>
    <col min="12" max="16384" width="9.1796875" style="142"/>
  </cols>
  <sheetData>
    <row r="1" spans="2:12" ht="18" customHeight="1" x14ac:dyDescent="0.35"/>
    <row r="2" spans="2:12" ht="21" customHeight="1" x14ac:dyDescent="0.35">
      <c r="B2" s="150" t="s">
        <v>603</v>
      </c>
      <c r="C2" s="150"/>
      <c r="D2" s="136"/>
      <c r="E2" s="136"/>
      <c r="F2" s="136"/>
      <c r="G2" s="136"/>
      <c r="H2" s="136"/>
      <c r="I2" s="136"/>
      <c r="J2" s="136"/>
      <c r="K2" s="136"/>
    </row>
    <row r="3" spans="2:12" ht="15" customHeight="1" x14ac:dyDescent="0.35">
      <c r="B3" s="151"/>
      <c r="C3" s="429"/>
      <c r="D3" s="429">
        <v>45747</v>
      </c>
      <c r="E3" s="429">
        <v>46112</v>
      </c>
      <c r="F3" s="429">
        <v>46477</v>
      </c>
      <c r="G3" s="429">
        <v>46843</v>
      </c>
      <c r="H3" s="429">
        <v>47208</v>
      </c>
      <c r="I3" s="429">
        <v>47573</v>
      </c>
      <c r="J3" s="429">
        <v>47938</v>
      </c>
      <c r="K3" s="429">
        <v>48304</v>
      </c>
    </row>
    <row r="4" spans="2:12" ht="22.5" customHeight="1" x14ac:dyDescent="0.35">
      <c r="B4" s="122" t="s">
        <v>624</v>
      </c>
      <c r="C4" s="122"/>
      <c r="D4" s="93">
        <v>2025</v>
      </c>
      <c r="E4" s="93">
        <f t="shared" ref="E4:J4" si="0">D4+1</f>
        <v>2026</v>
      </c>
      <c r="F4" s="93">
        <f t="shared" si="0"/>
        <v>2027</v>
      </c>
      <c r="G4" s="93">
        <f t="shared" si="0"/>
        <v>2028</v>
      </c>
      <c r="H4" s="93">
        <f t="shared" si="0"/>
        <v>2029</v>
      </c>
      <c r="I4" s="93">
        <f t="shared" si="0"/>
        <v>2030</v>
      </c>
      <c r="J4" s="93">
        <f t="shared" si="0"/>
        <v>2031</v>
      </c>
      <c r="K4" s="93">
        <f>J4+1</f>
        <v>2032</v>
      </c>
    </row>
    <row r="5" spans="2:12" ht="18.75" customHeight="1" x14ac:dyDescent="0.35">
      <c r="B5" s="159" t="s">
        <v>636</v>
      </c>
      <c r="C5" s="159"/>
      <c r="D5" s="312">
        <v>0</v>
      </c>
      <c r="E5" s="312">
        <f>12</f>
        <v>12</v>
      </c>
      <c r="F5" s="312">
        <f>E5</f>
        <v>12</v>
      </c>
      <c r="G5" s="312">
        <f t="shared" ref="G5:J5" si="1">F5</f>
        <v>12</v>
      </c>
      <c r="H5" s="312">
        <f t="shared" si="1"/>
        <v>12</v>
      </c>
      <c r="I5" s="312">
        <f t="shared" si="1"/>
        <v>12</v>
      </c>
      <c r="J5" s="312">
        <f t="shared" si="1"/>
        <v>12</v>
      </c>
      <c r="K5" s="312">
        <f>J5</f>
        <v>12</v>
      </c>
    </row>
    <row r="6" spans="2:12" ht="19.5" customHeight="1" x14ac:dyDescent="0.35">
      <c r="B6" s="151" t="s">
        <v>588</v>
      </c>
      <c r="C6" s="151"/>
      <c r="D6" s="312">
        <f>'P &amp; L'!D32+'P &amp; L'!D27+'P &amp; L'!D29</f>
        <v>0</v>
      </c>
      <c r="E6" s="312">
        <f>'P &amp; L'!E32+'P &amp; L'!E27+'P &amp; L'!E29</f>
        <v>238.8365196801706</v>
      </c>
      <c r="F6" s="312">
        <f>'P &amp; L'!F32+'P &amp; L'!F27+'P &amp; L'!F29</f>
        <v>645.1471155128811</v>
      </c>
      <c r="G6" s="312">
        <f>'P &amp; L'!G32+'P &amp; L'!G27+'P &amp; L'!G29</f>
        <v>1067.8638965819807</v>
      </c>
      <c r="H6" s="312">
        <f>'P &amp; L'!H32+'P &amp; L'!H27+'P &amp; L'!H29</f>
        <v>1510.5376727403921</v>
      </c>
      <c r="I6" s="312">
        <f>'P &amp; L'!I32+'P &amp; L'!I27+'P &amp; L'!I29</f>
        <v>1976.5491085291696</v>
      </c>
      <c r="J6" s="312">
        <f>'P &amp; L'!J32+'P &amp; L'!J27+'P &amp; L'!J29</f>
        <v>2470.4992863130633</v>
      </c>
      <c r="K6" s="312">
        <f>'P &amp; L'!K32+'P &amp; L'!K27+'P &amp; L'!K29</f>
        <v>2992.8443297323251</v>
      </c>
    </row>
    <row r="7" spans="2:12" ht="19.5" customHeight="1" x14ac:dyDescent="0.35">
      <c r="B7" s="151" t="s">
        <v>589</v>
      </c>
      <c r="C7" s="151"/>
      <c r="D7" s="312">
        <f>'P &amp; L'!D33</f>
        <v>0</v>
      </c>
      <c r="E7" s="312">
        <f>'P &amp; L'!E33</f>
        <v>2.0645779397720032</v>
      </c>
      <c r="F7" s="312">
        <f>'P &amp; L'!F33</f>
        <v>109.91715829894859</v>
      </c>
      <c r="G7" s="312">
        <f>'P &amp; L'!G33</f>
        <v>223.52302229175294</v>
      </c>
      <c r="H7" s="312">
        <f>'P &amp; L'!H33</f>
        <v>343.68355507530191</v>
      </c>
      <c r="I7" s="312">
        <f>'P &amp; L'!I33</f>
        <v>470.60362363462144</v>
      </c>
      <c r="J7" s="312">
        <f>'P &amp; L'!J33</f>
        <v>605.25973913544249</v>
      </c>
      <c r="K7" s="312">
        <f>'P &amp; L'!K33</f>
        <v>748.18812295593648</v>
      </c>
    </row>
    <row r="8" spans="2:12" ht="19.5" customHeight="1" x14ac:dyDescent="0.35">
      <c r="B8" s="173" t="s">
        <v>590</v>
      </c>
      <c r="C8" s="173"/>
      <c r="D8" s="312">
        <f>'P &amp; L'!D30</f>
        <v>0</v>
      </c>
      <c r="E8" s="312">
        <f>'P &amp; L'!E30</f>
        <v>569.06096331232709</v>
      </c>
      <c r="F8" s="312">
        <f>'P &amp; L'!F30</f>
        <v>487.35819162924531</v>
      </c>
      <c r="G8" s="312">
        <f>'P &amp; L'!G30</f>
        <v>417.54519841724908</v>
      </c>
      <c r="H8" s="312">
        <f>'P &amp; L'!H30</f>
        <v>357.87508063381324</v>
      </c>
      <c r="I8" s="312">
        <f>'P &amp; L'!I30</f>
        <v>306.85931431997761</v>
      </c>
      <c r="J8" s="312">
        <f>'P &amp; L'!J30</f>
        <v>263.22936337509367</v>
      </c>
      <c r="K8" s="312">
        <f>'P &amp; L'!K30</f>
        <v>225.90401045163105</v>
      </c>
    </row>
    <row r="9" spans="2:12" ht="19.5" customHeight="1" x14ac:dyDescent="0.35">
      <c r="B9" s="175" t="s">
        <v>591</v>
      </c>
      <c r="C9" s="175"/>
      <c r="D9" s="313">
        <f t="shared" ref="D9:K9" si="2">D6-D7+D8</f>
        <v>0</v>
      </c>
      <c r="E9" s="313">
        <f t="shared" si="2"/>
        <v>805.83290505272566</v>
      </c>
      <c r="F9" s="313">
        <f t="shared" si="2"/>
        <v>1022.5881488431778</v>
      </c>
      <c r="G9" s="313">
        <f t="shared" si="2"/>
        <v>1261.8860727074768</v>
      </c>
      <c r="H9" s="313">
        <f t="shared" si="2"/>
        <v>1524.7291982989034</v>
      </c>
      <c r="I9" s="313">
        <f t="shared" si="2"/>
        <v>1812.8047992145257</v>
      </c>
      <c r="J9" s="313">
        <f t="shared" si="2"/>
        <v>2128.4689105527145</v>
      </c>
      <c r="K9" s="313">
        <f t="shared" si="2"/>
        <v>2470.5602172280201</v>
      </c>
    </row>
    <row r="10" spans="2:12" ht="19.5" customHeight="1" x14ac:dyDescent="0.35">
      <c r="B10" s="173" t="s">
        <v>592</v>
      </c>
      <c r="C10" s="173"/>
      <c r="D10" s="314">
        <f>WC!D41</f>
        <v>0</v>
      </c>
      <c r="E10" s="314">
        <f>WC!E41-WC!D41</f>
        <v>943.2166636846232</v>
      </c>
      <c r="F10" s="314">
        <f>WC!F41-WC!E41</f>
        <v>218.08102907464149</v>
      </c>
      <c r="G10" s="314">
        <f>WC!G41-WC!F41</f>
        <v>237.4430752544024</v>
      </c>
      <c r="H10" s="314">
        <f>WC!H41-WC!G41</f>
        <v>258.18732197260147</v>
      </c>
      <c r="I10" s="314">
        <f>WC!I41-WC!H41</f>
        <v>280.40270401695102</v>
      </c>
      <c r="J10" s="314">
        <f>WC!J41-WC!I41</f>
        <v>304.18350613751545</v>
      </c>
      <c r="K10" s="314">
        <f>WC!K41-WC!J41</f>
        <v>329.62966690447684</v>
      </c>
    </row>
    <row r="11" spans="2:12" ht="19.5" customHeight="1" x14ac:dyDescent="0.35">
      <c r="B11" s="173" t="s">
        <v>754</v>
      </c>
      <c r="C11" s="173"/>
      <c r="D11" s="314">
        <f>'Cash Flow'!C21</f>
        <v>4177.7979430000005</v>
      </c>
      <c r="E11" s="314">
        <f>BS!D22-BS!C22</f>
        <v>0</v>
      </c>
      <c r="F11" s="314">
        <f>BS!E22-BS!D22</f>
        <v>0</v>
      </c>
      <c r="G11" s="314">
        <f>BS!F22-BS!E22</f>
        <v>0</v>
      </c>
      <c r="H11" s="314">
        <f>BS!G22-BS!F22</f>
        <v>0</v>
      </c>
      <c r="I11" s="314">
        <f>BS!H22-BS!G22</f>
        <v>0</v>
      </c>
      <c r="J11" s="314">
        <f>BS!I22-BS!H22</f>
        <v>0</v>
      </c>
      <c r="K11" s="314">
        <f>BS!J22-BS!I22</f>
        <v>0</v>
      </c>
    </row>
    <row r="12" spans="2:12" ht="19.5" customHeight="1" x14ac:dyDescent="0.35">
      <c r="B12" s="175" t="s">
        <v>593</v>
      </c>
      <c r="C12" s="175"/>
      <c r="D12" s="315">
        <f>D9-D10-D11</f>
        <v>-4177.7979430000005</v>
      </c>
      <c r="E12" s="315">
        <f t="shared" ref="E12:K12" si="3">E9-E10-E11</f>
        <v>-137.38375863189754</v>
      </c>
      <c r="F12" s="315">
        <f t="shared" si="3"/>
        <v>804.50711976853631</v>
      </c>
      <c r="G12" s="315">
        <f t="shared" si="3"/>
        <v>1024.4429974530744</v>
      </c>
      <c r="H12" s="315">
        <f t="shared" si="3"/>
        <v>1266.5418763263019</v>
      </c>
      <c r="I12" s="315">
        <f t="shared" si="3"/>
        <v>1532.4020951975747</v>
      </c>
      <c r="J12" s="315">
        <f t="shared" si="3"/>
        <v>1824.2854044151991</v>
      </c>
      <c r="K12" s="315">
        <f t="shared" si="3"/>
        <v>2140.9305503235432</v>
      </c>
    </row>
    <row r="13" spans="2:12" ht="19.5" customHeight="1" x14ac:dyDescent="0.35">
      <c r="B13" s="175" t="s">
        <v>1146</v>
      </c>
      <c r="C13" s="175"/>
      <c r="D13" s="428"/>
      <c r="E13" s="428"/>
      <c r="F13" s="428"/>
      <c r="G13" s="428"/>
      <c r="H13" s="428"/>
      <c r="I13" s="428"/>
      <c r="J13" s="428"/>
      <c r="K13" s="428">
        <f>(K9-K10-K8)*(1+$D$40)/($D$19-$D$40)</f>
        <v>19617.345042590321</v>
      </c>
      <c r="L13" s="142" t="s">
        <v>1148</v>
      </c>
    </row>
    <row r="14" spans="2:12" ht="19.5" customHeight="1" x14ac:dyDescent="0.35">
      <c r="B14" s="124" t="s">
        <v>1147</v>
      </c>
      <c r="C14" s="124"/>
      <c r="D14" s="428">
        <f>D12+D13</f>
        <v>-4177.7979430000005</v>
      </c>
      <c r="E14" s="428">
        <f t="shared" ref="E14:K14" si="4">E12+E13</f>
        <v>-137.38375863189754</v>
      </c>
      <c r="F14" s="428">
        <f t="shared" si="4"/>
        <v>804.50711976853631</v>
      </c>
      <c r="G14" s="428">
        <f t="shared" si="4"/>
        <v>1024.4429974530744</v>
      </c>
      <c r="H14" s="428">
        <f t="shared" si="4"/>
        <v>1266.5418763263019</v>
      </c>
      <c r="I14" s="428">
        <f t="shared" si="4"/>
        <v>1532.4020951975747</v>
      </c>
      <c r="J14" s="428">
        <f t="shared" si="4"/>
        <v>1824.2854044151991</v>
      </c>
      <c r="K14" s="428">
        <f t="shared" si="4"/>
        <v>21758.275592913866</v>
      </c>
    </row>
    <row r="15" spans="2:12" s="172" customFormat="1" ht="21" customHeight="1" x14ac:dyDescent="0.35">
      <c r="B15" s="122" t="s">
        <v>594</v>
      </c>
      <c r="C15" s="122"/>
      <c r="D15" s="442">
        <f>IRR(D14:K14)</f>
        <v>0.36447085778836108</v>
      </c>
      <c r="E15" s="442"/>
      <c r="F15" s="442"/>
      <c r="G15" s="442"/>
      <c r="H15" s="442"/>
      <c r="I15" s="442"/>
      <c r="J15" s="442"/>
      <c r="K15" s="442"/>
    </row>
    <row r="16" spans="2:12" customFormat="1" ht="21" customHeight="1" x14ac:dyDescent="0.35">
      <c r="C16" s="430"/>
      <c r="D16" s="430">
        <f>D14</f>
        <v>-4177.7979430000005</v>
      </c>
      <c r="E16" s="430">
        <f>E14</f>
        <v>-137.38375863189754</v>
      </c>
      <c r="F16" s="430">
        <f t="shared" ref="F16:K16" si="5">F14</f>
        <v>804.50711976853631</v>
      </c>
      <c r="G16" s="430">
        <f t="shared" si="5"/>
        <v>1024.4429974530744</v>
      </c>
      <c r="H16" s="430">
        <f t="shared" si="5"/>
        <v>1266.5418763263019</v>
      </c>
      <c r="I16" s="430">
        <f t="shared" si="5"/>
        <v>1532.4020951975747</v>
      </c>
      <c r="J16" s="430">
        <f t="shared" si="5"/>
        <v>1824.2854044151991</v>
      </c>
      <c r="K16" s="430">
        <f t="shared" si="5"/>
        <v>21758.275592913866</v>
      </c>
      <c r="L16" s="430"/>
    </row>
    <row r="17" spans="1:11" customFormat="1" ht="21" customHeight="1" x14ac:dyDescent="0.35">
      <c r="B17" s="438" t="s">
        <v>594</v>
      </c>
      <c r="C17" s="431">
        <f>XIRR(D16:K16,D3:K3)</f>
        <v>0.36416593194007885</v>
      </c>
    </row>
    <row r="18" spans="1:11" x14ac:dyDescent="0.35">
      <c r="B18" s="154"/>
      <c r="C18" s="154"/>
      <c r="D18" s="161"/>
      <c r="E18" s="146"/>
      <c r="F18" s="161"/>
      <c r="G18" s="162"/>
      <c r="H18" s="163"/>
      <c r="I18" s="141"/>
      <c r="J18" s="163"/>
    </row>
    <row r="19" spans="1:11" x14ac:dyDescent="0.35">
      <c r="A19" s="221">
        <v>0.02</v>
      </c>
      <c r="B19" s="142" t="s">
        <v>634</v>
      </c>
      <c r="C19" s="142"/>
      <c r="D19" s="221">
        <f>E60</f>
        <v>0.1525</v>
      </c>
      <c r="E19" s="142"/>
      <c r="F19" s="142"/>
      <c r="G19" s="142"/>
      <c r="H19" s="142"/>
      <c r="I19" s="142"/>
      <c r="J19" s="142"/>
      <c r="K19" s="268"/>
    </row>
    <row r="20" spans="1:11" ht="15" hidden="1" customHeight="1" x14ac:dyDescent="0.35">
      <c r="B20" s="142"/>
      <c r="C20" s="142"/>
      <c r="D20" s="142"/>
      <c r="E20" s="142"/>
      <c r="F20" s="142"/>
      <c r="G20" s="142"/>
      <c r="H20" s="142"/>
      <c r="I20" s="142"/>
      <c r="J20" s="142"/>
    </row>
    <row r="21" spans="1:11" ht="15" hidden="1" customHeight="1" x14ac:dyDescent="0.35">
      <c r="B21" s="142" t="s">
        <v>595</v>
      </c>
      <c r="C21" s="142"/>
      <c r="D21" s="142"/>
      <c r="E21" s="142"/>
      <c r="F21" s="142"/>
      <c r="G21" s="142"/>
      <c r="H21" s="142"/>
      <c r="I21" s="142"/>
      <c r="J21" s="142"/>
    </row>
    <row r="22" spans="1:11" ht="15" hidden="1" customHeight="1" x14ac:dyDescent="0.35">
      <c r="B22" s="142" t="s">
        <v>596</v>
      </c>
      <c r="C22" s="142"/>
      <c r="D22" s="142">
        <f t="shared" ref="D22:J22" si="6">D4</f>
        <v>2025</v>
      </c>
      <c r="E22" s="142">
        <f t="shared" si="6"/>
        <v>2026</v>
      </c>
      <c r="F22" s="142">
        <f t="shared" si="6"/>
        <v>2027</v>
      </c>
      <c r="G22" s="142">
        <f t="shared" si="6"/>
        <v>2028</v>
      </c>
      <c r="H22" s="142">
        <f t="shared" si="6"/>
        <v>2029</v>
      </c>
      <c r="I22" s="142">
        <f t="shared" si="6"/>
        <v>2030</v>
      </c>
      <c r="J22" s="142">
        <f t="shared" si="6"/>
        <v>2031</v>
      </c>
      <c r="K22" s="144"/>
    </row>
    <row r="23" spans="1:11" ht="15" hidden="1" customHeight="1" x14ac:dyDescent="0.35">
      <c r="B23" s="142" t="s">
        <v>597</v>
      </c>
      <c r="C23" s="142"/>
      <c r="D23" s="142">
        <v>0.13</v>
      </c>
      <c r="E23" s="142">
        <f>D23</f>
        <v>0.13</v>
      </c>
      <c r="F23" s="142">
        <f t="shared" ref="F23:J23" si="7">E23</f>
        <v>0.13</v>
      </c>
      <c r="G23" s="142">
        <f t="shared" si="7"/>
        <v>0.13</v>
      </c>
      <c r="H23" s="142">
        <f t="shared" si="7"/>
        <v>0.13</v>
      </c>
      <c r="I23" s="142">
        <f t="shared" si="7"/>
        <v>0.13</v>
      </c>
      <c r="J23" s="142">
        <f t="shared" si="7"/>
        <v>0.13</v>
      </c>
      <c r="K23" s="147"/>
    </row>
    <row r="24" spans="1:11" ht="15" hidden="1" customHeight="1" x14ac:dyDescent="0.35">
      <c r="B24" s="142" t="s">
        <v>598</v>
      </c>
      <c r="C24" s="142"/>
      <c r="D24" s="142">
        <v>0.2</v>
      </c>
      <c r="E24" s="142">
        <v>0.2</v>
      </c>
      <c r="F24" s="142">
        <v>0.2</v>
      </c>
      <c r="G24" s="142">
        <v>0.2</v>
      </c>
      <c r="H24" s="142">
        <v>0.2</v>
      </c>
      <c r="I24" s="142">
        <v>0.2</v>
      </c>
      <c r="J24" s="142">
        <v>0.2</v>
      </c>
      <c r="K24" s="147"/>
    </row>
    <row r="25" spans="1:11" ht="15" hidden="1" customHeight="1" x14ac:dyDescent="0.35">
      <c r="B25" s="142" t="s">
        <v>599</v>
      </c>
      <c r="C25" s="142"/>
      <c r="D25" s="142">
        <v>0</v>
      </c>
      <c r="E25" s="142">
        <v>0</v>
      </c>
      <c r="F25" s="142">
        <v>0</v>
      </c>
      <c r="G25" s="142">
        <v>0</v>
      </c>
      <c r="H25" s="142">
        <v>0</v>
      </c>
      <c r="I25" s="142">
        <v>0</v>
      </c>
      <c r="J25" s="142">
        <v>0</v>
      </c>
      <c r="K25" s="167"/>
    </row>
    <row r="26" spans="1:11" ht="15" hidden="1" customHeight="1" x14ac:dyDescent="0.35">
      <c r="B26" s="142" t="s">
        <v>600</v>
      </c>
      <c r="C26" s="142"/>
      <c r="D26" s="142">
        <v>0.33989999999999998</v>
      </c>
      <c r="E26" s="142">
        <v>0.33989999999999998</v>
      </c>
      <c r="F26" s="142">
        <v>0.33989999999999998</v>
      </c>
      <c r="G26" s="142">
        <v>0.33989999999999998</v>
      </c>
      <c r="H26" s="142">
        <v>0.33989999999999998</v>
      </c>
      <c r="I26" s="142">
        <v>0.33989999999999998</v>
      </c>
      <c r="J26" s="142">
        <v>0.33989999999999998</v>
      </c>
      <c r="K26" s="167"/>
    </row>
    <row r="27" spans="1:11" ht="15" hidden="1" customHeight="1" x14ac:dyDescent="0.35">
      <c r="B27" s="142" t="s">
        <v>601</v>
      </c>
      <c r="C27" s="142"/>
      <c r="D27" s="142">
        <f>D23*D25*(1-D26)+D24*(1-D25)</f>
        <v>0.2</v>
      </c>
      <c r="E27" s="142">
        <f>E23*E25*(1-E26)+E24*(1-E25)</f>
        <v>0.2</v>
      </c>
      <c r="F27" s="142">
        <f>F23*F25*(1-F26)+F24*(1-F25)</f>
        <v>0.2</v>
      </c>
      <c r="G27" s="142">
        <f t="shared" ref="G27:J27" si="8">G23*G25*(1-G26)+G24*(1-G25)</f>
        <v>0.2</v>
      </c>
      <c r="H27" s="142">
        <f t="shared" si="8"/>
        <v>0.2</v>
      </c>
      <c r="I27" s="142">
        <f t="shared" si="8"/>
        <v>0.2</v>
      </c>
      <c r="J27" s="142">
        <f t="shared" si="8"/>
        <v>0.2</v>
      </c>
      <c r="K27" s="168"/>
    </row>
    <row r="28" spans="1:11" ht="15" hidden="1" customHeight="1" x14ac:dyDescent="0.35">
      <c r="B28" s="142" t="s">
        <v>602</v>
      </c>
      <c r="C28" s="142"/>
      <c r="D28" s="142"/>
      <c r="E28" s="142"/>
      <c r="F28" s="142">
        <f>1/(1+F27)</f>
        <v>0.83333333333333337</v>
      </c>
      <c r="G28" s="142">
        <f t="shared" ref="G28:J28" si="9">F28/(1+G27)</f>
        <v>0.69444444444444453</v>
      </c>
      <c r="H28" s="142">
        <f t="shared" si="9"/>
        <v>0.57870370370370383</v>
      </c>
      <c r="I28" s="142">
        <f t="shared" si="9"/>
        <v>0.48225308641975323</v>
      </c>
      <c r="J28" s="142">
        <f t="shared" si="9"/>
        <v>0.40187757201646102</v>
      </c>
      <c r="K28" s="169"/>
    </row>
    <row r="29" spans="1:11" ht="15" hidden="1" customHeight="1" x14ac:dyDescent="0.35">
      <c r="B29" s="142"/>
      <c r="C29" s="142"/>
      <c r="D29" s="142"/>
      <c r="E29" s="142"/>
      <c r="F29" s="142"/>
      <c r="G29" s="142"/>
      <c r="H29" s="142"/>
      <c r="I29" s="142"/>
      <c r="J29" s="142"/>
    </row>
    <row r="30" spans="1:11" ht="15" hidden="1" customHeight="1" x14ac:dyDescent="0.35">
      <c r="B30" s="142"/>
      <c r="C30" s="142"/>
      <c r="D30" s="142"/>
      <c r="E30" s="142"/>
      <c r="F30" s="142"/>
      <c r="G30" s="142"/>
      <c r="H30" s="142"/>
      <c r="I30" s="142"/>
      <c r="J30" s="142"/>
    </row>
    <row r="31" spans="1:11" ht="15" hidden="1" customHeight="1" x14ac:dyDescent="0.35">
      <c r="B31" s="142"/>
      <c r="C31" s="142"/>
      <c r="D31" s="142"/>
      <c r="E31" s="142"/>
      <c r="F31" s="142"/>
      <c r="G31" s="142"/>
      <c r="H31" s="142"/>
      <c r="I31" s="142"/>
      <c r="J31" s="142"/>
    </row>
    <row r="32" spans="1:11" ht="15" hidden="1" customHeight="1" x14ac:dyDescent="0.35">
      <c r="B32" s="142"/>
      <c r="C32" s="142"/>
      <c r="D32" s="142"/>
      <c r="E32" s="142"/>
      <c r="F32" s="142"/>
      <c r="G32" s="142"/>
      <c r="H32" s="142"/>
      <c r="I32" s="142"/>
      <c r="J32" s="142"/>
    </row>
    <row r="33" spans="2:11" ht="15" hidden="1" customHeight="1" x14ac:dyDescent="0.35">
      <c r="B33" s="142"/>
      <c r="C33" s="142"/>
      <c r="D33" s="142"/>
      <c r="E33" s="142"/>
      <c r="F33" s="142"/>
      <c r="G33" s="142"/>
      <c r="H33" s="142"/>
      <c r="I33" s="142"/>
      <c r="J33" s="142"/>
    </row>
    <row r="34" spans="2:11" ht="15" hidden="1" customHeight="1" x14ac:dyDescent="0.35">
      <c r="B34" s="142"/>
      <c r="C34" s="142"/>
      <c r="D34" s="142"/>
      <c r="E34" s="142"/>
      <c r="F34" s="142"/>
      <c r="G34" s="142"/>
      <c r="H34" s="142"/>
      <c r="I34" s="142"/>
      <c r="J34" s="142"/>
    </row>
    <row r="35" spans="2:11" ht="15" hidden="1" customHeight="1" x14ac:dyDescent="0.35">
      <c r="B35" s="142"/>
      <c r="C35" s="142"/>
      <c r="D35" s="142"/>
      <c r="E35" s="142"/>
      <c r="F35" s="142"/>
      <c r="G35" s="142"/>
      <c r="H35" s="142"/>
      <c r="I35" s="142"/>
      <c r="J35" s="142"/>
      <c r="K35" s="170"/>
    </row>
    <row r="36" spans="2:11" ht="15" hidden="1" customHeight="1" x14ac:dyDescent="0.35">
      <c r="B36" s="142"/>
      <c r="C36" s="142"/>
      <c r="D36" s="142"/>
      <c r="E36" s="142"/>
      <c r="F36" s="142"/>
      <c r="G36" s="142"/>
      <c r="H36" s="142"/>
      <c r="I36" s="142"/>
      <c r="J36" s="142"/>
    </row>
    <row r="37" spans="2:11" ht="15" hidden="1" customHeight="1" x14ac:dyDescent="0.35">
      <c r="B37" s="142"/>
      <c r="C37" s="142"/>
      <c r="D37" s="142"/>
      <c r="E37" s="142"/>
      <c r="F37" s="142"/>
      <c r="G37" s="142"/>
      <c r="H37" s="142"/>
      <c r="I37" s="142"/>
      <c r="J37" s="142"/>
    </row>
    <row r="38" spans="2:11" ht="15" hidden="1" customHeight="1" x14ac:dyDescent="0.35">
      <c r="B38" s="142"/>
      <c r="C38" s="142"/>
      <c r="D38" s="142"/>
      <c r="E38" s="142"/>
      <c r="F38" s="142"/>
      <c r="G38" s="142"/>
      <c r="H38" s="142"/>
      <c r="I38" s="142"/>
      <c r="J38" s="142"/>
    </row>
    <row r="39" spans="2:11" ht="15" hidden="1" customHeight="1" x14ac:dyDescent="0.35">
      <c r="B39" s="142"/>
      <c r="C39" s="142"/>
      <c r="D39" s="142"/>
      <c r="E39" s="142"/>
      <c r="F39" s="142"/>
      <c r="G39" s="142"/>
      <c r="H39" s="142"/>
      <c r="I39" s="142"/>
      <c r="J39" s="142"/>
    </row>
    <row r="40" spans="2:11" x14ac:dyDescent="0.35">
      <c r="B40" s="218" t="s">
        <v>635</v>
      </c>
      <c r="C40" s="218"/>
      <c r="D40" s="222">
        <v>0.05</v>
      </c>
      <c r="E40" s="142"/>
      <c r="F40" s="142"/>
      <c r="G40" s="142"/>
      <c r="H40" s="142"/>
      <c r="I40" s="142"/>
      <c r="J40" s="142"/>
      <c r="K40" s="147"/>
    </row>
    <row r="41" spans="2:11" x14ac:dyDescent="0.35">
      <c r="B41" s="218"/>
      <c r="C41" s="218"/>
      <c r="D41" s="222"/>
      <c r="E41" s="142"/>
      <c r="F41" s="142"/>
      <c r="G41" s="142"/>
      <c r="H41" s="142"/>
      <c r="I41" s="142"/>
      <c r="J41" s="142"/>
      <c r="K41" s="147"/>
    </row>
    <row r="42" spans="2:11" x14ac:dyDescent="0.35">
      <c r="B42" s="269" t="s">
        <v>755</v>
      </c>
      <c r="C42" s="269"/>
      <c r="D42" s="270" t="s">
        <v>756</v>
      </c>
      <c r="E42" s="271">
        <v>0.35475146380554928</v>
      </c>
      <c r="F42" s="272"/>
      <c r="G42" s="298" t="s">
        <v>1085</v>
      </c>
      <c r="H42" s="142"/>
      <c r="I42" s="142"/>
      <c r="J42" s="142"/>
      <c r="K42" s="147"/>
    </row>
    <row r="43" spans="2:11" x14ac:dyDescent="0.35">
      <c r="B43" s="273" t="s">
        <v>757</v>
      </c>
      <c r="C43" s="273"/>
      <c r="D43" s="274" t="str">
        <f>D42</f>
        <v>Median</v>
      </c>
      <c r="E43" s="275">
        <v>0.88322189578504673</v>
      </c>
      <c r="F43" s="276"/>
      <c r="G43" s="298" t="s">
        <v>1085</v>
      </c>
      <c r="H43" s="142"/>
      <c r="I43" s="142"/>
      <c r="J43" s="142"/>
      <c r="K43" s="147"/>
    </row>
    <row r="44" spans="2:11" x14ac:dyDescent="0.35">
      <c r="B44" s="273" t="s">
        <v>758</v>
      </c>
      <c r="C44" s="273"/>
      <c r="D44" s="274"/>
      <c r="E44" s="277">
        <v>0.25168000000000001</v>
      </c>
      <c r="F44" s="276"/>
      <c r="G44" s="276"/>
      <c r="H44" s="142"/>
      <c r="I44" s="142"/>
      <c r="J44" s="142"/>
      <c r="K44" s="147"/>
    </row>
    <row r="45" spans="2:11" x14ac:dyDescent="0.35">
      <c r="B45" s="278" t="s">
        <v>759</v>
      </c>
      <c r="C45" s="278"/>
      <c r="D45" s="274" t="s">
        <v>775</v>
      </c>
      <c r="E45" s="275">
        <f>E43*(1+(1-E44)*E42)</f>
        <v>1.1176887063237266</v>
      </c>
      <c r="F45" s="276"/>
      <c r="G45" s="276"/>
      <c r="H45" s="142"/>
      <c r="I45" s="142"/>
      <c r="J45" s="142"/>
      <c r="K45" s="147"/>
    </row>
    <row r="46" spans="2:11" x14ac:dyDescent="0.35">
      <c r="B46" s="273"/>
      <c r="C46" s="273"/>
      <c r="D46" s="274"/>
      <c r="E46" s="279"/>
      <c r="F46" s="279"/>
      <c r="G46" s="279"/>
      <c r="H46" s="142"/>
      <c r="I46" s="142"/>
      <c r="J46" s="142"/>
      <c r="K46" s="147"/>
    </row>
    <row r="47" spans="2:11" x14ac:dyDescent="0.35">
      <c r="B47" s="280" t="s">
        <v>760</v>
      </c>
      <c r="C47" s="280"/>
      <c r="D47" s="274"/>
      <c r="E47" s="279"/>
      <c r="F47" s="279"/>
      <c r="G47" s="279"/>
      <c r="H47" s="142"/>
      <c r="I47" s="142"/>
      <c r="J47" s="142"/>
      <c r="K47" s="147"/>
    </row>
    <row r="48" spans="2:11" x14ac:dyDescent="0.35">
      <c r="B48" s="273" t="s">
        <v>761</v>
      </c>
      <c r="C48" s="273"/>
      <c r="D48" s="274"/>
      <c r="E48" s="389">
        <v>7.0199999999999999E-2</v>
      </c>
      <c r="F48" s="281" t="s">
        <v>1086</v>
      </c>
      <c r="G48" s="279"/>
      <c r="H48" s="142"/>
      <c r="I48" s="142"/>
      <c r="J48" s="142"/>
      <c r="K48" s="147"/>
    </row>
    <row r="49" spans="2:11" x14ac:dyDescent="0.35">
      <c r="B49" s="273" t="s">
        <v>762</v>
      </c>
      <c r="C49" s="273"/>
      <c r="D49" s="274"/>
      <c r="E49" s="282">
        <f>+E48+E50</f>
        <v>0.14829999999999999</v>
      </c>
      <c r="F49" s="283" t="s">
        <v>763</v>
      </c>
      <c r="G49" s="279"/>
      <c r="H49" s="142"/>
      <c r="I49" s="142"/>
      <c r="J49" s="142"/>
      <c r="K49" s="147"/>
    </row>
    <row r="50" spans="2:11" x14ac:dyDescent="0.35">
      <c r="B50" s="273" t="s">
        <v>764</v>
      </c>
      <c r="C50" s="273"/>
      <c r="D50" s="274"/>
      <c r="E50" s="279">
        <v>7.8100000000000003E-2</v>
      </c>
      <c r="F50" s="283" t="s">
        <v>778</v>
      </c>
      <c r="G50" s="279"/>
      <c r="H50" s="142"/>
      <c r="I50" s="142"/>
      <c r="J50" s="142"/>
      <c r="K50" s="147"/>
    </row>
    <row r="51" spans="2:11" x14ac:dyDescent="0.35">
      <c r="B51" s="273" t="s">
        <v>765</v>
      </c>
      <c r="C51" s="273"/>
      <c r="D51" s="274"/>
      <c r="E51" s="284">
        <f>E45</f>
        <v>1.1176887063237266</v>
      </c>
      <c r="F51" s="285" t="s">
        <v>618</v>
      </c>
      <c r="G51" s="286"/>
      <c r="H51" s="142"/>
      <c r="I51" s="142"/>
      <c r="J51" s="142"/>
      <c r="K51" s="147"/>
    </row>
    <row r="52" spans="2:11" x14ac:dyDescent="0.35">
      <c r="B52" s="273" t="s">
        <v>766</v>
      </c>
      <c r="C52" s="273"/>
      <c r="D52" s="274"/>
      <c r="E52" s="287">
        <v>0.02</v>
      </c>
      <c r="F52" s="283" t="s">
        <v>767</v>
      </c>
      <c r="G52" s="286"/>
      <c r="H52" s="142"/>
      <c r="I52" s="142"/>
      <c r="J52" s="142"/>
      <c r="K52" s="147"/>
    </row>
    <row r="53" spans="2:11" x14ac:dyDescent="0.3">
      <c r="B53" s="288" t="s">
        <v>760</v>
      </c>
      <c r="C53" s="288"/>
      <c r="D53" s="288"/>
      <c r="E53" s="289">
        <f>E48+(E51*E50)+E52</f>
        <v>0.17749148796388306</v>
      </c>
      <c r="F53" s="290" t="s">
        <v>618</v>
      </c>
      <c r="G53" s="286"/>
      <c r="H53" s="142"/>
      <c r="I53" s="142"/>
      <c r="J53" s="142"/>
      <c r="K53" s="147"/>
    </row>
    <row r="54" spans="2:11" x14ac:dyDescent="0.35">
      <c r="B54" s="280" t="s">
        <v>768</v>
      </c>
      <c r="C54" s="280"/>
      <c r="D54" s="291"/>
      <c r="E54" s="292"/>
      <c r="F54" s="293"/>
      <c r="G54" s="286"/>
      <c r="H54" s="142"/>
      <c r="I54" s="142"/>
      <c r="J54" s="142"/>
      <c r="K54" s="147"/>
    </row>
    <row r="55" spans="2:11" x14ac:dyDescent="0.35">
      <c r="B55" s="273" t="s">
        <v>769</v>
      </c>
      <c r="C55" s="273"/>
      <c r="D55" s="274"/>
      <c r="E55" s="279">
        <v>0.11</v>
      </c>
      <c r="F55" s="283" t="s">
        <v>770</v>
      </c>
      <c r="G55" s="286"/>
      <c r="H55" s="142"/>
      <c r="I55" s="142"/>
      <c r="J55" s="142"/>
      <c r="K55" s="147"/>
    </row>
    <row r="56" spans="2:11" x14ac:dyDescent="0.35">
      <c r="B56" s="273" t="s">
        <v>771</v>
      </c>
      <c r="C56" s="273"/>
      <c r="D56" s="274"/>
      <c r="E56" s="294">
        <v>0.25168000000000001</v>
      </c>
      <c r="F56" s="295" t="s">
        <v>772</v>
      </c>
      <c r="G56" s="286"/>
      <c r="H56" s="142"/>
      <c r="I56" s="142"/>
      <c r="J56" s="142"/>
      <c r="K56" s="147"/>
    </row>
    <row r="57" spans="2:11" x14ac:dyDescent="0.35">
      <c r="B57" s="273" t="s">
        <v>773</v>
      </c>
      <c r="C57" s="273"/>
      <c r="D57" s="274"/>
      <c r="E57" s="279">
        <f>E55*(1-E56)</f>
        <v>8.2315200000000005E-2</v>
      </c>
      <c r="F57" s="290" t="s">
        <v>618</v>
      </c>
      <c r="G57" s="286"/>
      <c r="H57" s="142"/>
      <c r="I57" s="142"/>
      <c r="J57" s="142"/>
      <c r="K57" s="147"/>
    </row>
    <row r="58" spans="2:11" x14ac:dyDescent="0.35">
      <c r="B58" s="273" t="s">
        <v>774</v>
      </c>
      <c r="C58" s="273"/>
      <c r="D58" s="274" t="s">
        <v>775</v>
      </c>
      <c r="E58" s="284">
        <f>E42</f>
        <v>0.35475146380554928</v>
      </c>
      <c r="F58" s="285" t="s">
        <v>618</v>
      </c>
      <c r="G58" s="296"/>
      <c r="H58" s="142"/>
      <c r="I58" s="142"/>
      <c r="J58" s="142"/>
      <c r="K58" s="147"/>
    </row>
    <row r="59" spans="2:11" x14ac:dyDescent="0.3">
      <c r="B59" s="288" t="s">
        <v>601</v>
      </c>
      <c r="C59" s="288"/>
      <c r="D59" s="288"/>
      <c r="E59" s="289">
        <f>(E53*(1/(1+E58)))+(E57*(E58/(1+E58)))</f>
        <v>0.15256888896559756</v>
      </c>
      <c r="F59" s="297" t="s">
        <v>776</v>
      </c>
      <c r="G59" s="286"/>
      <c r="H59" s="142"/>
      <c r="I59" s="142"/>
      <c r="J59" s="142"/>
      <c r="K59" s="147"/>
    </row>
    <row r="60" spans="2:11" x14ac:dyDescent="0.3">
      <c r="B60" s="288" t="s">
        <v>777</v>
      </c>
      <c r="C60" s="288"/>
      <c r="D60" s="288"/>
      <c r="E60" s="289">
        <f>ROUND(E59*4,2)/4</f>
        <v>0.1525</v>
      </c>
      <c r="F60" s="297" t="s">
        <v>618</v>
      </c>
      <c r="G60" s="286"/>
      <c r="H60" s="142"/>
      <c r="I60" s="142"/>
      <c r="J60" s="142"/>
      <c r="K60" s="147"/>
    </row>
    <row r="61" spans="2:11" x14ac:dyDescent="0.35">
      <c r="B61" s="142"/>
      <c r="C61" s="142"/>
      <c r="D61" s="142"/>
      <c r="E61" s="142"/>
      <c r="F61" s="142"/>
      <c r="G61" s="142"/>
      <c r="H61" s="142"/>
      <c r="I61" s="142"/>
      <c r="J61" s="142"/>
      <c r="K61" s="142"/>
    </row>
    <row r="62" spans="2:11" x14ac:dyDescent="0.35">
      <c r="B62" s="159" t="s">
        <v>637</v>
      </c>
      <c r="C62" s="159"/>
      <c r="D62" s="312">
        <f>D5/12</f>
        <v>0</v>
      </c>
      <c r="E62" s="312">
        <f>D62+1</f>
        <v>1</v>
      </c>
      <c r="F62" s="312">
        <f t="shared" ref="F62:J62" si="10">E62+1</f>
        <v>2</v>
      </c>
      <c r="G62" s="312">
        <f t="shared" si="10"/>
        <v>3</v>
      </c>
      <c r="H62" s="312">
        <f t="shared" si="10"/>
        <v>4</v>
      </c>
      <c r="I62" s="312">
        <f t="shared" si="10"/>
        <v>5</v>
      </c>
      <c r="J62" s="312">
        <f t="shared" si="10"/>
        <v>6</v>
      </c>
      <c r="K62" s="312">
        <f>J62+1</f>
        <v>7</v>
      </c>
    </row>
    <row r="63" spans="2:11" x14ac:dyDescent="0.35">
      <c r="B63" s="159"/>
      <c r="C63" s="159"/>
      <c r="D63" s="147"/>
      <c r="E63" s="147"/>
    </row>
    <row r="64" spans="2:11" x14ac:dyDescent="0.35">
      <c r="B64" s="159" t="s">
        <v>638</v>
      </c>
      <c r="C64" s="159"/>
      <c r="D64" s="223">
        <f>1/(1+$D$19)^D62</f>
        <v>1</v>
      </c>
      <c r="E64" s="223">
        <f t="shared" ref="E64:K64" si="11">1/(1+$D$19)^E62</f>
        <v>0.86767895878524937</v>
      </c>
      <c r="F64" s="223">
        <f t="shared" si="11"/>
        <v>0.75286677551865455</v>
      </c>
      <c r="G64" s="223">
        <f t="shared" si="11"/>
        <v>0.65324665988603425</v>
      </c>
      <c r="H64" s="223">
        <f t="shared" si="11"/>
        <v>0.56680838167985614</v>
      </c>
      <c r="I64" s="223">
        <f t="shared" si="11"/>
        <v>0.49180770644672989</v>
      </c>
      <c r="J64" s="223">
        <f t="shared" si="11"/>
        <v>0.42673119865226017</v>
      </c>
      <c r="K64" s="223">
        <f t="shared" si="11"/>
        <v>0.3702656821277745</v>
      </c>
    </row>
    <row r="66" spans="2:11" x14ac:dyDescent="0.35">
      <c r="B66" s="218" t="s">
        <v>639</v>
      </c>
      <c r="C66" s="218"/>
      <c r="D66" s="312">
        <f t="shared" ref="D66:K66" si="12">D12*D64</f>
        <v>-4177.7979430000005</v>
      </c>
      <c r="E66" s="312">
        <f t="shared" si="12"/>
        <v>-119.20499664372886</v>
      </c>
      <c r="F66" s="312">
        <f t="shared" si="12"/>
        <v>605.68668114193792</v>
      </c>
      <c r="G66" s="312">
        <f t="shared" si="12"/>
        <v>669.21396632985795</v>
      </c>
      <c r="H66" s="312">
        <f t="shared" si="12"/>
        <v>717.88655125027969</v>
      </c>
      <c r="I66" s="312">
        <f t="shared" si="12"/>
        <v>753.64715979328264</v>
      </c>
      <c r="J66" s="312">
        <f t="shared" si="12"/>
        <v>778.47949730992104</v>
      </c>
      <c r="K66" s="312">
        <f t="shared" si="12"/>
        <v>792.71311060373841</v>
      </c>
    </row>
    <row r="67" spans="2:11" x14ac:dyDescent="0.35">
      <c r="B67" s="218" t="s">
        <v>640</v>
      </c>
      <c r="C67" s="218"/>
      <c r="D67" s="223"/>
      <c r="K67" s="432">
        <f t="shared" ref="K67" si="13">K13</f>
        <v>19617.345042590321</v>
      </c>
    </row>
    <row r="68" spans="2:11" x14ac:dyDescent="0.35">
      <c r="B68" s="218" t="s">
        <v>641</v>
      </c>
      <c r="C68" s="218"/>
      <c r="D68" s="223"/>
      <c r="E68" s="217"/>
      <c r="K68" s="432">
        <f t="shared" ref="K68" si="14">K67*K64</f>
        <v>7263.629643730621</v>
      </c>
    </row>
    <row r="69" spans="2:11" x14ac:dyDescent="0.35">
      <c r="B69" s="218" t="s">
        <v>642</v>
      </c>
      <c r="C69" s="218"/>
      <c r="D69" s="435">
        <f>D66+D68</f>
        <v>-4177.7979430000005</v>
      </c>
      <c r="E69" s="435">
        <f t="shared" ref="E69:K69" si="15">E66+E68</f>
        <v>-119.20499664372886</v>
      </c>
      <c r="F69" s="435">
        <f t="shared" si="15"/>
        <v>605.68668114193792</v>
      </c>
      <c r="G69" s="435">
        <f t="shared" si="15"/>
        <v>669.21396632985795</v>
      </c>
      <c r="H69" s="435">
        <f t="shared" si="15"/>
        <v>717.88655125027969</v>
      </c>
      <c r="I69" s="435">
        <f t="shared" si="15"/>
        <v>753.64715979328264</v>
      </c>
      <c r="J69" s="435">
        <f t="shared" si="15"/>
        <v>778.47949730992104</v>
      </c>
      <c r="K69" s="435">
        <f t="shared" si="15"/>
        <v>8056.3427543343596</v>
      </c>
    </row>
    <row r="70" spans="2:11" x14ac:dyDescent="0.35">
      <c r="B70" s="154"/>
      <c r="C70" s="154"/>
      <c r="D70" s="147"/>
      <c r="E70" s="147"/>
    </row>
    <row r="71" spans="2:11" x14ac:dyDescent="0.35">
      <c r="B71" s="122" t="s">
        <v>274</v>
      </c>
      <c r="C71" s="122"/>
      <c r="D71" s="443">
        <f>SUM(D69:K69)</f>
        <v>7284.2536705159091</v>
      </c>
      <c r="E71" s="443"/>
      <c r="F71" s="443"/>
      <c r="G71" s="443"/>
      <c r="H71" s="443"/>
      <c r="I71" s="443"/>
      <c r="J71" s="443"/>
      <c r="K71" s="443"/>
    </row>
    <row r="72" spans="2:11" customFormat="1" x14ac:dyDescent="0.35"/>
    <row r="73" spans="2:11" x14ac:dyDescent="0.35">
      <c r="B73" s="438" t="s">
        <v>1149</v>
      </c>
      <c r="C73" s="439">
        <f>XNPV(D19,D16:K16,D3:K3)</f>
        <v>7276.8555984901368</v>
      </c>
      <c r="D73" s="142"/>
      <c r="E73" s="147"/>
    </row>
    <row r="74" spans="2:11" x14ac:dyDescent="0.35">
      <c r="B74" s="154"/>
      <c r="C74" s="154"/>
      <c r="D74" s="147"/>
    </row>
    <row r="75" spans="2:11" x14ac:dyDescent="0.35">
      <c r="B75" s="114" t="s">
        <v>265</v>
      </c>
      <c r="C75" s="114"/>
      <c r="D75" s="93">
        <f t="shared" ref="D75:K75" si="16">D4</f>
        <v>2025</v>
      </c>
      <c r="E75" s="93">
        <f t="shared" si="16"/>
        <v>2026</v>
      </c>
      <c r="F75" s="93">
        <f t="shared" si="16"/>
        <v>2027</v>
      </c>
      <c r="G75" s="93">
        <f t="shared" si="16"/>
        <v>2028</v>
      </c>
      <c r="H75" s="93">
        <f t="shared" si="16"/>
        <v>2029</v>
      </c>
      <c r="I75" s="93">
        <f t="shared" si="16"/>
        <v>2030</v>
      </c>
      <c r="J75" s="93">
        <f t="shared" si="16"/>
        <v>2031</v>
      </c>
      <c r="K75" s="93">
        <f t="shared" si="16"/>
        <v>2032</v>
      </c>
    </row>
    <row r="76" spans="2:11" x14ac:dyDescent="0.35">
      <c r="B76" s="224"/>
      <c r="C76" s="224"/>
      <c r="D76" s="224"/>
      <c r="E76" s="219"/>
      <c r="F76" s="225"/>
      <c r="G76" s="220"/>
      <c r="H76" s="220"/>
      <c r="I76" s="220"/>
      <c r="J76" s="220"/>
      <c r="K76" s="109"/>
    </row>
    <row r="77" spans="2:11" x14ac:dyDescent="0.35">
      <c r="B77" s="121" t="s">
        <v>643</v>
      </c>
      <c r="C77" s="121"/>
      <c r="D77" s="223">
        <f>D62</f>
        <v>0</v>
      </c>
      <c r="E77" s="223">
        <f>D77+1</f>
        <v>1</v>
      </c>
      <c r="F77" s="223">
        <f t="shared" ref="F77:J77" si="17">E77+1</f>
        <v>2</v>
      </c>
      <c r="G77" s="223">
        <f t="shared" si="17"/>
        <v>3</v>
      </c>
      <c r="H77" s="223">
        <f t="shared" si="17"/>
        <v>4</v>
      </c>
      <c r="I77" s="223">
        <f t="shared" si="17"/>
        <v>5</v>
      </c>
      <c r="J77" s="223">
        <f t="shared" si="17"/>
        <v>6</v>
      </c>
      <c r="K77" s="223">
        <f>J77+1</f>
        <v>7</v>
      </c>
    </row>
    <row r="78" spans="2:11" x14ac:dyDescent="0.35">
      <c r="B78" s="121" t="s">
        <v>644</v>
      </c>
      <c r="C78" s="121"/>
      <c r="D78" s="223">
        <f>DSCR!C5+DSCR!C6</f>
        <v>0</v>
      </c>
      <c r="E78" s="223">
        <f>DSCR!D5+DSCR!D6</f>
        <v>575.19957171939234</v>
      </c>
      <c r="F78" s="223">
        <f>DSCR!E5+DSCR!E6</f>
        <v>814.17481550984451</v>
      </c>
      <c r="G78" s="223">
        <f>DSCR!F5+DSCR!F6</f>
        <v>1082.1460727074771</v>
      </c>
      <c r="H78" s="223">
        <f>DSCR!G5+DSCR!G6</f>
        <v>1379.7491982989034</v>
      </c>
      <c r="I78" s="223">
        <f>DSCR!H5+DSCR!H6</f>
        <v>1706.1047992145257</v>
      </c>
      <c r="J78" s="223">
        <f>DSCR!I5+DSCR!I6</f>
        <v>2062.8477994440477</v>
      </c>
      <c r="K78" s="223">
        <f>DSCR!J5+DSCR!J6</f>
        <v>2450.4913283568535</v>
      </c>
    </row>
    <row r="79" spans="2:11" x14ac:dyDescent="0.35">
      <c r="B79" s="121" t="s">
        <v>645</v>
      </c>
      <c r="C79" s="121"/>
      <c r="D79" s="223">
        <f>D78</f>
        <v>0</v>
      </c>
      <c r="E79" s="223">
        <f>D79+E78</f>
        <v>575.19957171939234</v>
      </c>
      <c r="F79" s="223">
        <f t="shared" ref="F79:J79" si="18">E79+F78</f>
        <v>1389.3743872292368</v>
      </c>
      <c r="G79" s="223">
        <f t="shared" si="18"/>
        <v>2471.5204599367139</v>
      </c>
      <c r="H79" s="223">
        <f t="shared" si="18"/>
        <v>3851.2696582356175</v>
      </c>
      <c r="I79" s="223">
        <f t="shared" si="18"/>
        <v>5557.3744574501434</v>
      </c>
      <c r="J79" s="223">
        <f t="shared" si="18"/>
        <v>7620.2222568941907</v>
      </c>
      <c r="K79" s="223">
        <f>J79+K78</f>
        <v>10070.713585251044</v>
      </c>
    </row>
    <row r="80" spans="2:11" x14ac:dyDescent="0.35">
      <c r="B80" s="121" t="s">
        <v>646</v>
      </c>
      <c r="C80" s="121"/>
      <c r="D80" s="223">
        <f>'CoP-MoF'!D14/10^5</f>
        <v>4184.5479430000005</v>
      </c>
      <c r="E80" s="223"/>
      <c r="F80" s="223"/>
      <c r="G80" s="223"/>
      <c r="H80" s="223"/>
      <c r="I80" s="223"/>
      <c r="J80" s="223"/>
      <c r="K80" s="223"/>
    </row>
    <row r="81" spans="2:11" x14ac:dyDescent="0.35">
      <c r="B81" s="226" t="s">
        <v>647</v>
      </c>
      <c r="C81" s="226"/>
      <c r="D81" s="228">
        <f>H77+(D80-H79)/I78</f>
        <v>4.1953445561596343</v>
      </c>
      <c r="E81" s="228" t="s">
        <v>648</v>
      </c>
      <c r="F81" s="227"/>
      <c r="G81" s="227"/>
      <c r="H81" s="227"/>
      <c r="I81" s="227"/>
      <c r="J81" s="227"/>
      <c r="K81" s="227"/>
    </row>
    <row r="83" spans="2:11" x14ac:dyDescent="0.35">
      <c r="D83" s="223"/>
      <c r="E83" s="223"/>
      <c r="J83" s="267"/>
    </row>
    <row r="84" spans="2:11" x14ac:dyDescent="0.35">
      <c r="D84" s="223"/>
      <c r="E84" s="223"/>
      <c r="J84" s="267"/>
    </row>
    <row r="85" spans="2:11" x14ac:dyDescent="0.35">
      <c r="D85" s="223"/>
      <c r="E85" s="223"/>
      <c r="J85" s="267"/>
    </row>
    <row r="86" spans="2:11" x14ac:dyDescent="0.35">
      <c r="D86" s="223"/>
      <c r="E86" s="223"/>
    </row>
    <row r="87" spans="2:11" x14ac:dyDescent="0.35">
      <c r="D87" s="223"/>
      <c r="E87" s="223"/>
    </row>
    <row r="88" spans="2:11" x14ac:dyDescent="0.35">
      <c r="D88" s="223"/>
      <c r="E88" s="223"/>
    </row>
    <row r="89" spans="2:11" x14ac:dyDescent="0.35">
      <c r="D89" s="223"/>
      <c r="E89" s="223"/>
    </row>
    <row r="90" spans="2:11" x14ac:dyDescent="0.35">
      <c r="D90" s="223"/>
      <c r="E90" s="223"/>
    </row>
    <row r="91" spans="2:11" x14ac:dyDescent="0.35">
      <c r="D91" s="223"/>
      <c r="E91" s="223"/>
    </row>
  </sheetData>
  <dataValidations disablePrompts="1" count="1">
    <dataValidation type="list" allowBlank="1" showInputMessage="1" showErrorMessage="1" sqref="D42" xr:uid="{7C66EB21-F63C-48B1-B483-CE8C5BDC9E38}">
      <formula1>$B$22:$B$23</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6" tint="-0.499984740745262"/>
  </sheetPr>
  <dimension ref="B1:J29"/>
  <sheetViews>
    <sheetView showGridLines="0" topLeftCell="A15" workbookViewId="0">
      <selection activeCell="C17" sqref="C17:J17"/>
    </sheetView>
  </sheetViews>
  <sheetFormatPr defaultColWidth="8.81640625" defaultRowHeight="14.5" x14ac:dyDescent="0.35"/>
  <cols>
    <col min="1" max="1" width="5.453125" style="96" customWidth="1"/>
    <col min="2" max="2" width="35" style="51" customWidth="1"/>
    <col min="3" max="10" width="12.1796875" style="44" customWidth="1"/>
    <col min="11" max="246" width="8.81640625" style="96"/>
    <col min="247" max="247" width="22.453125" style="96" customWidth="1"/>
    <col min="248" max="256" width="8.81640625" style="96"/>
    <col min="257" max="257" width="0" style="96" hidden="1" customWidth="1"/>
    <col min="258" max="502" width="8.81640625" style="96"/>
    <col min="503" max="503" width="22.453125" style="96" customWidth="1"/>
    <col min="504" max="512" width="8.81640625" style="96"/>
    <col min="513" max="513" width="0" style="96" hidden="1" customWidth="1"/>
    <col min="514" max="758" width="8.81640625" style="96"/>
    <col min="759" max="759" width="22.453125" style="96" customWidth="1"/>
    <col min="760" max="768" width="8.81640625" style="96"/>
    <col min="769" max="769" width="0" style="96" hidden="1" customWidth="1"/>
    <col min="770" max="1014" width="8.81640625" style="96"/>
    <col min="1015" max="1015" width="22.453125" style="96" customWidth="1"/>
    <col min="1016" max="1024" width="8.81640625" style="96"/>
    <col min="1025" max="1025" width="0" style="96" hidden="1" customWidth="1"/>
    <col min="1026" max="1270" width="8.81640625" style="96"/>
    <col min="1271" max="1271" width="22.453125" style="96" customWidth="1"/>
    <col min="1272" max="1280" width="8.81640625" style="96"/>
    <col min="1281" max="1281" width="0" style="96" hidden="1" customWidth="1"/>
    <col min="1282" max="1526" width="8.81640625" style="96"/>
    <col min="1527" max="1527" width="22.453125" style="96" customWidth="1"/>
    <col min="1528" max="1536" width="8.81640625" style="96"/>
    <col min="1537" max="1537" width="0" style="96" hidden="1" customWidth="1"/>
    <col min="1538" max="1782" width="8.81640625" style="96"/>
    <col min="1783" max="1783" width="22.453125" style="96" customWidth="1"/>
    <col min="1784" max="1792" width="8.81640625" style="96"/>
    <col min="1793" max="1793" width="0" style="96" hidden="1" customWidth="1"/>
    <col min="1794" max="2038" width="8.81640625" style="96"/>
    <col min="2039" max="2039" width="22.453125" style="96" customWidth="1"/>
    <col min="2040" max="2048" width="8.81640625" style="96"/>
    <col min="2049" max="2049" width="0" style="96" hidden="1" customWidth="1"/>
    <col min="2050" max="2294" width="8.81640625" style="96"/>
    <col min="2295" max="2295" width="22.453125" style="96" customWidth="1"/>
    <col min="2296" max="2304" width="8.81640625" style="96"/>
    <col min="2305" max="2305" width="0" style="96" hidden="1" customWidth="1"/>
    <col min="2306" max="2550" width="8.81640625" style="96"/>
    <col min="2551" max="2551" width="22.453125" style="96" customWidth="1"/>
    <col min="2552" max="2560" width="8.81640625" style="96"/>
    <col min="2561" max="2561" width="0" style="96" hidden="1" customWidth="1"/>
    <col min="2562" max="2806" width="8.81640625" style="96"/>
    <col min="2807" max="2807" width="22.453125" style="96" customWidth="1"/>
    <col min="2808" max="2816" width="8.81640625" style="96"/>
    <col min="2817" max="2817" width="0" style="96" hidden="1" customWidth="1"/>
    <col min="2818" max="3062" width="8.81640625" style="96"/>
    <col min="3063" max="3063" width="22.453125" style="96" customWidth="1"/>
    <col min="3064" max="3072" width="8.81640625" style="96"/>
    <col min="3073" max="3073" width="0" style="96" hidden="1" customWidth="1"/>
    <col min="3074" max="3318" width="8.81640625" style="96"/>
    <col min="3319" max="3319" width="22.453125" style="96" customWidth="1"/>
    <col min="3320" max="3328" width="8.81640625" style="96"/>
    <col min="3329" max="3329" width="0" style="96" hidden="1" customWidth="1"/>
    <col min="3330" max="3574" width="8.81640625" style="96"/>
    <col min="3575" max="3575" width="22.453125" style="96" customWidth="1"/>
    <col min="3576" max="3584" width="8.81640625" style="96"/>
    <col min="3585" max="3585" width="0" style="96" hidden="1" customWidth="1"/>
    <col min="3586" max="3830" width="8.81640625" style="96"/>
    <col min="3831" max="3831" width="22.453125" style="96" customWidth="1"/>
    <col min="3832" max="3840" width="8.81640625" style="96"/>
    <col min="3841" max="3841" width="0" style="96" hidden="1" customWidth="1"/>
    <col min="3842" max="4086" width="8.81640625" style="96"/>
    <col min="4087" max="4087" width="22.453125" style="96" customWidth="1"/>
    <col min="4088" max="4096" width="8.81640625" style="96"/>
    <col min="4097" max="4097" width="0" style="96" hidden="1" customWidth="1"/>
    <col min="4098" max="4342" width="8.81640625" style="96"/>
    <col min="4343" max="4343" width="22.453125" style="96" customWidth="1"/>
    <col min="4344" max="4352" width="8.81640625" style="96"/>
    <col min="4353" max="4353" width="0" style="96" hidden="1" customWidth="1"/>
    <col min="4354" max="4598" width="8.81640625" style="96"/>
    <col min="4599" max="4599" width="22.453125" style="96" customWidth="1"/>
    <col min="4600" max="4608" width="8.81640625" style="96"/>
    <col min="4609" max="4609" width="0" style="96" hidden="1" customWidth="1"/>
    <col min="4610" max="4854" width="8.81640625" style="96"/>
    <col min="4855" max="4855" width="22.453125" style="96" customWidth="1"/>
    <col min="4856" max="4864" width="8.81640625" style="96"/>
    <col min="4865" max="4865" width="0" style="96" hidden="1" customWidth="1"/>
    <col min="4866" max="5110" width="8.81640625" style="96"/>
    <col min="5111" max="5111" width="22.453125" style="96" customWidth="1"/>
    <col min="5112" max="5120" width="8.81640625" style="96"/>
    <col min="5121" max="5121" width="0" style="96" hidden="1" customWidth="1"/>
    <col min="5122" max="5366" width="8.81640625" style="96"/>
    <col min="5367" max="5367" width="22.453125" style="96" customWidth="1"/>
    <col min="5368" max="5376" width="8.81640625" style="96"/>
    <col min="5377" max="5377" width="0" style="96" hidden="1" customWidth="1"/>
    <col min="5378" max="5622" width="8.81640625" style="96"/>
    <col min="5623" max="5623" width="22.453125" style="96" customWidth="1"/>
    <col min="5624" max="5632" width="8.81640625" style="96"/>
    <col min="5633" max="5633" width="0" style="96" hidden="1" customWidth="1"/>
    <col min="5634" max="5878" width="8.81640625" style="96"/>
    <col min="5879" max="5879" width="22.453125" style="96" customWidth="1"/>
    <col min="5880" max="5888" width="8.81640625" style="96"/>
    <col min="5889" max="5889" width="0" style="96" hidden="1" customWidth="1"/>
    <col min="5890" max="6134" width="8.81640625" style="96"/>
    <col min="6135" max="6135" width="22.453125" style="96" customWidth="1"/>
    <col min="6136" max="6144" width="8.81640625" style="96"/>
    <col min="6145" max="6145" width="0" style="96" hidden="1" customWidth="1"/>
    <col min="6146" max="6390" width="8.81640625" style="96"/>
    <col min="6391" max="6391" width="22.453125" style="96" customWidth="1"/>
    <col min="6392" max="6400" width="8.81640625" style="96"/>
    <col min="6401" max="6401" width="0" style="96" hidden="1" customWidth="1"/>
    <col min="6402" max="6646" width="8.81640625" style="96"/>
    <col min="6647" max="6647" width="22.453125" style="96" customWidth="1"/>
    <col min="6648" max="6656" width="8.81640625" style="96"/>
    <col min="6657" max="6657" width="0" style="96" hidden="1" customWidth="1"/>
    <col min="6658" max="6902" width="8.81640625" style="96"/>
    <col min="6903" max="6903" width="22.453125" style="96" customWidth="1"/>
    <col min="6904" max="6912" width="8.81640625" style="96"/>
    <col min="6913" max="6913" width="0" style="96" hidden="1" customWidth="1"/>
    <col min="6914" max="7158" width="8.81640625" style="96"/>
    <col min="7159" max="7159" width="22.453125" style="96" customWidth="1"/>
    <col min="7160" max="7168" width="8.81640625" style="96"/>
    <col min="7169" max="7169" width="0" style="96" hidden="1" customWidth="1"/>
    <col min="7170" max="7414" width="8.81640625" style="96"/>
    <col min="7415" max="7415" width="22.453125" style="96" customWidth="1"/>
    <col min="7416" max="7424" width="8.81640625" style="96"/>
    <col min="7425" max="7425" width="0" style="96" hidden="1" customWidth="1"/>
    <col min="7426" max="7670" width="8.81640625" style="96"/>
    <col min="7671" max="7671" width="22.453125" style="96" customWidth="1"/>
    <col min="7672" max="7680" width="8.81640625" style="96"/>
    <col min="7681" max="7681" width="0" style="96" hidden="1" customWidth="1"/>
    <col min="7682" max="7926" width="8.81640625" style="96"/>
    <col min="7927" max="7927" width="22.453125" style="96" customWidth="1"/>
    <col min="7928" max="7936" width="8.81640625" style="96"/>
    <col min="7937" max="7937" width="0" style="96" hidden="1" customWidth="1"/>
    <col min="7938" max="8182" width="8.81640625" style="96"/>
    <col min="8183" max="8183" width="22.453125" style="96" customWidth="1"/>
    <col min="8184" max="8192" width="8.81640625" style="96"/>
    <col min="8193" max="8193" width="0" style="96" hidden="1" customWidth="1"/>
    <col min="8194" max="8438" width="8.81640625" style="96"/>
    <col min="8439" max="8439" width="22.453125" style="96" customWidth="1"/>
    <col min="8440" max="8448" width="8.81640625" style="96"/>
    <col min="8449" max="8449" width="0" style="96" hidden="1" customWidth="1"/>
    <col min="8450" max="8694" width="8.81640625" style="96"/>
    <col min="8695" max="8695" width="22.453125" style="96" customWidth="1"/>
    <col min="8696" max="8704" width="8.81640625" style="96"/>
    <col min="8705" max="8705" width="0" style="96" hidden="1" customWidth="1"/>
    <col min="8706" max="8950" width="8.81640625" style="96"/>
    <col min="8951" max="8951" width="22.453125" style="96" customWidth="1"/>
    <col min="8952" max="8960" width="8.81640625" style="96"/>
    <col min="8961" max="8961" width="0" style="96" hidden="1" customWidth="1"/>
    <col min="8962" max="9206" width="8.81640625" style="96"/>
    <col min="9207" max="9207" width="22.453125" style="96" customWidth="1"/>
    <col min="9208" max="9216" width="8.81640625" style="96"/>
    <col min="9217" max="9217" width="0" style="96" hidden="1" customWidth="1"/>
    <col min="9218" max="9462" width="8.81640625" style="96"/>
    <col min="9463" max="9463" width="22.453125" style="96" customWidth="1"/>
    <col min="9464" max="9472" width="8.81640625" style="96"/>
    <col min="9473" max="9473" width="0" style="96" hidden="1" customWidth="1"/>
    <col min="9474" max="9718" width="8.81640625" style="96"/>
    <col min="9719" max="9719" width="22.453125" style="96" customWidth="1"/>
    <col min="9720" max="9728" width="8.81640625" style="96"/>
    <col min="9729" max="9729" width="0" style="96" hidden="1" customWidth="1"/>
    <col min="9730" max="9974" width="8.81640625" style="96"/>
    <col min="9975" max="9975" width="22.453125" style="96" customWidth="1"/>
    <col min="9976" max="9984" width="8.81640625" style="96"/>
    <col min="9985" max="9985" width="0" style="96" hidden="1" customWidth="1"/>
    <col min="9986" max="10230" width="8.81640625" style="96"/>
    <col min="10231" max="10231" width="22.453125" style="96" customWidth="1"/>
    <col min="10232" max="10240" width="8.81640625" style="96"/>
    <col min="10241" max="10241" width="0" style="96" hidden="1" customWidth="1"/>
    <col min="10242" max="10486" width="8.81640625" style="96"/>
    <col min="10487" max="10487" width="22.453125" style="96" customWidth="1"/>
    <col min="10488" max="10496" width="8.81640625" style="96"/>
    <col min="10497" max="10497" width="0" style="96" hidden="1" customWidth="1"/>
    <col min="10498" max="10742" width="8.81640625" style="96"/>
    <col min="10743" max="10743" width="22.453125" style="96" customWidth="1"/>
    <col min="10744" max="10752" width="8.81640625" style="96"/>
    <col min="10753" max="10753" width="0" style="96" hidden="1" customWidth="1"/>
    <col min="10754" max="10998" width="8.81640625" style="96"/>
    <col min="10999" max="10999" width="22.453125" style="96" customWidth="1"/>
    <col min="11000" max="11008" width="8.81640625" style="96"/>
    <col min="11009" max="11009" width="0" style="96" hidden="1" customWidth="1"/>
    <col min="11010" max="11254" width="8.81640625" style="96"/>
    <col min="11255" max="11255" width="22.453125" style="96" customWidth="1"/>
    <col min="11256" max="11264" width="8.81640625" style="96"/>
    <col min="11265" max="11265" width="0" style="96" hidden="1" customWidth="1"/>
    <col min="11266" max="11510" width="8.81640625" style="96"/>
    <col min="11511" max="11511" width="22.453125" style="96" customWidth="1"/>
    <col min="11512" max="11520" width="8.81640625" style="96"/>
    <col min="11521" max="11521" width="0" style="96" hidden="1" customWidth="1"/>
    <col min="11522" max="11766" width="8.81640625" style="96"/>
    <col min="11767" max="11767" width="22.453125" style="96" customWidth="1"/>
    <col min="11768" max="11776" width="8.81640625" style="96"/>
    <col min="11777" max="11777" width="0" style="96" hidden="1" customWidth="1"/>
    <col min="11778" max="12022" width="8.81640625" style="96"/>
    <col min="12023" max="12023" width="22.453125" style="96" customWidth="1"/>
    <col min="12024" max="12032" width="8.81640625" style="96"/>
    <col min="12033" max="12033" width="0" style="96" hidden="1" customWidth="1"/>
    <col min="12034" max="12278" width="8.81640625" style="96"/>
    <col min="12279" max="12279" width="22.453125" style="96" customWidth="1"/>
    <col min="12280" max="12288" width="8.81640625" style="96"/>
    <col min="12289" max="12289" width="0" style="96" hidden="1" customWidth="1"/>
    <col min="12290" max="12534" width="8.81640625" style="96"/>
    <col min="12535" max="12535" width="22.453125" style="96" customWidth="1"/>
    <col min="12536" max="12544" width="8.81640625" style="96"/>
    <col min="12545" max="12545" width="0" style="96" hidden="1" customWidth="1"/>
    <col min="12546" max="12790" width="8.81640625" style="96"/>
    <col min="12791" max="12791" width="22.453125" style="96" customWidth="1"/>
    <col min="12792" max="12800" width="8.81640625" style="96"/>
    <col min="12801" max="12801" width="0" style="96" hidden="1" customWidth="1"/>
    <col min="12802" max="13046" width="8.81640625" style="96"/>
    <col min="13047" max="13047" width="22.453125" style="96" customWidth="1"/>
    <col min="13048" max="13056" width="8.81640625" style="96"/>
    <col min="13057" max="13057" width="0" style="96" hidden="1" customWidth="1"/>
    <col min="13058" max="13302" width="8.81640625" style="96"/>
    <col min="13303" max="13303" width="22.453125" style="96" customWidth="1"/>
    <col min="13304" max="13312" width="8.81640625" style="96"/>
    <col min="13313" max="13313" width="0" style="96" hidden="1" customWidth="1"/>
    <col min="13314" max="13558" width="8.81640625" style="96"/>
    <col min="13559" max="13559" width="22.453125" style="96" customWidth="1"/>
    <col min="13560" max="13568" width="8.81640625" style="96"/>
    <col min="13569" max="13569" width="0" style="96" hidden="1" customWidth="1"/>
    <col min="13570" max="13814" width="8.81640625" style="96"/>
    <col min="13815" max="13815" width="22.453125" style="96" customWidth="1"/>
    <col min="13816" max="13824" width="8.81640625" style="96"/>
    <col min="13825" max="13825" width="0" style="96" hidden="1" customWidth="1"/>
    <col min="13826" max="14070" width="8.81640625" style="96"/>
    <col min="14071" max="14071" width="22.453125" style="96" customWidth="1"/>
    <col min="14072" max="14080" width="8.81640625" style="96"/>
    <col min="14081" max="14081" width="0" style="96" hidden="1" customWidth="1"/>
    <col min="14082" max="14326" width="8.81640625" style="96"/>
    <col min="14327" max="14327" width="22.453125" style="96" customWidth="1"/>
    <col min="14328" max="14336" width="8.81640625" style="96"/>
    <col min="14337" max="14337" width="0" style="96" hidden="1" customWidth="1"/>
    <col min="14338" max="14582" width="8.81640625" style="96"/>
    <col min="14583" max="14583" width="22.453125" style="96" customWidth="1"/>
    <col min="14584" max="14592" width="8.81640625" style="96"/>
    <col min="14593" max="14593" width="0" style="96" hidden="1" customWidth="1"/>
    <col min="14594" max="14838" width="8.81640625" style="96"/>
    <col min="14839" max="14839" width="22.453125" style="96" customWidth="1"/>
    <col min="14840" max="14848" width="8.81640625" style="96"/>
    <col min="14849" max="14849" width="0" style="96" hidden="1" customWidth="1"/>
    <col min="14850" max="15094" width="8.81640625" style="96"/>
    <col min="15095" max="15095" width="22.453125" style="96" customWidth="1"/>
    <col min="15096" max="15104" width="8.81640625" style="96"/>
    <col min="15105" max="15105" width="0" style="96" hidden="1" customWidth="1"/>
    <col min="15106" max="15350" width="8.81640625" style="96"/>
    <col min="15351" max="15351" width="22.453125" style="96" customWidth="1"/>
    <col min="15352" max="15360" width="8.81640625" style="96"/>
    <col min="15361" max="15361" width="0" style="96" hidden="1" customWidth="1"/>
    <col min="15362" max="15606" width="8.81640625" style="96"/>
    <col min="15607" max="15607" width="22.453125" style="96" customWidth="1"/>
    <col min="15608" max="15616" width="8.81640625" style="96"/>
    <col min="15617" max="15617" width="0" style="96" hidden="1" customWidth="1"/>
    <col min="15618" max="15862" width="8.81640625" style="96"/>
    <col min="15863" max="15863" width="22.453125" style="96" customWidth="1"/>
    <col min="15864" max="15872" width="8.81640625" style="96"/>
    <col min="15873" max="15873" width="0" style="96" hidden="1" customWidth="1"/>
    <col min="15874" max="16118" width="8.81640625" style="96"/>
    <col min="16119" max="16119" width="22.453125" style="96" customWidth="1"/>
    <col min="16120" max="16128" width="8.81640625" style="96"/>
    <col min="16129" max="16129" width="0" style="96" hidden="1" customWidth="1"/>
    <col min="16130" max="16384" width="8.81640625" style="96"/>
  </cols>
  <sheetData>
    <row r="1" spans="2:10" x14ac:dyDescent="0.35">
      <c r="C1" s="181"/>
      <c r="D1" s="181"/>
      <c r="E1" s="181"/>
      <c r="F1" s="181"/>
      <c r="G1" s="181"/>
      <c r="H1" s="181"/>
    </row>
    <row r="2" spans="2:10" ht="21" customHeight="1" x14ac:dyDescent="0.35">
      <c r="B2" s="182" t="s">
        <v>389</v>
      </c>
      <c r="C2" s="136"/>
      <c r="D2" s="136"/>
      <c r="E2" s="136"/>
      <c r="F2" s="136"/>
      <c r="G2" s="136"/>
      <c r="H2" s="136"/>
      <c r="I2" s="136"/>
      <c r="J2" s="136"/>
    </row>
    <row r="3" spans="2:10" ht="15" customHeight="1" x14ac:dyDescent="0.35">
      <c r="B3" s="178"/>
      <c r="C3" s="180"/>
      <c r="D3" s="180"/>
      <c r="E3" s="180"/>
      <c r="F3" s="180"/>
      <c r="G3" s="180"/>
      <c r="H3" s="180"/>
      <c r="I3" s="180"/>
      <c r="J3" s="180"/>
    </row>
    <row r="4" spans="2:10" ht="18.75" customHeight="1" x14ac:dyDescent="0.35">
      <c r="B4" s="123" t="s">
        <v>386</v>
      </c>
      <c r="C4" s="94">
        <v>2025</v>
      </c>
      <c r="D4" s="94">
        <f t="shared" ref="D4:I4" si="0">C4+1</f>
        <v>2026</v>
      </c>
      <c r="E4" s="94">
        <f t="shared" si="0"/>
        <v>2027</v>
      </c>
      <c r="F4" s="94">
        <f t="shared" si="0"/>
        <v>2028</v>
      </c>
      <c r="G4" s="94">
        <f t="shared" si="0"/>
        <v>2029</v>
      </c>
      <c r="H4" s="94">
        <f t="shared" si="0"/>
        <v>2030</v>
      </c>
      <c r="I4" s="94">
        <f t="shared" si="0"/>
        <v>2031</v>
      </c>
      <c r="J4" s="94">
        <f>I4+1</f>
        <v>2032</v>
      </c>
    </row>
    <row r="5" spans="2:10" ht="18.75" customHeight="1" x14ac:dyDescent="0.35">
      <c r="B5" s="179" t="s">
        <v>390</v>
      </c>
      <c r="C5" s="309">
        <f>'P &amp; L'!D34</f>
        <v>0</v>
      </c>
      <c r="D5" s="309">
        <f>'P &amp; L'!E34</f>
        <v>6.138608407065262</v>
      </c>
      <c r="E5" s="309">
        <f>'P &amp; L'!F34</f>
        <v>326.8166238805992</v>
      </c>
      <c r="F5" s="309">
        <f>'P &amp; L'!G34</f>
        <v>664.60087429022792</v>
      </c>
      <c r="G5" s="309">
        <f>'P &amp; L'!H34</f>
        <v>1021.8741176650901</v>
      </c>
      <c r="H5" s="309">
        <f>'P &amp; L'!I34</f>
        <v>1399.2454848945481</v>
      </c>
      <c r="I5" s="309">
        <f>'P &amp; L'!J34</f>
        <v>1799.618436068954</v>
      </c>
      <c r="J5" s="309">
        <f>'P &amp; L'!K34</f>
        <v>2224.5873179052223</v>
      </c>
    </row>
    <row r="6" spans="2:10" x14ac:dyDescent="0.35">
      <c r="B6" s="216" t="s">
        <v>250</v>
      </c>
      <c r="C6" s="309">
        <f>'P &amp; L'!D30</f>
        <v>0</v>
      </c>
      <c r="D6" s="309">
        <f>'P &amp; L'!E30</f>
        <v>569.06096331232709</v>
      </c>
      <c r="E6" s="309">
        <f>'P &amp; L'!F30</f>
        <v>487.35819162924531</v>
      </c>
      <c r="F6" s="309">
        <f>'P &amp; L'!G30</f>
        <v>417.54519841724908</v>
      </c>
      <c r="G6" s="309">
        <f>'P &amp; L'!H30</f>
        <v>357.87508063381324</v>
      </c>
      <c r="H6" s="309">
        <f>'P &amp; L'!I30</f>
        <v>306.85931431997761</v>
      </c>
      <c r="I6" s="309">
        <f>'P &amp; L'!J30</f>
        <v>263.22936337509367</v>
      </c>
      <c r="J6" s="309">
        <f>'P &amp; L'!K30</f>
        <v>225.90401045163105</v>
      </c>
    </row>
    <row r="7" spans="2:10" x14ac:dyDescent="0.35">
      <c r="B7" s="216" t="s">
        <v>781</v>
      </c>
      <c r="C7" s="309">
        <f>'P &amp; L'!D31</f>
        <v>0</v>
      </c>
      <c r="D7" s="309">
        <f>'P &amp; L'!E31</f>
        <v>1.3500000000000003</v>
      </c>
      <c r="E7" s="309">
        <f>'P &amp; L'!F31</f>
        <v>1.3500000000000003</v>
      </c>
      <c r="F7" s="309">
        <f>'P &amp; L'!G31</f>
        <v>1.3500000000000003</v>
      </c>
      <c r="G7" s="309">
        <f>'P &amp; L'!H31</f>
        <v>1.3500000000000003</v>
      </c>
      <c r="H7" s="309">
        <f>'P &amp; L'!I31</f>
        <v>1.3500000000000003</v>
      </c>
      <c r="I7" s="309">
        <f>'P &amp; L'!J31</f>
        <v>0</v>
      </c>
      <c r="J7" s="309">
        <f>'P &amp; L'!K31</f>
        <v>0</v>
      </c>
    </row>
    <row r="8" spans="2:10" ht="18.75" customHeight="1" x14ac:dyDescent="0.35">
      <c r="B8" s="179" t="s">
        <v>632</v>
      </c>
      <c r="C8" s="309">
        <f>'P &amp; L'!D27</f>
        <v>0</v>
      </c>
      <c r="D8" s="309">
        <f>'P &amp; L'!E27</f>
        <v>230.63333333333333</v>
      </c>
      <c r="E8" s="309">
        <f>'P &amp; L'!F27</f>
        <v>208.41333333333336</v>
      </c>
      <c r="F8" s="309">
        <f>'P &amp; L'!G27</f>
        <v>179.73999999999995</v>
      </c>
      <c r="G8" s="309">
        <f>'P &amp; L'!H27</f>
        <v>144.97999999999999</v>
      </c>
      <c r="H8" s="309">
        <f>'P &amp; L'!I27</f>
        <v>106.7</v>
      </c>
      <c r="I8" s="309">
        <f>'P &amp; L'!J27</f>
        <v>65.621111108666668</v>
      </c>
      <c r="J8" s="309">
        <f>'P &amp; L'!K27</f>
        <v>20.068888871166667</v>
      </c>
    </row>
    <row r="9" spans="2:10" ht="18.75" customHeight="1" x14ac:dyDescent="0.35">
      <c r="B9" s="179" t="s">
        <v>1151</v>
      </c>
      <c r="C9" s="309">
        <f>'P &amp; L'!D29</f>
        <v>0</v>
      </c>
      <c r="D9" s="309">
        <f>'P &amp; L'!E29</f>
        <v>0</v>
      </c>
      <c r="E9" s="309">
        <f>'P &amp; L'!F29</f>
        <v>0</v>
      </c>
      <c r="F9" s="309">
        <f>'P &amp; L'!G29</f>
        <v>0</v>
      </c>
      <c r="G9" s="309">
        <f>'P &amp; L'!H29</f>
        <v>0</v>
      </c>
      <c r="H9" s="309">
        <f>'P &amp; L'!I29</f>
        <v>0</v>
      </c>
      <c r="I9" s="309">
        <f>'P &amp; L'!J29</f>
        <v>0</v>
      </c>
      <c r="J9" s="309">
        <f>'P &amp; L'!K29</f>
        <v>0</v>
      </c>
    </row>
    <row r="10" spans="2:10" ht="18.75" customHeight="1" x14ac:dyDescent="0.35">
      <c r="B10" s="183" t="s">
        <v>387</v>
      </c>
      <c r="C10" s="310">
        <f t="shared" ref="C10:J10" si="1">SUM(C5:C9)</f>
        <v>0</v>
      </c>
      <c r="D10" s="310">
        <f t="shared" si="1"/>
        <v>807.18290505272569</v>
      </c>
      <c r="E10" s="310">
        <f t="shared" si="1"/>
        <v>1023.9381488431779</v>
      </c>
      <c r="F10" s="310">
        <f t="shared" si="1"/>
        <v>1263.236072707477</v>
      </c>
      <c r="G10" s="310">
        <f t="shared" si="1"/>
        <v>1526.0791982989033</v>
      </c>
      <c r="H10" s="310">
        <f t="shared" si="1"/>
        <v>1814.1547992145256</v>
      </c>
      <c r="I10" s="310">
        <f t="shared" si="1"/>
        <v>2128.4689105527145</v>
      </c>
      <c r="J10" s="310">
        <f t="shared" si="1"/>
        <v>2470.5602172280201</v>
      </c>
    </row>
    <row r="11" spans="2:10" ht="18.75" customHeight="1" x14ac:dyDescent="0.35">
      <c r="B11" s="179" t="s">
        <v>632</v>
      </c>
      <c r="C11" s="309">
        <f t="shared" ref="C11:H11" si="2">C8</f>
        <v>0</v>
      </c>
      <c r="D11" s="309">
        <f t="shared" si="2"/>
        <v>230.63333333333333</v>
      </c>
      <c r="E11" s="309">
        <f t="shared" si="2"/>
        <v>208.41333333333336</v>
      </c>
      <c r="F11" s="309">
        <f t="shared" si="2"/>
        <v>179.73999999999995</v>
      </c>
      <c r="G11" s="309">
        <f t="shared" si="2"/>
        <v>144.97999999999999</v>
      </c>
      <c r="H11" s="309">
        <f t="shared" si="2"/>
        <v>106.7</v>
      </c>
      <c r="I11" s="309">
        <f>I8</f>
        <v>65.621111108666668</v>
      </c>
      <c r="J11" s="309">
        <f t="shared" ref="J11" si="3">J8</f>
        <v>20.068888871166667</v>
      </c>
    </row>
    <row r="12" spans="2:10" ht="18.75" customHeight="1" x14ac:dyDescent="0.35">
      <c r="B12" s="179" t="s">
        <v>633</v>
      </c>
      <c r="C12" s="309">
        <f>'P &amp; L'!D29</f>
        <v>0</v>
      </c>
      <c r="D12" s="309">
        <f>'P &amp; L'!E29</f>
        <v>0</v>
      </c>
      <c r="E12" s="309">
        <f>'P &amp; L'!F29</f>
        <v>0</v>
      </c>
      <c r="F12" s="309">
        <f>'P &amp; L'!G29</f>
        <v>0</v>
      </c>
      <c r="G12" s="309">
        <f>'P &amp; L'!H29</f>
        <v>0</v>
      </c>
      <c r="H12" s="309">
        <f>'P &amp; L'!I29</f>
        <v>0</v>
      </c>
      <c r="I12" s="309">
        <f>'P &amp; L'!J29</f>
        <v>0</v>
      </c>
      <c r="J12" s="309">
        <f>'P &amp; L'!K29</f>
        <v>0</v>
      </c>
    </row>
    <row r="13" spans="2:10" ht="18.75" customHeight="1" x14ac:dyDescent="0.35">
      <c r="B13" s="179" t="s">
        <v>785</v>
      </c>
      <c r="C13" s="309">
        <f>'TL Schd'!D7</f>
        <v>0</v>
      </c>
      <c r="D13" s="309">
        <f>'TL Schd'!E7</f>
        <v>170</v>
      </c>
      <c r="E13" s="309">
        <f>'TL Schd'!F7</f>
        <v>236</v>
      </c>
      <c r="F13" s="309">
        <f>'TL Schd'!G7</f>
        <v>288</v>
      </c>
      <c r="G13" s="309">
        <f>'TL Schd'!H7</f>
        <v>336</v>
      </c>
      <c r="H13" s="309">
        <f>'TL Schd'!I7</f>
        <v>360</v>
      </c>
      <c r="I13" s="309">
        <f>'TL Schd'!J7</f>
        <v>392.66666679999997</v>
      </c>
      <c r="J13" s="309">
        <f>'TL Schd'!K7</f>
        <v>397.33333320000003</v>
      </c>
    </row>
    <row r="14" spans="2:10" ht="18.75" customHeight="1" x14ac:dyDescent="0.35">
      <c r="B14" s="183" t="s">
        <v>387</v>
      </c>
      <c r="C14" s="310">
        <f>SUM(C11:C13)</f>
        <v>0</v>
      </c>
      <c r="D14" s="310">
        <f t="shared" ref="D14:J14" si="4">SUM(D11:D13)</f>
        <v>400.63333333333333</v>
      </c>
      <c r="E14" s="310">
        <f t="shared" si="4"/>
        <v>444.41333333333336</v>
      </c>
      <c r="F14" s="310">
        <f t="shared" si="4"/>
        <v>467.73999999999995</v>
      </c>
      <c r="G14" s="310">
        <f t="shared" si="4"/>
        <v>480.98</v>
      </c>
      <c r="H14" s="310">
        <f t="shared" si="4"/>
        <v>466.7</v>
      </c>
      <c r="I14" s="310">
        <f t="shared" si="4"/>
        <v>458.28777790866661</v>
      </c>
      <c r="J14" s="310">
        <f t="shared" si="4"/>
        <v>417.4022220711667</v>
      </c>
    </row>
    <row r="15" spans="2:10" ht="18.75" customHeight="1" x14ac:dyDescent="0.35">
      <c r="B15" s="179" t="s">
        <v>388</v>
      </c>
      <c r="C15" s="311" t="e">
        <f t="shared" ref="C15:J15" si="5">C10/C14</f>
        <v>#DIV/0!</v>
      </c>
      <c r="D15" s="311">
        <f t="shared" si="5"/>
        <v>2.0147672145421227</v>
      </c>
      <c r="E15" s="311">
        <f t="shared" si="5"/>
        <v>2.3040221164453016</v>
      </c>
      <c r="F15" s="311">
        <f t="shared" si="5"/>
        <v>2.7007227791240371</v>
      </c>
      <c r="G15" s="311">
        <f t="shared" si="5"/>
        <v>3.1728537533762387</v>
      </c>
      <c r="H15" s="311">
        <f t="shared" si="5"/>
        <v>3.8871969128230677</v>
      </c>
      <c r="I15" s="311">
        <f t="shared" si="5"/>
        <v>4.6443937917473823</v>
      </c>
      <c r="J15" s="311">
        <f t="shared" si="5"/>
        <v>5.9188956996179858</v>
      </c>
    </row>
    <row r="16" spans="2:10" ht="18.75" customHeight="1" x14ac:dyDescent="0.35">
      <c r="B16" s="184" t="s">
        <v>253</v>
      </c>
      <c r="C16" s="481">
        <f>SUM(D10:J10)/SUM(D14:J14)</f>
        <v>3.518198044517916</v>
      </c>
      <c r="D16" s="481"/>
      <c r="E16" s="481"/>
      <c r="F16" s="481"/>
      <c r="G16" s="481"/>
      <c r="H16" s="481"/>
      <c r="I16" s="481"/>
      <c r="J16" s="481"/>
    </row>
    <row r="17" spans="2:10" ht="18.75" customHeight="1" x14ac:dyDescent="0.35">
      <c r="B17" s="184" t="s">
        <v>674</v>
      </c>
      <c r="C17" s="481">
        <f>MAX(D15:J15)</f>
        <v>5.9188956996179858</v>
      </c>
      <c r="D17" s="481"/>
      <c r="E17" s="481"/>
      <c r="F17" s="481"/>
      <c r="G17" s="481"/>
      <c r="H17" s="481"/>
      <c r="I17" s="481"/>
      <c r="J17" s="481"/>
    </row>
    <row r="18" spans="2:10" x14ac:dyDescent="0.35">
      <c r="C18" s="100"/>
      <c r="D18" s="100"/>
      <c r="E18" s="100"/>
      <c r="F18" s="100"/>
      <c r="G18" s="100"/>
      <c r="H18" s="100"/>
      <c r="I18" s="100"/>
      <c r="J18" s="100"/>
    </row>
    <row r="27" spans="2:10" hidden="1" x14ac:dyDescent="0.35">
      <c r="D27" s="44">
        <v>719.64</v>
      </c>
      <c r="E27" s="44">
        <f>D27-50</f>
        <v>669.64</v>
      </c>
    </row>
    <row r="28" spans="2:10" hidden="1" x14ac:dyDescent="0.35">
      <c r="D28" s="44">
        <v>302.64</v>
      </c>
      <c r="E28" s="44">
        <f>D28-50</f>
        <v>252.64</v>
      </c>
    </row>
    <row r="29" spans="2:10" hidden="1" x14ac:dyDescent="0.35">
      <c r="D29" s="44">
        <f>D27/D28</f>
        <v>2.3778747026169706</v>
      </c>
      <c r="E29" s="100">
        <f>E27/E28</f>
        <v>2.6505699810006336</v>
      </c>
    </row>
  </sheetData>
  <customSheetViews>
    <customSheetView guid="{22475485-DA09-46DB-978D-BB94CE1E5597}" hiddenColumns="1">
      <selection activeCell="A18" sqref="A18"/>
      <pageMargins left="0.7" right="0.7" top="0.75" bottom="0.75" header="0.3" footer="0.3"/>
    </customSheetView>
  </customSheetViews>
  <mergeCells count="2">
    <mergeCell ref="C16:J16"/>
    <mergeCell ref="C17:J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1" tint="0.14999847407452621"/>
  </sheetPr>
  <dimension ref="B1:E33"/>
  <sheetViews>
    <sheetView showGridLines="0" topLeftCell="A5" workbookViewId="0">
      <selection activeCell="E11" sqref="E11"/>
    </sheetView>
  </sheetViews>
  <sheetFormatPr defaultColWidth="8.81640625" defaultRowHeight="14.5" x14ac:dyDescent="0.35"/>
  <cols>
    <col min="1" max="1" width="5" style="96" customWidth="1"/>
    <col min="2" max="2" width="47.26953125" style="97" customWidth="1"/>
    <col min="3" max="3" width="30.81640625" style="44" customWidth="1"/>
    <col min="4" max="4" width="9.1796875" style="96" bestFit="1" customWidth="1"/>
    <col min="5" max="16384" width="8.81640625" style="96"/>
  </cols>
  <sheetData>
    <row r="1" spans="2:5" ht="16.5" customHeight="1" x14ac:dyDescent="0.35"/>
    <row r="2" spans="2:5" ht="16.5" customHeight="1" x14ac:dyDescent="0.35">
      <c r="B2" s="64" t="s">
        <v>1074</v>
      </c>
    </row>
    <row r="3" spans="2:5" ht="16.5" customHeight="1" x14ac:dyDescent="0.35"/>
    <row r="4" spans="2:5" ht="20.25" customHeight="1" x14ac:dyDescent="0.35">
      <c r="B4" s="140" t="s">
        <v>386</v>
      </c>
      <c r="C4" s="93" t="s">
        <v>551</v>
      </c>
    </row>
    <row r="5" spans="2:5" s="336" customFormat="1" ht="20.25" customHeight="1" x14ac:dyDescent="0.35">
      <c r="B5" s="64" t="s">
        <v>840</v>
      </c>
      <c r="C5" s="69">
        <f>6.8*10^7</f>
        <v>68000000</v>
      </c>
      <c r="D5" s="381"/>
    </row>
    <row r="6" spans="2:5" ht="20.25" customHeight="1" x14ac:dyDescent="0.35">
      <c r="B6" s="64" t="s">
        <v>552</v>
      </c>
      <c r="C6" s="185">
        <v>45474</v>
      </c>
      <c r="D6" s="381"/>
    </row>
    <row r="7" spans="2:5" ht="20.25" customHeight="1" x14ac:dyDescent="0.35">
      <c r="B7" s="108" t="s">
        <v>553</v>
      </c>
      <c r="C7" s="47" t="s">
        <v>1078</v>
      </c>
      <c r="D7" s="381"/>
    </row>
    <row r="8" spans="2:5" ht="20.25" customHeight="1" x14ac:dyDescent="0.35">
      <c r="B8" s="108" t="s">
        <v>586</v>
      </c>
      <c r="C8" s="47" t="s">
        <v>1153</v>
      </c>
      <c r="D8" s="381"/>
    </row>
    <row r="9" spans="2:5" ht="20.25" customHeight="1" x14ac:dyDescent="0.35">
      <c r="B9" s="108" t="s">
        <v>554</v>
      </c>
      <c r="C9" s="185">
        <v>45747</v>
      </c>
      <c r="D9" s="381"/>
    </row>
    <row r="10" spans="2:5" x14ac:dyDescent="0.35">
      <c r="B10" s="108" t="s">
        <v>829</v>
      </c>
      <c r="C10" s="47" t="s">
        <v>1078</v>
      </c>
      <c r="D10" s="381"/>
    </row>
    <row r="11" spans="2:5" ht="20.25" customHeight="1" x14ac:dyDescent="0.35">
      <c r="B11" s="108" t="s">
        <v>587</v>
      </c>
      <c r="C11" s="47" t="s">
        <v>1076</v>
      </c>
      <c r="D11" s="381"/>
    </row>
    <row r="12" spans="2:5" ht="20.25" customHeight="1" x14ac:dyDescent="0.35">
      <c r="B12" s="110" t="s">
        <v>555</v>
      </c>
      <c r="C12" s="73"/>
    </row>
    <row r="13" spans="2:5" ht="20.25" customHeight="1" x14ac:dyDescent="0.35">
      <c r="B13" s="64" t="s">
        <v>556</v>
      </c>
      <c r="C13" s="185">
        <v>45748</v>
      </c>
      <c r="E13" s="445"/>
    </row>
    <row r="14" spans="2:5" ht="20.25" customHeight="1" x14ac:dyDescent="0.35">
      <c r="B14" s="64" t="s">
        <v>557</v>
      </c>
      <c r="C14" s="185">
        <f>EDATE(C13,80)-1</f>
        <v>48182</v>
      </c>
      <c r="E14" s="445"/>
    </row>
    <row r="15" spans="2:5" ht="20.25" customHeight="1" x14ac:dyDescent="0.35">
      <c r="B15" s="64" t="s">
        <v>558</v>
      </c>
      <c r="C15" s="47" t="s">
        <v>1162</v>
      </c>
      <c r="E15" s="185"/>
    </row>
    <row r="16" spans="2:5" ht="20.25" customHeight="1" x14ac:dyDescent="0.35">
      <c r="B16" s="64" t="s">
        <v>559</v>
      </c>
      <c r="C16" s="186">
        <v>0.11</v>
      </c>
    </row>
    <row r="19" spans="2:5" x14ac:dyDescent="0.35">
      <c r="B19" s="64" t="s">
        <v>1077</v>
      </c>
    </row>
    <row r="21" spans="2:5" x14ac:dyDescent="0.35">
      <c r="B21" s="140" t="s">
        <v>386</v>
      </c>
      <c r="C21" s="93" t="s">
        <v>551</v>
      </c>
    </row>
    <row r="22" spans="2:5" s="336" customFormat="1" x14ac:dyDescent="0.35">
      <c r="B22" s="64" t="s">
        <v>840</v>
      </c>
      <c r="C22" s="69">
        <f>15*10^7</f>
        <v>150000000</v>
      </c>
      <c r="D22" s="381"/>
    </row>
    <row r="23" spans="2:5" x14ac:dyDescent="0.35">
      <c r="B23" s="64" t="s">
        <v>552</v>
      </c>
      <c r="C23" s="185">
        <v>45474</v>
      </c>
      <c r="D23" s="381"/>
    </row>
    <row r="24" spans="2:5" x14ac:dyDescent="0.35">
      <c r="B24" s="108" t="s">
        <v>553</v>
      </c>
      <c r="C24" s="47" t="s">
        <v>1078</v>
      </c>
      <c r="D24" s="381"/>
      <c r="E24" s="185"/>
    </row>
    <row r="25" spans="2:5" x14ac:dyDescent="0.35">
      <c r="B25" s="108" t="s">
        <v>586</v>
      </c>
      <c r="C25" s="47" t="s">
        <v>1153</v>
      </c>
      <c r="D25" s="381"/>
    </row>
    <row r="26" spans="2:5" x14ac:dyDescent="0.35">
      <c r="B26" s="108" t="s">
        <v>554</v>
      </c>
      <c r="C26" s="185">
        <v>45747</v>
      </c>
      <c r="D26" s="381"/>
    </row>
    <row r="27" spans="2:5" x14ac:dyDescent="0.35">
      <c r="B27" s="108" t="s">
        <v>829</v>
      </c>
      <c r="C27" s="47" t="s">
        <v>1078</v>
      </c>
      <c r="D27" s="381"/>
    </row>
    <row r="28" spans="2:5" x14ac:dyDescent="0.35">
      <c r="B28" s="108" t="s">
        <v>587</v>
      </c>
      <c r="C28" s="47" t="s">
        <v>1076</v>
      </c>
      <c r="D28" s="381"/>
    </row>
    <row r="29" spans="2:5" x14ac:dyDescent="0.35">
      <c r="B29" s="110" t="s">
        <v>555</v>
      </c>
      <c r="C29" s="73"/>
    </row>
    <row r="30" spans="2:5" x14ac:dyDescent="0.35">
      <c r="B30" s="64" t="s">
        <v>556</v>
      </c>
      <c r="C30" s="185">
        <v>45748</v>
      </c>
      <c r="D30" s="185"/>
    </row>
    <row r="31" spans="2:5" x14ac:dyDescent="0.35">
      <c r="B31" s="64" t="s">
        <v>557</v>
      </c>
      <c r="C31" s="185">
        <v>48274</v>
      </c>
    </row>
    <row r="32" spans="2:5" x14ac:dyDescent="0.35">
      <c r="B32" s="64" t="s">
        <v>558</v>
      </c>
      <c r="C32" s="47" t="s">
        <v>1125</v>
      </c>
    </row>
    <row r="33" spans="2:3" x14ac:dyDescent="0.35">
      <c r="B33" s="64" t="s">
        <v>559</v>
      </c>
      <c r="C33" s="186">
        <v>0.11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70C0"/>
  </sheetPr>
  <dimension ref="A2:P265"/>
  <sheetViews>
    <sheetView showGridLines="0" topLeftCell="B1" workbookViewId="0">
      <pane xSplit="3" ySplit="4" topLeftCell="E44" activePane="bottomRight" state="frozen"/>
      <selection activeCell="B1" sqref="B1"/>
      <selection pane="topRight" activeCell="D1" sqref="D1"/>
      <selection pane="bottomLeft" activeCell="B8" sqref="B8"/>
      <selection pane="bottomRight" activeCell="G45" sqref="G45:G53"/>
    </sheetView>
  </sheetViews>
  <sheetFormatPr defaultColWidth="9.1796875" defaultRowHeight="14.5" x14ac:dyDescent="0.35"/>
  <cols>
    <col min="1" max="1" width="7" style="97" customWidth="1"/>
    <col min="2" max="2" width="5.54296875" style="97" customWidth="1"/>
    <col min="3" max="3" width="21.81640625" style="51" customWidth="1"/>
    <col min="4" max="4" width="18.26953125" style="97" customWidth="1"/>
    <col min="5" max="5" width="15" style="97" customWidth="1"/>
    <col min="6" max="6" width="17.1796875" style="97" customWidth="1"/>
    <col min="7" max="7" width="17.26953125" style="97" customWidth="1"/>
    <col min="8" max="8" width="14.26953125" style="97" customWidth="1"/>
    <col min="9" max="14" width="12.7265625" style="97" customWidth="1"/>
    <col min="15" max="15" width="9.453125" style="97" bestFit="1" customWidth="1"/>
    <col min="16" max="16384" width="9.1796875" style="97"/>
  </cols>
  <sheetData>
    <row r="2" spans="1:16" ht="19.5" customHeight="1" x14ac:dyDescent="0.35">
      <c r="A2" s="187"/>
      <c r="C2" s="150" t="s">
        <v>625</v>
      </c>
      <c r="D2" s="143"/>
      <c r="E2" s="143"/>
      <c r="F2" s="143"/>
      <c r="G2" s="143"/>
      <c r="H2" s="143"/>
      <c r="I2" s="143"/>
      <c r="J2" s="143"/>
      <c r="K2" s="143"/>
      <c r="L2" s="143"/>
      <c r="M2" s="143"/>
      <c r="N2" s="143"/>
      <c r="O2" s="143"/>
    </row>
    <row r="3" spans="1:16" x14ac:dyDescent="0.35">
      <c r="C3" s="107"/>
    </row>
    <row r="4" spans="1:16" x14ac:dyDescent="0.35">
      <c r="C4" s="122" t="s">
        <v>626</v>
      </c>
      <c r="D4" s="188">
        <v>2025</v>
      </c>
      <c r="E4" s="188">
        <f t="shared" ref="E4:K4" si="0">D4+1</f>
        <v>2026</v>
      </c>
      <c r="F4" s="188">
        <f t="shared" si="0"/>
        <v>2027</v>
      </c>
      <c r="G4" s="188">
        <f t="shared" si="0"/>
        <v>2028</v>
      </c>
      <c r="H4" s="188">
        <f t="shared" si="0"/>
        <v>2029</v>
      </c>
      <c r="I4" s="188">
        <f t="shared" si="0"/>
        <v>2030</v>
      </c>
      <c r="J4" s="188">
        <f>I4+1</f>
        <v>2031</v>
      </c>
      <c r="K4" s="188">
        <f t="shared" si="0"/>
        <v>2032</v>
      </c>
      <c r="L4" s="188">
        <f>K4+1</f>
        <v>2033</v>
      </c>
      <c r="M4" s="188">
        <f t="shared" ref="M4:N4" si="1">L4+1</f>
        <v>2034</v>
      </c>
      <c r="N4" s="188">
        <f t="shared" si="1"/>
        <v>2035</v>
      </c>
      <c r="O4" s="188" t="s">
        <v>479</v>
      </c>
    </row>
    <row r="5" spans="1:16" x14ac:dyDescent="0.35">
      <c r="C5" s="51" t="s">
        <v>521</v>
      </c>
      <c r="D5" s="198">
        <v>0</v>
      </c>
      <c r="E5" s="198">
        <f>D8</f>
        <v>2180</v>
      </c>
      <c r="F5" s="198">
        <f t="shared" ref="F5:K5" si="2">E8</f>
        <v>2010</v>
      </c>
      <c r="G5" s="198">
        <f t="shared" si="2"/>
        <v>1774</v>
      </c>
      <c r="H5" s="198">
        <f t="shared" si="2"/>
        <v>1486</v>
      </c>
      <c r="I5" s="198">
        <f t="shared" si="2"/>
        <v>1150</v>
      </c>
      <c r="J5" s="198">
        <f t="shared" si="2"/>
        <v>790</v>
      </c>
      <c r="K5" s="198">
        <f t="shared" si="2"/>
        <v>397.33333320000003</v>
      </c>
      <c r="L5" s="198">
        <f t="shared" ref="L5" si="3">K8</f>
        <v>0</v>
      </c>
      <c r="M5" s="198">
        <f t="shared" ref="M5" si="4">L8</f>
        <v>0</v>
      </c>
      <c r="N5" s="198">
        <f t="shared" ref="N5" si="5">M8</f>
        <v>0</v>
      </c>
      <c r="O5" s="300"/>
    </row>
    <row r="6" spans="1:16" x14ac:dyDescent="0.35">
      <c r="C6" s="51" t="s">
        <v>520</v>
      </c>
      <c r="D6" s="198">
        <f>'CoP-MoF'!D19/A</f>
        <v>2180</v>
      </c>
      <c r="E6" s="198">
        <v>0</v>
      </c>
      <c r="F6" s="198">
        <v>0</v>
      </c>
      <c r="G6" s="198">
        <v>0</v>
      </c>
      <c r="H6" s="198">
        <v>0</v>
      </c>
      <c r="I6" s="198">
        <v>0</v>
      </c>
      <c r="J6" s="198">
        <v>0</v>
      </c>
      <c r="K6" s="198">
        <v>0</v>
      </c>
      <c r="L6" s="198">
        <v>0</v>
      </c>
      <c r="M6" s="198">
        <v>0</v>
      </c>
      <c r="N6" s="198">
        <v>0</v>
      </c>
      <c r="O6" s="307">
        <f>SUM(D6:N6)</f>
        <v>2180</v>
      </c>
      <c r="P6" s="300">
        <f>+O16+O26</f>
        <v>2180</v>
      </c>
    </row>
    <row r="7" spans="1:16" x14ac:dyDescent="0.35">
      <c r="C7" s="51" t="s">
        <v>480</v>
      </c>
      <c r="D7" s="198">
        <f>SUM(E42:E53,E153:E164)/A</f>
        <v>0</v>
      </c>
      <c r="E7" s="198">
        <f>SUM(E55:E66,E166:E177)/A</f>
        <v>170</v>
      </c>
      <c r="F7" s="198">
        <f>SUM(E68:E79,E179:E190)/A</f>
        <v>236</v>
      </c>
      <c r="G7" s="198">
        <f>SUM(E81:E92,E192:E203)/A</f>
        <v>288</v>
      </c>
      <c r="H7" s="198">
        <f>SUM(E94:E105,E205:E216)/A</f>
        <v>336</v>
      </c>
      <c r="I7" s="198">
        <f>SUM(E107:E118,E218:E229)/A</f>
        <v>360</v>
      </c>
      <c r="J7" s="198">
        <f>SUM(E120:E131,E231:E242)/A</f>
        <v>392.66666679999997</v>
      </c>
      <c r="K7" s="198">
        <f>SUM(E133:E144,E244:E255)/A</f>
        <v>397.33333320000003</v>
      </c>
      <c r="L7" s="198">
        <v>0</v>
      </c>
      <c r="M7" s="198">
        <v>0</v>
      </c>
      <c r="N7" s="198">
        <v>0</v>
      </c>
      <c r="O7" s="307">
        <f>SUM(D7:N7)</f>
        <v>2180</v>
      </c>
      <c r="P7" s="300">
        <f t="shared" ref="P7:P11" si="6">+O17+O27</f>
        <v>2180</v>
      </c>
    </row>
    <row r="8" spans="1:16" x14ac:dyDescent="0.35">
      <c r="C8" s="51" t="s">
        <v>481</v>
      </c>
      <c r="D8" s="198">
        <f t="shared" ref="D8:L8" si="7">D5+D6-D7</f>
        <v>2180</v>
      </c>
      <c r="E8" s="198">
        <f t="shared" si="7"/>
        <v>2010</v>
      </c>
      <c r="F8" s="198">
        <f t="shared" si="7"/>
        <v>1774</v>
      </c>
      <c r="G8" s="198">
        <f t="shared" si="7"/>
        <v>1486</v>
      </c>
      <c r="H8" s="198">
        <f t="shared" si="7"/>
        <v>1150</v>
      </c>
      <c r="I8" s="198">
        <f t="shared" si="7"/>
        <v>790</v>
      </c>
      <c r="J8" s="198">
        <f t="shared" si="7"/>
        <v>397.33333320000003</v>
      </c>
      <c r="K8" s="198">
        <f t="shared" si="7"/>
        <v>0</v>
      </c>
      <c r="L8" s="198">
        <f t="shared" si="7"/>
        <v>0</v>
      </c>
      <c r="M8" s="198">
        <f t="shared" ref="M8:N8" si="8">M5+M6-M7</f>
        <v>0</v>
      </c>
      <c r="N8" s="198">
        <f t="shared" si="8"/>
        <v>0</v>
      </c>
      <c r="O8" s="307"/>
      <c r="P8" s="300"/>
    </row>
    <row r="9" spans="1:16" x14ac:dyDescent="0.35">
      <c r="B9" s="190">
        <v>0.11</v>
      </c>
      <c r="C9" s="51" t="s">
        <v>266</v>
      </c>
      <c r="D9" s="198">
        <f>SUM(G42:G53,G153:G164)/A</f>
        <v>179.85</v>
      </c>
      <c r="E9" s="198">
        <f>SUM(G55:G66,G166:G177)/A</f>
        <v>230.63333333333333</v>
      </c>
      <c r="F9" s="198">
        <f>SUM(G68:G79,G179:G190)/A</f>
        <v>208.41333333333336</v>
      </c>
      <c r="G9" s="198">
        <f>SUM(G81:G92,G192:G203)/A</f>
        <v>179.73999999999995</v>
      </c>
      <c r="H9" s="198">
        <f>SUM(G94:G105,G205:G216)/A</f>
        <v>144.97999999999999</v>
      </c>
      <c r="I9" s="198">
        <f>SUM(G107:G118,G218:G229)/A</f>
        <v>106.7</v>
      </c>
      <c r="J9" s="198">
        <f>SUM(G120:G131,G231:G242)/A</f>
        <v>65.621111108666668</v>
      </c>
      <c r="K9" s="198">
        <f>SUM(G133:G144,G244:G255)/A</f>
        <v>20.068888871166667</v>
      </c>
      <c r="L9" s="198">
        <f t="shared" ref="L9" si="9">$B$9*AVERAGE(L5,L8)</f>
        <v>0</v>
      </c>
      <c r="M9" s="198">
        <f t="shared" ref="M9:N9" si="10">$B$9*AVERAGE(M5,M8)</f>
        <v>0</v>
      </c>
      <c r="N9" s="198">
        <f t="shared" si="10"/>
        <v>0</v>
      </c>
      <c r="O9" s="307">
        <f>SUM(D9:N9)</f>
        <v>1136.0066666465</v>
      </c>
      <c r="P9" s="300">
        <f t="shared" si="6"/>
        <v>1136.0066666465</v>
      </c>
    </row>
    <row r="10" spans="1:16" x14ac:dyDescent="0.35">
      <c r="C10" s="51" t="s">
        <v>482</v>
      </c>
      <c r="D10" s="198">
        <f>SUM(G42:G53,G153:G164)/A</f>
        <v>179.85</v>
      </c>
      <c r="E10" s="198">
        <v>0</v>
      </c>
      <c r="F10" s="198">
        <v>0</v>
      </c>
      <c r="G10" s="198">
        <v>0</v>
      </c>
      <c r="H10" s="198">
        <v>0</v>
      </c>
      <c r="I10" s="198">
        <v>0</v>
      </c>
      <c r="J10" s="198">
        <v>0</v>
      </c>
      <c r="K10" s="198">
        <v>0</v>
      </c>
      <c r="L10" s="198">
        <v>0</v>
      </c>
      <c r="M10" s="198">
        <v>0</v>
      </c>
      <c r="N10" s="198">
        <v>0</v>
      </c>
      <c r="O10" s="307">
        <f>SUM(D10:N10)</f>
        <v>179.85</v>
      </c>
      <c r="P10" s="300">
        <f t="shared" si="6"/>
        <v>102.48333333333333</v>
      </c>
    </row>
    <row r="11" spans="1:16" x14ac:dyDescent="0.35">
      <c r="C11" s="122" t="s">
        <v>483</v>
      </c>
      <c r="D11" s="306">
        <f t="shared" ref="D11:L11" si="11">D9-D10</f>
        <v>0</v>
      </c>
      <c r="E11" s="306">
        <f>E9-E10</f>
        <v>230.63333333333333</v>
      </c>
      <c r="F11" s="306">
        <f t="shared" si="11"/>
        <v>208.41333333333336</v>
      </c>
      <c r="G11" s="306">
        <f t="shared" si="11"/>
        <v>179.73999999999995</v>
      </c>
      <c r="H11" s="306">
        <f t="shared" si="11"/>
        <v>144.97999999999999</v>
      </c>
      <c r="I11" s="306">
        <f t="shared" si="11"/>
        <v>106.7</v>
      </c>
      <c r="J11" s="306">
        <f t="shared" si="11"/>
        <v>65.621111108666668</v>
      </c>
      <c r="K11" s="306">
        <f t="shared" si="11"/>
        <v>20.068888871166667</v>
      </c>
      <c r="L11" s="306">
        <f t="shared" si="11"/>
        <v>0</v>
      </c>
      <c r="M11" s="306">
        <f t="shared" ref="M11:N11" si="12">M9-M10</f>
        <v>0</v>
      </c>
      <c r="N11" s="306">
        <f t="shared" si="12"/>
        <v>0</v>
      </c>
      <c r="O11" s="306">
        <f>SUM(D11:N11)</f>
        <v>956.15666664650007</v>
      </c>
      <c r="P11" s="300">
        <f t="shared" si="6"/>
        <v>1033.5233333131666</v>
      </c>
    </row>
    <row r="12" spans="1:16" x14ac:dyDescent="0.35">
      <c r="O12" s="300"/>
    </row>
    <row r="13" spans="1:16" x14ac:dyDescent="0.35">
      <c r="C13" s="107" t="s">
        <v>1074</v>
      </c>
    </row>
    <row r="14" spans="1:16" x14ac:dyDescent="0.35">
      <c r="C14" s="122" t="s">
        <v>626</v>
      </c>
      <c r="D14" s="188">
        <v>2025</v>
      </c>
      <c r="E14" s="188">
        <f t="shared" ref="E14" si="13">D14+1</f>
        <v>2026</v>
      </c>
      <c r="F14" s="188">
        <f t="shared" ref="F14" si="14">E14+1</f>
        <v>2027</v>
      </c>
      <c r="G14" s="188">
        <f t="shared" ref="G14" si="15">F14+1</f>
        <v>2028</v>
      </c>
      <c r="H14" s="188">
        <f t="shared" ref="H14" si="16">G14+1</f>
        <v>2029</v>
      </c>
      <c r="I14" s="188">
        <f t="shared" ref="I14" si="17">H14+1</f>
        <v>2030</v>
      </c>
      <c r="J14" s="188">
        <f>I14+1</f>
        <v>2031</v>
      </c>
      <c r="K14" s="188">
        <f t="shared" ref="K14" si="18">J14+1</f>
        <v>2032</v>
      </c>
      <c r="L14" s="188">
        <f>K14+1</f>
        <v>2033</v>
      </c>
      <c r="M14" s="188">
        <f t="shared" ref="M14" si="19">L14+1</f>
        <v>2034</v>
      </c>
      <c r="N14" s="188">
        <f t="shared" ref="N14" si="20">M14+1</f>
        <v>2035</v>
      </c>
      <c r="O14" s="188" t="s">
        <v>479</v>
      </c>
    </row>
    <row r="15" spans="1:16" x14ac:dyDescent="0.35">
      <c r="C15" s="51" t="s">
        <v>521</v>
      </c>
      <c r="D15" s="198">
        <v>0</v>
      </c>
      <c r="E15" s="198">
        <f>D18</f>
        <v>680</v>
      </c>
      <c r="F15" s="198">
        <f t="shared" ref="F15" si="21">E18</f>
        <v>630</v>
      </c>
      <c r="G15" s="198">
        <f t="shared" ref="G15" si="22">F18</f>
        <v>562</v>
      </c>
      <c r="H15" s="198">
        <f t="shared" ref="H15" si="23">G18</f>
        <v>466</v>
      </c>
      <c r="I15" s="198">
        <f t="shared" ref="I15" si="24">H18</f>
        <v>346</v>
      </c>
      <c r="J15" s="198">
        <f t="shared" ref="J15" si="25">I18</f>
        <v>226</v>
      </c>
      <c r="K15" s="198">
        <f t="shared" ref="K15" si="26">J18</f>
        <v>97.333333199999998</v>
      </c>
      <c r="L15" s="198">
        <f t="shared" ref="L15" si="27">K18</f>
        <v>0</v>
      </c>
      <c r="M15" s="198">
        <f t="shared" ref="M15" si="28">L18</f>
        <v>0</v>
      </c>
      <c r="N15" s="198">
        <f t="shared" ref="N15" si="29">M18</f>
        <v>0</v>
      </c>
      <c r="O15" s="300"/>
    </row>
    <row r="16" spans="1:16" x14ac:dyDescent="0.35">
      <c r="C16" s="51" t="s">
        <v>520</v>
      </c>
      <c r="D16" s="198">
        <f>'Loan Assumptions'!C5/A</f>
        <v>680</v>
      </c>
      <c r="E16" s="198">
        <v>0</v>
      </c>
      <c r="F16" s="198">
        <v>0</v>
      </c>
      <c r="G16" s="198">
        <v>0</v>
      </c>
      <c r="H16" s="198">
        <v>0</v>
      </c>
      <c r="I16" s="198">
        <v>0</v>
      </c>
      <c r="J16" s="198">
        <v>0</v>
      </c>
      <c r="K16" s="198">
        <v>0</v>
      </c>
      <c r="L16" s="198">
        <v>0</v>
      </c>
      <c r="M16" s="198">
        <v>0</v>
      </c>
      <c r="N16" s="198">
        <v>0</v>
      </c>
      <c r="O16" s="307">
        <f>SUM(D16:N16)</f>
        <v>680</v>
      </c>
    </row>
    <row r="17" spans="3:15" x14ac:dyDescent="0.35">
      <c r="C17" s="51" t="s">
        <v>480</v>
      </c>
      <c r="D17" s="198">
        <f>SUM(E42:E53)/A</f>
        <v>0</v>
      </c>
      <c r="E17" s="198">
        <f>SUM(E55:E66)/A</f>
        <v>50</v>
      </c>
      <c r="F17" s="198">
        <f>SUM(E68:E79)/A</f>
        <v>68</v>
      </c>
      <c r="G17" s="198">
        <f>SUM(E81:E92)/A</f>
        <v>96</v>
      </c>
      <c r="H17" s="198">
        <f>SUM(E94:E105)/A</f>
        <v>120</v>
      </c>
      <c r="I17" s="198">
        <f>SUM(E107:E118)/A</f>
        <v>120</v>
      </c>
      <c r="J17" s="198">
        <f>SUM(E120:E131)/A</f>
        <v>128.6666668</v>
      </c>
      <c r="K17" s="198">
        <f>SUM(E133:E144)/A</f>
        <v>97.333333199999998</v>
      </c>
      <c r="L17" s="198">
        <v>0</v>
      </c>
      <c r="M17" s="198">
        <v>0</v>
      </c>
      <c r="N17" s="198">
        <v>0</v>
      </c>
      <c r="O17" s="307">
        <f>SUM(D17:N17)</f>
        <v>680</v>
      </c>
    </row>
    <row r="18" spans="3:15" x14ac:dyDescent="0.35">
      <c r="C18" s="51" t="s">
        <v>481</v>
      </c>
      <c r="D18" s="198">
        <f t="shared" ref="D18:N18" si="30">D15+D16-D17</f>
        <v>680</v>
      </c>
      <c r="E18" s="198">
        <f t="shared" si="30"/>
        <v>630</v>
      </c>
      <c r="F18" s="198">
        <f t="shared" si="30"/>
        <v>562</v>
      </c>
      <c r="G18" s="198">
        <f t="shared" si="30"/>
        <v>466</v>
      </c>
      <c r="H18" s="198">
        <f t="shared" si="30"/>
        <v>346</v>
      </c>
      <c r="I18" s="198">
        <f t="shared" si="30"/>
        <v>226</v>
      </c>
      <c r="J18" s="198">
        <f t="shared" si="30"/>
        <v>97.333333199999998</v>
      </c>
      <c r="K18" s="198">
        <f t="shared" si="30"/>
        <v>0</v>
      </c>
      <c r="L18" s="198">
        <f t="shared" si="30"/>
        <v>0</v>
      </c>
      <c r="M18" s="198">
        <f t="shared" si="30"/>
        <v>0</v>
      </c>
      <c r="N18" s="198">
        <f t="shared" si="30"/>
        <v>0</v>
      </c>
      <c r="O18" s="307"/>
    </row>
    <row r="19" spans="3:15" x14ac:dyDescent="0.35">
      <c r="C19" s="51" t="s">
        <v>266</v>
      </c>
      <c r="D19" s="198">
        <f>SUM(G42:G53)/A</f>
        <v>56.1</v>
      </c>
      <c r="E19" s="198">
        <f>SUM(G55:G66)/A</f>
        <v>72.233333333333334</v>
      </c>
      <c r="F19" s="198">
        <f>SUM(G68:G79)/A</f>
        <v>65.853333333333339</v>
      </c>
      <c r="G19" s="198">
        <f>SUM(G81:G92)/A</f>
        <v>56.98</v>
      </c>
      <c r="H19" s="198">
        <f>SUM(G94:G105)/A</f>
        <v>44.66</v>
      </c>
      <c r="I19" s="198">
        <f>SUM(G107:G118)/A</f>
        <v>31.46</v>
      </c>
      <c r="J19" s="198">
        <f>SUM(G120:G131)/A</f>
        <v>18.101111108666668</v>
      </c>
      <c r="K19" s="198">
        <f>SUM(G133:G144)/A</f>
        <v>3.5688888711666671</v>
      </c>
      <c r="L19" s="198">
        <f t="shared" ref="L19:N19" si="31">$B$9*AVERAGE(L15,L18)</f>
        <v>0</v>
      </c>
      <c r="M19" s="198">
        <f t="shared" si="31"/>
        <v>0</v>
      </c>
      <c r="N19" s="198">
        <f t="shared" si="31"/>
        <v>0</v>
      </c>
      <c r="O19" s="307">
        <f>SUM(D19:N19)</f>
        <v>348.95666664649997</v>
      </c>
    </row>
    <row r="20" spans="3:15" x14ac:dyDescent="0.35">
      <c r="C20" s="51" t="s">
        <v>482</v>
      </c>
      <c r="D20" s="198">
        <f>SUM(G42:G45)/A</f>
        <v>6.2333333333333334</v>
      </c>
      <c r="E20" s="198">
        <v>0</v>
      </c>
      <c r="F20" s="198">
        <v>0</v>
      </c>
      <c r="G20" s="198">
        <v>0</v>
      </c>
      <c r="H20" s="198">
        <v>0</v>
      </c>
      <c r="I20" s="198">
        <v>0</v>
      </c>
      <c r="J20" s="198">
        <v>0</v>
      </c>
      <c r="K20" s="198">
        <v>0</v>
      </c>
      <c r="L20" s="198">
        <v>0</v>
      </c>
      <c r="M20" s="198">
        <v>0</v>
      </c>
      <c r="N20" s="198">
        <v>0</v>
      </c>
      <c r="O20" s="307">
        <f>SUM(D20:N20)</f>
        <v>6.2333333333333334</v>
      </c>
    </row>
    <row r="21" spans="3:15" x14ac:dyDescent="0.35">
      <c r="C21" s="122" t="s">
        <v>483</v>
      </c>
      <c r="D21" s="306">
        <f t="shared" ref="D21" si="32">D19-D20</f>
        <v>49.866666666666667</v>
      </c>
      <c r="E21" s="306">
        <f>E19-E20</f>
        <v>72.233333333333334</v>
      </c>
      <c r="F21" s="306">
        <f t="shared" ref="F21:N21" si="33">F19-F20</f>
        <v>65.853333333333339</v>
      </c>
      <c r="G21" s="306">
        <f t="shared" si="33"/>
        <v>56.98</v>
      </c>
      <c r="H21" s="306">
        <f t="shared" si="33"/>
        <v>44.66</v>
      </c>
      <c r="I21" s="306">
        <f t="shared" si="33"/>
        <v>31.46</v>
      </c>
      <c r="J21" s="306">
        <f t="shared" si="33"/>
        <v>18.101111108666668</v>
      </c>
      <c r="K21" s="306">
        <f t="shared" si="33"/>
        <v>3.5688888711666671</v>
      </c>
      <c r="L21" s="306">
        <f t="shared" si="33"/>
        <v>0</v>
      </c>
      <c r="M21" s="306">
        <f t="shared" si="33"/>
        <v>0</v>
      </c>
      <c r="N21" s="306">
        <f t="shared" si="33"/>
        <v>0</v>
      </c>
      <c r="O21" s="306">
        <f>SUM(D21:N21)</f>
        <v>342.72333331316662</v>
      </c>
    </row>
    <row r="23" spans="3:15" x14ac:dyDescent="0.35">
      <c r="C23" s="107" t="s">
        <v>1077</v>
      </c>
    </row>
    <row r="24" spans="3:15" x14ac:dyDescent="0.35">
      <c r="C24" s="122" t="s">
        <v>626</v>
      </c>
      <c r="D24" s="188">
        <v>2025</v>
      </c>
      <c r="E24" s="188">
        <f t="shared" ref="E24" si="34">D24+1</f>
        <v>2026</v>
      </c>
      <c r="F24" s="188">
        <f t="shared" ref="F24" si="35">E24+1</f>
        <v>2027</v>
      </c>
      <c r="G24" s="188">
        <f t="shared" ref="G24" si="36">F24+1</f>
        <v>2028</v>
      </c>
      <c r="H24" s="188">
        <f t="shared" ref="H24" si="37">G24+1</f>
        <v>2029</v>
      </c>
      <c r="I24" s="188">
        <f t="shared" ref="I24" si="38">H24+1</f>
        <v>2030</v>
      </c>
      <c r="J24" s="188">
        <f>I24+1</f>
        <v>2031</v>
      </c>
      <c r="K24" s="188">
        <f t="shared" ref="K24" si="39">J24+1</f>
        <v>2032</v>
      </c>
      <c r="L24" s="188">
        <f>K24+1</f>
        <v>2033</v>
      </c>
      <c r="M24" s="188">
        <f t="shared" ref="M24" si="40">L24+1</f>
        <v>2034</v>
      </c>
      <c r="N24" s="188">
        <f t="shared" ref="N24" si="41">M24+1</f>
        <v>2035</v>
      </c>
      <c r="O24" s="188" t="s">
        <v>479</v>
      </c>
    </row>
    <row r="25" spans="3:15" x14ac:dyDescent="0.35">
      <c r="C25" s="51" t="s">
        <v>521</v>
      </c>
      <c r="D25" s="198">
        <v>0</v>
      </c>
      <c r="E25" s="198">
        <f>D28</f>
        <v>1500</v>
      </c>
      <c r="F25" s="198">
        <f t="shared" ref="F25" si="42">E28</f>
        <v>1380</v>
      </c>
      <c r="G25" s="198">
        <f t="shared" ref="G25" si="43">F28</f>
        <v>1212</v>
      </c>
      <c r="H25" s="198">
        <f t="shared" ref="H25" si="44">G28</f>
        <v>1020</v>
      </c>
      <c r="I25" s="198">
        <f t="shared" ref="I25" si="45">H28</f>
        <v>804</v>
      </c>
      <c r="J25" s="198">
        <f t="shared" ref="J25" si="46">I28</f>
        <v>564</v>
      </c>
      <c r="K25" s="198">
        <f t="shared" ref="K25" si="47">J28</f>
        <v>300</v>
      </c>
      <c r="L25" s="198">
        <f t="shared" ref="L25" si="48">K28</f>
        <v>0</v>
      </c>
      <c r="M25" s="198">
        <f t="shared" ref="M25" si="49">L28</f>
        <v>0</v>
      </c>
      <c r="N25" s="198">
        <f t="shared" ref="N25" si="50">M28</f>
        <v>0</v>
      </c>
      <c r="O25" s="300"/>
    </row>
    <row r="26" spans="3:15" x14ac:dyDescent="0.35">
      <c r="C26" s="51" t="s">
        <v>520</v>
      </c>
      <c r="D26" s="198">
        <f>'Loan Assumptions'!C22/A</f>
        <v>1500</v>
      </c>
      <c r="E26" s="198">
        <v>0</v>
      </c>
      <c r="F26" s="198">
        <v>0</v>
      </c>
      <c r="G26" s="198">
        <v>0</v>
      </c>
      <c r="H26" s="198">
        <v>0</v>
      </c>
      <c r="I26" s="198">
        <v>0</v>
      </c>
      <c r="J26" s="198">
        <v>0</v>
      </c>
      <c r="K26" s="198">
        <v>0</v>
      </c>
      <c r="L26" s="198">
        <v>0</v>
      </c>
      <c r="M26" s="198">
        <v>0</v>
      </c>
      <c r="N26" s="198">
        <v>0</v>
      </c>
      <c r="O26" s="307">
        <f>SUM(D26:N26)</f>
        <v>1500</v>
      </c>
    </row>
    <row r="27" spans="3:15" x14ac:dyDescent="0.35">
      <c r="C27" s="51" t="s">
        <v>480</v>
      </c>
      <c r="D27" s="198">
        <f>SUM(E153:E164)/A</f>
        <v>0</v>
      </c>
      <c r="E27" s="198">
        <f>SUM(E166:E177)/A</f>
        <v>120</v>
      </c>
      <c r="F27" s="198">
        <f>SUM(E179:E190)/A</f>
        <v>168</v>
      </c>
      <c r="G27" s="198">
        <f>SUM(E192:E203)/A</f>
        <v>192</v>
      </c>
      <c r="H27" s="198">
        <f>SUM(E205:E216)/A</f>
        <v>216</v>
      </c>
      <c r="I27" s="198">
        <f>SUM(E218:E229)/A</f>
        <v>240</v>
      </c>
      <c r="J27" s="198">
        <f>SUM(E231:E242)/A</f>
        <v>264</v>
      </c>
      <c r="K27" s="198">
        <f>SUM(E244:E255)/A</f>
        <v>300</v>
      </c>
      <c r="L27" s="198">
        <v>0</v>
      </c>
      <c r="M27" s="198">
        <v>0</v>
      </c>
      <c r="N27" s="198">
        <v>0</v>
      </c>
      <c r="O27" s="307">
        <f>SUM(D27:N27)</f>
        <v>1500</v>
      </c>
    </row>
    <row r="28" spans="3:15" x14ac:dyDescent="0.35">
      <c r="C28" s="51" t="s">
        <v>481</v>
      </c>
      <c r="D28" s="198">
        <f t="shared" ref="D28:N28" si="51">D25+D26-D27</f>
        <v>1500</v>
      </c>
      <c r="E28" s="198">
        <f t="shared" si="51"/>
        <v>1380</v>
      </c>
      <c r="F28" s="198">
        <f t="shared" si="51"/>
        <v>1212</v>
      </c>
      <c r="G28" s="198">
        <f t="shared" si="51"/>
        <v>1020</v>
      </c>
      <c r="H28" s="198">
        <f t="shared" si="51"/>
        <v>804</v>
      </c>
      <c r="I28" s="198">
        <f t="shared" si="51"/>
        <v>564</v>
      </c>
      <c r="J28" s="198">
        <f t="shared" si="51"/>
        <v>300</v>
      </c>
      <c r="K28" s="198">
        <f t="shared" si="51"/>
        <v>0</v>
      </c>
      <c r="L28" s="198">
        <f t="shared" si="51"/>
        <v>0</v>
      </c>
      <c r="M28" s="198">
        <f t="shared" si="51"/>
        <v>0</v>
      </c>
      <c r="N28" s="198">
        <f t="shared" si="51"/>
        <v>0</v>
      </c>
      <c r="O28" s="307"/>
    </row>
    <row r="29" spans="3:15" x14ac:dyDescent="0.35">
      <c r="C29" s="51" t="s">
        <v>266</v>
      </c>
      <c r="D29" s="198">
        <f>SUM(G153:G164)/A</f>
        <v>123.75</v>
      </c>
      <c r="E29" s="198">
        <f>SUM(G166:G177)/A</f>
        <v>158.4</v>
      </c>
      <c r="F29" s="198">
        <f>SUM(G179:G190)/A</f>
        <v>142.56</v>
      </c>
      <c r="G29" s="198">
        <f>SUM(G192:G203)/A</f>
        <v>122.76000000000002</v>
      </c>
      <c r="H29" s="198">
        <f>SUM(G205:G216)/A</f>
        <v>100.32</v>
      </c>
      <c r="I29" s="198">
        <f>SUM(G218:G229)/A</f>
        <v>75.239999999999995</v>
      </c>
      <c r="J29" s="198">
        <f>SUM(G231:G242)/A</f>
        <v>47.52</v>
      </c>
      <c r="K29" s="198">
        <f>SUM(G244:G255)/A</f>
        <v>16.499999999999996</v>
      </c>
      <c r="L29" s="198">
        <f t="shared" ref="L29:N29" si="52">$B$9*AVERAGE(L25,L28)</f>
        <v>0</v>
      </c>
      <c r="M29" s="198">
        <f t="shared" si="52"/>
        <v>0</v>
      </c>
      <c r="N29" s="198">
        <f t="shared" si="52"/>
        <v>0</v>
      </c>
      <c r="O29" s="307">
        <f>SUM(D29:N29)</f>
        <v>787.05</v>
      </c>
    </row>
    <row r="30" spans="3:15" x14ac:dyDescent="0.35">
      <c r="C30" s="51" t="s">
        <v>482</v>
      </c>
      <c r="D30" s="198">
        <f>SUM(G153:G162)/A</f>
        <v>96.25</v>
      </c>
      <c r="E30" s="198">
        <v>0</v>
      </c>
      <c r="F30" s="198">
        <v>0</v>
      </c>
      <c r="G30" s="198">
        <v>0</v>
      </c>
      <c r="H30" s="198">
        <v>0</v>
      </c>
      <c r="I30" s="198">
        <v>0</v>
      </c>
      <c r="J30" s="198">
        <v>0</v>
      </c>
      <c r="K30" s="198">
        <v>0</v>
      </c>
      <c r="L30" s="198">
        <v>0</v>
      </c>
      <c r="M30" s="198">
        <v>0</v>
      </c>
      <c r="N30" s="198">
        <v>0</v>
      </c>
      <c r="O30" s="307">
        <f>SUM(D30:N30)</f>
        <v>96.25</v>
      </c>
    </row>
    <row r="31" spans="3:15" x14ac:dyDescent="0.35">
      <c r="C31" s="122" t="s">
        <v>483</v>
      </c>
      <c r="D31" s="306">
        <f t="shared" ref="D31" si="53">D29-D30</f>
        <v>27.5</v>
      </c>
      <c r="E31" s="306">
        <f>E29-E30</f>
        <v>158.4</v>
      </c>
      <c r="F31" s="306">
        <f t="shared" ref="F31:N31" si="54">F29-F30</f>
        <v>142.56</v>
      </c>
      <c r="G31" s="306">
        <f t="shared" si="54"/>
        <v>122.76000000000002</v>
      </c>
      <c r="H31" s="306">
        <f t="shared" si="54"/>
        <v>100.32</v>
      </c>
      <c r="I31" s="306">
        <f t="shared" si="54"/>
        <v>75.239999999999995</v>
      </c>
      <c r="J31" s="306">
        <f t="shared" si="54"/>
        <v>47.52</v>
      </c>
      <c r="K31" s="306">
        <f t="shared" si="54"/>
        <v>16.499999999999996</v>
      </c>
      <c r="L31" s="306">
        <f t="shared" si="54"/>
        <v>0</v>
      </c>
      <c r="M31" s="306">
        <f t="shared" si="54"/>
        <v>0</v>
      </c>
      <c r="N31" s="306">
        <f t="shared" si="54"/>
        <v>0</v>
      </c>
      <c r="O31" s="306">
        <f>SUM(D31:N31)</f>
        <v>690.8</v>
      </c>
    </row>
    <row r="34" spans="3:12" x14ac:dyDescent="0.35">
      <c r="C34" s="107" t="s">
        <v>793</v>
      </c>
    </row>
    <row r="35" spans="3:12" x14ac:dyDescent="0.35">
      <c r="C35" s="107" t="s">
        <v>1079</v>
      </c>
    </row>
    <row r="37" spans="3:12" x14ac:dyDescent="0.35">
      <c r="C37" s="122" t="s">
        <v>794</v>
      </c>
      <c r="D37" s="188">
        <f>'Loan Assumptions'!C5</f>
        <v>68000000</v>
      </c>
      <c r="E37" s="482" t="s">
        <v>795</v>
      </c>
      <c r="F37" s="138" t="s">
        <v>796</v>
      </c>
      <c r="G37" s="138">
        <v>8</v>
      </c>
    </row>
    <row r="38" spans="3:12" x14ac:dyDescent="0.35">
      <c r="C38" s="122" t="s">
        <v>797</v>
      </c>
      <c r="D38" s="195">
        <v>0.11</v>
      </c>
      <c r="E38" s="482"/>
      <c r="F38" s="195" t="s">
        <v>828</v>
      </c>
      <c r="G38" s="138"/>
      <c r="H38" s="47" t="s">
        <v>798</v>
      </c>
      <c r="I38" s="47" t="s">
        <v>799</v>
      </c>
    </row>
    <row r="39" spans="3:12" x14ac:dyDescent="0.35">
      <c r="C39" s="321"/>
      <c r="D39" s="322"/>
      <c r="E39" s="322"/>
      <c r="F39" s="322"/>
      <c r="G39" s="322"/>
    </row>
    <row r="40" spans="3:12" x14ac:dyDescent="0.35">
      <c r="C40" s="321"/>
      <c r="D40" s="323" t="s">
        <v>800</v>
      </c>
      <c r="E40" s="323" t="s">
        <v>801</v>
      </c>
      <c r="F40" s="323" t="s">
        <v>802</v>
      </c>
      <c r="G40" s="323" t="s">
        <v>266</v>
      </c>
      <c r="J40" s="47" t="s">
        <v>803</v>
      </c>
    </row>
    <row r="41" spans="3:12" x14ac:dyDescent="0.35">
      <c r="C41" s="324" t="s">
        <v>813</v>
      </c>
      <c r="D41" s="325"/>
      <c r="E41" s="325"/>
      <c r="F41" s="325"/>
      <c r="G41" s="325"/>
      <c r="H41" s="327"/>
      <c r="I41" s="328"/>
    </row>
    <row r="42" spans="3:12" x14ac:dyDescent="0.35">
      <c r="C42" s="329" t="s">
        <v>814</v>
      </c>
      <c r="D42" s="325">
        <f>+F41+D$37*H42</f>
        <v>0</v>
      </c>
      <c r="E42" s="325">
        <f t="shared" ref="E42:E45" si="55">E41</f>
        <v>0</v>
      </c>
      <c r="F42" s="325">
        <f t="shared" ref="F42:F53" si="56">D42-E42</f>
        <v>0</v>
      </c>
      <c r="G42" s="325">
        <f t="shared" ref="G42:G53" si="57">AVERAGE(D42,F42)*$D$38/12</f>
        <v>0</v>
      </c>
      <c r="H42" s="190"/>
      <c r="I42" s="328" t="s">
        <v>1075</v>
      </c>
    </row>
    <row r="43" spans="3:12" x14ac:dyDescent="0.35">
      <c r="C43" s="329" t="s">
        <v>815</v>
      </c>
      <c r="D43" s="325">
        <f t="shared" ref="D43:D49" si="58">+F42+D$37*H43</f>
        <v>0</v>
      </c>
      <c r="E43" s="325">
        <f t="shared" si="55"/>
        <v>0</v>
      </c>
      <c r="F43" s="325">
        <f t="shared" si="56"/>
        <v>0</v>
      </c>
      <c r="G43" s="325">
        <f t="shared" si="57"/>
        <v>0</v>
      </c>
      <c r="H43" s="190"/>
      <c r="I43" s="328"/>
      <c r="L43" s="382"/>
    </row>
    <row r="44" spans="3:12" x14ac:dyDescent="0.35">
      <c r="C44" s="329" t="s">
        <v>816</v>
      </c>
      <c r="D44" s="325">
        <f t="shared" si="58"/>
        <v>0</v>
      </c>
      <c r="E44" s="325">
        <f t="shared" si="55"/>
        <v>0</v>
      </c>
      <c r="F44" s="325">
        <f t="shared" si="56"/>
        <v>0</v>
      </c>
      <c r="G44" s="325">
        <f t="shared" si="57"/>
        <v>0</v>
      </c>
      <c r="H44" s="190"/>
      <c r="I44" s="328"/>
    </row>
    <row r="45" spans="3:12" x14ac:dyDescent="0.35">
      <c r="C45" s="330" t="s">
        <v>805</v>
      </c>
      <c r="D45" s="191">
        <f t="shared" si="58"/>
        <v>68000000</v>
      </c>
      <c r="E45" s="191">
        <f t="shared" si="55"/>
        <v>0</v>
      </c>
      <c r="F45" s="191">
        <f t="shared" si="56"/>
        <v>68000000</v>
      </c>
      <c r="G45" s="191">
        <f t="shared" si="57"/>
        <v>623333.33333333337</v>
      </c>
      <c r="H45" s="190">
        <v>1</v>
      </c>
      <c r="I45" s="334"/>
    </row>
    <row r="46" spans="3:12" x14ac:dyDescent="0.35">
      <c r="C46" s="329" t="s">
        <v>806</v>
      </c>
      <c r="D46" s="325">
        <f t="shared" si="58"/>
        <v>68000000</v>
      </c>
      <c r="E46" s="325">
        <f>E45</f>
        <v>0</v>
      </c>
      <c r="F46" s="325">
        <f t="shared" si="56"/>
        <v>68000000</v>
      </c>
      <c r="G46" s="325">
        <f t="shared" si="57"/>
        <v>623333.33333333337</v>
      </c>
      <c r="H46" s="190"/>
      <c r="I46" s="335"/>
    </row>
    <row r="47" spans="3:12" x14ac:dyDescent="0.35">
      <c r="C47" s="329" t="s">
        <v>807</v>
      </c>
      <c r="D47" s="325">
        <f t="shared" si="58"/>
        <v>68000000</v>
      </c>
      <c r="E47" s="325">
        <f t="shared" ref="E47:E53" si="59">E46</f>
        <v>0</v>
      </c>
      <c r="F47" s="325">
        <f t="shared" si="56"/>
        <v>68000000</v>
      </c>
      <c r="G47" s="325">
        <f t="shared" si="57"/>
        <v>623333.33333333337</v>
      </c>
      <c r="H47" s="190"/>
      <c r="I47" s="328"/>
    </row>
    <row r="48" spans="3:12" x14ac:dyDescent="0.35">
      <c r="C48" s="329" t="s">
        <v>808</v>
      </c>
      <c r="D48" s="325">
        <f t="shared" si="58"/>
        <v>68000000</v>
      </c>
      <c r="E48" s="325">
        <f t="shared" si="59"/>
        <v>0</v>
      </c>
      <c r="F48" s="325">
        <f t="shared" si="56"/>
        <v>68000000</v>
      </c>
      <c r="G48" s="325">
        <f t="shared" si="57"/>
        <v>623333.33333333337</v>
      </c>
      <c r="H48" s="332"/>
    </row>
    <row r="49" spans="3:10" x14ac:dyDescent="0.35">
      <c r="C49" s="329" t="s">
        <v>809</v>
      </c>
      <c r="D49" s="325">
        <f t="shared" si="58"/>
        <v>68000000</v>
      </c>
      <c r="E49" s="325">
        <f t="shared" si="59"/>
        <v>0</v>
      </c>
      <c r="F49" s="325">
        <f t="shared" si="56"/>
        <v>68000000</v>
      </c>
      <c r="G49" s="325">
        <f t="shared" si="57"/>
        <v>623333.33333333337</v>
      </c>
      <c r="H49" s="190"/>
      <c r="I49" s="328"/>
    </row>
    <row r="50" spans="3:10" x14ac:dyDescent="0.35">
      <c r="C50" s="329" t="s">
        <v>810</v>
      </c>
      <c r="D50" s="325">
        <f t="shared" ref="D50:D53" si="60">F49</f>
        <v>68000000</v>
      </c>
      <c r="E50" s="325">
        <f t="shared" si="59"/>
        <v>0</v>
      </c>
      <c r="F50" s="325">
        <f t="shared" si="56"/>
        <v>68000000</v>
      </c>
      <c r="G50" s="325">
        <f t="shared" si="57"/>
        <v>623333.33333333337</v>
      </c>
      <c r="H50" s="190"/>
      <c r="I50" s="328"/>
    </row>
    <row r="51" spans="3:10" x14ac:dyDescent="0.35">
      <c r="C51" s="329" t="s">
        <v>811</v>
      </c>
      <c r="D51" s="325">
        <f t="shared" si="60"/>
        <v>68000000</v>
      </c>
      <c r="E51" s="325">
        <f t="shared" si="59"/>
        <v>0</v>
      </c>
      <c r="F51" s="325">
        <f t="shared" si="56"/>
        <v>68000000</v>
      </c>
      <c r="G51" s="325">
        <f t="shared" si="57"/>
        <v>623333.33333333337</v>
      </c>
      <c r="H51" s="332"/>
      <c r="J51" s="334"/>
    </row>
    <row r="52" spans="3:10" x14ac:dyDescent="0.35">
      <c r="C52" s="329" t="s">
        <v>812</v>
      </c>
      <c r="D52" s="325">
        <f t="shared" si="60"/>
        <v>68000000</v>
      </c>
      <c r="E52" s="325">
        <f t="shared" si="59"/>
        <v>0</v>
      </c>
      <c r="F52" s="325">
        <f t="shared" si="56"/>
        <v>68000000</v>
      </c>
      <c r="G52" s="325">
        <f t="shared" si="57"/>
        <v>623333.33333333337</v>
      </c>
      <c r="H52" s="327"/>
      <c r="I52" s="328"/>
    </row>
    <row r="53" spans="3:10" x14ac:dyDescent="0.35">
      <c r="C53" s="329" t="s">
        <v>804</v>
      </c>
      <c r="D53" s="325">
        <f t="shared" si="60"/>
        <v>68000000</v>
      </c>
      <c r="E53" s="325">
        <f t="shared" si="59"/>
        <v>0</v>
      </c>
      <c r="F53" s="325">
        <f t="shared" si="56"/>
        <v>68000000</v>
      </c>
      <c r="G53" s="325">
        <f t="shared" si="57"/>
        <v>623333.33333333337</v>
      </c>
      <c r="H53" s="332"/>
    </row>
    <row r="54" spans="3:10" x14ac:dyDescent="0.35">
      <c r="C54" s="324" t="s">
        <v>818</v>
      </c>
      <c r="D54" s="325"/>
      <c r="E54" s="325"/>
      <c r="F54" s="325"/>
      <c r="G54" s="325"/>
      <c r="H54" s="327"/>
      <c r="I54" s="335"/>
      <c r="J54" s="97">
        <v>12</v>
      </c>
    </row>
    <row r="55" spans="3:10" x14ac:dyDescent="0.35">
      <c r="C55" s="329" t="s">
        <v>814</v>
      </c>
      <c r="D55" s="191">
        <f>F53</f>
        <v>68000000</v>
      </c>
      <c r="E55" s="191">
        <v>375000</v>
      </c>
      <c r="F55" s="191">
        <f>D55-E55</f>
        <v>67625000</v>
      </c>
      <c r="G55" s="191">
        <f t="shared" ref="G55:G66" si="61">AVERAGE(D55,F55)*$D$38/12</f>
        <v>621614.58333333337</v>
      </c>
      <c r="H55" s="333" t="s">
        <v>817</v>
      </c>
      <c r="I55" s="333" t="s">
        <v>819</v>
      </c>
      <c r="J55" s="333"/>
    </row>
    <row r="56" spans="3:10" x14ac:dyDescent="0.35">
      <c r="C56" s="329" t="s">
        <v>815</v>
      </c>
      <c r="D56" s="325">
        <f>F55</f>
        <v>67625000</v>
      </c>
      <c r="E56" s="325">
        <v>375000</v>
      </c>
      <c r="F56" s="325">
        <f>D56-E56</f>
        <v>67250000</v>
      </c>
      <c r="G56" s="325">
        <f t="shared" si="61"/>
        <v>618177.08333333337</v>
      </c>
      <c r="H56" s="327"/>
      <c r="I56" s="326"/>
    </row>
    <row r="57" spans="3:10" x14ac:dyDescent="0.35">
      <c r="C57" s="329" t="s">
        <v>816</v>
      </c>
      <c r="D57" s="325">
        <f>F56</f>
        <v>67250000</v>
      </c>
      <c r="E57" s="325">
        <v>375000</v>
      </c>
      <c r="F57" s="325">
        <f>D57-E57</f>
        <v>66875000</v>
      </c>
      <c r="G57" s="325">
        <f t="shared" si="61"/>
        <v>614739.58333333337</v>
      </c>
      <c r="H57" s="327"/>
    </row>
    <row r="58" spans="3:10" x14ac:dyDescent="0.35">
      <c r="C58" s="329" t="s">
        <v>805</v>
      </c>
      <c r="D58" s="325">
        <f>F57</f>
        <v>66875000</v>
      </c>
      <c r="E58" s="325">
        <v>375000</v>
      </c>
      <c r="F58" s="325">
        <f>D58-E58</f>
        <v>66500000</v>
      </c>
      <c r="G58" s="325">
        <f t="shared" si="61"/>
        <v>611302.08333333337</v>
      </c>
      <c r="H58" s="327"/>
      <c r="I58" s="326"/>
    </row>
    <row r="59" spans="3:10" x14ac:dyDescent="0.35">
      <c r="C59" s="329" t="s">
        <v>806</v>
      </c>
      <c r="D59" s="325">
        <f>F58</f>
        <v>66500000</v>
      </c>
      <c r="E59" s="325">
        <v>375000</v>
      </c>
      <c r="F59" s="325">
        <f t="shared" ref="F59:F66" si="62">D59-E59</f>
        <v>66125000</v>
      </c>
      <c r="G59" s="325">
        <f t="shared" si="61"/>
        <v>607864.58333333337</v>
      </c>
      <c r="H59" s="327"/>
      <c r="I59" s="326"/>
    </row>
    <row r="60" spans="3:10" x14ac:dyDescent="0.35">
      <c r="C60" s="329" t="s">
        <v>807</v>
      </c>
      <c r="D60" s="325">
        <f t="shared" ref="D60:D66" si="63">F59</f>
        <v>66125000</v>
      </c>
      <c r="E60" s="325">
        <v>375000</v>
      </c>
      <c r="F60" s="325">
        <f t="shared" si="62"/>
        <v>65750000</v>
      </c>
      <c r="G60" s="325">
        <f t="shared" si="61"/>
        <v>604427.08333333337</v>
      </c>
      <c r="H60" s="327"/>
      <c r="I60" s="326"/>
    </row>
    <row r="61" spans="3:10" x14ac:dyDescent="0.35">
      <c r="C61" s="329" t="s">
        <v>808</v>
      </c>
      <c r="D61" s="325">
        <f t="shared" si="63"/>
        <v>65750000</v>
      </c>
      <c r="E61" s="325">
        <v>375000</v>
      </c>
      <c r="F61" s="325">
        <f t="shared" si="62"/>
        <v>65375000</v>
      </c>
      <c r="G61" s="325">
        <f t="shared" si="61"/>
        <v>600989.58333333337</v>
      </c>
      <c r="H61" s="327"/>
      <c r="I61" s="326"/>
    </row>
    <row r="62" spans="3:10" x14ac:dyDescent="0.35">
      <c r="C62" s="329" t="s">
        <v>809</v>
      </c>
      <c r="D62" s="325">
        <f t="shared" si="63"/>
        <v>65375000</v>
      </c>
      <c r="E62" s="325">
        <v>375000</v>
      </c>
      <c r="F62" s="325">
        <f t="shared" si="62"/>
        <v>65000000</v>
      </c>
      <c r="G62" s="325">
        <f t="shared" si="61"/>
        <v>597552.08333333337</v>
      </c>
      <c r="H62" s="327"/>
      <c r="I62" s="326"/>
    </row>
    <row r="63" spans="3:10" x14ac:dyDescent="0.35">
      <c r="C63" s="329" t="s">
        <v>810</v>
      </c>
      <c r="D63" s="325">
        <f t="shared" si="63"/>
        <v>65000000</v>
      </c>
      <c r="E63" s="325">
        <v>500000</v>
      </c>
      <c r="F63" s="325">
        <f t="shared" si="62"/>
        <v>64500000</v>
      </c>
      <c r="G63" s="325">
        <f t="shared" si="61"/>
        <v>593541.66666666663</v>
      </c>
      <c r="H63" s="327"/>
      <c r="I63" s="326"/>
    </row>
    <row r="64" spans="3:10" x14ac:dyDescent="0.35">
      <c r="C64" s="329" t="s">
        <v>811</v>
      </c>
      <c r="D64" s="325">
        <f t="shared" si="63"/>
        <v>64500000</v>
      </c>
      <c r="E64" s="325">
        <v>500000</v>
      </c>
      <c r="F64" s="325">
        <f t="shared" si="62"/>
        <v>64000000</v>
      </c>
      <c r="G64" s="325">
        <f t="shared" si="61"/>
        <v>588958.33333333337</v>
      </c>
      <c r="H64" s="327"/>
      <c r="I64" s="326"/>
    </row>
    <row r="65" spans="3:10" x14ac:dyDescent="0.35">
      <c r="C65" s="329" t="s">
        <v>812</v>
      </c>
      <c r="D65" s="325">
        <f t="shared" si="63"/>
        <v>64000000</v>
      </c>
      <c r="E65" s="325">
        <v>500000</v>
      </c>
      <c r="F65" s="325">
        <f t="shared" si="62"/>
        <v>63500000</v>
      </c>
      <c r="G65" s="325">
        <f t="shared" si="61"/>
        <v>584375</v>
      </c>
      <c r="H65" s="327"/>
      <c r="I65" s="326"/>
    </row>
    <row r="66" spans="3:10" x14ac:dyDescent="0.35">
      <c r="C66" s="329" t="s">
        <v>804</v>
      </c>
      <c r="D66" s="325">
        <f t="shared" si="63"/>
        <v>63500000</v>
      </c>
      <c r="E66" s="325">
        <v>500000</v>
      </c>
      <c r="F66" s="325">
        <f t="shared" si="62"/>
        <v>63000000</v>
      </c>
      <c r="G66" s="325">
        <f t="shared" si="61"/>
        <v>579791.66666666663</v>
      </c>
      <c r="H66" s="327"/>
      <c r="I66" s="326"/>
    </row>
    <row r="67" spans="3:10" x14ac:dyDescent="0.35">
      <c r="C67" s="324" t="s">
        <v>820</v>
      </c>
      <c r="D67" s="325"/>
      <c r="E67" s="331"/>
      <c r="F67" s="331"/>
      <c r="G67" s="331"/>
      <c r="H67" s="327"/>
      <c r="I67" s="335"/>
      <c r="J67" s="97">
        <v>12</v>
      </c>
    </row>
    <row r="68" spans="3:10" x14ac:dyDescent="0.35">
      <c r="C68" s="329" t="s">
        <v>814</v>
      </c>
      <c r="D68" s="325">
        <f>F66</f>
        <v>63000000</v>
      </c>
      <c r="E68" s="325">
        <v>500000</v>
      </c>
      <c r="F68" s="325">
        <f>D68-E68</f>
        <v>62500000</v>
      </c>
      <c r="G68" s="325">
        <f t="shared" ref="G68:G79" si="64">AVERAGE(D68,F68)*$D$38/12</f>
        <v>575208.33333333337</v>
      </c>
      <c r="H68" s="327"/>
      <c r="I68" s="326"/>
    </row>
    <row r="69" spans="3:10" x14ac:dyDescent="0.35">
      <c r="C69" s="329" t="s">
        <v>815</v>
      </c>
      <c r="D69" s="325">
        <f>F68</f>
        <v>62500000</v>
      </c>
      <c r="E69" s="325">
        <f>E68</f>
        <v>500000</v>
      </c>
      <c r="F69" s="325">
        <f>D69-E69</f>
        <v>62000000</v>
      </c>
      <c r="G69" s="325">
        <f t="shared" si="64"/>
        <v>570625</v>
      </c>
      <c r="H69" s="327"/>
      <c r="I69" s="326"/>
    </row>
    <row r="70" spans="3:10" x14ac:dyDescent="0.35">
      <c r="C70" s="329" t="s">
        <v>816</v>
      </c>
      <c r="D70" s="325">
        <f>F69</f>
        <v>62000000</v>
      </c>
      <c r="E70" s="325">
        <f t="shared" ref="E70:E79" si="65">E69</f>
        <v>500000</v>
      </c>
      <c r="F70" s="325">
        <f>D70-E70</f>
        <v>61500000</v>
      </c>
      <c r="G70" s="325">
        <f t="shared" si="64"/>
        <v>566041.66666666663</v>
      </c>
      <c r="H70" s="327"/>
    </row>
    <row r="71" spans="3:10" x14ac:dyDescent="0.35">
      <c r="C71" s="329" t="s">
        <v>805</v>
      </c>
      <c r="D71" s="325">
        <f>F70</f>
        <v>61500000</v>
      </c>
      <c r="E71" s="325">
        <f t="shared" si="65"/>
        <v>500000</v>
      </c>
      <c r="F71" s="325">
        <f>D71-E71</f>
        <v>61000000</v>
      </c>
      <c r="G71" s="325">
        <f t="shared" si="64"/>
        <v>561458.33333333337</v>
      </c>
      <c r="H71" s="327"/>
      <c r="I71" s="326"/>
    </row>
    <row r="72" spans="3:10" x14ac:dyDescent="0.35">
      <c r="C72" s="329" t="s">
        <v>806</v>
      </c>
      <c r="D72" s="325">
        <f>F71</f>
        <v>61000000</v>
      </c>
      <c r="E72" s="325">
        <f t="shared" si="65"/>
        <v>500000</v>
      </c>
      <c r="F72" s="325">
        <f t="shared" ref="F72:F79" si="66">D72-E72</f>
        <v>60500000</v>
      </c>
      <c r="G72" s="325">
        <f t="shared" si="64"/>
        <v>556875</v>
      </c>
      <c r="H72" s="327"/>
      <c r="I72" s="326"/>
    </row>
    <row r="73" spans="3:10" x14ac:dyDescent="0.35">
      <c r="C73" s="329" t="s">
        <v>807</v>
      </c>
      <c r="D73" s="325">
        <f t="shared" ref="D73:D79" si="67">F72</f>
        <v>60500000</v>
      </c>
      <c r="E73" s="325">
        <f t="shared" si="65"/>
        <v>500000</v>
      </c>
      <c r="F73" s="325">
        <f t="shared" si="66"/>
        <v>60000000</v>
      </c>
      <c r="G73" s="325">
        <f t="shared" si="64"/>
        <v>552291.66666666663</v>
      </c>
      <c r="H73" s="327"/>
      <c r="I73" s="326"/>
    </row>
    <row r="74" spans="3:10" x14ac:dyDescent="0.35">
      <c r="C74" s="329" t="s">
        <v>808</v>
      </c>
      <c r="D74" s="325">
        <f t="shared" si="67"/>
        <v>60000000</v>
      </c>
      <c r="E74" s="325">
        <f t="shared" si="65"/>
        <v>500000</v>
      </c>
      <c r="F74" s="325">
        <f t="shared" si="66"/>
        <v>59500000</v>
      </c>
      <c r="G74" s="325">
        <f t="shared" si="64"/>
        <v>547708.33333333337</v>
      </c>
      <c r="H74" s="327"/>
      <c r="I74" s="326"/>
    </row>
    <row r="75" spans="3:10" x14ac:dyDescent="0.35">
      <c r="C75" s="329" t="s">
        <v>809</v>
      </c>
      <c r="D75" s="325">
        <f t="shared" si="67"/>
        <v>59500000</v>
      </c>
      <c r="E75" s="325">
        <f t="shared" si="65"/>
        <v>500000</v>
      </c>
      <c r="F75" s="325">
        <f t="shared" si="66"/>
        <v>59000000</v>
      </c>
      <c r="G75" s="325">
        <f t="shared" si="64"/>
        <v>543125</v>
      </c>
      <c r="H75" s="327"/>
      <c r="I75" s="326"/>
    </row>
    <row r="76" spans="3:10" x14ac:dyDescent="0.35">
      <c r="C76" s="329" t="s">
        <v>810</v>
      </c>
      <c r="D76" s="325">
        <f t="shared" si="67"/>
        <v>59000000</v>
      </c>
      <c r="E76" s="325">
        <v>700000</v>
      </c>
      <c r="F76" s="325">
        <f t="shared" si="66"/>
        <v>58300000</v>
      </c>
      <c r="G76" s="325">
        <f t="shared" si="64"/>
        <v>537625</v>
      </c>
      <c r="H76" s="327"/>
      <c r="I76" s="326"/>
    </row>
    <row r="77" spans="3:10" x14ac:dyDescent="0.35">
      <c r="C77" s="329" t="s">
        <v>811</v>
      </c>
      <c r="D77" s="325">
        <f t="shared" si="67"/>
        <v>58300000</v>
      </c>
      <c r="E77" s="325">
        <f t="shared" si="65"/>
        <v>700000</v>
      </c>
      <c r="F77" s="325">
        <f t="shared" si="66"/>
        <v>57600000</v>
      </c>
      <c r="G77" s="325">
        <f t="shared" si="64"/>
        <v>531208.33333333337</v>
      </c>
      <c r="H77" s="327"/>
      <c r="I77" s="326"/>
    </row>
    <row r="78" spans="3:10" x14ac:dyDescent="0.35">
      <c r="C78" s="329" t="s">
        <v>812</v>
      </c>
      <c r="D78" s="325">
        <f t="shared" si="67"/>
        <v>57600000</v>
      </c>
      <c r="E78" s="325">
        <f t="shared" si="65"/>
        <v>700000</v>
      </c>
      <c r="F78" s="325">
        <f t="shared" si="66"/>
        <v>56900000</v>
      </c>
      <c r="G78" s="325">
        <f t="shared" si="64"/>
        <v>524791.66666666663</v>
      </c>
      <c r="H78" s="327"/>
      <c r="I78" s="326"/>
    </row>
    <row r="79" spans="3:10" x14ac:dyDescent="0.35">
      <c r="C79" s="329" t="s">
        <v>804</v>
      </c>
      <c r="D79" s="325">
        <f t="shared" si="67"/>
        <v>56900000</v>
      </c>
      <c r="E79" s="325">
        <f t="shared" si="65"/>
        <v>700000</v>
      </c>
      <c r="F79" s="325">
        <f t="shared" si="66"/>
        <v>56200000</v>
      </c>
      <c r="G79" s="325">
        <f t="shared" si="64"/>
        <v>518375</v>
      </c>
      <c r="H79" s="327"/>
      <c r="I79" s="326"/>
    </row>
    <row r="80" spans="3:10" x14ac:dyDescent="0.35">
      <c r="C80" s="324" t="s">
        <v>821</v>
      </c>
      <c r="D80" s="325"/>
      <c r="E80" s="331"/>
      <c r="F80" s="331"/>
      <c r="G80" s="331"/>
      <c r="H80" s="327"/>
      <c r="I80" s="335"/>
      <c r="J80" s="97">
        <v>12</v>
      </c>
    </row>
    <row r="81" spans="3:10" x14ac:dyDescent="0.35">
      <c r="C81" s="329" t="s">
        <v>814</v>
      </c>
      <c r="D81" s="325">
        <f>F79</f>
        <v>56200000</v>
      </c>
      <c r="E81" s="325">
        <v>700000</v>
      </c>
      <c r="F81" s="325">
        <f>D81-E81</f>
        <v>55500000</v>
      </c>
      <c r="G81" s="325">
        <f t="shared" ref="G81:G92" si="68">AVERAGE(D81,F81)*$D$38/12</f>
        <v>511958.33333333331</v>
      </c>
      <c r="H81" s="327"/>
      <c r="I81" s="326"/>
    </row>
    <row r="82" spans="3:10" x14ac:dyDescent="0.35">
      <c r="C82" s="329" t="s">
        <v>815</v>
      </c>
      <c r="D82" s="325">
        <f>F81</f>
        <v>55500000</v>
      </c>
      <c r="E82" s="325">
        <f>E81</f>
        <v>700000</v>
      </c>
      <c r="F82" s="325">
        <f>D82-E82</f>
        <v>54800000</v>
      </c>
      <c r="G82" s="325">
        <f t="shared" si="68"/>
        <v>505541.66666666669</v>
      </c>
      <c r="H82" s="327"/>
      <c r="I82" s="326"/>
    </row>
    <row r="83" spans="3:10" x14ac:dyDescent="0.35">
      <c r="C83" s="329" t="s">
        <v>816</v>
      </c>
      <c r="D83" s="325">
        <f>F82</f>
        <v>54800000</v>
      </c>
      <c r="E83" s="325">
        <f t="shared" ref="E83:E92" si="69">E82</f>
        <v>700000</v>
      </c>
      <c r="F83" s="325">
        <f>D83-E83</f>
        <v>54100000</v>
      </c>
      <c r="G83" s="325">
        <f t="shared" si="68"/>
        <v>499125</v>
      </c>
      <c r="H83" s="327"/>
    </row>
    <row r="84" spans="3:10" x14ac:dyDescent="0.35">
      <c r="C84" s="329" t="s">
        <v>805</v>
      </c>
      <c r="D84" s="325">
        <f>F83</f>
        <v>54100000</v>
      </c>
      <c r="E84" s="325">
        <f t="shared" si="69"/>
        <v>700000</v>
      </c>
      <c r="F84" s="325">
        <f>D84-E84</f>
        <v>53400000</v>
      </c>
      <c r="G84" s="325">
        <f t="shared" si="68"/>
        <v>492708.33333333331</v>
      </c>
      <c r="H84" s="327"/>
      <c r="I84" s="326"/>
    </row>
    <row r="85" spans="3:10" x14ac:dyDescent="0.35">
      <c r="C85" s="329" t="s">
        <v>806</v>
      </c>
      <c r="D85" s="325">
        <f>F84</f>
        <v>53400000</v>
      </c>
      <c r="E85" s="325">
        <f t="shared" si="69"/>
        <v>700000</v>
      </c>
      <c r="F85" s="325">
        <f t="shared" ref="F85:F92" si="70">D85-E85</f>
        <v>52700000</v>
      </c>
      <c r="G85" s="325">
        <f t="shared" si="68"/>
        <v>486291.66666666669</v>
      </c>
      <c r="H85" s="327"/>
      <c r="I85" s="326"/>
    </row>
    <row r="86" spans="3:10" x14ac:dyDescent="0.35">
      <c r="C86" s="329" t="s">
        <v>807</v>
      </c>
      <c r="D86" s="325">
        <f t="shared" ref="D86:D92" si="71">F85</f>
        <v>52700000</v>
      </c>
      <c r="E86" s="325">
        <f t="shared" si="69"/>
        <v>700000</v>
      </c>
      <c r="F86" s="325">
        <f t="shared" si="70"/>
        <v>52000000</v>
      </c>
      <c r="G86" s="325">
        <f t="shared" si="68"/>
        <v>479875</v>
      </c>
      <c r="H86" s="327"/>
      <c r="I86" s="326"/>
    </row>
    <row r="87" spans="3:10" x14ac:dyDescent="0.35">
      <c r="C87" s="329" t="s">
        <v>808</v>
      </c>
      <c r="D87" s="325">
        <f t="shared" si="71"/>
        <v>52000000</v>
      </c>
      <c r="E87" s="325">
        <f t="shared" si="69"/>
        <v>700000</v>
      </c>
      <c r="F87" s="325">
        <f t="shared" si="70"/>
        <v>51300000</v>
      </c>
      <c r="G87" s="325">
        <f t="shared" si="68"/>
        <v>473458.33333333331</v>
      </c>
      <c r="H87" s="327"/>
      <c r="I87" s="326"/>
    </row>
    <row r="88" spans="3:10" x14ac:dyDescent="0.35">
      <c r="C88" s="329" t="s">
        <v>809</v>
      </c>
      <c r="D88" s="325">
        <f t="shared" si="71"/>
        <v>51300000</v>
      </c>
      <c r="E88" s="325">
        <f t="shared" si="69"/>
        <v>700000</v>
      </c>
      <c r="F88" s="325">
        <f t="shared" si="70"/>
        <v>50600000</v>
      </c>
      <c r="G88" s="325">
        <f t="shared" si="68"/>
        <v>467041.66666666669</v>
      </c>
      <c r="H88" s="327"/>
      <c r="I88" s="326"/>
    </row>
    <row r="89" spans="3:10" x14ac:dyDescent="0.35">
      <c r="C89" s="329" t="s">
        <v>810</v>
      </c>
      <c r="D89" s="325">
        <f t="shared" si="71"/>
        <v>50600000</v>
      </c>
      <c r="E89" s="325">
        <v>1000000</v>
      </c>
      <c r="F89" s="325">
        <f t="shared" si="70"/>
        <v>49600000</v>
      </c>
      <c r="G89" s="325">
        <f t="shared" si="68"/>
        <v>459250</v>
      </c>
      <c r="H89" s="327"/>
      <c r="I89" s="326"/>
    </row>
    <row r="90" spans="3:10" x14ac:dyDescent="0.35">
      <c r="C90" s="329" t="s">
        <v>811</v>
      </c>
      <c r="D90" s="325">
        <f t="shared" si="71"/>
        <v>49600000</v>
      </c>
      <c r="E90" s="325">
        <f t="shared" si="69"/>
        <v>1000000</v>
      </c>
      <c r="F90" s="325">
        <f t="shared" si="70"/>
        <v>48600000</v>
      </c>
      <c r="G90" s="325">
        <f t="shared" si="68"/>
        <v>450083.33333333331</v>
      </c>
      <c r="H90" s="327"/>
      <c r="I90" s="326"/>
    </row>
    <row r="91" spans="3:10" x14ac:dyDescent="0.35">
      <c r="C91" s="329" t="s">
        <v>812</v>
      </c>
      <c r="D91" s="325">
        <f t="shared" si="71"/>
        <v>48600000</v>
      </c>
      <c r="E91" s="325">
        <f t="shared" si="69"/>
        <v>1000000</v>
      </c>
      <c r="F91" s="325">
        <f t="shared" si="70"/>
        <v>47600000</v>
      </c>
      <c r="G91" s="325">
        <f t="shared" si="68"/>
        <v>440916.66666666669</v>
      </c>
      <c r="H91" s="327"/>
      <c r="I91" s="326"/>
    </row>
    <row r="92" spans="3:10" x14ac:dyDescent="0.35">
      <c r="C92" s="329" t="s">
        <v>804</v>
      </c>
      <c r="D92" s="325">
        <f t="shared" si="71"/>
        <v>47600000</v>
      </c>
      <c r="E92" s="325">
        <f t="shared" si="69"/>
        <v>1000000</v>
      </c>
      <c r="F92" s="325">
        <f t="shared" si="70"/>
        <v>46600000</v>
      </c>
      <c r="G92" s="325">
        <f t="shared" si="68"/>
        <v>431750</v>
      </c>
      <c r="H92" s="327"/>
      <c r="I92" s="326"/>
    </row>
    <row r="93" spans="3:10" x14ac:dyDescent="0.35">
      <c r="C93" s="324" t="s">
        <v>822</v>
      </c>
      <c r="D93" s="325"/>
      <c r="E93" s="331"/>
      <c r="F93" s="331"/>
      <c r="G93" s="331"/>
      <c r="H93" s="327"/>
      <c r="I93" s="335"/>
      <c r="J93" s="97">
        <v>12</v>
      </c>
    </row>
    <row r="94" spans="3:10" x14ac:dyDescent="0.35">
      <c r="C94" s="329" t="s">
        <v>814</v>
      </c>
      <c r="D94" s="325">
        <f>F92</f>
        <v>46600000</v>
      </c>
      <c r="E94" s="325">
        <v>1000000</v>
      </c>
      <c r="F94" s="325">
        <f>D94-E94</f>
        <v>45600000</v>
      </c>
      <c r="G94" s="325">
        <f t="shared" ref="G94:G105" si="72">AVERAGE(D94,F94)*$D$38/12</f>
        <v>422583.33333333331</v>
      </c>
      <c r="H94" s="327"/>
      <c r="I94" s="326"/>
    </row>
    <row r="95" spans="3:10" x14ac:dyDescent="0.35">
      <c r="C95" s="329" t="s">
        <v>815</v>
      </c>
      <c r="D95" s="325">
        <f>F94</f>
        <v>45600000</v>
      </c>
      <c r="E95" s="325">
        <f>E94</f>
        <v>1000000</v>
      </c>
      <c r="F95" s="325">
        <f>D95-E95</f>
        <v>44600000</v>
      </c>
      <c r="G95" s="325">
        <f t="shared" si="72"/>
        <v>413416.66666666669</v>
      </c>
      <c r="H95" s="327"/>
      <c r="I95" s="326"/>
    </row>
    <row r="96" spans="3:10" x14ac:dyDescent="0.35">
      <c r="C96" s="329" t="s">
        <v>816</v>
      </c>
      <c r="D96" s="325">
        <f>F95</f>
        <v>44600000</v>
      </c>
      <c r="E96" s="325">
        <f t="shared" ref="E96:E105" si="73">E95</f>
        <v>1000000</v>
      </c>
      <c r="F96" s="325">
        <f>D96-E96</f>
        <v>43600000</v>
      </c>
      <c r="G96" s="325">
        <f t="shared" si="72"/>
        <v>404250</v>
      </c>
      <c r="H96" s="327"/>
    </row>
    <row r="97" spans="3:10" x14ac:dyDescent="0.35">
      <c r="C97" s="329" t="s">
        <v>805</v>
      </c>
      <c r="D97" s="325">
        <f>F96</f>
        <v>43600000</v>
      </c>
      <c r="E97" s="325">
        <f t="shared" si="73"/>
        <v>1000000</v>
      </c>
      <c r="F97" s="325">
        <f>D97-E97</f>
        <v>42600000</v>
      </c>
      <c r="G97" s="325">
        <f t="shared" si="72"/>
        <v>395083.33333333331</v>
      </c>
      <c r="H97" s="327"/>
      <c r="I97" s="326"/>
    </row>
    <row r="98" spans="3:10" x14ac:dyDescent="0.35">
      <c r="C98" s="329" t="s">
        <v>806</v>
      </c>
      <c r="D98" s="325">
        <f>F97</f>
        <v>42600000</v>
      </c>
      <c r="E98" s="325">
        <f t="shared" si="73"/>
        <v>1000000</v>
      </c>
      <c r="F98" s="325">
        <f t="shared" ref="F98:F105" si="74">D98-E98</f>
        <v>41600000</v>
      </c>
      <c r="G98" s="325">
        <f t="shared" si="72"/>
        <v>385916.66666666669</v>
      </c>
      <c r="H98" s="327"/>
      <c r="I98" s="326"/>
    </row>
    <row r="99" spans="3:10" x14ac:dyDescent="0.35">
      <c r="C99" s="329" t="s">
        <v>807</v>
      </c>
      <c r="D99" s="325">
        <f t="shared" ref="D99:D105" si="75">F98</f>
        <v>41600000</v>
      </c>
      <c r="E99" s="325">
        <f t="shared" si="73"/>
        <v>1000000</v>
      </c>
      <c r="F99" s="325">
        <f t="shared" si="74"/>
        <v>40600000</v>
      </c>
      <c r="G99" s="325">
        <f t="shared" si="72"/>
        <v>376750</v>
      </c>
      <c r="H99" s="327"/>
      <c r="I99" s="326"/>
    </row>
    <row r="100" spans="3:10" x14ac:dyDescent="0.35">
      <c r="C100" s="329" t="s">
        <v>808</v>
      </c>
      <c r="D100" s="325">
        <f t="shared" si="75"/>
        <v>40600000</v>
      </c>
      <c r="E100" s="325">
        <f t="shared" si="73"/>
        <v>1000000</v>
      </c>
      <c r="F100" s="325">
        <f t="shared" si="74"/>
        <v>39600000</v>
      </c>
      <c r="G100" s="325">
        <f t="shared" si="72"/>
        <v>367583.33333333331</v>
      </c>
      <c r="H100" s="327"/>
      <c r="I100" s="326"/>
    </row>
    <row r="101" spans="3:10" x14ac:dyDescent="0.35">
      <c r="C101" s="329" t="s">
        <v>809</v>
      </c>
      <c r="D101" s="325">
        <f t="shared" si="75"/>
        <v>39600000</v>
      </c>
      <c r="E101" s="325">
        <f t="shared" si="73"/>
        <v>1000000</v>
      </c>
      <c r="F101" s="325">
        <f t="shared" si="74"/>
        <v>38600000</v>
      </c>
      <c r="G101" s="325">
        <f t="shared" si="72"/>
        <v>358416.66666666669</v>
      </c>
      <c r="H101" s="327"/>
      <c r="I101" s="326"/>
    </row>
    <row r="102" spans="3:10" x14ac:dyDescent="0.35">
      <c r="C102" s="329" t="s">
        <v>810</v>
      </c>
      <c r="D102" s="325">
        <f t="shared" si="75"/>
        <v>38600000</v>
      </c>
      <c r="E102" s="325">
        <f t="shared" si="73"/>
        <v>1000000</v>
      </c>
      <c r="F102" s="325">
        <f t="shared" si="74"/>
        <v>37600000</v>
      </c>
      <c r="G102" s="325">
        <f t="shared" si="72"/>
        <v>349250</v>
      </c>
      <c r="H102" s="327"/>
      <c r="I102" s="326"/>
    </row>
    <row r="103" spans="3:10" x14ac:dyDescent="0.35">
      <c r="C103" s="329" t="s">
        <v>811</v>
      </c>
      <c r="D103" s="325">
        <f t="shared" si="75"/>
        <v>37600000</v>
      </c>
      <c r="E103" s="325">
        <f t="shared" si="73"/>
        <v>1000000</v>
      </c>
      <c r="F103" s="325">
        <f t="shared" si="74"/>
        <v>36600000</v>
      </c>
      <c r="G103" s="325">
        <f t="shared" si="72"/>
        <v>340083.33333333331</v>
      </c>
      <c r="H103" s="327"/>
      <c r="I103" s="326"/>
    </row>
    <row r="104" spans="3:10" x14ac:dyDescent="0.35">
      <c r="C104" s="329" t="s">
        <v>812</v>
      </c>
      <c r="D104" s="325">
        <f t="shared" si="75"/>
        <v>36600000</v>
      </c>
      <c r="E104" s="325">
        <f t="shared" si="73"/>
        <v>1000000</v>
      </c>
      <c r="F104" s="325">
        <f t="shared" si="74"/>
        <v>35600000</v>
      </c>
      <c r="G104" s="325">
        <f t="shared" si="72"/>
        <v>330916.66666666669</v>
      </c>
      <c r="H104" s="327"/>
      <c r="I104" s="326"/>
    </row>
    <row r="105" spans="3:10" x14ac:dyDescent="0.35">
      <c r="C105" s="329" t="s">
        <v>804</v>
      </c>
      <c r="D105" s="325">
        <f t="shared" si="75"/>
        <v>35600000</v>
      </c>
      <c r="E105" s="325">
        <f t="shared" si="73"/>
        <v>1000000</v>
      </c>
      <c r="F105" s="325">
        <f t="shared" si="74"/>
        <v>34600000</v>
      </c>
      <c r="G105" s="325">
        <f t="shared" si="72"/>
        <v>321750</v>
      </c>
      <c r="H105" s="327"/>
      <c r="I105" s="326"/>
    </row>
    <row r="106" spans="3:10" x14ac:dyDescent="0.35">
      <c r="C106" s="324" t="s">
        <v>823</v>
      </c>
      <c r="D106" s="325"/>
      <c r="E106" s="331"/>
      <c r="F106" s="331"/>
      <c r="G106" s="331"/>
      <c r="H106" s="327"/>
      <c r="I106" s="335"/>
      <c r="J106" s="97">
        <v>12</v>
      </c>
    </row>
    <row r="107" spans="3:10" x14ac:dyDescent="0.35">
      <c r="C107" s="329" t="s">
        <v>814</v>
      </c>
      <c r="D107" s="325">
        <f>F105</f>
        <v>34600000</v>
      </c>
      <c r="E107" s="325">
        <v>1000000</v>
      </c>
      <c r="F107" s="325">
        <f>D107-E107</f>
        <v>33600000</v>
      </c>
      <c r="G107" s="325">
        <f t="shared" ref="G107:G118" si="76">AVERAGE(D107,F107)*$D$38/12</f>
        <v>312583.33333333331</v>
      </c>
      <c r="H107" s="327"/>
      <c r="I107" s="326"/>
    </row>
    <row r="108" spans="3:10" x14ac:dyDescent="0.35">
      <c r="C108" s="329" t="s">
        <v>815</v>
      </c>
      <c r="D108" s="325">
        <f>F107</f>
        <v>33600000</v>
      </c>
      <c r="E108" s="325">
        <f>E107</f>
        <v>1000000</v>
      </c>
      <c r="F108" s="325">
        <f>D108-E108</f>
        <v>32600000</v>
      </c>
      <c r="G108" s="325">
        <f t="shared" si="76"/>
        <v>303416.66666666669</v>
      </c>
      <c r="H108" s="327"/>
      <c r="I108" s="326"/>
    </row>
    <row r="109" spans="3:10" x14ac:dyDescent="0.35">
      <c r="C109" s="329" t="s">
        <v>816</v>
      </c>
      <c r="D109" s="325">
        <f>F108</f>
        <v>32600000</v>
      </c>
      <c r="E109" s="325">
        <f t="shared" ref="E109:E118" si="77">E108</f>
        <v>1000000</v>
      </c>
      <c r="F109" s="325">
        <f>D109-E109</f>
        <v>31600000</v>
      </c>
      <c r="G109" s="325">
        <f t="shared" si="76"/>
        <v>294250</v>
      </c>
      <c r="H109" s="327"/>
    </row>
    <row r="110" spans="3:10" x14ac:dyDescent="0.35">
      <c r="C110" s="329" t="s">
        <v>805</v>
      </c>
      <c r="D110" s="325">
        <f>F109</f>
        <v>31600000</v>
      </c>
      <c r="E110" s="325">
        <f t="shared" si="77"/>
        <v>1000000</v>
      </c>
      <c r="F110" s="325">
        <f>D110-E110</f>
        <v>30600000</v>
      </c>
      <c r="G110" s="325">
        <f t="shared" si="76"/>
        <v>285083.33333333331</v>
      </c>
      <c r="H110" s="327"/>
      <c r="I110" s="326"/>
    </row>
    <row r="111" spans="3:10" x14ac:dyDescent="0.35">
      <c r="C111" s="329" t="s">
        <v>806</v>
      </c>
      <c r="D111" s="325">
        <f>F110</f>
        <v>30600000</v>
      </c>
      <c r="E111" s="325">
        <f t="shared" si="77"/>
        <v>1000000</v>
      </c>
      <c r="F111" s="325">
        <f t="shared" ref="F111:F118" si="78">D111-E111</f>
        <v>29600000</v>
      </c>
      <c r="G111" s="325">
        <f t="shared" si="76"/>
        <v>275916.66666666669</v>
      </c>
      <c r="H111" s="327"/>
      <c r="I111" s="326"/>
    </row>
    <row r="112" spans="3:10" x14ac:dyDescent="0.35">
      <c r="C112" s="329" t="s">
        <v>807</v>
      </c>
      <c r="D112" s="325">
        <f t="shared" ref="D112:D118" si="79">F111</f>
        <v>29600000</v>
      </c>
      <c r="E112" s="325">
        <f t="shared" si="77"/>
        <v>1000000</v>
      </c>
      <c r="F112" s="325">
        <f t="shared" si="78"/>
        <v>28600000</v>
      </c>
      <c r="G112" s="325">
        <f t="shared" si="76"/>
        <v>266750</v>
      </c>
      <c r="H112" s="327"/>
      <c r="I112" s="326"/>
    </row>
    <row r="113" spans="3:10" x14ac:dyDescent="0.35">
      <c r="C113" s="329" t="s">
        <v>808</v>
      </c>
      <c r="D113" s="325">
        <f t="shared" si="79"/>
        <v>28600000</v>
      </c>
      <c r="E113" s="325">
        <f t="shared" si="77"/>
        <v>1000000</v>
      </c>
      <c r="F113" s="325">
        <f t="shared" si="78"/>
        <v>27600000</v>
      </c>
      <c r="G113" s="325">
        <f t="shared" si="76"/>
        <v>257583.33333333334</v>
      </c>
      <c r="H113" s="327"/>
      <c r="I113" s="326"/>
    </row>
    <row r="114" spans="3:10" x14ac:dyDescent="0.35">
      <c r="C114" s="329" t="s">
        <v>809</v>
      </c>
      <c r="D114" s="325">
        <f t="shared" si="79"/>
        <v>27600000</v>
      </c>
      <c r="E114" s="325">
        <f t="shared" si="77"/>
        <v>1000000</v>
      </c>
      <c r="F114" s="325">
        <f t="shared" si="78"/>
        <v>26600000</v>
      </c>
      <c r="G114" s="325">
        <f t="shared" si="76"/>
        <v>248416.66666666666</v>
      </c>
      <c r="H114" s="327"/>
      <c r="I114" s="326"/>
    </row>
    <row r="115" spans="3:10" x14ac:dyDescent="0.35">
      <c r="C115" s="329" t="s">
        <v>810</v>
      </c>
      <c r="D115" s="325">
        <f t="shared" si="79"/>
        <v>26600000</v>
      </c>
      <c r="E115" s="325">
        <f t="shared" si="77"/>
        <v>1000000</v>
      </c>
      <c r="F115" s="325">
        <f t="shared" si="78"/>
        <v>25600000</v>
      </c>
      <c r="G115" s="325">
        <f t="shared" si="76"/>
        <v>239250</v>
      </c>
      <c r="H115" s="327"/>
      <c r="I115" s="326"/>
    </row>
    <row r="116" spans="3:10" x14ac:dyDescent="0.35">
      <c r="C116" s="329" t="s">
        <v>811</v>
      </c>
      <c r="D116" s="325">
        <f t="shared" si="79"/>
        <v>25600000</v>
      </c>
      <c r="E116" s="325">
        <f t="shared" si="77"/>
        <v>1000000</v>
      </c>
      <c r="F116" s="325">
        <f t="shared" si="78"/>
        <v>24600000</v>
      </c>
      <c r="G116" s="325">
        <f t="shared" si="76"/>
        <v>230083.33333333334</v>
      </c>
      <c r="H116" s="327"/>
      <c r="I116" s="326"/>
    </row>
    <row r="117" spans="3:10" x14ac:dyDescent="0.35">
      <c r="C117" s="329" t="s">
        <v>812</v>
      </c>
      <c r="D117" s="325">
        <f t="shared" si="79"/>
        <v>24600000</v>
      </c>
      <c r="E117" s="325">
        <f t="shared" si="77"/>
        <v>1000000</v>
      </c>
      <c r="F117" s="325">
        <f t="shared" si="78"/>
        <v>23600000</v>
      </c>
      <c r="G117" s="325">
        <f t="shared" si="76"/>
        <v>220916.66666666666</v>
      </c>
      <c r="H117" s="327"/>
      <c r="I117" s="326"/>
    </row>
    <row r="118" spans="3:10" x14ac:dyDescent="0.35">
      <c r="C118" s="329" t="s">
        <v>804</v>
      </c>
      <c r="D118" s="325">
        <f t="shared" si="79"/>
        <v>23600000</v>
      </c>
      <c r="E118" s="325">
        <f t="shared" si="77"/>
        <v>1000000</v>
      </c>
      <c r="F118" s="325">
        <f t="shared" si="78"/>
        <v>22600000</v>
      </c>
      <c r="G118" s="325">
        <f t="shared" si="76"/>
        <v>211750</v>
      </c>
      <c r="H118" s="327"/>
      <c r="I118" s="326"/>
    </row>
    <row r="119" spans="3:10" x14ac:dyDescent="0.35">
      <c r="C119" s="324" t="s">
        <v>824</v>
      </c>
      <c r="D119" s="325"/>
      <c r="E119" s="331"/>
      <c r="F119" s="331"/>
      <c r="G119" s="331"/>
      <c r="H119" s="327"/>
      <c r="I119" s="335"/>
      <c r="J119" s="97">
        <v>12</v>
      </c>
    </row>
    <row r="120" spans="3:10" x14ac:dyDescent="0.35">
      <c r="C120" s="329" t="s">
        <v>814</v>
      </c>
      <c r="D120" s="325">
        <f>F118</f>
        <v>22600000</v>
      </c>
      <c r="E120" s="325">
        <v>1000000</v>
      </c>
      <c r="F120" s="325">
        <f>D120-E120</f>
        <v>21600000</v>
      </c>
      <c r="G120" s="325">
        <f t="shared" ref="G120:G131" si="80">AVERAGE(D120,F120)*$D$38/12</f>
        <v>202583.33333333334</v>
      </c>
      <c r="H120" s="327"/>
      <c r="I120" s="326"/>
    </row>
    <row r="121" spans="3:10" x14ac:dyDescent="0.35">
      <c r="C121" s="329" t="s">
        <v>815</v>
      </c>
      <c r="D121" s="325">
        <f>F120</f>
        <v>21600000</v>
      </c>
      <c r="E121" s="325">
        <f>E120</f>
        <v>1000000</v>
      </c>
      <c r="F121" s="325">
        <f>D121-E121</f>
        <v>20600000</v>
      </c>
      <c r="G121" s="325">
        <f t="shared" si="80"/>
        <v>193416.66666666666</v>
      </c>
      <c r="H121" s="327"/>
      <c r="I121" s="326"/>
    </row>
    <row r="122" spans="3:10" x14ac:dyDescent="0.35">
      <c r="C122" s="329" t="s">
        <v>816</v>
      </c>
      <c r="D122" s="325">
        <f>F121</f>
        <v>20600000</v>
      </c>
      <c r="E122" s="325">
        <f t="shared" ref="E122:E131" si="81">E121</f>
        <v>1000000</v>
      </c>
      <c r="F122" s="325">
        <f>D122-E122</f>
        <v>19600000</v>
      </c>
      <c r="G122" s="325">
        <f t="shared" si="80"/>
        <v>184250</v>
      </c>
      <c r="H122" s="327"/>
    </row>
    <row r="123" spans="3:10" x14ac:dyDescent="0.35">
      <c r="C123" s="329" t="s">
        <v>805</v>
      </c>
      <c r="D123" s="325">
        <f>F122</f>
        <v>19600000</v>
      </c>
      <c r="E123" s="325">
        <f t="shared" si="81"/>
        <v>1000000</v>
      </c>
      <c r="F123" s="325">
        <f>D123-E123</f>
        <v>18600000</v>
      </c>
      <c r="G123" s="325">
        <f t="shared" si="80"/>
        <v>175083.33333333334</v>
      </c>
      <c r="H123" s="327"/>
      <c r="I123" s="326"/>
    </row>
    <row r="124" spans="3:10" x14ac:dyDescent="0.35">
      <c r="C124" s="329" t="s">
        <v>806</v>
      </c>
      <c r="D124" s="325">
        <f>F123</f>
        <v>18600000</v>
      </c>
      <c r="E124" s="325">
        <f t="shared" si="81"/>
        <v>1000000</v>
      </c>
      <c r="F124" s="325">
        <f t="shared" ref="F124:F131" si="82">D124-E124</f>
        <v>17600000</v>
      </c>
      <c r="G124" s="325">
        <f t="shared" si="80"/>
        <v>165916.66666666666</v>
      </c>
      <c r="H124" s="327"/>
      <c r="I124" s="326"/>
    </row>
    <row r="125" spans="3:10" x14ac:dyDescent="0.35">
      <c r="C125" s="329" t="s">
        <v>807</v>
      </c>
      <c r="D125" s="325">
        <f t="shared" ref="D125:D131" si="83">F124</f>
        <v>17600000</v>
      </c>
      <c r="E125" s="325">
        <f t="shared" si="81"/>
        <v>1000000</v>
      </c>
      <c r="F125" s="325">
        <f t="shared" si="82"/>
        <v>16600000</v>
      </c>
      <c r="G125" s="325">
        <f t="shared" si="80"/>
        <v>156750</v>
      </c>
      <c r="H125" s="327"/>
      <c r="I125" s="326"/>
    </row>
    <row r="126" spans="3:10" x14ac:dyDescent="0.35">
      <c r="C126" s="329" t="s">
        <v>808</v>
      </c>
      <c r="D126" s="325">
        <f t="shared" si="83"/>
        <v>16600000</v>
      </c>
      <c r="E126" s="325">
        <f t="shared" si="81"/>
        <v>1000000</v>
      </c>
      <c r="F126" s="325">
        <f t="shared" si="82"/>
        <v>15600000</v>
      </c>
      <c r="G126" s="325">
        <f t="shared" si="80"/>
        <v>147583.33333333334</v>
      </c>
      <c r="H126" s="327"/>
      <c r="I126" s="326"/>
    </row>
    <row r="127" spans="3:10" x14ac:dyDescent="0.35">
      <c r="C127" s="329" t="s">
        <v>809</v>
      </c>
      <c r="D127" s="325">
        <f t="shared" si="83"/>
        <v>15600000</v>
      </c>
      <c r="E127" s="325">
        <f t="shared" si="81"/>
        <v>1000000</v>
      </c>
      <c r="F127" s="325">
        <f t="shared" si="82"/>
        <v>14600000</v>
      </c>
      <c r="G127" s="325">
        <f t="shared" si="80"/>
        <v>138416.66666666666</v>
      </c>
      <c r="H127" s="327"/>
      <c r="I127" s="326"/>
    </row>
    <row r="128" spans="3:10" x14ac:dyDescent="0.35">
      <c r="C128" s="329" t="s">
        <v>810</v>
      </c>
      <c r="D128" s="325">
        <f t="shared" si="83"/>
        <v>14600000</v>
      </c>
      <c r="E128" s="325">
        <v>1216666.67</v>
      </c>
      <c r="F128" s="325">
        <f t="shared" si="82"/>
        <v>13383333.33</v>
      </c>
      <c r="G128" s="325">
        <f t="shared" si="80"/>
        <v>128256.94442916666</v>
      </c>
      <c r="H128" s="327"/>
      <c r="I128" s="326"/>
    </row>
    <row r="129" spans="3:10" x14ac:dyDescent="0.35">
      <c r="C129" s="329" t="s">
        <v>811</v>
      </c>
      <c r="D129" s="325">
        <f t="shared" si="83"/>
        <v>13383333.33</v>
      </c>
      <c r="E129" s="325">
        <f t="shared" si="81"/>
        <v>1216666.67</v>
      </c>
      <c r="F129" s="325">
        <f t="shared" si="82"/>
        <v>12166666.66</v>
      </c>
      <c r="G129" s="325">
        <f t="shared" si="80"/>
        <v>117104.16662083335</v>
      </c>
      <c r="H129" s="327"/>
      <c r="I129" s="326"/>
    </row>
    <row r="130" spans="3:10" x14ac:dyDescent="0.35">
      <c r="C130" s="329" t="s">
        <v>812</v>
      </c>
      <c r="D130" s="325">
        <f t="shared" si="83"/>
        <v>12166666.66</v>
      </c>
      <c r="E130" s="325">
        <f t="shared" si="81"/>
        <v>1216666.67</v>
      </c>
      <c r="F130" s="325">
        <f t="shared" si="82"/>
        <v>10949999.99</v>
      </c>
      <c r="G130" s="325">
        <f t="shared" si="80"/>
        <v>105951.38881249999</v>
      </c>
      <c r="H130" s="327"/>
      <c r="I130" s="326"/>
    </row>
    <row r="131" spans="3:10" x14ac:dyDescent="0.35">
      <c r="C131" s="329" t="s">
        <v>804</v>
      </c>
      <c r="D131" s="325">
        <f t="shared" si="83"/>
        <v>10949999.99</v>
      </c>
      <c r="E131" s="325">
        <f t="shared" si="81"/>
        <v>1216666.67</v>
      </c>
      <c r="F131" s="325">
        <f t="shared" si="82"/>
        <v>9733333.3200000003</v>
      </c>
      <c r="G131" s="325">
        <f t="shared" si="80"/>
        <v>94798.611004166669</v>
      </c>
      <c r="H131" s="327"/>
      <c r="I131" s="326"/>
    </row>
    <row r="132" spans="3:10" x14ac:dyDescent="0.35">
      <c r="C132" s="324" t="s">
        <v>825</v>
      </c>
      <c r="D132" s="325"/>
      <c r="E132" s="331"/>
      <c r="F132" s="331"/>
      <c r="G132" s="331"/>
      <c r="H132" s="327"/>
      <c r="I132" s="335"/>
      <c r="J132" s="97">
        <v>12</v>
      </c>
    </row>
    <row r="133" spans="3:10" x14ac:dyDescent="0.35">
      <c r="C133" s="329" t="s">
        <v>814</v>
      </c>
      <c r="D133" s="325">
        <f>F131</f>
        <v>9733333.3200000003</v>
      </c>
      <c r="E133" s="325">
        <v>1216666.67</v>
      </c>
      <c r="F133" s="325">
        <f>D133-E133</f>
        <v>8516666.6500000004</v>
      </c>
      <c r="G133" s="325">
        <f t="shared" ref="G133:G144" si="84">AVERAGE(D133,F133)*$D$38/12</f>
        <v>83645.833195833329</v>
      </c>
      <c r="H133" s="327"/>
      <c r="I133" s="326"/>
    </row>
    <row r="134" spans="3:10" x14ac:dyDescent="0.35">
      <c r="C134" s="329" t="s">
        <v>815</v>
      </c>
      <c r="D134" s="325">
        <f>F133</f>
        <v>8516666.6500000004</v>
      </c>
      <c r="E134" s="325">
        <f>E133</f>
        <v>1216666.67</v>
      </c>
      <c r="F134" s="325">
        <f>D134-E134</f>
        <v>7299999.9800000004</v>
      </c>
      <c r="G134" s="325">
        <f t="shared" si="84"/>
        <v>72493.055387500004</v>
      </c>
      <c r="H134" s="327"/>
      <c r="I134" s="326"/>
    </row>
    <row r="135" spans="3:10" x14ac:dyDescent="0.35">
      <c r="C135" s="329" t="s">
        <v>816</v>
      </c>
      <c r="D135" s="325">
        <f>F134</f>
        <v>7299999.9800000004</v>
      </c>
      <c r="E135" s="325">
        <f t="shared" ref="E135:E139" si="85">E134</f>
        <v>1216666.67</v>
      </c>
      <c r="F135" s="325">
        <f>D135-E135</f>
        <v>6083333.3100000005</v>
      </c>
      <c r="G135" s="325">
        <f t="shared" si="84"/>
        <v>61340.277579166672</v>
      </c>
      <c r="H135" s="327"/>
    </row>
    <row r="136" spans="3:10" x14ac:dyDescent="0.35">
      <c r="C136" s="329" t="s">
        <v>805</v>
      </c>
      <c r="D136" s="325">
        <f>F135</f>
        <v>6083333.3100000005</v>
      </c>
      <c r="E136" s="325">
        <f t="shared" si="85"/>
        <v>1216666.67</v>
      </c>
      <c r="F136" s="325">
        <f>D136-E136</f>
        <v>4866666.6400000006</v>
      </c>
      <c r="G136" s="325">
        <f t="shared" si="84"/>
        <v>50187.499770833332</v>
      </c>
      <c r="H136" s="327"/>
      <c r="I136" s="326"/>
    </row>
    <row r="137" spans="3:10" x14ac:dyDescent="0.35">
      <c r="C137" s="329" t="s">
        <v>806</v>
      </c>
      <c r="D137" s="325">
        <f>F136</f>
        <v>4866666.6400000006</v>
      </c>
      <c r="E137" s="325">
        <f t="shared" si="85"/>
        <v>1216666.67</v>
      </c>
      <c r="F137" s="325">
        <f t="shared" ref="F137:F144" si="86">D137-E137</f>
        <v>3649999.9700000007</v>
      </c>
      <c r="G137" s="325">
        <f t="shared" si="84"/>
        <v>39034.721962500007</v>
      </c>
      <c r="H137" s="327"/>
      <c r="I137" s="326"/>
    </row>
    <row r="138" spans="3:10" x14ac:dyDescent="0.35">
      <c r="C138" s="329" t="s">
        <v>807</v>
      </c>
      <c r="D138" s="325">
        <f t="shared" ref="D138:D144" si="87">F137</f>
        <v>3649999.9700000007</v>
      </c>
      <c r="E138" s="325">
        <f t="shared" si="85"/>
        <v>1216666.67</v>
      </c>
      <c r="F138" s="325">
        <f t="shared" si="86"/>
        <v>2433333.3000000007</v>
      </c>
      <c r="G138" s="325">
        <f t="shared" si="84"/>
        <v>27881.944154166675</v>
      </c>
      <c r="H138" s="327"/>
      <c r="I138" s="326"/>
    </row>
    <row r="139" spans="3:10" x14ac:dyDescent="0.35">
      <c r="C139" s="329" t="s">
        <v>808</v>
      </c>
      <c r="D139" s="325">
        <f t="shared" si="87"/>
        <v>2433333.3000000007</v>
      </c>
      <c r="E139" s="325">
        <f t="shared" si="85"/>
        <v>1216666.67</v>
      </c>
      <c r="F139" s="325">
        <f t="shared" si="86"/>
        <v>1216666.6300000008</v>
      </c>
      <c r="G139" s="325">
        <f t="shared" si="84"/>
        <v>16729.166345833339</v>
      </c>
      <c r="H139" s="327"/>
      <c r="I139" s="326"/>
    </row>
    <row r="140" spans="3:10" x14ac:dyDescent="0.35">
      <c r="C140" s="329" t="s">
        <v>809</v>
      </c>
      <c r="D140" s="325">
        <f t="shared" si="87"/>
        <v>1216666.6300000008</v>
      </c>
      <c r="E140" s="325">
        <f>E139+-0.0399999991059303</f>
        <v>1216666.6300000008</v>
      </c>
      <c r="F140" s="325">
        <f t="shared" si="86"/>
        <v>0</v>
      </c>
      <c r="G140" s="325">
        <f t="shared" si="84"/>
        <v>5576.3887208333372</v>
      </c>
      <c r="H140" s="327"/>
      <c r="I140" s="326"/>
    </row>
    <row r="141" spans="3:10" x14ac:dyDescent="0.35">
      <c r="C141" s="329" t="s">
        <v>810</v>
      </c>
      <c r="D141" s="325">
        <f t="shared" si="87"/>
        <v>0</v>
      </c>
      <c r="E141" s="325"/>
      <c r="F141" s="325">
        <f t="shared" si="86"/>
        <v>0</v>
      </c>
      <c r="G141" s="325">
        <f t="shared" si="84"/>
        <v>0</v>
      </c>
      <c r="H141" s="327"/>
      <c r="I141" s="326"/>
    </row>
    <row r="142" spans="3:10" x14ac:dyDescent="0.35">
      <c r="C142" s="329" t="s">
        <v>811</v>
      </c>
      <c r="D142" s="325">
        <f t="shared" si="87"/>
        <v>0</v>
      </c>
      <c r="E142" s="325"/>
      <c r="F142" s="325">
        <f t="shared" si="86"/>
        <v>0</v>
      </c>
      <c r="G142" s="325">
        <f t="shared" si="84"/>
        <v>0</v>
      </c>
      <c r="H142" s="327"/>
      <c r="I142" s="326"/>
    </row>
    <row r="143" spans="3:10" x14ac:dyDescent="0.35">
      <c r="C143" s="329" t="s">
        <v>812</v>
      </c>
      <c r="D143" s="325">
        <f t="shared" si="87"/>
        <v>0</v>
      </c>
      <c r="E143" s="325"/>
      <c r="F143" s="325">
        <f t="shared" si="86"/>
        <v>0</v>
      </c>
      <c r="G143" s="325">
        <f t="shared" si="84"/>
        <v>0</v>
      </c>
      <c r="H143" s="327"/>
      <c r="I143" s="326"/>
    </row>
    <row r="144" spans="3:10" x14ac:dyDescent="0.35">
      <c r="C144" s="329" t="s">
        <v>804</v>
      </c>
      <c r="D144" s="325">
        <f t="shared" si="87"/>
        <v>0</v>
      </c>
      <c r="E144" s="325"/>
      <c r="F144" s="325">
        <f t="shared" si="86"/>
        <v>0</v>
      </c>
      <c r="G144" s="325">
        <f t="shared" si="84"/>
        <v>0</v>
      </c>
      <c r="H144" s="327"/>
      <c r="I144" s="326"/>
    </row>
    <row r="145" spans="3:12" s="334" customFormat="1" x14ac:dyDescent="0.35">
      <c r="C145" s="383"/>
      <c r="D145" s="384"/>
      <c r="E145" s="384"/>
      <c r="F145" s="384"/>
      <c r="G145" s="384"/>
      <c r="H145" s="332"/>
      <c r="I145" s="385"/>
    </row>
    <row r="146" spans="3:12" s="334" customFormat="1" x14ac:dyDescent="0.35">
      <c r="C146" s="107" t="s">
        <v>1080</v>
      </c>
      <c r="D146" s="97"/>
      <c r="E146" s="97"/>
      <c r="F146" s="97"/>
      <c r="G146" s="97"/>
      <c r="H146" s="97"/>
      <c r="I146" s="97"/>
      <c r="J146" s="97"/>
      <c r="K146" s="97"/>
      <c r="L146" s="97"/>
    </row>
    <row r="147" spans="3:12" s="334" customFormat="1" x14ac:dyDescent="0.35">
      <c r="C147" s="51"/>
      <c r="D147" s="97"/>
      <c r="E147" s="97"/>
      <c r="F147" s="97"/>
      <c r="G147" s="97"/>
      <c r="H147" s="97"/>
      <c r="I147" s="97"/>
      <c r="J147" s="97"/>
      <c r="K147" s="97"/>
      <c r="L147" s="97"/>
    </row>
    <row r="148" spans="3:12" s="334" customFormat="1" x14ac:dyDescent="0.35">
      <c r="C148" s="122" t="s">
        <v>794</v>
      </c>
      <c r="D148" s="188">
        <f>'Loan Assumptions'!C22</f>
        <v>150000000</v>
      </c>
      <c r="E148" s="482" t="s">
        <v>795</v>
      </c>
      <c r="F148" s="138" t="s">
        <v>796</v>
      </c>
      <c r="G148" s="138">
        <v>8</v>
      </c>
      <c r="H148" s="97"/>
      <c r="I148" s="97"/>
      <c r="J148" s="97"/>
      <c r="K148" s="97"/>
      <c r="L148" s="97"/>
    </row>
    <row r="149" spans="3:12" s="334" customFormat="1" x14ac:dyDescent="0.35">
      <c r="C149" s="122" t="s">
        <v>797</v>
      </c>
      <c r="D149" s="195">
        <v>0.11</v>
      </c>
      <c r="E149" s="482"/>
      <c r="F149" s="195" t="s">
        <v>828</v>
      </c>
      <c r="G149" s="138"/>
      <c r="H149" s="47" t="s">
        <v>798</v>
      </c>
      <c r="I149" s="47" t="s">
        <v>799</v>
      </c>
      <c r="J149" s="97"/>
      <c r="K149" s="97"/>
      <c r="L149" s="97"/>
    </row>
    <row r="150" spans="3:12" s="334" customFormat="1" x14ac:dyDescent="0.35">
      <c r="C150" s="321"/>
      <c r="D150" s="322"/>
      <c r="E150" s="322"/>
      <c r="F150" s="322"/>
      <c r="G150" s="322"/>
      <c r="H150" s="97"/>
      <c r="I150" s="97"/>
      <c r="J150" s="97"/>
      <c r="K150" s="97"/>
      <c r="L150" s="97"/>
    </row>
    <row r="151" spans="3:12" s="334" customFormat="1" x14ac:dyDescent="0.35">
      <c r="C151" s="321"/>
      <c r="D151" s="323" t="s">
        <v>800</v>
      </c>
      <c r="E151" s="323" t="s">
        <v>801</v>
      </c>
      <c r="F151" s="323" t="s">
        <v>802</v>
      </c>
      <c r="G151" s="323" t="s">
        <v>266</v>
      </c>
      <c r="H151" s="97"/>
      <c r="I151" s="97"/>
      <c r="J151" s="47" t="s">
        <v>803</v>
      </c>
      <c r="K151" s="97"/>
      <c r="L151" s="97"/>
    </row>
    <row r="152" spans="3:12" s="334" customFormat="1" x14ac:dyDescent="0.35">
      <c r="C152" s="324" t="s">
        <v>813</v>
      </c>
      <c r="D152" s="325"/>
      <c r="E152" s="325"/>
      <c r="F152" s="325"/>
      <c r="G152" s="325"/>
      <c r="H152" s="327"/>
      <c r="I152" s="328"/>
      <c r="J152" s="97"/>
      <c r="K152" s="97"/>
      <c r="L152" s="97"/>
    </row>
    <row r="153" spans="3:12" s="334" customFormat="1" x14ac:dyDescent="0.35">
      <c r="C153" s="329" t="s">
        <v>814</v>
      </c>
      <c r="D153" s="325">
        <f>+F152+D$148*H153</f>
        <v>0</v>
      </c>
      <c r="E153" s="325">
        <f t="shared" ref="E153:E156" si="88">E152</f>
        <v>0</v>
      </c>
      <c r="F153" s="325">
        <f t="shared" ref="F153:F164" si="89">D153-E153</f>
        <v>0</v>
      </c>
      <c r="G153" s="325">
        <f t="shared" ref="G153:G164" si="90">AVERAGE(D153,F153)*$D$38/12</f>
        <v>0</v>
      </c>
      <c r="H153" s="190"/>
      <c r="I153" s="328" t="s">
        <v>1075</v>
      </c>
      <c r="J153" s="97"/>
      <c r="K153" s="97"/>
      <c r="L153" s="97"/>
    </row>
    <row r="154" spans="3:12" s="334" customFormat="1" x14ac:dyDescent="0.35">
      <c r="C154" s="329" t="s">
        <v>815</v>
      </c>
      <c r="D154" s="325">
        <f t="shared" ref="D154:D160" si="91">+F153+D$148*H154</f>
        <v>0</v>
      </c>
      <c r="E154" s="325">
        <f t="shared" si="88"/>
        <v>0</v>
      </c>
      <c r="F154" s="325">
        <f t="shared" si="89"/>
        <v>0</v>
      </c>
      <c r="G154" s="325">
        <f t="shared" si="90"/>
        <v>0</v>
      </c>
      <c r="H154" s="190"/>
      <c r="I154" s="328"/>
      <c r="J154" s="97"/>
      <c r="K154" s="97"/>
      <c r="L154" s="382"/>
    </row>
    <row r="155" spans="3:12" s="334" customFormat="1" x14ac:dyDescent="0.35">
      <c r="C155" s="329" t="s">
        <v>816</v>
      </c>
      <c r="D155" s="325">
        <f t="shared" si="91"/>
        <v>0</v>
      </c>
      <c r="E155" s="325">
        <f t="shared" si="88"/>
        <v>0</v>
      </c>
      <c r="F155" s="325">
        <f t="shared" si="89"/>
        <v>0</v>
      </c>
      <c r="G155" s="325">
        <f t="shared" si="90"/>
        <v>0</v>
      </c>
      <c r="H155" s="190"/>
      <c r="I155" s="328"/>
      <c r="J155" s="97"/>
      <c r="K155" s="97"/>
      <c r="L155" s="97"/>
    </row>
    <row r="156" spans="3:12" s="334" customFormat="1" x14ac:dyDescent="0.35">
      <c r="C156" s="330" t="s">
        <v>805</v>
      </c>
      <c r="D156" s="191">
        <f t="shared" si="91"/>
        <v>150000000</v>
      </c>
      <c r="E156" s="191">
        <f t="shared" si="88"/>
        <v>0</v>
      </c>
      <c r="F156" s="191">
        <f t="shared" si="89"/>
        <v>150000000</v>
      </c>
      <c r="G156" s="191">
        <f t="shared" si="90"/>
        <v>1375000</v>
      </c>
      <c r="H156" s="190">
        <v>1</v>
      </c>
      <c r="J156" s="97"/>
      <c r="K156" s="97"/>
      <c r="L156" s="97"/>
    </row>
    <row r="157" spans="3:12" s="334" customFormat="1" x14ac:dyDescent="0.35">
      <c r="C157" s="329" t="s">
        <v>806</v>
      </c>
      <c r="D157" s="325">
        <f t="shared" si="91"/>
        <v>150000000</v>
      </c>
      <c r="E157" s="325">
        <f>E156</f>
        <v>0</v>
      </c>
      <c r="F157" s="325">
        <f t="shared" si="89"/>
        <v>150000000</v>
      </c>
      <c r="G157" s="325">
        <f t="shared" si="90"/>
        <v>1375000</v>
      </c>
      <c r="H157" s="190"/>
      <c r="I157" s="335"/>
      <c r="J157" s="97"/>
      <c r="K157" s="97"/>
      <c r="L157" s="97"/>
    </row>
    <row r="158" spans="3:12" s="334" customFormat="1" x14ac:dyDescent="0.35">
      <c r="C158" s="329" t="s">
        <v>807</v>
      </c>
      <c r="D158" s="325">
        <f t="shared" si="91"/>
        <v>150000000</v>
      </c>
      <c r="E158" s="325">
        <f t="shared" ref="E158:E164" si="92">E157</f>
        <v>0</v>
      </c>
      <c r="F158" s="325">
        <f t="shared" si="89"/>
        <v>150000000</v>
      </c>
      <c r="G158" s="325">
        <f t="shared" si="90"/>
        <v>1375000</v>
      </c>
      <c r="H158" s="190"/>
      <c r="I158" s="328"/>
      <c r="J158" s="97"/>
      <c r="K158" s="97"/>
      <c r="L158" s="97"/>
    </row>
    <row r="159" spans="3:12" s="334" customFormat="1" x14ac:dyDescent="0.35">
      <c r="C159" s="329" t="s">
        <v>808</v>
      </c>
      <c r="D159" s="325">
        <f t="shared" si="91"/>
        <v>150000000</v>
      </c>
      <c r="E159" s="325">
        <f t="shared" si="92"/>
        <v>0</v>
      </c>
      <c r="F159" s="325">
        <f t="shared" si="89"/>
        <v>150000000</v>
      </c>
      <c r="G159" s="325">
        <f t="shared" si="90"/>
        <v>1375000</v>
      </c>
      <c r="H159" s="332"/>
      <c r="I159" s="97"/>
      <c r="J159" s="97"/>
      <c r="K159" s="97"/>
      <c r="L159" s="97"/>
    </row>
    <row r="160" spans="3:12" s="334" customFormat="1" x14ac:dyDescent="0.35">
      <c r="C160" s="329" t="s">
        <v>809</v>
      </c>
      <c r="D160" s="325">
        <f t="shared" si="91"/>
        <v>150000000</v>
      </c>
      <c r="E160" s="325">
        <f t="shared" si="92"/>
        <v>0</v>
      </c>
      <c r="F160" s="325">
        <f t="shared" si="89"/>
        <v>150000000</v>
      </c>
      <c r="G160" s="325">
        <f t="shared" si="90"/>
        <v>1375000</v>
      </c>
      <c r="H160" s="190"/>
      <c r="I160" s="328"/>
      <c r="J160" s="97"/>
      <c r="K160" s="97"/>
      <c r="L160" s="97"/>
    </row>
    <row r="161" spans="3:12" s="334" customFormat="1" x14ac:dyDescent="0.35">
      <c r="C161" s="329" t="s">
        <v>810</v>
      </c>
      <c r="D161" s="325">
        <f t="shared" ref="D161:D164" si="93">F160</f>
        <v>150000000</v>
      </c>
      <c r="E161" s="325">
        <f t="shared" si="92"/>
        <v>0</v>
      </c>
      <c r="F161" s="325">
        <f t="shared" si="89"/>
        <v>150000000</v>
      </c>
      <c r="G161" s="325">
        <f t="shared" si="90"/>
        <v>1375000</v>
      </c>
      <c r="H161" s="190"/>
      <c r="I161" s="328"/>
      <c r="J161" s="97"/>
      <c r="K161" s="97"/>
      <c r="L161" s="97"/>
    </row>
    <row r="162" spans="3:12" s="334" customFormat="1" x14ac:dyDescent="0.35">
      <c r="C162" s="329" t="s">
        <v>811</v>
      </c>
      <c r="D162" s="325">
        <f t="shared" si="93"/>
        <v>150000000</v>
      </c>
      <c r="E162" s="325">
        <f t="shared" si="92"/>
        <v>0</v>
      </c>
      <c r="F162" s="325">
        <f t="shared" si="89"/>
        <v>150000000</v>
      </c>
      <c r="G162" s="325">
        <f t="shared" si="90"/>
        <v>1375000</v>
      </c>
      <c r="H162" s="332"/>
      <c r="K162" s="97"/>
      <c r="L162" s="97"/>
    </row>
    <row r="163" spans="3:12" s="334" customFormat="1" x14ac:dyDescent="0.35">
      <c r="C163" s="329" t="s">
        <v>812</v>
      </c>
      <c r="D163" s="325">
        <f t="shared" si="93"/>
        <v>150000000</v>
      </c>
      <c r="E163" s="325">
        <f t="shared" si="92"/>
        <v>0</v>
      </c>
      <c r="F163" s="325">
        <f t="shared" si="89"/>
        <v>150000000</v>
      </c>
      <c r="G163" s="325">
        <f t="shared" si="90"/>
        <v>1375000</v>
      </c>
      <c r="H163" s="327"/>
      <c r="I163" s="328"/>
      <c r="J163" s="97"/>
      <c r="K163" s="97"/>
      <c r="L163" s="97"/>
    </row>
    <row r="164" spans="3:12" s="334" customFormat="1" x14ac:dyDescent="0.35">
      <c r="C164" s="329" t="s">
        <v>804</v>
      </c>
      <c r="D164" s="325">
        <f t="shared" si="93"/>
        <v>150000000</v>
      </c>
      <c r="E164" s="325">
        <f t="shared" si="92"/>
        <v>0</v>
      </c>
      <c r="F164" s="325">
        <f t="shared" si="89"/>
        <v>150000000</v>
      </c>
      <c r="G164" s="325">
        <f t="shared" si="90"/>
        <v>1375000</v>
      </c>
      <c r="H164" s="332"/>
      <c r="I164" s="97"/>
      <c r="J164" s="97"/>
      <c r="K164" s="97"/>
      <c r="L164" s="97"/>
    </row>
    <row r="165" spans="3:12" s="334" customFormat="1" x14ac:dyDescent="0.35">
      <c r="C165" s="324" t="s">
        <v>818</v>
      </c>
      <c r="D165" s="325"/>
      <c r="E165" s="331"/>
      <c r="F165" s="331"/>
      <c r="G165" s="331"/>
      <c r="H165" s="327"/>
      <c r="I165" s="335"/>
      <c r="J165" s="97">
        <v>12</v>
      </c>
      <c r="K165" s="97"/>
      <c r="L165" s="97"/>
    </row>
    <row r="166" spans="3:12" s="334" customFormat="1" x14ac:dyDescent="0.35">
      <c r="C166" s="330" t="s">
        <v>814</v>
      </c>
      <c r="D166" s="191">
        <f>F164</f>
        <v>150000000</v>
      </c>
      <c r="E166" s="191">
        <v>1000000</v>
      </c>
      <c r="F166" s="191">
        <f>D166-E166</f>
        <v>149000000</v>
      </c>
      <c r="G166" s="191">
        <f t="shared" ref="G166:G177" si="94">AVERAGE(D166,F166)*$D$38/12</f>
        <v>1370416.6666666667</v>
      </c>
      <c r="H166" s="333" t="s">
        <v>817</v>
      </c>
      <c r="I166" s="333" t="s">
        <v>819</v>
      </c>
      <c r="J166" s="333"/>
      <c r="K166" s="97"/>
      <c r="L166" s="97"/>
    </row>
    <row r="167" spans="3:12" s="334" customFormat="1" x14ac:dyDescent="0.35">
      <c r="C167" s="329" t="s">
        <v>815</v>
      </c>
      <c r="D167" s="325">
        <f>F166</f>
        <v>149000000</v>
      </c>
      <c r="E167" s="325">
        <f>E166</f>
        <v>1000000</v>
      </c>
      <c r="F167" s="325">
        <f>D167-E167</f>
        <v>148000000</v>
      </c>
      <c r="G167" s="325">
        <f t="shared" si="94"/>
        <v>1361250</v>
      </c>
      <c r="H167" s="327"/>
      <c r="I167" s="326"/>
      <c r="J167" s="97"/>
      <c r="K167" s="97"/>
      <c r="L167" s="97"/>
    </row>
    <row r="168" spans="3:12" s="334" customFormat="1" x14ac:dyDescent="0.35">
      <c r="C168" s="329" t="s">
        <v>816</v>
      </c>
      <c r="D168" s="325">
        <f>F167</f>
        <v>148000000</v>
      </c>
      <c r="E168" s="325">
        <f t="shared" ref="E168:E177" si="95">E167</f>
        <v>1000000</v>
      </c>
      <c r="F168" s="325">
        <f>D168-E168</f>
        <v>147000000</v>
      </c>
      <c r="G168" s="325">
        <f t="shared" si="94"/>
        <v>1352083.3333333333</v>
      </c>
      <c r="H168" s="327"/>
      <c r="I168" s="97"/>
      <c r="J168" s="97"/>
      <c r="K168" s="97"/>
      <c r="L168" s="97"/>
    </row>
    <row r="169" spans="3:12" s="334" customFormat="1" x14ac:dyDescent="0.35">
      <c r="C169" s="329" t="s">
        <v>805</v>
      </c>
      <c r="D169" s="325">
        <f>F168</f>
        <v>147000000</v>
      </c>
      <c r="E169" s="325">
        <f t="shared" si="95"/>
        <v>1000000</v>
      </c>
      <c r="F169" s="325">
        <f>D169-E169</f>
        <v>146000000</v>
      </c>
      <c r="G169" s="325">
        <f t="shared" si="94"/>
        <v>1342916.6666666667</v>
      </c>
      <c r="H169" s="327"/>
      <c r="I169" s="326"/>
      <c r="J169" s="97"/>
      <c r="K169" s="97"/>
      <c r="L169" s="97"/>
    </row>
    <row r="170" spans="3:12" s="334" customFormat="1" x14ac:dyDescent="0.35">
      <c r="C170" s="329" t="s">
        <v>806</v>
      </c>
      <c r="D170" s="325">
        <f>F169</f>
        <v>146000000</v>
      </c>
      <c r="E170" s="325">
        <f t="shared" si="95"/>
        <v>1000000</v>
      </c>
      <c r="F170" s="325">
        <f t="shared" ref="F170:F177" si="96">D170-E170</f>
        <v>145000000</v>
      </c>
      <c r="G170" s="325">
        <f t="shared" si="94"/>
        <v>1333750</v>
      </c>
      <c r="H170" s="327"/>
      <c r="I170" s="326"/>
      <c r="J170" s="97"/>
      <c r="K170" s="97"/>
      <c r="L170" s="97"/>
    </row>
    <row r="171" spans="3:12" s="334" customFormat="1" x14ac:dyDescent="0.35">
      <c r="C171" s="329" t="s">
        <v>807</v>
      </c>
      <c r="D171" s="325">
        <f t="shared" ref="D171:D177" si="97">F170</f>
        <v>145000000</v>
      </c>
      <c r="E171" s="325">
        <f t="shared" si="95"/>
        <v>1000000</v>
      </c>
      <c r="F171" s="325">
        <f t="shared" si="96"/>
        <v>144000000</v>
      </c>
      <c r="G171" s="325">
        <f t="shared" si="94"/>
        <v>1324583.3333333333</v>
      </c>
      <c r="H171" s="327"/>
      <c r="I171" s="326"/>
      <c r="J171" s="97"/>
      <c r="K171" s="97"/>
      <c r="L171" s="97"/>
    </row>
    <row r="172" spans="3:12" s="334" customFormat="1" x14ac:dyDescent="0.35">
      <c r="C172" s="329" t="s">
        <v>808</v>
      </c>
      <c r="D172" s="325">
        <f t="shared" si="97"/>
        <v>144000000</v>
      </c>
      <c r="E172" s="325">
        <f t="shared" si="95"/>
        <v>1000000</v>
      </c>
      <c r="F172" s="325">
        <f t="shared" si="96"/>
        <v>143000000</v>
      </c>
      <c r="G172" s="325">
        <f t="shared" si="94"/>
        <v>1315416.6666666667</v>
      </c>
      <c r="H172" s="327"/>
      <c r="I172" s="326"/>
      <c r="J172" s="97"/>
      <c r="K172" s="97"/>
      <c r="L172" s="97"/>
    </row>
    <row r="173" spans="3:12" s="334" customFormat="1" x14ac:dyDescent="0.35">
      <c r="C173" s="329" t="s">
        <v>809</v>
      </c>
      <c r="D173" s="325">
        <f t="shared" si="97"/>
        <v>143000000</v>
      </c>
      <c r="E173" s="325">
        <f t="shared" si="95"/>
        <v>1000000</v>
      </c>
      <c r="F173" s="325">
        <f t="shared" si="96"/>
        <v>142000000</v>
      </c>
      <c r="G173" s="325">
        <f t="shared" si="94"/>
        <v>1306250</v>
      </c>
      <c r="H173" s="327"/>
      <c r="I173" s="326"/>
      <c r="J173" s="97"/>
      <c r="K173" s="97"/>
      <c r="L173" s="97"/>
    </row>
    <row r="174" spans="3:12" s="334" customFormat="1" x14ac:dyDescent="0.35">
      <c r="C174" s="329" t="s">
        <v>810</v>
      </c>
      <c r="D174" s="325">
        <f t="shared" si="97"/>
        <v>142000000</v>
      </c>
      <c r="E174" s="325">
        <f t="shared" si="95"/>
        <v>1000000</v>
      </c>
      <c r="F174" s="325">
        <f t="shared" si="96"/>
        <v>141000000</v>
      </c>
      <c r="G174" s="325">
        <f t="shared" si="94"/>
        <v>1297083.3333333333</v>
      </c>
      <c r="H174" s="327"/>
      <c r="I174" s="326"/>
      <c r="J174" s="97"/>
      <c r="K174" s="97"/>
      <c r="L174" s="97"/>
    </row>
    <row r="175" spans="3:12" s="334" customFormat="1" x14ac:dyDescent="0.35">
      <c r="C175" s="329" t="s">
        <v>811</v>
      </c>
      <c r="D175" s="325">
        <f t="shared" si="97"/>
        <v>141000000</v>
      </c>
      <c r="E175" s="325">
        <f t="shared" si="95"/>
        <v>1000000</v>
      </c>
      <c r="F175" s="325">
        <f t="shared" si="96"/>
        <v>140000000</v>
      </c>
      <c r="G175" s="325">
        <f t="shared" si="94"/>
        <v>1287916.6666666667</v>
      </c>
      <c r="H175" s="327"/>
      <c r="I175" s="326"/>
      <c r="J175" s="97"/>
      <c r="K175" s="97"/>
      <c r="L175" s="97"/>
    </row>
    <row r="176" spans="3:12" s="334" customFormat="1" x14ac:dyDescent="0.35">
      <c r="C176" s="329" t="s">
        <v>812</v>
      </c>
      <c r="D176" s="325">
        <f t="shared" si="97"/>
        <v>140000000</v>
      </c>
      <c r="E176" s="325">
        <f t="shared" si="95"/>
        <v>1000000</v>
      </c>
      <c r="F176" s="325">
        <f t="shared" si="96"/>
        <v>139000000</v>
      </c>
      <c r="G176" s="325">
        <f t="shared" si="94"/>
        <v>1278750</v>
      </c>
      <c r="H176" s="327"/>
      <c r="I176" s="326"/>
      <c r="J176" s="97"/>
      <c r="K176" s="97"/>
      <c r="L176" s="97"/>
    </row>
    <row r="177" spans="3:12" s="334" customFormat="1" x14ac:dyDescent="0.35">
      <c r="C177" s="329" t="s">
        <v>804</v>
      </c>
      <c r="D177" s="325">
        <f t="shared" si="97"/>
        <v>139000000</v>
      </c>
      <c r="E177" s="325">
        <f t="shared" si="95"/>
        <v>1000000</v>
      </c>
      <c r="F177" s="325">
        <f t="shared" si="96"/>
        <v>138000000</v>
      </c>
      <c r="G177" s="325">
        <f t="shared" si="94"/>
        <v>1269583.3333333333</v>
      </c>
      <c r="H177" s="327"/>
      <c r="I177" s="326"/>
      <c r="J177" s="97"/>
      <c r="K177" s="97"/>
      <c r="L177" s="97"/>
    </row>
    <row r="178" spans="3:12" s="334" customFormat="1" x14ac:dyDescent="0.35">
      <c r="C178" s="324" t="s">
        <v>820</v>
      </c>
      <c r="D178" s="325"/>
      <c r="E178" s="331"/>
      <c r="F178" s="331"/>
      <c r="G178" s="331"/>
      <c r="H178" s="327"/>
      <c r="I178" s="335"/>
      <c r="J178" s="97">
        <v>12</v>
      </c>
      <c r="K178" s="97"/>
      <c r="L178" s="97"/>
    </row>
    <row r="179" spans="3:12" s="334" customFormat="1" x14ac:dyDescent="0.35">
      <c r="C179" s="329" t="s">
        <v>814</v>
      </c>
      <c r="D179" s="325">
        <f>F177</f>
        <v>138000000</v>
      </c>
      <c r="E179" s="325">
        <v>1400000</v>
      </c>
      <c r="F179" s="325">
        <f>D179-E179</f>
        <v>136600000</v>
      </c>
      <c r="G179" s="325">
        <f t="shared" ref="G179:G190" si="98">AVERAGE(D179,F179)*$D$38/12</f>
        <v>1258583.3333333333</v>
      </c>
      <c r="H179" s="327"/>
      <c r="I179" s="326"/>
      <c r="J179" s="97"/>
      <c r="K179" s="97"/>
      <c r="L179" s="97"/>
    </row>
    <row r="180" spans="3:12" s="334" customFormat="1" x14ac:dyDescent="0.35">
      <c r="C180" s="329" t="s">
        <v>815</v>
      </c>
      <c r="D180" s="325">
        <f>F179</f>
        <v>136600000</v>
      </c>
      <c r="E180" s="325">
        <f>E179</f>
        <v>1400000</v>
      </c>
      <c r="F180" s="325">
        <f>D180-E180</f>
        <v>135200000</v>
      </c>
      <c r="G180" s="325">
        <f t="shared" si="98"/>
        <v>1245750</v>
      </c>
      <c r="H180" s="327"/>
      <c r="I180" s="326"/>
      <c r="J180" s="97"/>
      <c r="K180" s="97"/>
      <c r="L180" s="97"/>
    </row>
    <row r="181" spans="3:12" s="334" customFormat="1" x14ac:dyDescent="0.35">
      <c r="C181" s="329" t="s">
        <v>816</v>
      </c>
      <c r="D181" s="325">
        <f>F180</f>
        <v>135200000</v>
      </c>
      <c r="E181" s="325">
        <f t="shared" ref="E181:E190" si="99">E180</f>
        <v>1400000</v>
      </c>
      <c r="F181" s="325">
        <f>D181-E181</f>
        <v>133800000</v>
      </c>
      <c r="G181" s="325">
        <f t="shared" si="98"/>
        <v>1232916.6666666667</v>
      </c>
      <c r="H181" s="327"/>
      <c r="I181" s="97"/>
      <c r="J181" s="97"/>
      <c r="K181" s="97"/>
      <c r="L181" s="97"/>
    </row>
    <row r="182" spans="3:12" s="334" customFormat="1" x14ac:dyDescent="0.35">
      <c r="C182" s="329" t="s">
        <v>805</v>
      </c>
      <c r="D182" s="325">
        <f>F181</f>
        <v>133800000</v>
      </c>
      <c r="E182" s="325">
        <f t="shared" si="99"/>
        <v>1400000</v>
      </c>
      <c r="F182" s="325">
        <f>D182-E182</f>
        <v>132400000</v>
      </c>
      <c r="G182" s="325">
        <f t="shared" si="98"/>
        <v>1220083.3333333333</v>
      </c>
      <c r="H182" s="327"/>
      <c r="I182" s="326"/>
      <c r="J182" s="97"/>
      <c r="K182" s="97"/>
      <c r="L182" s="97"/>
    </row>
    <row r="183" spans="3:12" s="334" customFormat="1" x14ac:dyDescent="0.35">
      <c r="C183" s="329" t="s">
        <v>806</v>
      </c>
      <c r="D183" s="325">
        <f>F182</f>
        <v>132400000</v>
      </c>
      <c r="E183" s="325">
        <f t="shared" si="99"/>
        <v>1400000</v>
      </c>
      <c r="F183" s="325">
        <f t="shared" ref="F183:F190" si="100">D183-E183</f>
        <v>131000000</v>
      </c>
      <c r="G183" s="325">
        <f t="shared" si="98"/>
        <v>1207250</v>
      </c>
      <c r="H183" s="327"/>
      <c r="I183" s="326"/>
      <c r="J183" s="97"/>
      <c r="K183" s="97"/>
      <c r="L183" s="97"/>
    </row>
    <row r="184" spans="3:12" s="334" customFormat="1" x14ac:dyDescent="0.35">
      <c r="C184" s="329" t="s">
        <v>807</v>
      </c>
      <c r="D184" s="325">
        <f t="shared" ref="D184:D190" si="101">F183</f>
        <v>131000000</v>
      </c>
      <c r="E184" s="325">
        <f t="shared" si="99"/>
        <v>1400000</v>
      </c>
      <c r="F184" s="325">
        <f t="shared" si="100"/>
        <v>129600000</v>
      </c>
      <c r="G184" s="325">
        <f t="shared" si="98"/>
        <v>1194416.6666666667</v>
      </c>
      <c r="H184" s="327"/>
      <c r="I184" s="326"/>
      <c r="J184" s="97"/>
      <c r="K184" s="97"/>
      <c r="L184" s="97"/>
    </row>
    <row r="185" spans="3:12" s="334" customFormat="1" x14ac:dyDescent="0.35">
      <c r="C185" s="329" t="s">
        <v>808</v>
      </c>
      <c r="D185" s="325">
        <f t="shared" si="101"/>
        <v>129600000</v>
      </c>
      <c r="E185" s="325">
        <f t="shared" si="99"/>
        <v>1400000</v>
      </c>
      <c r="F185" s="325">
        <f t="shared" si="100"/>
        <v>128200000</v>
      </c>
      <c r="G185" s="325">
        <f t="shared" si="98"/>
        <v>1181583.3333333333</v>
      </c>
      <c r="H185" s="327"/>
      <c r="I185" s="326"/>
      <c r="J185" s="97"/>
      <c r="K185" s="97"/>
      <c r="L185" s="97"/>
    </row>
    <row r="186" spans="3:12" s="334" customFormat="1" x14ac:dyDescent="0.35">
      <c r="C186" s="329" t="s">
        <v>809</v>
      </c>
      <c r="D186" s="325">
        <f t="shared" si="101"/>
        <v>128200000</v>
      </c>
      <c r="E186" s="325">
        <f t="shared" si="99"/>
        <v>1400000</v>
      </c>
      <c r="F186" s="325">
        <f t="shared" si="100"/>
        <v>126800000</v>
      </c>
      <c r="G186" s="325">
        <f t="shared" si="98"/>
        <v>1168750</v>
      </c>
      <c r="H186" s="327"/>
      <c r="I186" s="326"/>
      <c r="J186" s="97"/>
      <c r="K186" s="97"/>
      <c r="L186" s="97"/>
    </row>
    <row r="187" spans="3:12" s="334" customFormat="1" x14ac:dyDescent="0.35">
      <c r="C187" s="329" t="s">
        <v>810</v>
      </c>
      <c r="D187" s="325">
        <f t="shared" si="101"/>
        <v>126800000</v>
      </c>
      <c r="E187" s="325">
        <f t="shared" si="99"/>
        <v>1400000</v>
      </c>
      <c r="F187" s="325">
        <f t="shared" si="100"/>
        <v>125400000</v>
      </c>
      <c r="G187" s="325">
        <f t="shared" si="98"/>
        <v>1155916.6666666667</v>
      </c>
      <c r="H187" s="327"/>
      <c r="I187" s="326"/>
      <c r="J187" s="97"/>
      <c r="K187" s="97"/>
      <c r="L187" s="97"/>
    </row>
    <row r="188" spans="3:12" s="334" customFormat="1" x14ac:dyDescent="0.35">
      <c r="C188" s="329" t="s">
        <v>811</v>
      </c>
      <c r="D188" s="325">
        <f t="shared" si="101"/>
        <v>125400000</v>
      </c>
      <c r="E188" s="325">
        <f t="shared" si="99"/>
        <v>1400000</v>
      </c>
      <c r="F188" s="325">
        <f t="shared" si="100"/>
        <v>124000000</v>
      </c>
      <c r="G188" s="325">
        <f t="shared" si="98"/>
        <v>1143083.3333333333</v>
      </c>
      <c r="H188" s="327"/>
      <c r="I188" s="326"/>
      <c r="J188" s="97"/>
      <c r="K188" s="97"/>
      <c r="L188" s="97"/>
    </row>
    <row r="189" spans="3:12" s="334" customFormat="1" x14ac:dyDescent="0.35">
      <c r="C189" s="329" t="s">
        <v>812</v>
      </c>
      <c r="D189" s="325">
        <f t="shared" si="101"/>
        <v>124000000</v>
      </c>
      <c r="E189" s="325">
        <f t="shared" si="99"/>
        <v>1400000</v>
      </c>
      <c r="F189" s="325">
        <f t="shared" si="100"/>
        <v>122600000</v>
      </c>
      <c r="G189" s="325">
        <f t="shared" si="98"/>
        <v>1130250</v>
      </c>
      <c r="H189" s="327"/>
      <c r="I189" s="326"/>
      <c r="J189" s="97"/>
      <c r="K189" s="97"/>
      <c r="L189" s="97"/>
    </row>
    <row r="190" spans="3:12" s="334" customFormat="1" x14ac:dyDescent="0.35">
      <c r="C190" s="329" t="s">
        <v>804</v>
      </c>
      <c r="D190" s="325">
        <f t="shared" si="101"/>
        <v>122600000</v>
      </c>
      <c r="E190" s="325">
        <f t="shared" si="99"/>
        <v>1400000</v>
      </c>
      <c r="F190" s="325">
        <f t="shared" si="100"/>
        <v>121200000</v>
      </c>
      <c r="G190" s="325">
        <f t="shared" si="98"/>
        <v>1117416.6666666667</v>
      </c>
      <c r="H190" s="327"/>
      <c r="I190" s="326"/>
      <c r="J190" s="97"/>
      <c r="K190" s="97"/>
      <c r="L190" s="97"/>
    </row>
    <row r="191" spans="3:12" s="334" customFormat="1" x14ac:dyDescent="0.35">
      <c r="C191" s="324" t="s">
        <v>821</v>
      </c>
      <c r="D191" s="325"/>
      <c r="E191" s="331"/>
      <c r="F191" s="331"/>
      <c r="G191" s="331"/>
      <c r="H191" s="327"/>
      <c r="I191" s="335"/>
      <c r="J191" s="97">
        <v>12</v>
      </c>
      <c r="K191" s="97"/>
      <c r="L191" s="97"/>
    </row>
    <row r="192" spans="3:12" s="334" customFormat="1" x14ac:dyDescent="0.35">
      <c r="C192" s="329" t="s">
        <v>814</v>
      </c>
      <c r="D192" s="325">
        <f>F190</f>
        <v>121200000</v>
      </c>
      <c r="E192" s="325">
        <v>1600000</v>
      </c>
      <c r="F192" s="325">
        <f>D192-E192</f>
        <v>119600000</v>
      </c>
      <c r="G192" s="325">
        <f t="shared" ref="G192:G203" si="102">AVERAGE(D192,F192)*$D$38/12</f>
        <v>1103666.6666666667</v>
      </c>
      <c r="H192" s="327"/>
      <c r="I192" s="326"/>
      <c r="J192" s="97"/>
      <c r="K192" s="97"/>
      <c r="L192" s="97"/>
    </row>
    <row r="193" spans="3:12" s="334" customFormat="1" x14ac:dyDescent="0.35">
      <c r="C193" s="329" t="s">
        <v>815</v>
      </c>
      <c r="D193" s="325">
        <f>F192</f>
        <v>119600000</v>
      </c>
      <c r="E193" s="325">
        <f>E192</f>
        <v>1600000</v>
      </c>
      <c r="F193" s="325">
        <f>D193-E193</f>
        <v>118000000</v>
      </c>
      <c r="G193" s="325">
        <f t="shared" si="102"/>
        <v>1089000</v>
      </c>
      <c r="H193" s="327"/>
      <c r="I193" s="326"/>
      <c r="J193" s="97"/>
      <c r="K193" s="97"/>
      <c r="L193" s="97"/>
    </row>
    <row r="194" spans="3:12" s="334" customFormat="1" x14ac:dyDescent="0.35">
      <c r="C194" s="329" t="s">
        <v>816</v>
      </c>
      <c r="D194" s="325">
        <f>F193</f>
        <v>118000000</v>
      </c>
      <c r="E194" s="325">
        <f t="shared" ref="E194:E203" si="103">E193</f>
        <v>1600000</v>
      </c>
      <c r="F194" s="325">
        <f>D194-E194</f>
        <v>116400000</v>
      </c>
      <c r="G194" s="325">
        <f t="shared" si="102"/>
        <v>1074333.3333333333</v>
      </c>
      <c r="H194" s="327"/>
      <c r="I194" s="97"/>
      <c r="J194" s="97"/>
      <c r="K194" s="97"/>
      <c r="L194" s="97"/>
    </row>
    <row r="195" spans="3:12" s="334" customFormat="1" x14ac:dyDescent="0.35">
      <c r="C195" s="329" t="s">
        <v>805</v>
      </c>
      <c r="D195" s="325">
        <f>F194</f>
        <v>116400000</v>
      </c>
      <c r="E195" s="325">
        <f t="shared" si="103"/>
        <v>1600000</v>
      </c>
      <c r="F195" s="325">
        <f>D195-E195</f>
        <v>114800000</v>
      </c>
      <c r="G195" s="325">
        <f t="shared" si="102"/>
        <v>1059666.6666666667</v>
      </c>
      <c r="H195" s="327"/>
      <c r="I195" s="326"/>
      <c r="J195" s="97"/>
      <c r="K195" s="97"/>
      <c r="L195" s="97"/>
    </row>
    <row r="196" spans="3:12" s="334" customFormat="1" x14ac:dyDescent="0.35">
      <c r="C196" s="329" t="s">
        <v>806</v>
      </c>
      <c r="D196" s="325">
        <f>F195</f>
        <v>114800000</v>
      </c>
      <c r="E196" s="325">
        <f t="shared" si="103"/>
        <v>1600000</v>
      </c>
      <c r="F196" s="325">
        <f t="shared" ref="F196:F203" si="104">D196-E196</f>
        <v>113200000</v>
      </c>
      <c r="G196" s="325">
        <f t="shared" si="102"/>
        <v>1045000</v>
      </c>
      <c r="H196" s="327"/>
      <c r="I196" s="326"/>
      <c r="J196" s="97"/>
      <c r="K196" s="97"/>
      <c r="L196" s="97"/>
    </row>
    <row r="197" spans="3:12" s="334" customFormat="1" x14ac:dyDescent="0.35">
      <c r="C197" s="329" t="s">
        <v>807</v>
      </c>
      <c r="D197" s="325">
        <f t="shared" ref="D197:D203" si="105">F196</f>
        <v>113200000</v>
      </c>
      <c r="E197" s="325">
        <f t="shared" si="103"/>
        <v>1600000</v>
      </c>
      <c r="F197" s="325">
        <f t="shared" si="104"/>
        <v>111600000</v>
      </c>
      <c r="G197" s="325">
        <f t="shared" si="102"/>
        <v>1030333.3333333334</v>
      </c>
      <c r="H197" s="327"/>
      <c r="I197" s="326"/>
      <c r="J197" s="97"/>
      <c r="K197" s="97"/>
      <c r="L197" s="97"/>
    </row>
    <row r="198" spans="3:12" s="334" customFormat="1" x14ac:dyDescent="0.35">
      <c r="C198" s="329" t="s">
        <v>808</v>
      </c>
      <c r="D198" s="325">
        <f t="shared" si="105"/>
        <v>111600000</v>
      </c>
      <c r="E198" s="325">
        <f t="shared" si="103"/>
        <v>1600000</v>
      </c>
      <c r="F198" s="325">
        <f t="shared" si="104"/>
        <v>110000000</v>
      </c>
      <c r="G198" s="325">
        <f t="shared" si="102"/>
        <v>1015666.6666666666</v>
      </c>
      <c r="H198" s="327"/>
      <c r="I198" s="326"/>
      <c r="J198" s="97"/>
      <c r="K198" s="97"/>
      <c r="L198" s="97"/>
    </row>
    <row r="199" spans="3:12" s="334" customFormat="1" x14ac:dyDescent="0.35">
      <c r="C199" s="329" t="s">
        <v>809</v>
      </c>
      <c r="D199" s="325">
        <f t="shared" si="105"/>
        <v>110000000</v>
      </c>
      <c r="E199" s="325">
        <f t="shared" si="103"/>
        <v>1600000</v>
      </c>
      <c r="F199" s="325">
        <f t="shared" si="104"/>
        <v>108400000</v>
      </c>
      <c r="G199" s="325">
        <f t="shared" si="102"/>
        <v>1001000</v>
      </c>
      <c r="H199" s="327"/>
      <c r="I199" s="326"/>
      <c r="J199" s="97"/>
      <c r="K199" s="97"/>
      <c r="L199" s="97"/>
    </row>
    <row r="200" spans="3:12" s="334" customFormat="1" x14ac:dyDescent="0.35">
      <c r="C200" s="329" t="s">
        <v>810</v>
      </c>
      <c r="D200" s="325">
        <f t="shared" si="105"/>
        <v>108400000</v>
      </c>
      <c r="E200" s="325">
        <f t="shared" si="103"/>
        <v>1600000</v>
      </c>
      <c r="F200" s="325">
        <f t="shared" si="104"/>
        <v>106800000</v>
      </c>
      <c r="G200" s="325">
        <f t="shared" si="102"/>
        <v>986333.33333333337</v>
      </c>
      <c r="H200" s="327"/>
      <c r="I200" s="326"/>
      <c r="J200" s="97"/>
      <c r="K200" s="97"/>
      <c r="L200" s="97"/>
    </row>
    <row r="201" spans="3:12" s="334" customFormat="1" x14ac:dyDescent="0.35">
      <c r="C201" s="329" t="s">
        <v>811</v>
      </c>
      <c r="D201" s="325">
        <f t="shared" si="105"/>
        <v>106800000</v>
      </c>
      <c r="E201" s="325">
        <f t="shared" si="103"/>
        <v>1600000</v>
      </c>
      <c r="F201" s="325">
        <f t="shared" si="104"/>
        <v>105200000</v>
      </c>
      <c r="G201" s="325">
        <f t="shared" si="102"/>
        <v>971666.66666666663</v>
      </c>
      <c r="H201" s="327"/>
      <c r="I201" s="326"/>
      <c r="J201" s="97"/>
      <c r="K201" s="97"/>
      <c r="L201" s="97"/>
    </row>
    <row r="202" spans="3:12" s="334" customFormat="1" x14ac:dyDescent="0.35">
      <c r="C202" s="329" t="s">
        <v>812</v>
      </c>
      <c r="D202" s="325">
        <f t="shared" si="105"/>
        <v>105200000</v>
      </c>
      <c r="E202" s="325">
        <f t="shared" si="103"/>
        <v>1600000</v>
      </c>
      <c r="F202" s="325">
        <f t="shared" si="104"/>
        <v>103600000</v>
      </c>
      <c r="G202" s="325">
        <f t="shared" si="102"/>
        <v>957000</v>
      </c>
      <c r="H202" s="327"/>
      <c r="I202" s="326"/>
      <c r="J202" s="97"/>
      <c r="K202" s="97"/>
      <c r="L202" s="97"/>
    </row>
    <row r="203" spans="3:12" s="334" customFormat="1" x14ac:dyDescent="0.35">
      <c r="C203" s="329" t="s">
        <v>804</v>
      </c>
      <c r="D203" s="325">
        <f t="shared" si="105"/>
        <v>103600000</v>
      </c>
      <c r="E203" s="325">
        <f t="shared" si="103"/>
        <v>1600000</v>
      </c>
      <c r="F203" s="325">
        <f t="shared" si="104"/>
        <v>102000000</v>
      </c>
      <c r="G203" s="325">
        <f t="shared" si="102"/>
        <v>942333.33333333337</v>
      </c>
      <c r="H203" s="327"/>
      <c r="I203" s="326"/>
      <c r="J203" s="97"/>
      <c r="K203" s="97"/>
      <c r="L203" s="97"/>
    </row>
    <row r="204" spans="3:12" s="334" customFormat="1" x14ac:dyDescent="0.35">
      <c r="C204" s="324" t="s">
        <v>822</v>
      </c>
      <c r="D204" s="325"/>
      <c r="E204" s="331"/>
      <c r="F204" s="331"/>
      <c r="G204" s="331"/>
      <c r="H204" s="327"/>
      <c r="I204" s="335"/>
      <c r="J204" s="97">
        <v>12</v>
      </c>
      <c r="K204" s="97"/>
      <c r="L204" s="97"/>
    </row>
    <row r="205" spans="3:12" s="334" customFormat="1" x14ac:dyDescent="0.35">
      <c r="C205" s="329" t="s">
        <v>814</v>
      </c>
      <c r="D205" s="325">
        <f>F203</f>
        <v>102000000</v>
      </c>
      <c r="E205" s="325">
        <v>1800000</v>
      </c>
      <c r="F205" s="325">
        <f>D205-E205</f>
        <v>100200000</v>
      </c>
      <c r="G205" s="325">
        <f t="shared" ref="G205:G216" si="106">AVERAGE(D205,F205)*$D$38/12</f>
        <v>926750</v>
      </c>
      <c r="H205" s="327"/>
      <c r="I205" s="326"/>
      <c r="J205" s="97"/>
      <c r="K205" s="97"/>
      <c r="L205" s="97"/>
    </row>
    <row r="206" spans="3:12" s="334" customFormat="1" x14ac:dyDescent="0.35">
      <c r="C206" s="329" t="s">
        <v>815</v>
      </c>
      <c r="D206" s="325">
        <f>F205</f>
        <v>100200000</v>
      </c>
      <c r="E206" s="325">
        <f>E205</f>
        <v>1800000</v>
      </c>
      <c r="F206" s="325">
        <f>D206-E206</f>
        <v>98400000</v>
      </c>
      <c r="G206" s="325">
        <f t="shared" si="106"/>
        <v>910250</v>
      </c>
      <c r="H206" s="327"/>
      <c r="I206" s="326"/>
      <c r="J206" s="97"/>
      <c r="K206" s="97"/>
      <c r="L206" s="97"/>
    </row>
    <row r="207" spans="3:12" s="334" customFormat="1" x14ac:dyDescent="0.35">
      <c r="C207" s="329" t="s">
        <v>816</v>
      </c>
      <c r="D207" s="325">
        <f>F206</f>
        <v>98400000</v>
      </c>
      <c r="E207" s="325">
        <f t="shared" ref="E207:E216" si="107">E206</f>
        <v>1800000</v>
      </c>
      <c r="F207" s="325">
        <f>D207-E207</f>
        <v>96600000</v>
      </c>
      <c r="G207" s="325">
        <f t="shared" si="106"/>
        <v>893750</v>
      </c>
      <c r="H207" s="327"/>
      <c r="I207" s="97"/>
      <c r="J207" s="97"/>
      <c r="K207" s="97"/>
      <c r="L207" s="97"/>
    </row>
    <row r="208" spans="3:12" s="334" customFormat="1" x14ac:dyDescent="0.35">
      <c r="C208" s="329" t="s">
        <v>805</v>
      </c>
      <c r="D208" s="325">
        <f>F207</f>
        <v>96600000</v>
      </c>
      <c r="E208" s="325">
        <f t="shared" si="107"/>
        <v>1800000</v>
      </c>
      <c r="F208" s="325">
        <f>D208-E208</f>
        <v>94800000</v>
      </c>
      <c r="G208" s="325">
        <f t="shared" si="106"/>
        <v>877250</v>
      </c>
      <c r="H208" s="327"/>
      <c r="I208" s="326"/>
      <c r="J208" s="97"/>
      <c r="K208" s="97"/>
      <c r="L208" s="97"/>
    </row>
    <row r="209" spans="3:12" s="334" customFormat="1" x14ac:dyDescent="0.35">
      <c r="C209" s="329" t="s">
        <v>806</v>
      </c>
      <c r="D209" s="325">
        <f>F208</f>
        <v>94800000</v>
      </c>
      <c r="E209" s="325">
        <f t="shared" si="107"/>
        <v>1800000</v>
      </c>
      <c r="F209" s="325">
        <f t="shared" ref="F209:F216" si="108">D209-E209</f>
        <v>93000000</v>
      </c>
      <c r="G209" s="325">
        <f t="shared" si="106"/>
        <v>860750</v>
      </c>
      <c r="H209" s="327"/>
      <c r="I209" s="326"/>
      <c r="J209" s="97"/>
      <c r="K209" s="97"/>
      <c r="L209" s="97"/>
    </row>
    <row r="210" spans="3:12" s="334" customFormat="1" x14ac:dyDescent="0.35">
      <c r="C210" s="329" t="s">
        <v>807</v>
      </c>
      <c r="D210" s="325">
        <f t="shared" ref="D210:D216" si="109">F209</f>
        <v>93000000</v>
      </c>
      <c r="E210" s="325">
        <f t="shared" si="107"/>
        <v>1800000</v>
      </c>
      <c r="F210" s="325">
        <f t="shared" si="108"/>
        <v>91200000</v>
      </c>
      <c r="G210" s="325">
        <f t="shared" si="106"/>
        <v>844250</v>
      </c>
      <c r="H210" s="327"/>
      <c r="I210" s="326"/>
      <c r="J210" s="97"/>
      <c r="K210" s="97"/>
      <c r="L210" s="97"/>
    </row>
    <row r="211" spans="3:12" s="334" customFormat="1" x14ac:dyDescent="0.35">
      <c r="C211" s="329" t="s">
        <v>808</v>
      </c>
      <c r="D211" s="325">
        <f t="shared" si="109"/>
        <v>91200000</v>
      </c>
      <c r="E211" s="325">
        <f t="shared" si="107"/>
        <v>1800000</v>
      </c>
      <c r="F211" s="325">
        <f t="shared" si="108"/>
        <v>89400000</v>
      </c>
      <c r="G211" s="325">
        <f t="shared" si="106"/>
        <v>827750</v>
      </c>
      <c r="H211" s="327"/>
      <c r="I211" s="326"/>
      <c r="J211" s="97"/>
      <c r="K211" s="97"/>
      <c r="L211" s="97"/>
    </row>
    <row r="212" spans="3:12" s="334" customFormat="1" x14ac:dyDescent="0.35">
      <c r="C212" s="329" t="s">
        <v>809</v>
      </c>
      <c r="D212" s="325">
        <f t="shared" si="109"/>
        <v>89400000</v>
      </c>
      <c r="E212" s="325">
        <f t="shared" si="107"/>
        <v>1800000</v>
      </c>
      <c r="F212" s="325">
        <f t="shared" si="108"/>
        <v>87600000</v>
      </c>
      <c r="G212" s="325">
        <f t="shared" si="106"/>
        <v>811250</v>
      </c>
      <c r="H212" s="327"/>
      <c r="I212" s="326"/>
      <c r="J212" s="97"/>
      <c r="K212" s="97"/>
      <c r="L212" s="97"/>
    </row>
    <row r="213" spans="3:12" s="334" customFormat="1" x14ac:dyDescent="0.35">
      <c r="C213" s="329" t="s">
        <v>810</v>
      </c>
      <c r="D213" s="325">
        <f t="shared" si="109"/>
        <v>87600000</v>
      </c>
      <c r="E213" s="325">
        <f t="shared" si="107"/>
        <v>1800000</v>
      </c>
      <c r="F213" s="325">
        <f t="shared" si="108"/>
        <v>85800000</v>
      </c>
      <c r="G213" s="325">
        <f t="shared" si="106"/>
        <v>794750</v>
      </c>
      <c r="H213" s="327"/>
      <c r="I213" s="326"/>
      <c r="J213" s="97"/>
      <c r="K213" s="97"/>
      <c r="L213" s="97"/>
    </row>
    <row r="214" spans="3:12" s="334" customFormat="1" x14ac:dyDescent="0.35">
      <c r="C214" s="329" t="s">
        <v>811</v>
      </c>
      <c r="D214" s="325">
        <f t="shared" si="109"/>
        <v>85800000</v>
      </c>
      <c r="E214" s="325">
        <f t="shared" si="107"/>
        <v>1800000</v>
      </c>
      <c r="F214" s="325">
        <f t="shared" si="108"/>
        <v>84000000</v>
      </c>
      <c r="G214" s="325">
        <f t="shared" si="106"/>
        <v>778250</v>
      </c>
      <c r="H214" s="327"/>
      <c r="I214" s="326"/>
      <c r="J214" s="97"/>
      <c r="K214" s="97"/>
      <c r="L214" s="97"/>
    </row>
    <row r="215" spans="3:12" s="334" customFormat="1" x14ac:dyDescent="0.35">
      <c r="C215" s="329" t="s">
        <v>812</v>
      </c>
      <c r="D215" s="325">
        <f t="shared" si="109"/>
        <v>84000000</v>
      </c>
      <c r="E215" s="325">
        <f t="shared" si="107"/>
        <v>1800000</v>
      </c>
      <c r="F215" s="325">
        <f t="shared" si="108"/>
        <v>82200000</v>
      </c>
      <c r="G215" s="325">
        <f t="shared" si="106"/>
        <v>761750</v>
      </c>
      <c r="H215" s="327"/>
      <c r="I215" s="326"/>
      <c r="J215" s="97"/>
      <c r="K215" s="97"/>
      <c r="L215" s="97"/>
    </row>
    <row r="216" spans="3:12" s="334" customFormat="1" x14ac:dyDescent="0.35">
      <c r="C216" s="329" t="s">
        <v>804</v>
      </c>
      <c r="D216" s="325">
        <f t="shared" si="109"/>
        <v>82200000</v>
      </c>
      <c r="E216" s="325">
        <f t="shared" si="107"/>
        <v>1800000</v>
      </c>
      <c r="F216" s="325">
        <f t="shared" si="108"/>
        <v>80400000</v>
      </c>
      <c r="G216" s="325">
        <f t="shared" si="106"/>
        <v>745250</v>
      </c>
      <c r="H216" s="327"/>
      <c r="I216" s="326"/>
      <c r="J216" s="97"/>
      <c r="K216" s="97"/>
      <c r="L216" s="97"/>
    </row>
    <row r="217" spans="3:12" s="334" customFormat="1" x14ac:dyDescent="0.35">
      <c r="C217" s="324" t="s">
        <v>823</v>
      </c>
      <c r="D217" s="325"/>
      <c r="E217" s="331"/>
      <c r="F217" s="331"/>
      <c r="G217" s="331"/>
      <c r="H217" s="327"/>
      <c r="I217" s="335"/>
      <c r="J217" s="97">
        <v>12</v>
      </c>
      <c r="K217" s="97"/>
      <c r="L217" s="97"/>
    </row>
    <row r="218" spans="3:12" s="334" customFormat="1" x14ac:dyDescent="0.35">
      <c r="C218" s="329" t="s">
        <v>814</v>
      </c>
      <c r="D218" s="325">
        <f>F216</f>
        <v>80400000</v>
      </c>
      <c r="E218" s="325">
        <v>2000000</v>
      </c>
      <c r="F218" s="325">
        <f>D218-E218</f>
        <v>78400000</v>
      </c>
      <c r="G218" s="325">
        <f t="shared" ref="G218:G229" si="110">AVERAGE(D218,F218)*$D$38/12</f>
        <v>727833.33333333337</v>
      </c>
      <c r="H218" s="327"/>
      <c r="I218" s="326"/>
      <c r="J218" s="97"/>
      <c r="K218" s="97"/>
      <c r="L218" s="97"/>
    </row>
    <row r="219" spans="3:12" s="334" customFormat="1" x14ac:dyDescent="0.35">
      <c r="C219" s="329" t="s">
        <v>815</v>
      </c>
      <c r="D219" s="325">
        <f>F218</f>
        <v>78400000</v>
      </c>
      <c r="E219" s="325">
        <f>E218</f>
        <v>2000000</v>
      </c>
      <c r="F219" s="325">
        <f>D219-E219</f>
        <v>76400000</v>
      </c>
      <c r="G219" s="325">
        <f t="shared" si="110"/>
        <v>709500</v>
      </c>
      <c r="H219" s="327"/>
      <c r="I219" s="326"/>
      <c r="J219" s="97"/>
      <c r="K219" s="97"/>
      <c r="L219" s="97"/>
    </row>
    <row r="220" spans="3:12" s="334" customFormat="1" x14ac:dyDescent="0.35">
      <c r="C220" s="329" t="s">
        <v>816</v>
      </c>
      <c r="D220" s="325">
        <f>F219</f>
        <v>76400000</v>
      </c>
      <c r="E220" s="325">
        <f t="shared" ref="E220:E229" si="111">E219</f>
        <v>2000000</v>
      </c>
      <c r="F220" s="325">
        <f>D220-E220</f>
        <v>74400000</v>
      </c>
      <c r="G220" s="325">
        <f t="shared" si="110"/>
        <v>691166.66666666663</v>
      </c>
      <c r="H220" s="327"/>
      <c r="I220" s="97"/>
      <c r="J220" s="97"/>
      <c r="K220" s="97"/>
      <c r="L220" s="97"/>
    </row>
    <row r="221" spans="3:12" s="334" customFormat="1" x14ac:dyDescent="0.35">
      <c r="C221" s="329" t="s">
        <v>805</v>
      </c>
      <c r="D221" s="325">
        <f>F220</f>
        <v>74400000</v>
      </c>
      <c r="E221" s="325">
        <f t="shared" si="111"/>
        <v>2000000</v>
      </c>
      <c r="F221" s="325">
        <f>D221-E221</f>
        <v>72400000</v>
      </c>
      <c r="G221" s="325">
        <f t="shared" si="110"/>
        <v>672833.33333333337</v>
      </c>
      <c r="H221" s="327"/>
      <c r="I221" s="326"/>
      <c r="J221" s="97"/>
      <c r="K221" s="97"/>
      <c r="L221" s="97"/>
    </row>
    <row r="222" spans="3:12" s="334" customFormat="1" x14ac:dyDescent="0.35">
      <c r="C222" s="329" t="s">
        <v>806</v>
      </c>
      <c r="D222" s="325">
        <f>F221</f>
        <v>72400000</v>
      </c>
      <c r="E222" s="325">
        <f t="shared" si="111"/>
        <v>2000000</v>
      </c>
      <c r="F222" s="325">
        <f t="shared" ref="F222:F229" si="112">D222-E222</f>
        <v>70400000</v>
      </c>
      <c r="G222" s="325">
        <f t="shared" si="110"/>
        <v>654500</v>
      </c>
      <c r="H222" s="327"/>
      <c r="I222" s="326"/>
      <c r="J222" s="97"/>
      <c r="K222" s="97"/>
      <c r="L222" s="97"/>
    </row>
    <row r="223" spans="3:12" s="334" customFormat="1" x14ac:dyDescent="0.35">
      <c r="C223" s="329" t="s">
        <v>807</v>
      </c>
      <c r="D223" s="325">
        <f t="shared" ref="D223:D229" si="113">F222</f>
        <v>70400000</v>
      </c>
      <c r="E223" s="325">
        <f t="shared" si="111"/>
        <v>2000000</v>
      </c>
      <c r="F223" s="325">
        <f t="shared" si="112"/>
        <v>68400000</v>
      </c>
      <c r="G223" s="325">
        <f t="shared" si="110"/>
        <v>636166.66666666663</v>
      </c>
      <c r="H223" s="327"/>
      <c r="I223" s="326"/>
      <c r="J223" s="97"/>
      <c r="K223" s="97"/>
      <c r="L223" s="97"/>
    </row>
    <row r="224" spans="3:12" s="334" customFormat="1" x14ac:dyDescent="0.35">
      <c r="C224" s="329" t="s">
        <v>808</v>
      </c>
      <c r="D224" s="325">
        <f t="shared" si="113"/>
        <v>68400000</v>
      </c>
      <c r="E224" s="325">
        <f t="shared" si="111"/>
        <v>2000000</v>
      </c>
      <c r="F224" s="325">
        <f t="shared" si="112"/>
        <v>66400000</v>
      </c>
      <c r="G224" s="325">
        <f t="shared" si="110"/>
        <v>617833.33333333337</v>
      </c>
      <c r="H224" s="327"/>
      <c r="I224" s="326"/>
      <c r="J224" s="97"/>
      <c r="K224" s="97"/>
      <c r="L224" s="97"/>
    </row>
    <row r="225" spans="3:12" s="334" customFormat="1" x14ac:dyDescent="0.35">
      <c r="C225" s="329" t="s">
        <v>809</v>
      </c>
      <c r="D225" s="325">
        <f t="shared" si="113"/>
        <v>66400000</v>
      </c>
      <c r="E225" s="325">
        <f t="shared" si="111"/>
        <v>2000000</v>
      </c>
      <c r="F225" s="325">
        <f t="shared" si="112"/>
        <v>64400000</v>
      </c>
      <c r="G225" s="325">
        <f t="shared" si="110"/>
        <v>599500</v>
      </c>
      <c r="H225" s="327"/>
      <c r="I225" s="326"/>
      <c r="J225" s="97"/>
      <c r="K225" s="97"/>
      <c r="L225" s="97"/>
    </row>
    <row r="226" spans="3:12" s="334" customFormat="1" x14ac:dyDescent="0.35">
      <c r="C226" s="329" t="s">
        <v>810</v>
      </c>
      <c r="D226" s="325">
        <f t="shared" si="113"/>
        <v>64400000</v>
      </c>
      <c r="E226" s="325">
        <f t="shared" si="111"/>
        <v>2000000</v>
      </c>
      <c r="F226" s="325">
        <f t="shared" si="112"/>
        <v>62400000</v>
      </c>
      <c r="G226" s="325">
        <f t="shared" si="110"/>
        <v>581166.66666666663</v>
      </c>
      <c r="H226" s="327"/>
      <c r="I226" s="326"/>
      <c r="J226" s="97"/>
      <c r="K226" s="97"/>
      <c r="L226" s="97"/>
    </row>
    <row r="227" spans="3:12" s="334" customFormat="1" x14ac:dyDescent="0.35">
      <c r="C227" s="329" t="s">
        <v>811</v>
      </c>
      <c r="D227" s="325">
        <f t="shared" si="113"/>
        <v>62400000</v>
      </c>
      <c r="E227" s="325">
        <f t="shared" si="111"/>
        <v>2000000</v>
      </c>
      <c r="F227" s="325">
        <f t="shared" si="112"/>
        <v>60400000</v>
      </c>
      <c r="G227" s="325">
        <f t="shared" si="110"/>
        <v>562833.33333333337</v>
      </c>
      <c r="H227" s="327"/>
      <c r="I227" s="326"/>
      <c r="J227" s="97"/>
      <c r="K227" s="97"/>
      <c r="L227" s="97"/>
    </row>
    <row r="228" spans="3:12" s="334" customFormat="1" x14ac:dyDescent="0.35">
      <c r="C228" s="329" t="s">
        <v>812</v>
      </c>
      <c r="D228" s="325">
        <f t="shared" si="113"/>
        <v>60400000</v>
      </c>
      <c r="E228" s="325">
        <f t="shared" si="111"/>
        <v>2000000</v>
      </c>
      <c r="F228" s="325">
        <f t="shared" si="112"/>
        <v>58400000</v>
      </c>
      <c r="G228" s="325">
        <f t="shared" si="110"/>
        <v>544500</v>
      </c>
      <c r="H228" s="327"/>
      <c r="I228" s="326"/>
      <c r="J228" s="97"/>
      <c r="K228" s="97"/>
      <c r="L228" s="97"/>
    </row>
    <row r="229" spans="3:12" s="334" customFormat="1" x14ac:dyDescent="0.35">
      <c r="C229" s="329" t="s">
        <v>804</v>
      </c>
      <c r="D229" s="325">
        <f t="shared" si="113"/>
        <v>58400000</v>
      </c>
      <c r="E229" s="325">
        <f t="shared" si="111"/>
        <v>2000000</v>
      </c>
      <c r="F229" s="325">
        <f t="shared" si="112"/>
        <v>56400000</v>
      </c>
      <c r="G229" s="325">
        <f t="shared" si="110"/>
        <v>526166.66666666663</v>
      </c>
      <c r="H229" s="327"/>
      <c r="I229" s="326"/>
      <c r="J229" s="97"/>
      <c r="K229" s="97"/>
      <c r="L229" s="97"/>
    </row>
    <row r="230" spans="3:12" s="334" customFormat="1" x14ac:dyDescent="0.35">
      <c r="C230" s="324" t="s">
        <v>824</v>
      </c>
      <c r="D230" s="325"/>
      <c r="E230" s="331"/>
      <c r="F230" s="331"/>
      <c r="G230" s="331"/>
      <c r="H230" s="327"/>
      <c r="I230" s="335"/>
      <c r="J230" s="97">
        <v>12</v>
      </c>
      <c r="K230" s="97"/>
      <c r="L230" s="97"/>
    </row>
    <row r="231" spans="3:12" s="334" customFormat="1" x14ac:dyDescent="0.35">
      <c r="C231" s="329" t="s">
        <v>814</v>
      </c>
      <c r="D231" s="325">
        <f>F229</f>
        <v>56400000</v>
      </c>
      <c r="E231" s="325">
        <v>2200000</v>
      </c>
      <c r="F231" s="325">
        <f>D231-E231</f>
        <v>54200000</v>
      </c>
      <c r="G231" s="325">
        <f t="shared" ref="G231:G242" si="114">AVERAGE(D231,F231)*$D$38/12</f>
        <v>506916.66666666669</v>
      </c>
      <c r="H231" s="327"/>
      <c r="I231" s="326"/>
      <c r="J231" s="97"/>
      <c r="K231" s="97"/>
      <c r="L231" s="97"/>
    </row>
    <row r="232" spans="3:12" s="334" customFormat="1" x14ac:dyDescent="0.35">
      <c r="C232" s="329" t="s">
        <v>815</v>
      </c>
      <c r="D232" s="325">
        <f>F231</f>
        <v>54200000</v>
      </c>
      <c r="E232" s="325">
        <f>E231</f>
        <v>2200000</v>
      </c>
      <c r="F232" s="325">
        <f>D232-E232</f>
        <v>52000000</v>
      </c>
      <c r="G232" s="325">
        <f t="shared" si="114"/>
        <v>486750</v>
      </c>
      <c r="H232" s="327"/>
      <c r="I232" s="326"/>
      <c r="J232" s="97"/>
      <c r="K232" s="97"/>
      <c r="L232" s="97"/>
    </row>
    <row r="233" spans="3:12" s="334" customFormat="1" x14ac:dyDescent="0.35">
      <c r="C233" s="329" t="s">
        <v>816</v>
      </c>
      <c r="D233" s="325">
        <f>F232</f>
        <v>52000000</v>
      </c>
      <c r="E233" s="325">
        <f t="shared" ref="E233:E242" si="115">E232</f>
        <v>2200000</v>
      </c>
      <c r="F233" s="325">
        <f>D233-E233</f>
        <v>49800000</v>
      </c>
      <c r="G233" s="325">
        <f t="shared" si="114"/>
        <v>466583.33333333331</v>
      </c>
      <c r="H233" s="327"/>
      <c r="I233" s="97"/>
      <c r="J233" s="97"/>
      <c r="K233" s="97"/>
      <c r="L233" s="97"/>
    </row>
    <row r="234" spans="3:12" s="334" customFormat="1" x14ac:dyDescent="0.35">
      <c r="C234" s="329" t="s">
        <v>805</v>
      </c>
      <c r="D234" s="325">
        <f>F233</f>
        <v>49800000</v>
      </c>
      <c r="E234" s="325">
        <f t="shared" si="115"/>
        <v>2200000</v>
      </c>
      <c r="F234" s="325">
        <f>D234-E234</f>
        <v>47600000</v>
      </c>
      <c r="G234" s="325">
        <f t="shared" si="114"/>
        <v>446416.66666666669</v>
      </c>
      <c r="H234" s="327"/>
      <c r="I234" s="326"/>
      <c r="J234" s="97"/>
      <c r="K234" s="97"/>
      <c r="L234" s="97"/>
    </row>
    <row r="235" spans="3:12" s="334" customFormat="1" x14ac:dyDescent="0.35">
      <c r="C235" s="329" t="s">
        <v>806</v>
      </c>
      <c r="D235" s="325">
        <f>F234</f>
        <v>47600000</v>
      </c>
      <c r="E235" s="325">
        <f t="shared" si="115"/>
        <v>2200000</v>
      </c>
      <c r="F235" s="325">
        <f t="shared" ref="F235:F242" si="116">D235-E235</f>
        <v>45400000</v>
      </c>
      <c r="G235" s="325">
        <f t="shared" si="114"/>
        <v>426250</v>
      </c>
      <c r="H235" s="327"/>
      <c r="I235" s="326"/>
      <c r="J235" s="97"/>
      <c r="K235" s="97"/>
      <c r="L235" s="97"/>
    </row>
    <row r="236" spans="3:12" s="334" customFormat="1" x14ac:dyDescent="0.35">
      <c r="C236" s="329" t="s">
        <v>807</v>
      </c>
      <c r="D236" s="325">
        <f t="shared" ref="D236:D242" si="117">F235</f>
        <v>45400000</v>
      </c>
      <c r="E236" s="325">
        <f t="shared" si="115"/>
        <v>2200000</v>
      </c>
      <c r="F236" s="325">
        <f t="shared" si="116"/>
        <v>43200000</v>
      </c>
      <c r="G236" s="325">
        <f t="shared" si="114"/>
        <v>406083.33333333331</v>
      </c>
      <c r="H236" s="327"/>
      <c r="I236" s="326"/>
      <c r="J236" s="97"/>
      <c r="K236" s="97"/>
      <c r="L236" s="97"/>
    </row>
    <row r="237" spans="3:12" s="334" customFormat="1" x14ac:dyDescent="0.35">
      <c r="C237" s="329" t="s">
        <v>808</v>
      </c>
      <c r="D237" s="325">
        <f t="shared" si="117"/>
        <v>43200000</v>
      </c>
      <c r="E237" s="325">
        <f t="shared" si="115"/>
        <v>2200000</v>
      </c>
      <c r="F237" s="325">
        <f t="shared" si="116"/>
        <v>41000000</v>
      </c>
      <c r="G237" s="325">
        <f t="shared" si="114"/>
        <v>385916.66666666669</v>
      </c>
      <c r="H237" s="327"/>
      <c r="I237" s="326"/>
      <c r="J237" s="97"/>
      <c r="K237" s="97"/>
      <c r="L237" s="97"/>
    </row>
    <row r="238" spans="3:12" s="334" customFormat="1" x14ac:dyDescent="0.35">
      <c r="C238" s="329" t="s">
        <v>809</v>
      </c>
      <c r="D238" s="325">
        <f t="shared" si="117"/>
        <v>41000000</v>
      </c>
      <c r="E238" s="325">
        <f t="shared" si="115"/>
        <v>2200000</v>
      </c>
      <c r="F238" s="325">
        <f t="shared" si="116"/>
        <v>38800000</v>
      </c>
      <c r="G238" s="325">
        <f t="shared" si="114"/>
        <v>365750</v>
      </c>
      <c r="H238" s="327"/>
      <c r="I238" s="326"/>
      <c r="J238" s="97"/>
      <c r="K238" s="97"/>
      <c r="L238" s="97"/>
    </row>
    <row r="239" spans="3:12" s="334" customFormat="1" x14ac:dyDescent="0.35">
      <c r="C239" s="329" t="s">
        <v>810</v>
      </c>
      <c r="D239" s="325">
        <f t="shared" si="117"/>
        <v>38800000</v>
      </c>
      <c r="E239" s="325">
        <f t="shared" si="115"/>
        <v>2200000</v>
      </c>
      <c r="F239" s="325">
        <f t="shared" si="116"/>
        <v>36600000</v>
      </c>
      <c r="G239" s="325">
        <f t="shared" si="114"/>
        <v>345583.33333333331</v>
      </c>
      <c r="H239" s="327"/>
      <c r="I239" s="326"/>
      <c r="J239" s="97"/>
      <c r="K239" s="97"/>
      <c r="L239" s="97"/>
    </row>
    <row r="240" spans="3:12" s="334" customFormat="1" x14ac:dyDescent="0.35">
      <c r="C240" s="329" t="s">
        <v>811</v>
      </c>
      <c r="D240" s="325">
        <f t="shared" si="117"/>
        <v>36600000</v>
      </c>
      <c r="E240" s="325">
        <f t="shared" si="115"/>
        <v>2200000</v>
      </c>
      <c r="F240" s="325">
        <f t="shared" si="116"/>
        <v>34400000</v>
      </c>
      <c r="G240" s="325">
        <f t="shared" si="114"/>
        <v>325416.66666666669</v>
      </c>
      <c r="H240" s="327"/>
      <c r="I240" s="326"/>
      <c r="J240" s="97"/>
      <c r="K240" s="97"/>
      <c r="L240" s="97"/>
    </row>
    <row r="241" spans="3:12" s="334" customFormat="1" x14ac:dyDescent="0.35">
      <c r="C241" s="329" t="s">
        <v>812</v>
      </c>
      <c r="D241" s="325">
        <f t="shared" si="117"/>
        <v>34400000</v>
      </c>
      <c r="E241" s="325">
        <f t="shared" si="115"/>
        <v>2200000</v>
      </c>
      <c r="F241" s="325">
        <f t="shared" si="116"/>
        <v>32200000</v>
      </c>
      <c r="G241" s="325">
        <f t="shared" si="114"/>
        <v>305250</v>
      </c>
      <c r="H241" s="327"/>
      <c r="I241" s="326"/>
      <c r="J241" s="97"/>
      <c r="K241" s="97"/>
      <c r="L241" s="97"/>
    </row>
    <row r="242" spans="3:12" s="334" customFormat="1" x14ac:dyDescent="0.35">
      <c r="C242" s="329" t="s">
        <v>804</v>
      </c>
      <c r="D242" s="325">
        <f t="shared" si="117"/>
        <v>32200000</v>
      </c>
      <c r="E242" s="325">
        <f t="shared" si="115"/>
        <v>2200000</v>
      </c>
      <c r="F242" s="325">
        <f t="shared" si="116"/>
        <v>30000000</v>
      </c>
      <c r="G242" s="325">
        <f t="shared" si="114"/>
        <v>285083.33333333331</v>
      </c>
      <c r="H242" s="327"/>
      <c r="I242" s="326"/>
      <c r="J242" s="97"/>
      <c r="K242" s="97"/>
      <c r="L242" s="97"/>
    </row>
    <row r="243" spans="3:12" s="334" customFormat="1" x14ac:dyDescent="0.35">
      <c r="C243" s="324" t="s">
        <v>825</v>
      </c>
      <c r="D243" s="325"/>
      <c r="E243" s="331"/>
      <c r="F243" s="331"/>
      <c r="G243" s="331"/>
      <c r="H243" s="327"/>
      <c r="I243" s="335"/>
      <c r="J243" s="97">
        <v>12</v>
      </c>
      <c r="K243" s="97"/>
      <c r="L243" s="97"/>
    </row>
    <row r="244" spans="3:12" s="334" customFormat="1" x14ac:dyDescent="0.35">
      <c r="C244" s="329" t="s">
        <v>814</v>
      </c>
      <c r="D244" s="325">
        <f>F242</f>
        <v>30000000</v>
      </c>
      <c r="E244" s="325">
        <v>2500000</v>
      </c>
      <c r="F244" s="325">
        <f>D244-E244</f>
        <v>27500000</v>
      </c>
      <c r="G244" s="325">
        <f t="shared" ref="G244:G255" si="118">AVERAGE(D244,F244)*$D$38/12</f>
        <v>263541.66666666669</v>
      </c>
      <c r="H244" s="327"/>
      <c r="I244" s="326"/>
      <c r="J244" s="97"/>
      <c r="K244" s="97"/>
      <c r="L244" s="97"/>
    </row>
    <row r="245" spans="3:12" s="334" customFormat="1" x14ac:dyDescent="0.35">
      <c r="C245" s="329" t="s">
        <v>815</v>
      </c>
      <c r="D245" s="325">
        <f>F244</f>
        <v>27500000</v>
      </c>
      <c r="E245" s="325">
        <f>E244</f>
        <v>2500000</v>
      </c>
      <c r="F245" s="325">
        <f>D245-E245</f>
        <v>25000000</v>
      </c>
      <c r="G245" s="325">
        <f t="shared" si="118"/>
        <v>240625</v>
      </c>
      <c r="H245" s="327"/>
      <c r="I245" s="326"/>
      <c r="J245" s="97"/>
      <c r="K245" s="97"/>
      <c r="L245" s="97"/>
    </row>
    <row r="246" spans="3:12" s="334" customFormat="1" x14ac:dyDescent="0.35">
      <c r="C246" s="329" t="s">
        <v>816</v>
      </c>
      <c r="D246" s="325">
        <f>F245</f>
        <v>25000000</v>
      </c>
      <c r="E246" s="325">
        <f t="shared" ref="E246:E255" si="119">E245</f>
        <v>2500000</v>
      </c>
      <c r="F246" s="325">
        <f>D246-E246</f>
        <v>22500000</v>
      </c>
      <c r="G246" s="325">
        <f t="shared" si="118"/>
        <v>217708.33333333334</v>
      </c>
      <c r="H246" s="327"/>
      <c r="I246" s="97"/>
      <c r="J246" s="97"/>
      <c r="K246" s="97"/>
      <c r="L246" s="97"/>
    </row>
    <row r="247" spans="3:12" s="334" customFormat="1" x14ac:dyDescent="0.35">
      <c r="C247" s="329" t="s">
        <v>805</v>
      </c>
      <c r="D247" s="325">
        <f>F246</f>
        <v>22500000</v>
      </c>
      <c r="E247" s="325">
        <f t="shared" si="119"/>
        <v>2500000</v>
      </c>
      <c r="F247" s="325">
        <f>D247-E247</f>
        <v>20000000</v>
      </c>
      <c r="G247" s="325">
        <f t="shared" si="118"/>
        <v>194791.66666666666</v>
      </c>
      <c r="H247" s="327"/>
      <c r="I247" s="326"/>
      <c r="J247" s="97"/>
      <c r="K247" s="97"/>
      <c r="L247" s="97"/>
    </row>
    <row r="248" spans="3:12" s="334" customFormat="1" x14ac:dyDescent="0.35">
      <c r="C248" s="329" t="s">
        <v>806</v>
      </c>
      <c r="D248" s="325">
        <f>F247</f>
        <v>20000000</v>
      </c>
      <c r="E248" s="325">
        <f t="shared" si="119"/>
        <v>2500000</v>
      </c>
      <c r="F248" s="325">
        <f t="shared" ref="F248:F255" si="120">D248-E248</f>
        <v>17500000</v>
      </c>
      <c r="G248" s="325">
        <f t="shared" si="118"/>
        <v>171875</v>
      </c>
      <c r="H248" s="327"/>
      <c r="I248" s="326"/>
      <c r="J248" s="97"/>
      <c r="K248" s="97"/>
      <c r="L248" s="97"/>
    </row>
    <row r="249" spans="3:12" s="334" customFormat="1" x14ac:dyDescent="0.35">
      <c r="C249" s="329" t="s">
        <v>807</v>
      </c>
      <c r="D249" s="325">
        <f t="shared" ref="D249:D255" si="121">F248</f>
        <v>17500000</v>
      </c>
      <c r="E249" s="325">
        <f t="shared" si="119"/>
        <v>2500000</v>
      </c>
      <c r="F249" s="325">
        <f t="shared" si="120"/>
        <v>15000000</v>
      </c>
      <c r="G249" s="325">
        <f t="shared" si="118"/>
        <v>148958.33333333334</v>
      </c>
      <c r="H249" s="327"/>
      <c r="I249" s="326"/>
      <c r="J249" s="97"/>
      <c r="K249" s="97"/>
      <c r="L249" s="97"/>
    </row>
    <row r="250" spans="3:12" s="334" customFormat="1" x14ac:dyDescent="0.35">
      <c r="C250" s="329" t="s">
        <v>808</v>
      </c>
      <c r="D250" s="325">
        <f t="shared" si="121"/>
        <v>15000000</v>
      </c>
      <c r="E250" s="325">
        <f t="shared" si="119"/>
        <v>2500000</v>
      </c>
      <c r="F250" s="325">
        <f t="shared" si="120"/>
        <v>12500000</v>
      </c>
      <c r="G250" s="325">
        <f t="shared" si="118"/>
        <v>126041.66666666667</v>
      </c>
      <c r="H250" s="327"/>
      <c r="I250" s="326"/>
      <c r="J250" s="97"/>
      <c r="K250" s="97"/>
      <c r="L250" s="97"/>
    </row>
    <row r="251" spans="3:12" s="334" customFormat="1" x14ac:dyDescent="0.35">
      <c r="C251" s="329" t="s">
        <v>809</v>
      </c>
      <c r="D251" s="325">
        <f t="shared" si="121"/>
        <v>12500000</v>
      </c>
      <c r="E251" s="325">
        <f t="shared" si="119"/>
        <v>2500000</v>
      </c>
      <c r="F251" s="325">
        <f t="shared" si="120"/>
        <v>10000000</v>
      </c>
      <c r="G251" s="325">
        <f t="shared" si="118"/>
        <v>103125</v>
      </c>
      <c r="H251" s="327"/>
      <c r="I251" s="326"/>
      <c r="J251" s="97"/>
      <c r="K251" s="97"/>
      <c r="L251" s="97"/>
    </row>
    <row r="252" spans="3:12" s="334" customFormat="1" x14ac:dyDescent="0.35">
      <c r="C252" s="329" t="s">
        <v>810</v>
      </c>
      <c r="D252" s="325">
        <f t="shared" si="121"/>
        <v>10000000</v>
      </c>
      <c r="E252" s="325">
        <f t="shared" si="119"/>
        <v>2500000</v>
      </c>
      <c r="F252" s="325">
        <f t="shared" si="120"/>
        <v>7500000</v>
      </c>
      <c r="G252" s="325">
        <f t="shared" si="118"/>
        <v>80208.333333333328</v>
      </c>
      <c r="H252" s="327"/>
      <c r="I252" s="326"/>
      <c r="J252" s="97"/>
      <c r="K252" s="97"/>
      <c r="L252" s="97"/>
    </row>
    <row r="253" spans="3:12" s="334" customFormat="1" x14ac:dyDescent="0.35">
      <c r="C253" s="329" t="s">
        <v>811</v>
      </c>
      <c r="D253" s="325">
        <f t="shared" si="121"/>
        <v>7500000</v>
      </c>
      <c r="E253" s="325">
        <f t="shared" si="119"/>
        <v>2500000</v>
      </c>
      <c r="F253" s="325">
        <f t="shared" si="120"/>
        <v>5000000</v>
      </c>
      <c r="G253" s="325">
        <f t="shared" si="118"/>
        <v>57291.666666666664</v>
      </c>
      <c r="H253" s="327"/>
      <c r="I253" s="326"/>
      <c r="J253" s="97"/>
      <c r="K253" s="97"/>
      <c r="L253" s="97"/>
    </row>
    <row r="254" spans="3:12" s="334" customFormat="1" x14ac:dyDescent="0.35">
      <c r="C254" s="329" t="s">
        <v>812</v>
      </c>
      <c r="D254" s="325">
        <f t="shared" si="121"/>
        <v>5000000</v>
      </c>
      <c r="E254" s="325">
        <f t="shared" si="119"/>
        <v>2500000</v>
      </c>
      <c r="F254" s="325">
        <f t="shared" si="120"/>
        <v>2500000</v>
      </c>
      <c r="G254" s="325">
        <f t="shared" si="118"/>
        <v>34375</v>
      </c>
      <c r="H254" s="327"/>
      <c r="I254" s="326"/>
      <c r="J254" s="97"/>
      <c r="K254" s="97"/>
      <c r="L254" s="97"/>
    </row>
    <row r="255" spans="3:12" s="334" customFormat="1" x14ac:dyDescent="0.35">
      <c r="C255" s="329" t="s">
        <v>804</v>
      </c>
      <c r="D255" s="325">
        <f t="shared" si="121"/>
        <v>2500000</v>
      </c>
      <c r="E255" s="325">
        <f t="shared" si="119"/>
        <v>2500000</v>
      </c>
      <c r="F255" s="325">
        <f t="shared" si="120"/>
        <v>0</v>
      </c>
      <c r="G255" s="325">
        <f t="shared" si="118"/>
        <v>11458.333333333334</v>
      </c>
      <c r="H255" s="327"/>
      <c r="I255" s="326"/>
      <c r="J255" s="97"/>
      <c r="K255" s="97"/>
      <c r="L255" s="97"/>
    </row>
    <row r="256" spans="3:12" customFormat="1" ht="18.75" customHeight="1" x14ac:dyDescent="0.35"/>
    <row r="257" spans="2:16" customFormat="1" ht="18.75" customHeight="1" x14ac:dyDescent="0.35">
      <c r="C257" s="324" t="s">
        <v>827</v>
      </c>
    </row>
    <row r="259" spans="2:16" ht="17.25" customHeight="1" x14ac:dyDescent="0.35">
      <c r="C259" s="196" t="s">
        <v>478</v>
      </c>
      <c r="D259" s="174">
        <v>2025</v>
      </c>
      <c r="E259" s="174">
        <f>D259+1</f>
        <v>2026</v>
      </c>
      <c r="F259" s="174">
        <f t="shared" ref="F259:M259" si="122">E259+1</f>
        <v>2027</v>
      </c>
      <c r="G259" s="174">
        <f t="shared" si="122"/>
        <v>2028</v>
      </c>
      <c r="H259" s="174">
        <f t="shared" si="122"/>
        <v>2029</v>
      </c>
      <c r="I259" s="174">
        <f t="shared" si="122"/>
        <v>2030</v>
      </c>
      <c r="J259" s="174">
        <f t="shared" si="122"/>
        <v>2031</v>
      </c>
      <c r="K259" s="174">
        <f t="shared" si="122"/>
        <v>2032</v>
      </c>
      <c r="L259" s="174">
        <f t="shared" si="122"/>
        <v>2033</v>
      </c>
      <c r="M259" s="174">
        <f t="shared" si="122"/>
        <v>2034</v>
      </c>
      <c r="N259" s="174"/>
      <c r="O259" s="192"/>
      <c r="P259" s="192"/>
    </row>
    <row r="260" spans="2:16" ht="20.25" customHeight="1" x14ac:dyDescent="0.35">
      <c r="C260" s="152" t="s">
        <v>484</v>
      </c>
      <c r="D260" s="380">
        <f>MIN(WC!D43,0)</f>
        <v>0</v>
      </c>
      <c r="E260" s="380">
        <f>MIN(WC!E43,0)</f>
        <v>0</v>
      </c>
      <c r="F260" s="380">
        <f>MIN(WC!F43,0)</f>
        <v>0</v>
      </c>
      <c r="G260" s="380">
        <f>MIN(WC!G43,0)</f>
        <v>0</v>
      </c>
      <c r="H260" s="380">
        <f>MIN(WC!H43,0)</f>
        <v>0</v>
      </c>
      <c r="I260" s="380">
        <f>MIN(WC!I43,0)</f>
        <v>0</v>
      </c>
      <c r="J260" s="380">
        <f>MIN(WC!J43,0)</f>
        <v>0</v>
      </c>
      <c r="K260" s="380">
        <f>MIN(WC!K43,0)</f>
        <v>0</v>
      </c>
      <c r="L260" s="380" t="e">
        <f>MIN(WC!#REF!,0)</f>
        <v>#REF!</v>
      </c>
      <c r="M260" s="380">
        <f>MIN(WC!L43,0)</f>
        <v>0</v>
      </c>
      <c r="N260" s="320"/>
      <c r="O260" s="193"/>
      <c r="P260" s="193"/>
    </row>
    <row r="261" spans="2:16" ht="20.25" customHeight="1" x14ac:dyDescent="0.35">
      <c r="B261" s="190">
        <v>0.11</v>
      </c>
      <c r="C261" s="152" t="s">
        <v>266</v>
      </c>
      <c r="D261" s="194">
        <f>AVERAGE(D258,D260)*$B$261</f>
        <v>0</v>
      </c>
      <c r="E261" s="194">
        <f>AVERAGE(D260:E260)*$B$261</f>
        <v>0</v>
      </c>
      <c r="F261" s="194">
        <f t="shared" ref="F261:M261" si="123">AVERAGE(E260:F260)*$B$261</f>
        <v>0</v>
      </c>
      <c r="G261" s="194">
        <f t="shared" si="123"/>
        <v>0</v>
      </c>
      <c r="H261" s="194">
        <f t="shared" si="123"/>
        <v>0</v>
      </c>
      <c r="I261" s="194">
        <f t="shared" si="123"/>
        <v>0</v>
      </c>
      <c r="J261" s="194">
        <f t="shared" si="123"/>
        <v>0</v>
      </c>
      <c r="K261" s="194">
        <f t="shared" si="123"/>
        <v>0</v>
      </c>
      <c r="L261" s="194" t="e">
        <f t="shared" si="123"/>
        <v>#REF!</v>
      </c>
      <c r="M261" s="194" t="e">
        <f t="shared" si="123"/>
        <v>#REF!</v>
      </c>
      <c r="N261" s="194"/>
      <c r="O261" s="194"/>
      <c r="P261" s="194"/>
    </row>
    <row r="263" spans="2:16" x14ac:dyDescent="0.35">
      <c r="C263" s="51" t="s">
        <v>485</v>
      </c>
      <c r="D263" s="44">
        <v>12</v>
      </c>
      <c r="E263" s="44">
        <v>12</v>
      </c>
      <c r="F263" s="44">
        <v>12</v>
      </c>
      <c r="G263" s="44">
        <f t="shared" ref="G263:J263" si="124">F263</f>
        <v>12</v>
      </c>
      <c r="H263" s="44">
        <f t="shared" si="124"/>
        <v>12</v>
      </c>
      <c r="I263" s="44">
        <f t="shared" si="124"/>
        <v>12</v>
      </c>
      <c r="J263" s="44">
        <f t="shared" si="124"/>
        <v>12</v>
      </c>
      <c r="K263" s="44">
        <f t="shared" ref="K263" si="125">J263</f>
        <v>12</v>
      </c>
      <c r="L263" s="44">
        <f t="shared" ref="L263" si="126">K263</f>
        <v>12</v>
      </c>
      <c r="M263" s="44">
        <f t="shared" ref="M263" si="127">L263</f>
        <v>12</v>
      </c>
      <c r="N263" s="44"/>
      <c r="O263" s="44"/>
      <c r="P263" s="44"/>
    </row>
    <row r="264" spans="2:16" x14ac:dyDescent="0.35">
      <c r="D264" s="44"/>
      <c r="E264" s="44"/>
      <c r="F264" s="44"/>
      <c r="G264" s="44"/>
      <c r="H264" s="44"/>
      <c r="I264" s="44"/>
      <c r="J264" s="44"/>
      <c r="K264" s="44"/>
      <c r="L264" s="44"/>
      <c r="M264" s="44"/>
      <c r="N264" s="44"/>
      <c r="O264" s="44"/>
      <c r="P264" s="44"/>
    </row>
    <row r="265" spans="2:16" x14ac:dyDescent="0.35">
      <c r="C265" s="107" t="s">
        <v>486</v>
      </c>
      <c r="D265" s="118">
        <f>D261*D263/12</f>
        <v>0</v>
      </c>
      <c r="E265" s="118">
        <f>E261*E263/12</f>
        <v>0</v>
      </c>
      <c r="F265" s="118">
        <f>F261*F263/12</f>
        <v>0</v>
      </c>
      <c r="G265" s="118">
        <f t="shared" ref="G265:J265" si="128">G261*G263/12</f>
        <v>0</v>
      </c>
      <c r="H265" s="118">
        <f t="shared" si="128"/>
        <v>0</v>
      </c>
      <c r="I265" s="118">
        <f t="shared" si="128"/>
        <v>0</v>
      </c>
      <c r="J265" s="118">
        <f t="shared" si="128"/>
        <v>0</v>
      </c>
      <c r="K265" s="118">
        <f t="shared" ref="K265:M265" si="129">K261*K263/12</f>
        <v>0</v>
      </c>
      <c r="L265" s="118" t="e">
        <f t="shared" si="129"/>
        <v>#REF!</v>
      </c>
      <c r="M265" s="118" t="e">
        <f t="shared" si="129"/>
        <v>#REF!</v>
      </c>
      <c r="N265" s="118"/>
      <c r="O265" s="100"/>
      <c r="P265" s="100"/>
    </row>
  </sheetData>
  <mergeCells count="2">
    <mergeCell ref="E37:E38"/>
    <mergeCell ref="E148:E149"/>
  </mergeCells>
  <dataValidations count="1">
    <dataValidation type="list" allowBlank="1" showInputMessage="1" showErrorMessage="1" sqref="D38 D149" xr:uid="{7882B145-4564-49D1-BDE3-D03824583202}">
      <formula1>"10%,12%,11%,13%"</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C00000"/>
  </sheetPr>
  <dimension ref="B1:K54"/>
  <sheetViews>
    <sheetView showGridLines="0" topLeftCell="A2" zoomScaleNormal="100" workbookViewId="0">
      <pane xSplit="2" ySplit="4" topLeftCell="C34" activePane="bottomRight" state="frozen"/>
      <selection activeCell="A2" sqref="A2"/>
      <selection pane="topRight" activeCell="B2" sqref="B2"/>
      <selection pane="bottomLeft" activeCell="A3" sqref="A3"/>
      <selection pane="bottomRight" activeCell="D32" sqref="D32:J36"/>
    </sheetView>
  </sheetViews>
  <sheetFormatPr defaultColWidth="32.26953125" defaultRowHeight="14.5" x14ac:dyDescent="0.35"/>
  <cols>
    <col min="1" max="1" width="4.54296875" style="96" customWidth="1"/>
    <col min="2" max="2" width="42.81640625" style="51" customWidth="1"/>
    <col min="3" max="10" width="10.26953125" style="44" customWidth="1"/>
    <col min="11" max="16384" width="32.26953125" style="96"/>
  </cols>
  <sheetData>
    <row r="1" spans="2:10" s="97" customFormat="1" ht="26.25" customHeight="1" x14ac:dyDescent="0.35">
      <c r="B1" s="107" t="s">
        <v>17</v>
      </c>
      <c r="C1" s="47"/>
      <c r="D1" s="47"/>
      <c r="E1" s="47"/>
      <c r="F1" s="47"/>
      <c r="G1" s="47"/>
      <c r="H1" s="47"/>
      <c r="I1" s="47"/>
      <c r="J1" s="44"/>
    </row>
    <row r="2" spans="2:10" s="97" customFormat="1" ht="16.5" customHeight="1" x14ac:dyDescent="0.35">
      <c r="B2" s="107"/>
      <c r="C2" s="47"/>
      <c r="D2" s="47"/>
      <c r="E2" s="47"/>
      <c r="F2" s="47"/>
      <c r="G2" s="47"/>
      <c r="H2" s="47"/>
      <c r="I2" s="47"/>
      <c r="J2" s="44"/>
    </row>
    <row r="3" spans="2:10" s="97" customFormat="1" ht="17.25" customHeight="1" x14ac:dyDescent="0.35">
      <c r="B3" s="150" t="s">
        <v>627</v>
      </c>
      <c r="C3" s="199"/>
      <c r="D3" s="199"/>
      <c r="E3" s="199"/>
      <c r="F3" s="199"/>
      <c r="G3" s="199"/>
      <c r="H3" s="199"/>
      <c r="I3" s="199"/>
      <c r="J3" s="136"/>
    </row>
    <row r="4" spans="2:10" s="97" customFormat="1" ht="12.75" customHeight="1" x14ac:dyDescent="0.35">
      <c r="B4" s="107"/>
      <c r="C4" s="47"/>
      <c r="D4" s="47"/>
      <c r="E4" s="47"/>
      <c r="F4" s="47"/>
      <c r="G4" s="47"/>
      <c r="H4" s="47"/>
      <c r="I4" s="47"/>
      <c r="J4" s="44"/>
    </row>
    <row r="5" spans="2:10" s="58" customFormat="1" ht="20.25" customHeight="1" x14ac:dyDescent="0.35">
      <c r="B5" s="123" t="s">
        <v>14</v>
      </c>
      <c r="C5" s="94">
        <v>2025</v>
      </c>
      <c r="D5" s="94">
        <f>C5+1</f>
        <v>2026</v>
      </c>
      <c r="E5" s="94">
        <f t="shared" ref="E5:J5" si="0">D5+1</f>
        <v>2027</v>
      </c>
      <c r="F5" s="94">
        <f t="shared" si="0"/>
        <v>2028</v>
      </c>
      <c r="G5" s="94">
        <f t="shared" si="0"/>
        <v>2029</v>
      </c>
      <c r="H5" s="94">
        <f t="shared" si="0"/>
        <v>2030</v>
      </c>
      <c r="I5" s="94">
        <f t="shared" si="0"/>
        <v>2031</v>
      </c>
      <c r="J5" s="94">
        <f t="shared" si="0"/>
        <v>2032</v>
      </c>
    </row>
    <row r="6" spans="2:10" s="97" customFormat="1" ht="21" customHeight="1" x14ac:dyDescent="0.35">
      <c r="B6" s="51" t="s">
        <v>445</v>
      </c>
      <c r="C6" s="54">
        <f>'P &amp; L'!D26</f>
        <v>0</v>
      </c>
      <c r="D6" s="54">
        <f>'P &amp; L'!E26</f>
        <v>809.24748299249768</v>
      </c>
      <c r="E6" s="54">
        <f>'P &amp; L'!F26</f>
        <v>1133.8553071421265</v>
      </c>
      <c r="F6" s="54">
        <f>'P &amp; L'!G26</f>
        <v>1486.75909499923</v>
      </c>
      <c r="G6" s="54">
        <f>'P &amp; L'!H26</f>
        <v>1869.7627533742052</v>
      </c>
      <c r="H6" s="54">
        <f>'P &amp; L'!I26</f>
        <v>2284.7584228491469</v>
      </c>
      <c r="I6" s="54">
        <f>'P &amp; L'!J26</f>
        <v>2733.728649688157</v>
      </c>
      <c r="J6" s="54">
        <f>'P &amp; L'!K26</f>
        <v>3218.7483401839563</v>
      </c>
    </row>
    <row r="7" spans="2:10" s="97" customFormat="1" ht="21" customHeight="1" x14ac:dyDescent="0.35">
      <c r="B7" s="51" t="s">
        <v>446</v>
      </c>
      <c r="C7" s="54">
        <f>'P &amp; L'!D32+'P &amp; L'!D27+'P &amp; L'!D29</f>
        <v>0</v>
      </c>
      <c r="D7" s="54">
        <f>'P &amp; L'!E32+'P &amp; L'!E27+'P &amp; L'!E29</f>
        <v>238.8365196801706</v>
      </c>
      <c r="E7" s="54">
        <f>'P &amp; L'!F32+'P &amp; L'!F27+'P &amp; L'!F29</f>
        <v>645.1471155128811</v>
      </c>
      <c r="F7" s="54">
        <f>'P &amp; L'!G32+'P &amp; L'!G27+'P &amp; L'!G29</f>
        <v>1067.8638965819807</v>
      </c>
      <c r="G7" s="54">
        <f>'P &amp; L'!H32+'P &amp; L'!H27+'P &amp; L'!H29</f>
        <v>1510.5376727403921</v>
      </c>
      <c r="H7" s="54">
        <f>'P &amp; L'!I32+'P &amp; L'!I27+'P &amp; L'!I29</f>
        <v>1976.5491085291696</v>
      </c>
      <c r="I7" s="54">
        <f>'P &amp; L'!J32+'P &amp; L'!J27+'P &amp; L'!J29</f>
        <v>2470.4992863130633</v>
      </c>
      <c r="J7" s="54">
        <f>'P &amp; L'!K32+'P &amp; L'!K27+'P &amp; L'!K29</f>
        <v>2992.8443297323251</v>
      </c>
    </row>
    <row r="8" spans="2:10" s="97" customFormat="1" ht="21" customHeight="1" x14ac:dyDescent="0.35">
      <c r="B8" s="51" t="s">
        <v>49</v>
      </c>
      <c r="C8" s="54">
        <f>'P &amp; L'!D32</f>
        <v>0</v>
      </c>
      <c r="D8" s="54">
        <f>'P &amp; L'!E32</f>
        <v>8.2031863468372652</v>
      </c>
      <c r="E8" s="54">
        <f>'P &amp; L'!F32</f>
        <v>436.7337821795478</v>
      </c>
      <c r="F8" s="54">
        <f>'P &amp; L'!G32</f>
        <v>888.12389658198083</v>
      </c>
      <c r="G8" s="54">
        <f>'P &amp; L'!H32</f>
        <v>1365.557672740392</v>
      </c>
      <c r="H8" s="54">
        <f>'P &amp; L'!I32</f>
        <v>1869.8491085291696</v>
      </c>
      <c r="I8" s="54">
        <f>'P &amp; L'!J32</f>
        <v>2404.8781752043965</v>
      </c>
      <c r="J8" s="54">
        <f>'P &amp; L'!K32</f>
        <v>2972.7754408611586</v>
      </c>
    </row>
    <row r="9" spans="2:10" s="97" customFormat="1" ht="21" customHeight="1" x14ac:dyDescent="0.35">
      <c r="B9" s="51" t="s">
        <v>64</v>
      </c>
      <c r="C9" s="54">
        <f>'P &amp; L'!D34</f>
        <v>0</v>
      </c>
      <c r="D9" s="54">
        <f>'P &amp; L'!E34</f>
        <v>6.138608407065262</v>
      </c>
      <c r="E9" s="54">
        <f>'P &amp; L'!F34</f>
        <v>326.8166238805992</v>
      </c>
      <c r="F9" s="54">
        <f>'P &amp; L'!G34</f>
        <v>664.60087429022792</v>
      </c>
      <c r="G9" s="54">
        <f>'P &amp; L'!H34</f>
        <v>1021.8741176650901</v>
      </c>
      <c r="H9" s="54">
        <f>'P &amp; L'!I34</f>
        <v>1399.2454848945481</v>
      </c>
      <c r="I9" s="54">
        <f>'P &amp; L'!J34</f>
        <v>1799.618436068954</v>
      </c>
      <c r="J9" s="54">
        <f>'P &amp; L'!K34</f>
        <v>2224.5873179052223</v>
      </c>
    </row>
    <row r="10" spans="2:10" s="97" customFormat="1" ht="21" customHeight="1" x14ac:dyDescent="0.35">
      <c r="B10" s="51" t="s">
        <v>447</v>
      </c>
      <c r="C10" s="54">
        <f>'P &amp; L'!D27</f>
        <v>0</v>
      </c>
      <c r="D10" s="54">
        <f>'P &amp; L'!E27</f>
        <v>230.63333333333333</v>
      </c>
      <c r="E10" s="54">
        <f>'P &amp; L'!F27</f>
        <v>208.41333333333336</v>
      </c>
      <c r="F10" s="54">
        <f>'P &amp; L'!G27</f>
        <v>179.73999999999995</v>
      </c>
      <c r="G10" s="54">
        <f>'P &amp; L'!H27</f>
        <v>144.97999999999999</v>
      </c>
      <c r="H10" s="54">
        <f>'P &amp; L'!I27</f>
        <v>106.7</v>
      </c>
      <c r="I10" s="54">
        <f>'P &amp; L'!J27</f>
        <v>65.621111108666668</v>
      </c>
      <c r="J10" s="54">
        <f>'P &amp; L'!K27</f>
        <v>20.068888871166667</v>
      </c>
    </row>
    <row r="11" spans="2:10" s="97" customFormat="1" ht="21" customHeight="1" x14ac:dyDescent="0.35">
      <c r="B11" s="51" t="s">
        <v>473</v>
      </c>
      <c r="C11" s="100">
        <f>'P &amp; L'!D29</f>
        <v>0</v>
      </c>
      <c r="D11" s="100">
        <f>'P &amp; L'!E29</f>
        <v>0</v>
      </c>
      <c r="E11" s="100">
        <f>'P &amp; L'!F29</f>
        <v>0</v>
      </c>
      <c r="F11" s="100">
        <f>'P &amp; L'!G29</f>
        <v>0</v>
      </c>
      <c r="G11" s="100">
        <f>'P &amp; L'!H29</f>
        <v>0</v>
      </c>
      <c r="H11" s="100">
        <f>'P &amp; L'!I29</f>
        <v>0</v>
      </c>
      <c r="I11" s="100">
        <f>'P &amp; L'!J29</f>
        <v>0</v>
      </c>
      <c r="J11" s="100">
        <f>'P &amp; L'!K29</f>
        <v>0</v>
      </c>
    </row>
    <row r="12" spans="2:10" s="97" customFormat="1" ht="21" customHeight="1" x14ac:dyDescent="0.35">
      <c r="B12" s="51" t="s">
        <v>448</v>
      </c>
      <c r="C12" s="54">
        <f>SUM(BS!C6:C8)</f>
        <v>3010</v>
      </c>
      <c r="D12" s="54">
        <f>SUM(BS!D6:D8)</f>
        <v>2780.1386084070655</v>
      </c>
      <c r="E12" s="54">
        <f>SUM(BS!E6:E8)</f>
        <v>2818.9552322876643</v>
      </c>
      <c r="F12" s="54">
        <f>SUM(BS!F6:F8)</f>
        <v>3147.5561065778925</v>
      </c>
      <c r="G12" s="54">
        <f>SUM(BS!G6:G8)</f>
        <v>3809.4302242429826</v>
      </c>
      <c r="H12" s="54">
        <f>SUM(BS!H6:H8)</f>
        <v>4816.0090423375314</v>
      </c>
      <c r="I12" s="54">
        <f>SUM(BS!I6:I8)</f>
        <v>6218.2941452064842</v>
      </c>
      <c r="J12" s="54">
        <f>SUM(BS!J6:J8)</f>
        <v>8442.8814631117057</v>
      </c>
    </row>
    <row r="13" spans="2:10" s="97" customFormat="1" ht="21" customHeight="1" x14ac:dyDescent="0.35">
      <c r="B13" s="51" t="s">
        <v>449</v>
      </c>
      <c r="C13" s="54">
        <f>BS!C6</f>
        <v>1000</v>
      </c>
      <c r="D13" s="54">
        <f>BS!D6</f>
        <v>1000</v>
      </c>
      <c r="E13" s="54">
        <f>BS!E6</f>
        <v>1000</v>
      </c>
      <c r="F13" s="54">
        <f>BS!F6</f>
        <v>1000</v>
      </c>
      <c r="G13" s="54">
        <f>BS!G6</f>
        <v>1000</v>
      </c>
      <c r="H13" s="54">
        <f>BS!H6</f>
        <v>1000</v>
      </c>
      <c r="I13" s="54">
        <f>BS!I6</f>
        <v>1000</v>
      </c>
      <c r="J13" s="54">
        <f>BS!J6</f>
        <v>1000</v>
      </c>
    </row>
    <row r="14" spans="2:10" s="97" customFormat="1" ht="21" customHeight="1" x14ac:dyDescent="0.35">
      <c r="B14" s="51" t="s">
        <v>450</v>
      </c>
      <c r="C14" s="54">
        <f>BS!C6+BS!C7</f>
        <v>1000</v>
      </c>
      <c r="D14" s="54">
        <f>BS!D6+BS!D7</f>
        <v>1006.1386084070652</v>
      </c>
      <c r="E14" s="54">
        <f>BS!E6+BS!E7</f>
        <v>1332.9552322876643</v>
      </c>
      <c r="F14" s="54">
        <f>BS!F6+BS!F7</f>
        <v>1997.5561065778925</v>
      </c>
      <c r="G14" s="54">
        <f>BS!G6+BS!G7</f>
        <v>3019.4302242429826</v>
      </c>
      <c r="H14" s="54">
        <f>BS!H6+BS!H7</f>
        <v>4418.6757091375312</v>
      </c>
      <c r="I14" s="54">
        <f>BS!I6+BS!I7</f>
        <v>6218.2941452064842</v>
      </c>
      <c r="J14" s="54">
        <f>BS!J6+BS!J7</f>
        <v>8442.8814631117057</v>
      </c>
    </row>
    <row r="15" spans="2:10" s="97" customFormat="1" ht="21" customHeight="1" x14ac:dyDescent="0.35">
      <c r="B15" s="51" t="s">
        <v>487</v>
      </c>
      <c r="C15" s="54">
        <f>BS!C8</f>
        <v>2010</v>
      </c>
      <c r="D15" s="54">
        <f>BS!D8</f>
        <v>1774</v>
      </c>
      <c r="E15" s="54">
        <f>BS!E8</f>
        <v>1486</v>
      </c>
      <c r="F15" s="54">
        <f>BS!F8</f>
        <v>1150</v>
      </c>
      <c r="G15" s="54">
        <f>BS!G8</f>
        <v>790</v>
      </c>
      <c r="H15" s="54">
        <f>BS!H8</f>
        <v>397.33333320000003</v>
      </c>
      <c r="I15" s="54">
        <f>BS!I8</f>
        <v>0</v>
      </c>
      <c r="J15" s="54">
        <f>BS!J8</f>
        <v>0</v>
      </c>
    </row>
    <row r="16" spans="2:10" s="97" customFormat="1" ht="21" customHeight="1" x14ac:dyDescent="0.35">
      <c r="B16" s="51" t="s">
        <v>583</v>
      </c>
      <c r="C16" s="54">
        <f>C15+BS!C11+BS!C12+BS!C13</f>
        <v>2180</v>
      </c>
      <c r="D16" s="54">
        <f>D15+BS!D11+BS!D12+BS!D13</f>
        <v>3119.3336924797604</v>
      </c>
      <c r="E16" s="54">
        <f>E15+BS!E11+BS!E12+BS!E13</f>
        <v>3127.0764935421048</v>
      </c>
      <c r="F16" s="54">
        <f>F15+BS!F11+BS!F12+BS!F13</f>
        <v>3104.5082555479771</v>
      </c>
      <c r="G16" s="54">
        <f>G15+BS!G11+BS!G12+BS!G13</f>
        <v>3057.1973190959234</v>
      </c>
      <c r="H16" s="54">
        <f>H15+BS!H11+BS!H12+BS!H13</f>
        <v>3010.8155165926723</v>
      </c>
      <c r="I16" s="54">
        <f>I15+BS!I11+BS!I12+BS!I13</f>
        <v>2958.4780217975213</v>
      </c>
      <c r="J16" s="54">
        <f>J15+BS!J11+BS!J12+BS!J13</f>
        <v>2930.0836018731525</v>
      </c>
    </row>
    <row r="17" spans="2:11" s="97" customFormat="1" ht="21" customHeight="1" x14ac:dyDescent="0.35">
      <c r="B17" s="51" t="s">
        <v>584</v>
      </c>
      <c r="C17" s="54">
        <f>C14</f>
        <v>1000</v>
      </c>
      <c r="D17" s="54">
        <f t="shared" ref="D17:J17" si="1">D14</f>
        <v>1006.1386084070652</v>
      </c>
      <c r="E17" s="54">
        <f t="shared" si="1"/>
        <v>1332.9552322876643</v>
      </c>
      <c r="F17" s="54">
        <f t="shared" si="1"/>
        <v>1997.5561065778925</v>
      </c>
      <c r="G17" s="54">
        <f t="shared" si="1"/>
        <v>3019.4302242429826</v>
      </c>
      <c r="H17" s="54">
        <f t="shared" si="1"/>
        <v>4418.6757091375312</v>
      </c>
      <c r="I17" s="54">
        <f t="shared" si="1"/>
        <v>6218.2941452064842</v>
      </c>
      <c r="J17" s="54">
        <f t="shared" si="1"/>
        <v>8442.8814631117057</v>
      </c>
    </row>
    <row r="18" spans="2:11" s="97" customFormat="1" ht="21" customHeight="1" x14ac:dyDescent="0.35">
      <c r="B18" s="51" t="s">
        <v>451</v>
      </c>
      <c r="C18" s="54">
        <f>'P &amp; L'!D12</f>
        <v>0</v>
      </c>
      <c r="D18" s="54">
        <f>'P &amp; L'!E12</f>
        <v>28242.648000000001</v>
      </c>
      <c r="E18" s="54">
        <f>'P &amp; L'!F12</f>
        <v>34597.243799999997</v>
      </c>
      <c r="F18" s="54">
        <f>'P &amp; L'!G12</f>
        <v>41516.69256000001</v>
      </c>
      <c r="G18" s="54">
        <f>'P &amp; L'!H12</f>
        <v>49041.593086500012</v>
      </c>
      <c r="H18" s="54">
        <f>'P &amp; L'!I12</f>
        <v>57215.191934250011</v>
      </c>
      <c r="I18" s="54">
        <f>'P &amp; L'!J12</f>
        <v>66083.546684058776</v>
      </c>
      <c r="J18" s="54">
        <f>'P &amp; L'!K12</f>
        <v>75695.698929012768</v>
      </c>
    </row>
    <row r="19" spans="2:11" s="97" customFormat="1" ht="21" customHeight="1" x14ac:dyDescent="0.35">
      <c r="B19" s="51" t="s">
        <v>435</v>
      </c>
      <c r="C19" s="54">
        <f>BS!C24</f>
        <v>4177.7979430000005</v>
      </c>
      <c r="D19" s="54">
        <f>BS!D24</f>
        <v>3608.7369796876733</v>
      </c>
      <c r="E19" s="54">
        <f>BS!E24</f>
        <v>3121.3787880584282</v>
      </c>
      <c r="F19" s="54">
        <f>BS!F24</f>
        <v>2703.8335896411791</v>
      </c>
      <c r="G19" s="54">
        <f>BS!G24</f>
        <v>2345.958509007366</v>
      </c>
      <c r="H19" s="54">
        <f>BS!H24</f>
        <v>2039.0991946873883</v>
      </c>
      <c r="I19" s="54">
        <f>BS!I24</f>
        <v>1775.8698313122945</v>
      </c>
      <c r="J19" s="54">
        <f>BS!J24</f>
        <v>1549.9658208606634</v>
      </c>
    </row>
    <row r="20" spans="2:11" s="97" customFormat="1" ht="21" customHeight="1" x14ac:dyDescent="0.35">
      <c r="B20" s="51" t="s">
        <v>458</v>
      </c>
      <c r="C20" s="54">
        <f>BS!C8</f>
        <v>2010</v>
      </c>
      <c r="D20" s="54">
        <f>BS!D8</f>
        <v>1774</v>
      </c>
      <c r="E20" s="54">
        <f>BS!E8</f>
        <v>1486</v>
      </c>
      <c r="F20" s="54">
        <f>BS!F8</f>
        <v>1150</v>
      </c>
      <c r="G20" s="54">
        <f>BS!G8</f>
        <v>790</v>
      </c>
      <c r="H20" s="54">
        <f>BS!H8</f>
        <v>397.33333320000003</v>
      </c>
      <c r="I20" s="54">
        <f>BS!I8</f>
        <v>0</v>
      </c>
      <c r="J20" s="54">
        <f>BS!J8</f>
        <v>0</v>
      </c>
    </row>
    <row r="21" spans="2:11" s="97" customFormat="1" ht="21" customHeight="1" x14ac:dyDescent="0.35">
      <c r="B21" s="51" t="s">
        <v>620</v>
      </c>
      <c r="C21" s="54">
        <f>BS!C8+BS!C12</f>
        <v>2180</v>
      </c>
      <c r="D21" s="54">
        <f>BS!D8+BS!D12</f>
        <v>2010</v>
      </c>
      <c r="E21" s="54">
        <f>BS!E8+BS!E12</f>
        <v>1774</v>
      </c>
      <c r="F21" s="54">
        <f>BS!F8+BS!F12</f>
        <v>1486</v>
      </c>
      <c r="G21" s="54">
        <f>BS!G8+BS!G12</f>
        <v>1150</v>
      </c>
      <c r="H21" s="54">
        <f>BS!H8+BS!H12</f>
        <v>790</v>
      </c>
      <c r="I21" s="54">
        <f>BS!I8+BS!I12</f>
        <v>397.33333320000003</v>
      </c>
      <c r="J21" s="54">
        <f>BS!J8+BS!J12</f>
        <v>0</v>
      </c>
    </row>
    <row r="22" spans="2:11" s="97" customFormat="1" ht="21" customHeight="1" x14ac:dyDescent="0.35">
      <c r="B22" s="51" t="s">
        <v>621</v>
      </c>
      <c r="C22" s="54">
        <f>BS!C6</f>
        <v>1000</v>
      </c>
      <c r="D22" s="54">
        <f>BS!D6</f>
        <v>1000</v>
      </c>
      <c r="E22" s="54">
        <f>BS!E6</f>
        <v>1000</v>
      </c>
      <c r="F22" s="54">
        <f>BS!F6</f>
        <v>1000</v>
      </c>
      <c r="G22" s="54">
        <f>BS!G6</f>
        <v>1000</v>
      </c>
      <c r="H22" s="54">
        <f>BS!H6</f>
        <v>1000</v>
      </c>
      <c r="I22" s="54">
        <f>BS!I6</f>
        <v>1000</v>
      </c>
      <c r="J22" s="54">
        <f>BS!J6</f>
        <v>1000</v>
      </c>
    </row>
    <row r="23" spans="2:11" s="97" customFormat="1" ht="21" customHeight="1" x14ac:dyDescent="0.35">
      <c r="B23" s="51"/>
      <c r="C23" s="54"/>
      <c r="D23" s="54"/>
      <c r="E23" s="54"/>
      <c r="F23" s="54"/>
      <c r="G23" s="54"/>
      <c r="H23" s="54"/>
      <c r="I23" s="44"/>
      <c r="J23" s="44"/>
    </row>
    <row r="24" spans="2:11" s="97" customFormat="1" ht="21" customHeight="1" x14ac:dyDescent="0.35">
      <c r="B24" s="51" t="s">
        <v>421</v>
      </c>
      <c r="C24" s="100">
        <f>BS!C26+BS!C27+BS!C28</f>
        <v>0</v>
      </c>
      <c r="D24" s="100">
        <f>BS!D26+BS!D27+BS!D28</f>
        <v>2052.8832641991526</v>
      </c>
      <c r="E24" s="100">
        <f>BS!E26+BS!E27+BS!E28</f>
        <v>2876.1508807713412</v>
      </c>
      <c r="F24" s="100">
        <f>BS!F26+BS!F27+BS!F28</f>
        <v>3937.0787154846903</v>
      </c>
      <c r="G24" s="100">
        <f>BS!G26+BS!G27+BS!G28</f>
        <v>5270.8669773315405</v>
      </c>
      <c r="H24" s="100">
        <f>BS!H26+BS!H27+BS!H28</f>
        <v>6931.9399740428153</v>
      </c>
      <c r="I24" s="100">
        <f>BS!I26+BS!I27+BS!I28</f>
        <v>8942.450278691711</v>
      </c>
      <c r="J24" s="100">
        <f>BS!J26+BS!J27+BS!J28</f>
        <v>11364.547187124197</v>
      </c>
    </row>
    <row r="25" spans="2:11" s="97" customFormat="1" ht="21" customHeight="1" x14ac:dyDescent="0.35">
      <c r="B25" s="51" t="s">
        <v>475</v>
      </c>
      <c r="C25" s="100">
        <f>BS!C11+BS!C12</f>
        <v>170</v>
      </c>
      <c r="D25" s="100">
        <f>BS!D11+BS!D12</f>
        <v>1345.3336924797604</v>
      </c>
      <c r="E25" s="100">
        <f>BS!E11+BS!E12</f>
        <v>1641.0764935421046</v>
      </c>
      <c r="F25" s="100">
        <f>BS!F11+BS!F12</f>
        <v>1954.5082555479771</v>
      </c>
      <c r="G25" s="100">
        <f>BS!G11+BS!G12</f>
        <v>2267.1973190959234</v>
      </c>
      <c r="H25" s="100">
        <f>BS!H11+BS!H12</f>
        <v>2613.4821833926721</v>
      </c>
      <c r="I25" s="100">
        <f>BS!I11+BS!I12</f>
        <v>2958.4780217975213</v>
      </c>
      <c r="J25" s="100">
        <f>BS!J11+BS!J12</f>
        <v>2930.0836018731525</v>
      </c>
    </row>
    <row r="26" spans="2:11" s="97" customFormat="1" ht="21" customHeight="1" x14ac:dyDescent="0.35">
      <c r="B26" s="51"/>
      <c r="C26" s="100"/>
      <c r="D26" s="100"/>
      <c r="E26" s="100"/>
      <c r="F26" s="100"/>
      <c r="G26" s="100"/>
      <c r="H26" s="100"/>
      <c r="I26" s="44"/>
      <c r="J26" s="44"/>
    </row>
    <row r="27" spans="2:11" s="97" customFormat="1" ht="21" customHeight="1" x14ac:dyDescent="0.35">
      <c r="B27" s="200" t="s">
        <v>452</v>
      </c>
      <c r="C27" s="201" t="e">
        <f t="shared" ref="C27" si="2">C9/C18</f>
        <v>#DIV/0!</v>
      </c>
      <c r="D27" s="201">
        <f t="shared" ref="D27:J27" si="3">D9/D18</f>
        <v>2.1735243830767079E-4</v>
      </c>
      <c r="E27" s="201">
        <f t="shared" si="3"/>
        <v>9.446319648173801E-3</v>
      </c>
      <c r="F27" s="201">
        <f t="shared" si="3"/>
        <v>1.6008039978852973E-2</v>
      </c>
      <c r="G27" s="201">
        <f t="shared" si="3"/>
        <v>2.0836886678267143E-2</v>
      </c>
      <c r="H27" s="201">
        <f t="shared" si="3"/>
        <v>2.4455838346265083E-2</v>
      </c>
      <c r="I27" s="201">
        <f t="shared" si="3"/>
        <v>2.723247353343208E-2</v>
      </c>
      <c r="J27" s="201">
        <f t="shared" si="3"/>
        <v>2.9388556409148617E-2</v>
      </c>
    </row>
    <row r="28" spans="2:11" s="97" customFormat="1" ht="21" customHeight="1" x14ac:dyDescent="0.35">
      <c r="B28" s="200" t="s">
        <v>453</v>
      </c>
      <c r="C28" s="201">
        <f t="shared" ref="C28" si="4">C7/C12</f>
        <v>0</v>
      </c>
      <c r="D28" s="201">
        <f t="shared" ref="D28:J28" si="5">D7/D12</f>
        <v>8.5908133845533918E-2</v>
      </c>
      <c r="E28" s="201">
        <f t="shared" si="5"/>
        <v>0.22886036220920239</v>
      </c>
      <c r="F28" s="201">
        <f t="shared" si="5"/>
        <v>0.3392676287327539</v>
      </c>
      <c r="G28" s="201">
        <f t="shared" si="5"/>
        <v>0.39652588020313956</v>
      </c>
      <c r="H28" s="201">
        <f t="shared" si="5"/>
        <v>0.4104122502996419</v>
      </c>
      <c r="I28" s="201">
        <f t="shared" si="5"/>
        <v>0.39729533994745242</v>
      </c>
      <c r="J28" s="201">
        <f t="shared" si="5"/>
        <v>0.3544813868119005</v>
      </c>
    </row>
    <row r="29" spans="2:11" s="97" customFormat="1" ht="21" customHeight="1" x14ac:dyDescent="0.35">
      <c r="B29" s="200" t="s">
        <v>454</v>
      </c>
      <c r="C29" s="201">
        <f t="shared" ref="C29" si="6">C9/C13</f>
        <v>0</v>
      </c>
      <c r="D29" s="201">
        <f t="shared" ref="D29:J29" si="7">D9/D13</f>
        <v>6.138608407065262E-3</v>
      </c>
      <c r="E29" s="201">
        <f t="shared" si="7"/>
        <v>0.32681662388059918</v>
      </c>
      <c r="F29" s="201">
        <f t="shared" si="7"/>
        <v>0.66460087429022796</v>
      </c>
      <c r="G29" s="201">
        <f t="shared" si="7"/>
        <v>1.0218741176650901</v>
      </c>
      <c r="H29" s="201">
        <f t="shared" si="7"/>
        <v>1.3992454848945481</v>
      </c>
      <c r="I29" s="201">
        <f t="shared" si="7"/>
        <v>1.799618436068954</v>
      </c>
      <c r="J29" s="201">
        <f t="shared" si="7"/>
        <v>2.2245873179052222</v>
      </c>
    </row>
    <row r="30" spans="2:11" s="97" customFormat="1" ht="21" customHeight="1" x14ac:dyDescent="0.35">
      <c r="B30" s="200" t="s">
        <v>455</v>
      </c>
      <c r="C30" s="201">
        <f t="shared" ref="C30" si="8">C9/C14</f>
        <v>0</v>
      </c>
      <c r="D30" s="201">
        <f t="shared" ref="D30:J30" si="9">D9/D14</f>
        <v>6.1011558007738166E-3</v>
      </c>
      <c r="E30" s="201">
        <f t="shared" si="9"/>
        <v>0.24518199558713244</v>
      </c>
      <c r="F30" s="201">
        <f t="shared" si="9"/>
        <v>0.33270698735405585</v>
      </c>
      <c r="G30" s="201">
        <f t="shared" si="9"/>
        <v>0.33843276438729086</v>
      </c>
      <c r="H30" s="201">
        <f t="shared" si="9"/>
        <v>0.31666625409984273</v>
      </c>
      <c r="I30" s="201">
        <f t="shared" si="9"/>
        <v>0.28940709365706535</v>
      </c>
      <c r="J30" s="201">
        <f t="shared" si="9"/>
        <v>0.26348674059025923</v>
      </c>
      <c r="K30" s="47" t="s">
        <v>619</v>
      </c>
    </row>
    <row r="31" spans="2:11" s="97" customFormat="1" ht="21" customHeight="1" x14ac:dyDescent="0.35">
      <c r="B31" s="200" t="s">
        <v>456</v>
      </c>
      <c r="C31" s="202" t="e">
        <f>DSCR!C15</f>
        <v>#DIV/0!</v>
      </c>
      <c r="D31" s="202">
        <f>DSCR!D15</f>
        <v>2.0147672145421227</v>
      </c>
      <c r="E31" s="202">
        <f>DSCR!E15</f>
        <v>2.3040221164453016</v>
      </c>
      <c r="F31" s="202">
        <f>DSCR!F15</f>
        <v>2.7007227791240371</v>
      </c>
      <c r="G31" s="202">
        <f>DSCR!G15</f>
        <v>3.1728537533762387</v>
      </c>
      <c r="H31" s="202">
        <f>DSCR!H15</f>
        <v>3.8871969128230677</v>
      </c>
      <c r="I31" s="202">
        <f>DSCR!I15</f>
        <v>4.6443937917473823</v>
      </c>
      <c r="J31" s="202">
        <f>DSCR!J15</f>
        <v>5.9188956996179858</v>
      </c>
      <c r="K31" s="118">
        <f>DSCR!C16</f>
        <v>3.518198044517916</v>
      </c>
    </row>
    <row r="32" spans="2:11" s="97" customFormat="1" ht="21" customHeight="1" x14ac:dyDescent="0.35">
      <c r="B32" s="200" t="s">
        <v>457</v>
      </c>
      <c r="C32" s="203">
        <f t="shared" ref="C32" si="10">C19/C20</f>
        <v>2.0785064393034829</v>
      </c>
      <c r="D32" s="203">
        <f t="shared" ref="D32:J32" si="11">D19/D20</f>
        <v>2.034237305348181</v>
      </c>
      <c r="E32" s="203">
        <f t="shared" si="11"/>
        <v>2.1005240834848102</v>
      </c>
      <c r="F32" s="203">
        <f t="shared" si="11"/>
        <v>2.3511596431662425</v>
      </c>
      <c r="G32" s="203">
        <f t="shared" si="11"/>
        <v>2.9695677329207166</v>
      </c>
      <c r="H32" s="203">
        <f t="shared" si="11"/>
        <v>5.1319610621769707</v>
      </c>
      <c r="I32" s="203" t="e">
        <f t="shared" si="11"/>
        <v>#DIV/0!</v>
      </c>
      <c r="J32" s="203" t="e">
        <f t="shared" si="11"/>
        <v>#DIV/0!</v>
      </c>
    </row>
    <row r="33" spans="2:10" s="97" customFormat="1" ht="21" customHeight="1" x14ac:dyDescent="0.35">
      <c r="B33" s="200" t="s">
        <v>474</v>
      </c>
      <c r="C33" s="203" t="e">
        <f>C6/(C10+C11)</f>
        <v>#DIV/0!</v>
      </c>
      <c r="D33" s="203">
        <f t="shared" ref="D33:J33" si="12">D6/(D10+D11)</f>
        <v>3.5088053894746252</v>
      </c>
      <c r="E33" s="203">
        <f t="shared" si="12"/>
        <v>5.4404163544021165</v>
      </c>
      <c r="F33" s="203">
        <f t="shared" si="12"/>
        <v>8.2717207911384794</v>
      </c>
      <c r="G33" s="203">
        <f t="shared" si="12"/>
        <v>12.896694394911059</v>
      </c>
      <c r="H33" s="203">
        <f t="shared" si="12"/>
        <v>21.41291867712415</v>
      </c>
      <c r="I33" s="203">
        <f t="shared" si="12"/>
        <v>41.659286219051992</v>
      </c>
      <c r="J33" s="203">
        <f t="shared" si="12"/>
        <v>160.38497999799031</v>
      </c>
    </row>
    <row r="34" spans="2:10" s="97" customFormat="1" ht="21" customHeight="1" x14ac:dyDescent="0.35">
      <c r="B34" s="200" t="s">
        <v>476</v>
      </c>
      <c r="C34" s="203">
        <f t="shared" ref="C34" si="13">C24/C25</f>
        <v>0</v>
      </c>
      <c r="D34" s="203">
        <f t="shared" ref="D34:J34" si="14">D24/D25</f>
        <v>1.5259286790143605</v>
      </c>
      <c r="E34" s="203">
        <f t="shared" si="14"/>
        <v>1.7526001329550753</v>
      </c>
      <c r="F34" s="203">
        <f t="shared" si="14"/>
        <v>2.0143576801525804</v>
      </c>
      <c r="G34" s="203">
        <f t="shared" si="14"/>
        <v>2.3248382189483943</v>
      </c>
      <c r="H34" s="203">
        <f t="shared" si="14"/>
        <v>2.6523769773873758</v>
      </c>
      <c r="I34" s="203">
        <f t="shared" si="14"/>
        <v>3.0226522599814447</v>
      </c>
      <c r="J34" s="203">
        <f t="shared" si="14"/>
        <v>3.8785743791948586</v>
      </c>
    </row>
    <row r="35" spans="2:10" s="97" customFormat="1" ht="21" customHeight="1" x14ac:dyDescent="0.35">
      <c r="B35" s="200" t="s">
        <v>582</v>
      </c>
      <c r="C35" s="203">
        <f t="shared" ref="C35" si="15">C16/C17</f>
        <v>2.1800000000000002</v>
      </c>
      <c r="D35" s="203">
        <f t="shared" ref="D35:J35" si="16">D16/D17</f>
        <v>3.1003021516273384</v>
      </c>
      <c r="E35" s="203">
        <f t="shared" si="16"/>
        <v>2.3459726311853002</v>
      </c>
      <c r="F35" s="203">
        <f t="shared" si="16"/>
        <v>1.5541532201898731</v>
      </c>
      <c r="G35" s="203">
        <f t="shared" si="16"/>
        <v>1.0125080204038859</v>
      </c>
      <c r="H35" s="203">
        <f t="shared" si="16"/>
        <v>0.68138413288997501</v>
      </c>
      <c r="I35" s="203">
        <f t="shared" si="16"/>
        <v>0.47577003478970714</v>
      </c>
      <c r="J35" s="203">
        <f t="shared" si="16"/>
        <v>0.34704781947669816</v>
      </c>
    </row>
    <row r="36" spans="2:10" s="97" customFormat="1" ht="21" customHeight="1" x14ac:dyDescent="0.35">
      <c r="B36" s="200" t="s">
        <v>488</v>
      </c>
      <c r="C36" s="203">
        <f>C21/C22</f>
        <v>2.1800000000000002</v>
      </c>
      <c r="D36" s="203">
        <f t="shared" ref="D36:J36" si="17">D21/D22</f>
        <v>2.0099999999999998</v>
      </c>
      <c r="E36" s="203">
        <f t="shared" si="17"/>
        <v>1.774</v>
      </c>
      <c r="F36" s="203">
        <f t="shared" si="17"/>
        <v>1.486</v>
      </c>
      <c r="G36" s="203">
        <f t="shared" si="17"/>
        <v>1.1499999999999999</v>
      </c>
      <c r="H36" s="203">
        <f t="shared" si="17"/>
        <v>0.79</v>
      </c>
      <c r="I36" s="203">
        <f t="shared" si="17"/>
        <v>0.39733333320000003</v>
      </c>
      <c r="J36" s="203">
        <f t="shared" si="17"/>
        <v>0</v>
      </c>
    </row>
    <row r="37" spans="2:10" s="97" customFormat="1" ht="21" customHeight="1" x14ac:dyDescent="0.35">
      <c r="B37" s="132" t="s">
        <v>459</v>
      </c>
      <c r="C37" s="204"/>
      <c r="D37" s="204"/>
      <c r="E37" s="204"/>
      <c r="F37" s="204"/>
      <c r="G37" s="204"/>
      <c r="H37" s="204"/>
      <c r="I37" s="73"/>
      <c r="J37" s="73"/>
    </row>
    <row r="38" spans="2:10" s="97" customFormat="1" ht="20.25" customHeight="1" x14ac:dyDescent="0.35">
      <c r="B38" s="51" t="s">
        <v>29</v>
      </c>
      <c r="C38" s="100">
        <f>'P &amp; L'!D12</f>
        <v>0</v>
      </c>
      <c r="D38" s="100">
        <f>'P &amp; L'!E12</f>
        <v>28242.648000000001</v>
      </c>
      <c r="E38" s="100">
        <f>'P &amp; L'!F12</f>
        <v>34597.243799999997</v>
      </c>
      <c r="F38" s="100">
        <f>'P &amp; L'!G12</f>
        <v>41516.69256000001</v>
      </c>
      <c r="G38" s="100">
        <f>'P &amp; L'!H12</f>
        <v>49041.593086500012</v>
      </c>
      <c r="H38" s="100">
        <f>'P &amp; L'!I12</f>
        <v>57215.191934250011</v>
      </c>
      <c r="I38" s="100">
        <f>'P &amp; L'!J12</f>
        <v>66083.546684058776</v>
      </c>
      <c r="J38" s="100">
        <f>'P &amp; L'!K12</f>
        <v>75695.698929012768</v>
      </c>
    </row>
    <row r="39" spans="2:10" s="97" customFormat="1" ht="20.25" customHeight="1" x14ac:dyDescent="0.35">
      <c r="B39" s="51" t="s">
        <v>30</v>
      </c>
      <c r="C39" s="100">
        <f>'P &amp; L'!D19</f>
        <v>0</v>
      </c>
      <c r="D39" s="100">
        <f>'P &amp; L'!E19</f>
        <v>26576.720517007503</v>
      </c>
      <c r="E39" s="100">
        <f>'P &amp; L'!F19</f>
        <v>32521.040492857872</v>
      </c>
      <c r="F39" s="100">
        <f>'P &amp; L'!G19</f>
        <v>38993.350665000777</v>
      </c>
      <c r="G39" s="100">
        <f>'P &amp; L'!H19</f>
        <v>46031.589253125807</v>
      </c>
      <c r="H39" s="100">
        <f>'P &amp; L'!I19</f>
        <v>53676.168323400867</v>
      </c>
      <c r="I39" s="100">
        <f>'P &amp; L'!J19</f>
        <v>61970.126327570615</v>
      </c>
      <c r="J39" s="100">
        <f>'P &amp; L'!K19</f>
        <v>70959.289711348814</v>
      </c>
    </row>
    <row r="40" spans="2:10" s="97" customFormat="1" ht="20.25" customHeight="1" x14ac:dyDescent="0.35">
      <c r="B40" s="51" t="s">
        <v>31</v>
      </c>
      <c r="C40" s="100">
        <f t="shared" ref="C40" si="18">C38-C39</f>
        <v>0</v>
      </c>
      <c r="D40" s="100">
        <f t="shared" ref="D40:J40" si="19">D38-D39</f>
        <v>1665.927482992498</v>
      </c>
      <c r="E40" s="100">
        <f t="shared" si="19"/>
        <v>2076.2033071421247</v>
      </c>
      <c r="F40" s="100">
        <f t="shared" si="19"/>
        <v>2523.3418949992338</v>
      </c>
      <c r="G40" s="100">
        <f t="shared" si="19"/>
        <v>3010.003833374205</v>
      </c>
      <c r="H40" s="100">
        <f t="shared" si="19"/>
        <v>3539.0236108491445</v>
      </c>
      <c r="I40" s="100">
        <f t="shared" si="19"/>
        <v>4113.4203564881609</v>
      </c>
      <c r="J40" s="100">
        <f t="shared" si="19"/>
        <v>4736.4092176639533</v>
      </c>
    </row>
    <row r="41" spans="2:10" s="97" customFormat="1" ht="20.25" customHeight="1" x14ac:dyDescent="0.35">
      <c r="B41" s="51" t="s">
        <v>32</v>
      </c>
      <c r="C41" s="100">
        <f>'P &amp; L'!D24</f>
        <v>0</v>
      </c>
      <c r="D41" s="100">
        <f>'P &amp; L'!E24</f>
        <v>856.68000000000006</v>
      </c>
      <c r="E41" s="100">
        <f>'P &amp; L'!F24</f>
        <v>942.34800000000018</v>
      </c>
      <c r="F41" s="100">
        <f>'P &amp; L'!G24</f>
        <v>1036.5828000000004</v>
      </c>
      <c r="G41" s="100">
        <f>'P &amp; L'!H24</f>
        <v>1140.2410800000002</v>
      </c>
      <c r="H41" s="100">
        <f>'P &amp; L'!I24</f>
        <v>1254.2651880000005</v>
      </c>
      <c r="I41" s="100">
        <f>'P &amp; L'!J24</f>
        <v>1379.6917068000007</v>
      </c>
      <c r="J41" s="100">
        <f>'P &amp; L'!K24</f>
        <v>1517.6608774800009</v>
      </c>
    </row>
    <row r="42" spans="2:10" s="97" customFormat="1" ht="20.25" customHeight="1" x14ac:dyDescent="0.35">
      <c r="B42" s="51" t="s">
        <v>33</v>
      </c>
      <c r="C42" s="100">
        <f>'P &amp; L'!D27</f>
        <v>0</v>
      </c>
      <c r="D42" s="100">
        <f>'P &amp; L'!E27</f>
        <v>230.63333333333333</v>
      </c>
      <c r="E42" s="100">
        <f>'P &amp; L'!F27</f>
        <v>208.41333333333336</v>
      </c>
      <c r="F42" s="100">
        <f>'P &amp; L'!G27</f>
        <v>179.73999999999995</v>
      </c>
      <c r="G42" s="100">
        <f>'P &amp; L'!H27</f>
        <v>144.97999999999999</v>
      </c>
      <c r="H42" s="100">
        <f>'P &amp; L'!I27</f>
        <v>106.7</v>
      </c>
      <c r="I42" s="100">
        <f>'P &amp; L'!J27</f>
        <v>65.621111108666668</v>
      </c>
      <c r="J42" s="100">
        <f>'P &amp; L'!K27</f>
        <v>20.068888871166667</v>
      </c>
    </row>
    <row r="43" spans="2:10" s="97" customFormat="1" ht="20.25" customHeight="1" x14ac:dyDescent="0.35">
      <c r="B43" s="51" t="s">
        <v>34</v>
      </c>
      <c r="C43" s="100">
        <f>'P &amp; L'!D30</f>
        <v>0</v>
      </c>
      <c r="D43" s="100">
        <f>'P &amp; L'!E30</f>
        <v>569.06096331232709</v>
      </c>
      <c r="E43" s="100">
        <f>'P &amp; L'!F30</f>
        <v>487.35819162924531</v>
      </c>
      <c r="F43" s="100">
        <f>'P &amp; L'!G30</f>
        <v>417.54519841724908</v>
      </c>
      <c r="G43" s="100">
        <f>'P &amp; L'!H30</f>
        <v>357.87508063381324</v>
      </c>
      <c r="H43" s="100">
        <f>'P &amp; L'!I30</f>
        <v>306.85931431997761</v>
      </c>
      <c r="I43" s="100">
        <f>'P &amp; L'!J30</f>
        <v>263.22936337509367</v>
      </c>
      <c r="J43" s="100">
        <f>'P &amp; L'!K30</f>
        <v>225.90401045163105</v>
      </c>
    </row>
    <row r="44" spans="2:10" s="97" customFormat="1" ht="20.25" customHeight="1" x14ac:dyDescent="0.35">
      <c r="B44" s="51" t="s">
        <v>35</v>
      </c>
      <c r="C44" s="100">
        <f t="shared" ref="C44" si="20">C41+C42+C43</f>
        <v>0</v>
      </c>
      <c r="D44" s="100">
        <f t="shared" ref="D44:J44" si="21">D41+D42+D43</f>
        <v>1656.3742966456607</v>
      </c>
      <c r="E44" s="100">
        <f t="shared" si="21"/>
        <v>1638.1195249625789</v>
      </c>
      <c r="F44" s="100">
        <f t="shared" si="21"/>
        <v>1633.8679984172495</v>
      </c>
      <c r="G44" s="100">
        <f t="shared" si="21"/>
        <v>1643.0961606338135</v>
      </c>
      <c r="H44" s="100">
        <f t="shared" si="21"/>
        <v>1667.8245023199781</v>
      </c>
      <c r="I44" s="100">
        <f t="shared" si="21"/>
        <v>1708.542181283761</v>
      </c>
      <c r="J44" s="100">
        <f t="shared" si="21"/>
        <v>1763.6337768027984</v>
      </c>
    </row>
    <row r="45" spans="2:10" ht="20.25" hidden="1" customHeight="1" x14ac:dyDescent="0.35">
      <c r="B45" s="51" t="s">
        <v>36</v>
      </c>
    </row>
    <row r="46" spans="2:10" ht="20.25" hidden="1" customHeight="1" x14ac:dyDescent="0.35">
      <c r="B46" s="51" t="s">
        <v>37</v>
      </c>
    </row>
    <row r="47" spans="2:10" ht="20.25" hidden="1" customHeight="1" x14ac:dyDescent="0.35">
      <c r="B47" s="51" t="s">
        <v>38</v>
      </c>
    </row>
    <row r="48" spans="2:10" ht="20.25" hidden="1" customHeight="1" x14ac:dyDescent="0.35">
      <c r="B48" s="51" t="s">
        <v>39</v>
      </c>
    </row>
    <row r="49" spans="2:10" ht="20.25" hidden="1" customHeight="1" x14ac:dyDescent="0.35">
      <c r="B49" s="51" t="s">
        <v>40</v>
      </c>
    </row>
    <row r="50" spans="2:10" ht="20.25" hidden="1" customHeight="1" x14ac:dyDescent="0.35">
      <c r="B50" s="51" t="s">
        <v>41</v>
      </c>
    </row>
    <row r="51" spans="2:10" ht="20.25" customHeight="1" x14ac:dyDescent="0.35">
      <c r="B51" s="152" t="s">
        <v>460</v>
      </c>
      <c r="C51" s="100">
        <f t="shared" ref="C51" si="22">C40-C44</f>
        <v>0</v>
      </c>
      <c r="D51" s="100">
        <f t="shared" ref="D51:J51" si="23">D40-D44</f>
        <v>9.5531863468372649</v>
      </c>
      <c r="E51" s="100">
        <f t="shared" si="23"/>
        <v>438.08378217954578</v>
      </c>
      <c r="F51" s="100">
        <f t="shared" si="23"/>
        <v>889.47389658198426</v>
      </c>
      <c r="G51" s="100">
        <f t="shared" si="23"/>
        <v>1366.9076727403915</v>
      </c>
      <c r="H51" s="100">
        <f t="shared" si="23"/>
        <v>1871.1991085291663</v>
      </c>
      <c r="I51" s="100">
        <f t="shared" si="23"/>
        <v>2404.8781752043997</v>
      </c>
      <c r="J51" s="100">
        <f t="shared" si="23"/>
        <v>2972.7754408611549</v>
      </c>
    </row>
    <row r="52" spans="2:10" ht="20.25" customHeight="1" x14ac:dyDescent="0.35">
      <c r="B52" s="152" t="s">
        <v>461</v>
      </c>
      <c r="C52" s="197" t="e">
        <f t="shared" ref="C52" si="24">C40/C38</f>
        <v>#DIV/0!</v>
      </c>
      <c r="D52" s="197">
        <f t="shared" ref="D52:J52" si="25">D40/D38</f>
        <v>5.8986235390976721E-2</v>
      </c>
      <c r="E52" s="197">
        <f t="shared" si="25"/>
        <v>6.0010656315406398E-2</v>
      </c>
      <c r="F52" s="197">
        <f t="shared" si="25"/>
        <v>6.077897200872865E-2</v>
      </c>
      <c r="G52" s="197">
        <f t="shared" si="25"/>
        <v>6.1376550881312782E-2</v>
      </c>
      <c r="H52" s="197">
        <f t="shared" si="25"/>
        <v>6.1854613979379545E-2</v>
      </c>
      <c r="I52" s="197">
        <f t="shared" si="25"/>
        <v>6.2245756514161706E-2</v>
      </c>
      <c r="J52" s="197">
        <f t="shared" si="25"/>
        <v>6.2571708626480163E-2</v>
      </c>
    </row>
    <row r="53" spans="2:10" ht="20.25" customHeight="1" x14ac:dyDescent="0.35">
      <c r="B53" s="205" t="s">
        <v>462</v>
      </c>
      <c r="C53" s="206" t="e">
        <f t="shared" ref="C53" si="26">(C41/C40)*C38</f>
        <v>#DIV/0!</v>
      </c>
      <c r="D53" s="206">
        <f t="shared" ref="D53:J53" si="27">(D41/D40)*D38</f>
        <v>14523.38828409193</v>
      </c>
      <c r="E53" s="206">
        <f t="shared" si="27"/>
        <v>15703.0110626881</v>
      </c>
      <c r="F53" s="206">
        <f t="shared" si="27"/>
        <v>17054.957754980351</v>
      </c>
      <c r="G53" s="206">
        <f t="shared" si="27"/>
        <v>18577.796627981705</v>
      </c>
      <c r="H53" s="206">
        <f t="shared" si="27"/>
        <v>20277.633426313754</v>
      </c>
      <c r="I53" s="206">
        <f t="shared" si="27"/>
        <v>22165.233167117232</v>
      </c>
      <c r="J53" s="206">
        <f t="shared" si="27"/>
        <v>24254.74564774361</v>
      </c>
    </row>
    <row r="54" spans="2:10" ht="20.25" customHeight="1" x14ac:dyDescent="0.35">
      <c r="B54" s="207" t="s">
        <v>463</v>
      </c>
      <c r="C54" s="208" t="e">
        <f t="shared" ref="C54" si="28">C53/C38</f>
        <v>#DIV/0!</v>
      </c>
      <c r="D54" s="208">
        <f t="shared" ref="D54:J54" si="29">D53/D38</f>
        <v>0.51423606894409934</v>
      </c>
      <c r="E54" s="208">
        <f t="shared" si="29"/>
        <v>0.45388040600760521</v>
      </c>
      <c r="F54" s="208">
        <f t="shared" si="29"/>
        <v>0.41079760220139139</v>
      </c>
      <c r="G54" s="208">
        <f t="shared" si="29"/>
        <v>0.37881715211033246</v>
      </c>
      <c r="H54" s="208">
        <f t="shared" si="29"/>
        <v>0.35440995198646197</v>
      </c>
      <c r="I54" s="208">
        <f t="shared" si="29"/>
        <v>0.33541228156363639</v>
      </c>
      <c r="J54" s="208">
        <f t="shared" si="29"/>
        <v>0.32042435687778836</v>
      </c>
    </row>
  </sheetData>
  <customSheetViews>
    <customSheetView guid="{22475485-DA09-46DB-978D-BB94CE1E5597}" hiddenRows="1" topLeftCell="A8">
      <selection activeCell="A20" sqref="A20"/>
      <pageMargins left="0.7" right="0.7" top="0.75" bottom="0.75" header="0.3" footer="0.3"/>
      <pageSetup paperSize="9" orientation="landscape" verticalDpi="300" r:id="rId1"/>
    </customSheetView>
  </customSheetViews>
  <pageMargins left="0.7" right="0.7" top="0.75" bottom="0.75" header="0.3" footer="0.3"/>
  <pageSetup paperSize="9" orientation="landscape" verticalDpi="3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2" tint="-0.749992370372631"/>
  </sheetPr>
  <dimension ref="B2:K49"/>
  <sheetViews>
    <sheetView showGridLines="0" workbookViewId="0">
      <pane xSplit="2" ySplit="5" topLeftCell="C39" activePane="bottomRight" state="frozen"/>
      <selection activeCell="B8" sqref="B8"/>
      <selection pane="topRight" activeCell="B8" sqref="B8"/>
      <selection pane="bottomLeft" activeCell="B8" sqref="B8"/>
      <selection pane="bottomRight" activeCell="E41" sqref="E41:K41"/>
    </sheetView>
  </sheetViews>
  <sheetFormatPr defaultColWidth="9.1796875" defaultRowHeight="14.5" x14ac:dyDescent="0.35"/>
  <cols>
    <col min="1" max="1" width="5.453125" style="97" customWidth="1"/>
    <col min="2" max="2" width="36.54296875" style="51" customWidth="1"/>
    <col min="3" max="11" width="10.54296875" style="44" customWidth="1"/>
    <col min="12" max="16384" width="9.1796875" style="97"/>
  </cols>
  <sheetData>
    <row r="2" spans="2:11" x14ac:dyDescent="0.35">
      <c r="B2" s="150" t="s">
        <v>464</v>
      </c>
      <c r="C2" s="136"/>
      <c r="D2" s="136"/>
      <c r="E2" s="136"/>
      <c r="F2" s="136"/>
      <c r="G2" s="136"/>
      <c r="H2" s="136"/>
      <c r="I2" s="136"/>
      <c r="J2" s="136"/>
      <c r="K2" s="136"/>
    </row>
    <row r="3" spans="2:11" x14ac:dyDescent="0.35">
      <c r="B3" s="107"/>
    </row>
    <row r="4" spans="2:11" x14ac:dyDescent="0.35">
      <c r="B4" s="176" t="s">
        <v>345</v>
      </c>
      <c r="C4" s="115"/>
      <c r="D4" s="115">
        <v>0</v>
      </c>
      <c r="E4" s="115">
        <v>12</v>
      </c>
      <c r="F4" s="115">
        <v>12</v>
      </c>
      <c r="G4" s="115">
        <v>12</v>
      </c>
      <c r="H4" s="115">
        <v>12</v>
      </c>
      <c r="I4" s="115">
        <v>12</v>
      </c>
      <c r="J4" s="115">
        <v>12</v>
      </c>
      <c r="K4" s="115">
        <v>12</v>
      </c>
    </row>
    <row r="5" spans="2:11" x14ac:dyDescent="0.35">
      <c r="B5" s="122" t="s">
        <v>628</v>
      </c>
      <c r="C5" s="94">
        <v>2024</v>
      </c>
      <c r="D5" s="94">
        <f>C5+1</f>
        <v>2025</v>
      </c>
      <c r="E5" s="94">
        <f t="shared" ref="E5:K5" si="0">D5+1</f>
        <v>2026</v>
      </c>
      <c r="F5" s="94">
        <f t="shared" si="0"/>
        <v>2027</v>
      </c>
      <c r="G5" s="94">
        <f t="shared" si="0"/>
        <v>2028</v>
      </c>
      <c r="H5" s="94">
        <f t="shared" si="0"/>
        <v>2029</v>
      </c>
      <c r="I5" s="94">
        <f t="shared" si="0"/>
        <v>2030</v>
      </c>
      <c r="J5" s="94">
        <f t="shared" si="0"/>
        <v>2031</v>
      </c>
      <c r="K5" s="94">
        <f t="shared" si="0"/>
        <v>2032</v>
      </c>
    </row>
    <row r="6" spans="2:11" ht="16.5" customHeight="1" x14ac:dyDescent="0.35">
      <c r="B6" s="51" t="s">
        <v>466</v>
      </c>
      <c r="C6" s="48"/>
      <c r="D6" s="318">
        <f>'P &amp; L'!D12</f>
        <v>0</v>
      </c>
      <c r="E6" s="318">
        <f>'P &amp; L'!E12</f>
        <v>28242.648000000001</v>
      </c>
      <c r="F6" s="318">
        <f>'P &amp; L'!F12</f>
        <v>34597.243799999997</v>
      </c>
      <c r="G6" s="318">
        <f>'P &amp; L'!G12</f>
        <v>41516.69256000001</v>
      </c>
      <c r="H6" s="318">
        <f>'P &amp; L'!H12</f>
        <v>49041.593086500012</v>
      </c>
      <c r="I6" s="318">
        <f>'P &amp; L'!I12</f>
        <v>57215.191934250011</v>
      </c>
      <c r="J6" s="318">
        <f>'P &amp; L'!J12</f>
        <v>66083.546684058776</v>
      </c>
      <c r="K6" s="318">
        <f>'P &amp; L'!K12</f>
        <v>75695.698929012768</v>
      </c>
    </row>
    <row r="7" spans="2:11" ht="16.5" customHeight="1" x14ac:dyDescent="0.35">
      <c r="B7" s="51" t="s">
        <v>467</v>
      </c>
      <c r="C7" s="48"/>
      <c r="D7" s="318">
        <f>'P &amp; L'!D15</f>
        <v>0</v>
      </c>
      <c r="E7" s="318">
        <f>'P &amp; L'!E15</f>
        <v>25930.800000000003</v>
      </c>
      <c r="F7" s="318">
        <f>'P &amp; L'!F15</f>
        <v>31765.229999999996</v>
      </c>
      <c r="G7" s="318">
        <f>'P &amp; L'!G15</f>
        <v>38118.276000000005</v>
      </c>
      <c r="H7" s="318">
        <f>'P &amp; L'!H15</f>
        <v>45027.213525000006</v>
      </c>
      <c r="I7" s="318">
        <f>'P &amp; L'!I15</f>
        <v>52531.749112500016</v>
      </c>
      <c r="J7" s="318">
        <f>'P &amp; L'!J15</f>
        <v>60674.17022493753</v>
      </c>
      <c r="K7" s="318">
        <f>'P &amp; L'!K15</f>
        <v>69499.504075837525</v>
      </c>
    </row>
    <row r="8" spans="2:11" ht="16.5" customHeight="1" x14ac:dyDescent="0.35">
      <c r="B8" s="51" t="s">
        <v>572</v>
      </c>
      <c r="C8" s="100"/>
      <c r="D8" s="318">
        <f>'P &amp; L'!D16</f>
        <v>0</v>
      </c>
      <c r="E8" s="318">
        <f>'P &amp; L'!E17</f>
        <v>1.89</v>
      </c>
      <c r="F8" s="318">
        <f>'P &amp; L'!F17</f>
        <v>2.3152499999999998</v>
      </c>
      <c r="G8" s="318">
        <f>'P &amp; L'!G17</f>
        <v>2.7783000000000002</v>
      </c>
      <c r="H8" s="318">
        <f>'P &amp; L'!H17</f>
        <v>3.2818668750000008</v>
      </c>
      <c r="I8" s="318">
        <f>'P &amp; L'!I17</f>
        <v>3.8288446875000006</v>
      </c>
      <c r="J8" s="318">
        <f>'P &amp; L'!J17</f>
        <v>4.4223156140625015</v>
      </c>
      <c r="K8" s="318">
        <f>'P &amp; L'!K17</f>
        <v>5.0655615215625014</v>
      </c>
    </row>
    <row r="9" spans="2:11" ht="16.5" customHeight="1" x14ac:dyDescent="0.35">
      <c r="B9" s="51" t="s">
        <v>1043</v>
      </c>
      <c r="C9" s="100"/>
      <c r="D9" s="318">
        <f>'P &amp; L'!D17</f>
        <v>0</v>
      </c>
      <c r="E9" s="318">
        <f>'P &amp; L'!E17</f>
        <v>1.89</v>
      </c>
      <c r="F9" s="318">
        <f>'P &amp; L'!F17</f>
        <v>2.3152499999999998</v>
      </c>
      <c r="G9" s="318">
        <f>'P &amp; L'!G17</f>
        <v>2.7783000000000002</v>
      </c>
      <c r="H9" s="318">
        <f>'P &amp; L'!H17</f>
        <v>3.2818668750000008</v>
      </c>
      <c r="I9" s="318">
        <f>'P &amp; L'!I17</f>
        <v>3.8288446875000006</v>
      </c>
      <c r="J9" s="318">
        <f>'P &amp; L'!J17</f>
        <v>4.4223156140625015</v>
      </c>
      <c r="K9" s="318">
        <f>'P &amp; L'!K17</f>
        <v>5.0655615215625014</v>
      </c>
    </row>
    <row r="10" spans="2:11" ht="16.5" customHeight="1" x14ac:dyDescent="0.35">
      <c r="B10" s="51" t="s">
        <v>1072</v>
      </c>
      <c r="C10" s="100"/>
      <c r="D10" s="318">
        <f>'P &amp; L'!D18</f>
        <v>0</v>
      </c>
      <c r="E10" s="318">
        <f>'P &amp; L'!E18</f>
        <v>202.52651700750002</v>
      </c>
      <c r="F10" s="318">
        <f>'P &amp; L'!F18</f>
        <v>212.65284285787502</v>
      </c>
      <c r="G10" s="318">
        <f>'P &amp; L'!G18</f>
        <v>223.28548500076877</v>
      </c>
      <c r="H10" s="318">
        <f>'P &amp; L'!H18</f>
        <v>234.44975925080723</v>
      </c>
      <c r="I10" s="318">
        <f>'P &amp; L'!I18</f>
        <v>246.17224721334762</v>
      </c>
      <c r="J10" s="318">
        <f>'P &amp; L'!J18</f>
        <v>258.48085957401503</v>
      </c>
      <c r="K10" s="318">
        <f>'P &amp; L'!K18</f>
        <v>271.40490255271578</v>
      </c>
    </row>
    <row r="11" spans="2:11" ht="16.5" customHeight="1" x14ac:dyDescent="0.35">
      <c r="B11" s="51" t="s">
        <v>751</v>
      </c>
      <c r="C11" s="100"/>
      <c r="D11" s="318">
        <f>'P &amp; L'!D24</f>
        <v>0</v>
      </c>
      <c r="E11" s="318">
        <f>'P &amp; L'!E24</f>
        <v>856.68000000000006</v>
      </c>
      <c r="F11" s="318">
        <f>'P &amp; L'!F24</f>
        <v>942.34800000000018</v>
      </c>
      <c r="G11" s="318">
        <f>'P &amp; L'!G24</f>
        <v>1036.5828000000004</v>
      </c>
      <c r="H11" s="318">
        <f>'P &amp; L'!H24</f>
        <v>1140.2410800000002</v>
      </c>
      <c r="I11" s="318">
        <f>'P &amp; L'!I24</f>
        <v>1254.2651880000005</v>
      </c>
      <c r="J11" s="318">
        <f>'P &amp; L'!J24</f>
        <v>1379.6917068000007</v>
      </c>
      <c r="K11" s="318">
        <f>'P &amp; L'!K24</f>
        <v>1517.6608774800009</v>
      </c>
    </row>
    <row r="12" spans="2:11" ht="16.5" customHeight="1" x14ac:dyDescent="0.35">
      <c r="C12" s="100"/>
      <c r="D12" s="100"/>
      <c r="E12" s="100"/>
      <c r="F12" s="100"/>
      <c r="G12" s="100"/>
      <c r="H12" s="100"/>
      <c r="I12" s="100"/>
      <c r="J12" s="100"/>
      <c r="K12" s="100"/>
    </row>
    <row r="13" spans="2:11" ht="16.5" customHeight="1" x14ac:dyDescent="0.35">
      <c r="C13" s="100"/>
      <c r="D13" s="100"/>
      <c r="E13" s="100"/>
      <c r="F13" s="100"/>
      <c r="G13" s="100"/>
      <c r="H13" s="100"/>
      <c r="I13" s="100"/>
      <c r="J13" s="100"/>
      <c r="K13" s="100"/>
    </row>
    <row r="14" spans="2:11" ht="16.5" customHeight="1" x14ac:dyDescent="0.35">
      <c r="B14" s="51" t="s">
        <v>391</v>
      </c>
      <c r="D14" s="198">
        <f>C16</f>
        <v>0</v>
      </c>
      <c r="E14" s="198">
        <f t="shared" ref="E14:K14" si="1">D16</f>
        <v>0</v>
      </c>
      <c r="F14" s="198">
        <f t="shared" si="1"/>
        <v>1278.7791780821919</v>
      </c>
      <c r="G14" s="198">
        <f t="shared" si="1"/>
        <v>1566.5044931506845</v>
      </c>
      <c r="H14" s="198">
        <f t="shared" si="1"/>
        <v>1879.8053917808222</v>
      </c>
      <c r="I14" s="198">
        <f t="shared" si="1"/>
        <v>2220.5201190410962</v>
      </c>
      <c r="J14" s="198">
        <f t="shared" si="1"/>
        <v>2590.6068055479459</v>
      </c>
      <c r="K14" s="198">
        <f t="shared" si="1"/>
        <v>2992.1508604078781</v>
      </c>
    </row>
    <row r="15" spans="2:11" ht="16.5" customHeight="1" x14ac:dyDescent="0.35">
      <c r="B15" s="45" t="s">
        <v>392</v>
      </c>
      <c r="C15" s="54"/>
      <c r="D15" s="198">
        <f t="shared" ref="D15" si="2">D7</f>
        <v>0</v>
      </c>
      <c r="E15" s="198">
        <f t="shared" ref="E15:K15" si="3">E7</f>
        <v>25930.800000000003</v>
      </c>
      <c r="F15" s="198">
        <f t="shared" si="3"/>
        <v>31765.229999999996</v>
      </c>
      <c r="G15" s="198">
        <f t="shared" si="3"/>
        <v>38118.276000000005</v>
      </c>
      <c r="H15" s="198">
        <f t="shared" si="3"/>
        <v>45027.213525000006</v>
      </c>
      <c r="I15" s="198">
        <f t="shared" si="3"/>
        <v>52531.749112500016</v>
      </c>
      <c r="J15" s="198">
        <f t="shared" si="3"/>
        <v>60674.17022493753</v>
      </c>
      <c r="K15" s="198">
        <f t="shared" si="3"/>
        <v>69499.504075837525</v>
      </c>
    </row>
    <row r="16" spans="2:11" ht="16.5" customHeight="1" x14ac:dyDescent="0.35">
      <c r="B16" s="51" t="s">
        <v>393</v>
      </c>
      <c r="C16" s="198"/>
      <c r="D16" s="198">
        <f>D18*D17/365</f>
        <v>0</v>
      </c>
      <c r="E16" s="198">
        <f t="shared" ref="E16:K16" si="4">E18*E17/365</f>
        <v>1278.7791780821919</v>
      </c>
      <c r="F16" s="198">
        <f t="shared" si="4"/>
        <v>1566.5044931506845</v>
      </c>
      <c r="G16" s="198">
        <f t="shared" si="4"/>
        <v>1879.8053917808222</v>
      </c>
      <c r="H16" s="198">
        <f t="shared" si="4"/>
        <v>2220.5201190410962</v>
      </c>
      <c r="I16" s="198">
        <f t="shared" si="4"/>
        <v>2590.6068055479459</v>
      </c>
      <c r="J16" s="198">
        <f t="shared" si="4"/>
        <v>2992.1508604078781</v>
      </c>
      <c r="K16" s="198">
        <f t="shared" si="4"/>
        <v>3427.3728037399328</v>
      </c>
    </row>
    <row r="17" spans="2:11" ht="16.5" customHeight="1" x14ac:dyDescent="0.35">
      <c r="B17" s="51" t="s">
        <v>155</v>
      </c>
      <c r="D17" s="266">
        <v>18</v>
      </c>
      <c r="E17" s="266">
        <f>D17</f>
        <v>18</v>
      </c>
      <c r="F17" s="266">
        <f t="shared" ref="F17:K17" si="5">E17</f>
        <v>18</v>
      </c>
      <c r="G17" s="266">
        <f t="shared" si="5"/>
        <v>18</v>
      </c>
      <c r="H17" s="266">
        <f t="shared" si="5"/>
        <v>18</v>
      </c>
      <c r="I17" s="266">
        <f t="shared" si="5"/>
        <v>18</v>
      </c>
      <c r="J17" s="266">
        <f t="shared" si="5"/>
        <v>18</v>
      </c>
      <c r="K17" s="266">
        <f t="shared" si="5"/>
        <v>18</v>
      </c>
    </row>
    <row r="18" spans="2:11" ht="16.5" customHeight="1" x14ac:dyDescent="0.35">
      <c r="B18" s="51" t="s">
        <v>394</v>
      </c>
      <c r="C18" s="54"/>
      <c r="D18" s="198">
        <f t="shared" ref="D18" si="6">D7</f>
        <v>0</v>
      </c>
      <c r="E18" s="198">
        <f t="shared" ref="E18:K18" si="7">E7</f>
        <v>25930.800000000003</v>
      </c>
      <c r="F18" s="198">
        <f t="shared" si="7"/>
        <v>31765.229999999996</v>
      </c>
      <c r="G18" s="198">
        <f t="shared" si="7"/>
        <v>38118.276000000005</v>
      </c>
      <c r="H18" s="198">
        <f t="shared" si="7"/>
        <v>45027.213525000006</v>
      </c>
      <c r="I18" s="198">
        <f t="shared" si="7"/>
        <v>52531.749112500016</v>
      </c>
      <c r="J18" s="198">
        <f t="shared" si="7"/>
        <v>60674.17022493753</v>
      </c>
      <c r="K18" s="198">
        <f t="shared" si="7"/>
        <v>69499.504075837525</v>
      </c>
    </row>
    <row r="19" spans="2:11" ht="16.5" customHeight="1" x14ac:dyDescent="0.35"/>
    <row r="20" spans="2:11" ht="16.5" customHeight="1" x14ac:dyDescent="0.35">
      <c r="B20" s="51" t="s">
        <v>155</v>
      </c>
    </row>
    <row r="21" spans="2:11" ht="16.5" customHeight="1" x14ac:dyDescent="0.35">
      <c r="B21" s="51" t="s">
        <v>752</v>
      </c>
      <c r="C21" s="100"/>
      <c r="D21" s="198">
        <f t="shared" ref="D21:K21" si="8">D15*D22/365</f>
        <v>0</v>
      </c>
      <c r="E21" s="198">
        <f t="shared" si="8"/>
        <v>1065.6493150684933</v>
      </c>
      <c r="F21" s="198">
        <f t="shared" si="8"/>
        <v>1305.4204109589041</v>
      </c>
      <c r="G21" s="198">
        <f t="shared" si="8"/>
        <v>1566.5044931506852</v>
      </c>
      <c r="H21" s="198">
        <f t="shared" si="8"/>
        <v>1850.4334325342468</v>
      </c>
      <c r="I21" s="198">
        <f t="shared" si="8"/>
        <v>2158.8390046232885</v>
      </c>
      <c r="J21" s="198">
        <f t="shared" si="8"/>
        <v>2493.4590503398986</v>
      </c>
      <c r="K21" s="198">
        <f t="shared" si="8"/>
        <v>2856.1440031166107</v>
      </c>
    </row>
    <row r="22" spans="2:11" ht="16.5" customHeight="1" x14ac:dyDescent="0.35">
      <c r="B22" s="51" t="s">
        <v>395</v>
      </c>
      <c r="C22" s="54"/>
      <c r="D22" s="380">
        <v>15</v>
      </c>
      <c r="E22" s="380">
        <f>D22</f>
        <v>15</v>
      </c>
      <c r="F22" s="380">
        <f t="shared" ref="F22:K22" si="9">E22</f>
        <v>15</v>
      </c>
      <c r="G22" s="380">
        <f t="shared" si="9"/>
        <v>15</v>
      </c>
      <c r="H22" s="380">
        <f t="shared" si="9"/>
        <v>15</v>
      </c>
      <c r="I22" s="380">
        <f t="shared" si="9"/>
        <v>15</v>
      </c>
      <c r="J22" s="380">
        <f t="shared" si="9"/>
        <v>15</v>
      </c>
      <c r="K22" s="380">
        <f t="shared" si="9"/>
        <v>15</v>
      </c>
    </row>
    <row r="23" spans="2:11" ht="16.5" customHeight="1" x14ac:dyDescent="0.35">
      <c r="B23" s="51" t="s">
        <v>571</v>
      </c>
      <c r="C23" s="100"/>
      <c r="D23" s="198">
        <f t="shared" ref="D23:K23" si="10">D8*D24/365</f>
        <v>0</v>
      </c>
      <c r="E23" s="198">
        <f t="shared" si="10"/>
        <v>7.7671232876712321E-2</v>
      </c>
      <c r="F23" s="198">
        <f t="shared" si="10"/>
        <v>9.5147260273972592E-2</v>
      </c>
      <c r="G23" s="198">
        <f t="shared" si="10"/>
        <v>0.11417671232876712</v>
      </c>
      <c r="H23" s="198">
        <f t="shared" si="10"/>
        <v>0.13487124143835622</v>
      </c>
      <c r="I23" s="198">
        <f t="shared" si="10"/>
        <v>0.15734978167808222</v>
      </c>
      <c r="J23" s="198">
        <f t="shared" si="10"/>
        <v>0.18173899783818501</v>
      </c>
      <c r="K23" s="198">
        <f t="shared" si="10"/>
        <v>0.2081737611601028</v>
      </c>
    </row>
    <row r="24" spans="2:11" ht="16.5" customHeight="1" x14ac:dyDescent="0.35">
      <c r="B24" s="51" t="s">
        <v>395</v>
      </c>
      <c r="C24" s="54"/>
      <c r="D24" s="266">
        <v>15</v>
      </c>
      <c r="E24" s="266">
        <f t="shared" ref="E24:K24" si="11">D24</f>
        <v>15</v>
      </c>
      <c r="F24" s="266">
        <f t="shared" si="11"/>
        <v>15</v>
      </c>
      <c r="G24" s="266">
        <f t="shared" si="11"/>
        <v>15</v>
      </c>
      <c r="H24" s="266">
        <f t="shared" si="11"/>
        <v>15</v>
      </c>
      <c r="I24" s="266">
        <f t="shared" si="11"/>
        <v>15</v>
      </c>
      <c r="J24" s="266">
        <f t="shared" si="11"/>
        <v>15</v>
      </c>
      <c r="K24" s="266">
        <f t="shared" si="11"/>
        <v>15</v>
      </c>
    </row>
    <row r="25" spans="2:11" ht="16.5" customHeight="1" x14ac:dyDescent="0.35">
      <c r="B25" s="51" t="s">
        <v>1043</v>
      </c>
      <c r="C25" s="54"/>
      <c r="D25" s="198">
        <f>D9*D26/365</f>
        <v>0</v>
      </c>
      <c r="E25" s="198">
        <f t="shared" ref="E25:K25" si="12">E9*E26/365</f>
        <v>7.7671232876712321E-2</v>
      </c>
      <c r="F25" s="198">
        <f t="shared" si="12"/>
        <v>9.5147260273972592E-2</v>
      </c>
      <c r="G25" s="198">
        <f t="shared" si="12"/>
        <v>0.11417671232876712</v>
      </c>
      <c r="H25" s="198">
        <f t="shared" si="12"/>
        <v>0.13487124143835622</v>
      </c>
      <c r="I25" s="198">
        <f t="shared" si="12"/>
        <v>0.15734978167808222</v>
      </c>
      <c r="J25" s="198">
        <f t="shared" si="12"/>
        <v>0.18173899783818501</v>
      </c>
      <c r="K25" s="198">
        <f t="shared" si="12"/>
        <v>0.2081737611601028</v>
      </c>
    </row>
    <row r="26" spans="2:11" ht="16.5" customHeight="1" x14ac:dyDescent="0.35">
      <c r="B26" s="51" t="s">
        <v>395</v>
      </c>
      <c r="C26" s="54"/>
      <c r="D26" s="266">
        <v>15</v>
      </c>
      <c r="E26" s="266">
        <f t="shared" ref="E26" si="13">D26</f>
        <v>15</v>
      </c>
      <c r="F26" s="266">
        <f t="shared" ref="F26" si="14">E26</f>
        <v>15</v>
      </c>
      <c r="G26" s="266">
        <f t="shared" ref="G26" si="15">F26</f>
        <v>15</v>
      </c>
      <c r="H26" s="266">
        <f t="shared" ref="H26" si="16">G26</f>
        <v>15</v>
      </c>
      <c r="I26" s="266">
        <f t="shared" ref="I26" si="17">H26</f>
        <v>15</v>
      </c>
      <c r="J26" s="266">
        <f t="shared" ref="J26" si="18">I26</f>
        <v>15</v>
      </c>
      <c r="K26" s="266">
        <f t="shared" ref="K26" si="19">J26</f>
        <v>15</v>
      </c>
    </row>
    <row r="27" spans="2:11" ht="16.5" customHeight="1" x14ac:dyDescent="0.35">
      <c r="B27" s="51" t="s">
        <v>1072</v>
      </c>
      <c r="C27" s="54"/>
      <c r="D27" s="198">
        <f>D10*D28/365</f>
        <v>0</v>
      </c>
      <c r="E27" s="198">
        <f t="shared" ref="E27:K27" si="20">E10*E28/365</f>
        <v>8.3230075482534254</v>
      </c>
      <c r="F27" s="198">
        <f t="shared" si="20"/>
        <v>8.7391579256660972</v>
      </c>
      <c r="G27" s="198">
        <f t="shared" si="20"/>
        <v>9.1761158219494021</v>
      </c>
      <c r="H27" s="198">
        <f t="shared" si="20"/>
        <v>9.6349216130468722</v>
      </c>
      <c r="I27" s="198">
        <f t="shared" si="20"/>
        <v>10.116667693699217</v>
      </c>
      <c r="J27" s="198">
        <f t="shared" si="20"/>
        <v>10.622501078384179</v>
      </c>
      <c r="K27" s="198">
        <f t="shared" si="20"/>
        <v>11.153626132303389</v>
      </c>
    </row>
    <row r="28" spans="2:11" ht="16.5" customHeight="1" x14ac:dyDescent="0.35">
      <c r="B28" s="51" t="s">
        <v>395</v>
      </c>
      <c r="C28" s="54"/>
      <c r="D28" s="266">
        <v>15</v>
      </c>
      <c r="E28" s="266">
        <f t="shared" ref="E28" si="21">D28</f>
        <v>15</v>
      </c>
      <c r="F28" s="266">
        <f t="shared" ref="F28" si="22">E28</f>
        <v>15</v>
      </c>
      <c r="G28" s="266">
        <f t="shared" ref="G28" si="23">F28</f>
        <v>15</v>
      </c>
      <c r="H28" s="266">
        <f t="shared" ref="H28" si="24">G28</f>
        <v>15</v>
      </c>
      <c r="I28" s="266">
        <f t="shared" ref="I28" si="25">H28</f>
        <v>15</v>
      </c>
      <c r="J28" s="266">
        <f t="shared" ref="J28" si="26">I28</f>
        <v>15</v>
      </c>
      <c r="K28" s="266">
        <f t="shared" ref="K28" si="27">J28</f>
        <v>15</v>
      </c>
    </row>
    <row r="29" spans="2:11" ht="16.5" customHeight="1" x14ac:dyDescent="0.35">
      <c r="B29" s="51" t="s">
        <v>398</v>
      </c>
      <c r="C29" s="100"/>
      <c r="D29" s="198">
        <f t="shared" ref="D29:K29" si="28">D11*D30/365</f>
        <v>0</v>
      </c>
      <c r="E29" s="198">
        <f t="shared" si="28"/>
        <v>35.206027397260279</v>
      </c>
      <c r="F29" s="198">
        <f t="shared" si="28"/>
        <v>38.726630136986309</v>
      </c>
      <c r="G29" s="198">
        <f t="shared" si="28"/>
        <v>42.59929315068495</v>
      </c>
      <c r="H29" s="198">
        <f t="shared" si="28"/>
        <v>46.859222465753433</v>
      </c>
      <c r="I29" s="198">
        <f t="shared" si="28"/>
        <v>51.545144712328785</v>
      </c>
      <c r="J29" s="198">
        <f t="shared" si="28"/>
        <v>56.699659183561671</v>
      </c>
      <c r="K29" s="198">
        <f t="shared" si="28"/>
        <v>62.369625101917848</v>
      </c>
    </row>
    <row r="30" spans="2:11" ht="16.5" customHeight="1" x14ac:dyDescent="0.35">
      <c r="B30" s="51" t="s">
        <v>395</v>
      </c>
      <c r="C30" s="54"/>
      <c r="D30" s="266">
        <v>15</v>
      </c>
      <c r="E30" s="266">
        <f t="shared" ref="E30:K30" si="29">D30</f>
        <v>15</v>
      </c>
      <c r="F30" s="266">
        <f t="shared" si="29"/>
        <v>15</v>
      </c>
      <c r="G30" s="266">
        <f t="shared" si="29"/>
        <v>15</v>
      </c>
      <c r="H30" s="266">
        <f t="shared" si="29"/>
        <v>15</v>
      </c>
      <c r="I30" s="266">
        <f t="shared" si="29"/>
        <v>15</v>
      </c>
      <c r="J30" s="266">
        <f t="shared" si="29"/>
        <v>15</v>
      </c>
      <c r="K30" s="266">
        <f t="shared" si="29"/>
        <v>15</v>
      </c>
    </row>
    <row r="31" spans="2:11" ht="16.5" customHeight="1" x14ac:dyDescent="0.35">
      <c r="C31" s="100"/>
      <c r="D31" s="100"/>
      <c r="E31" s="100"/>
      <c r="F31" s="100"/>
      <c r="G31" s="100"/>
      <c r="H31" s="100"/>
      <c r="I31" s="100"/>
      <c r="J31" s="100"/>
      <c r="K31" s="100"/>
    </row>
    <row r="32" spans="2:11" ht="16.5" customHeight="1" x14ac:dyDescent="0.35">
      <c r="B32" s="107" t="s">
        <v>1073</v>
      </c>
      <c r="C32" s="118"/>
      <c r="D32" s="307">
        <f>D21+D23++D25+D27+D29</f>
        <v>0</v>
      </c>
      <c r="E32" s="307">
        <f t="shared" ref="E32:K32" si="30">E21+E23++E25+E27+E29</f>
        <v>1109.3336924797604</v>
      </c>
      <c r="F32" s="307">
        <f t="shared" si="30"/>
        <v>1353.0764935421046</v>
      </c>
      <c r="G32" s="307">
        <f t="shared" si="30"/>
        <v>1618.5082555479771</v>
      </c>
      <c r="H32" s="307">
        <f t="shared" si="30"/>
        <v>1907.1973190959236</v>
      </c>
      <c r="I32" s="307">
        <f t="shared" si="30"/>
        <v>2220.8155165926723</v>
      </c>
      <c r="J32" s="307">
        <f t="shared" si="30"/>
        <v>2561.1446885975211</v>
      </c>
      <c r="K32" s="307">
        <f t="shared" si="30"/>
        <v>2930.0836018731525</v>
      </c>
    </row>
    <row r="33" spans="2:11" ht="16.5" customHeight="1" x14ac:dyDescent="0.35">
      <c r="C33" s="100"/>
      <c r="D33" s="100"/>
      <c r="E33" s="100"/>
      <c r="F33" s="100"/>
      <c r="G33" s="100"/>
      <c r="H33" s="100"/>
      <c r="I33" s="100"/>
      <c r="J33" s="100"/>
      <c r="K33" s="100"/>
    </row>
    <row r="34" spans="2:11" ht="16.5" customHeight="1" x14ac:dyDescent="0.35">
      <c r="C34" s="100"/>
      <c r="D34" s="100"/>
      <c r="E34" s="100"/>
      <c r="F34" s="100"/>
      <c r="G34" s="100"/>
      <c r="H34" s="100"/>
      <c r="I34" s="100"/>
      <c r="J34" s="100"/>
      <c r="K34" s="100"/>
    </row>
    <row r="35" spans="2:11" ht="16.5" customHeight="1" x14ac:dyDescent="0.35">
      <c r="B35" s="51" t="s">
        <v>396</v>
      </c>
      <c r="C35" s="100"/>
      <c r="D35" s="198">
        <f t="shared" ref="D35:K35" si="31">D6*D36/365</f>
        <v>0</v>
      </c>
      <c r="E35" s="198">
        <f t="shared" si="31"/>
        <v>773.77117808219168</v>
      </c>
      <c r="F35" s="198">
        <f t="shared" si="31"/>
        <v>947.86969315068484</v>
      </c>
      <c r="G35" s="198">
        <f t="shared" si="31"/>
        <v>1137.4436317808222</v>
      </c>
      <c r="H35" s="198">
        <f t="shared" si="31"/>
        <v>1343.6052900410962</v>
      </c>
      <c r="I35" s="198">
        <f t="shared" si="31"/>
        <v>1567.5395050479456</v>
      </c>
      <c r="J35" s="198">
        <f t="shared" si="31"/>
        <v>1810.5081283303775</v>
      </c>
      <c r="K35" s="198">
        <f t="shared" si="31"/>
        <v>2073.854765178432</v>
      </c>
    </row>
    <row r="36" spans="2:11" ht="16.5" customHeight="1" x14ac:dyDescent="0.35">
      <c r="B36" s="51" t="s">
        <v>395</v>
      </c>
      <c r="C36" s="54"/>
      <c r="D36" s="266">
        <v>10</v>
      </c>
      <c r="E36" s="266">
        <f>D36</f>
        <v>10</v>
      </c>
      <c r="F36" s="266">
        <f t="shared" ref="F36:K36" si="32">E36</f>
        <v>10</v>
      </c>
      <c r="G36" s="266">
        <f t="shared" si="32"/>
        <v>10</v>
      </c>
      <c r="H36" s="266">
        <f t="shared" si="32"/>
        <v>10</v>
      </c>
      <c r="I36" s="266">
        <f t="shared" si="32"/>
        <v>10</v>
      </c>
      <c r="J36" s="266">
        <f t="shared" si="32"/>
        <v>10</v>
      </c>
      <c r="K36" s="266">
        <f t="shared" si="32"/>
        <v>10</v>
      </c>
    </row>
    <row r="37" spans="2:11" ht="16.5" customHeight="1" x14ac:dyDescent="0.35">
      <c r="B37" s="51" t="s">
        <v>397</v>
      </c>
      <c r="C37" s="198"/>
      <c r="D37" s="198">
        <f t="shared" ref="D37:K37" si="33">D16</f>
        <v>0</v>
      </c>
      <c r="E37" s="198">
        <f t="shared" si="33"/>
        <v>1278.7791780821919</v>
      </c>
      <c r="F37" s="198">
        <f t="shared" si="33"/>
        <v>1566.5044931506845</v>
      </c>
      <c r="G37" s="198">
        <f t="shared" si="33"/>
        <v>1879.8053917808222</v>
      </c>
      <c r="H37" s="198">
        <f t="shared" si="33"/>
        <v>2220.5201190410962</v>
      </c>
      <c r="I37" s="198">
        <f t="shared" si="33"/>
        <v>2590.6068055479459</v>
      </c>
      <c r="J37" s="198">
        <f t="shared" si="33"/>
        <v>2992.1508604078781</v>
      </c>
      <c r="K37" s="198">
        <f t="shared" si="33"/>
        <v>3427.3728037399328</v>
      </c>
    </row>
    <row r="38" spans="2:11" ht="16.5" customHeight="1" x14ac:dyDescent="0.35">
      <c r="D38" s="198"/>
      <c r="E38" s="198"/>
      <c r="F38" s="198"/>
      <c r="G38" s="198"/>
      <c r="H38" s="198"/>
      <c r="I38" s="198"/>
      <c r="J38" s="198"/>
      <c r="K38" s="198"/>
    </row>
    <row r="39" spans="2:11" ht="16.5" customHeight="1" x14ac:dyDescent="0.35">
      <c r="B39" s="51" t="s">
        <v>399</v>
      </c>
      <c r="C39" s="118"/>
      <c r="D39" s="307">
        <f t="shared" ref="D39:I39" si="34">D35+D37</f>
        <v>0</v>
      </c>
      <c r="E39" s="307">
        <f t="shared" si="34"/>
        <v>2052.5503561643836</v>
      </c>
      <c r="F39" s="307">
        <f t="shared" si="34"/>
        <v>2514.3741863013693</v>
      </c>
      <c r="G39" s="307">
        <f t="shared" si="34"/>
        <v>3017.2490235616442</v>
      </c>
      <c r="H39" s="307">
        <f t="shared" si="34"/>
        <v>3564.1254090821922</v>
      </c>
      <c r="I39" s="307">
        <f t="shared" si="34"/>
        <v>4158.1463105958919</v>
      </c>
      <c r="J39" s="307">
        <f t="shared" ref="J39:K39" si="35">J35+J37</f>
        <v>4802.6589887382561</v>
      </c>
      <c r="K39" s="307">
        <f t="shared" si="35"/>
        <v>5501.2275689183643</v>
      </c>
    </row>
    <row r="40" spans="2:11" ht="16.5" customHeight="1" x14ac:dyDescent="0.35">
      <c r="C40" s="100"/>
      <c r="D40" s="198"/>
      <c r="E40" s="198"/>
      <c r="F40" s="198"/>
      <c r="G40" s="198"/>
      <c r="H40" s="198"/>
      <c r="I40" s="198"/>
      <c r="J40" s="198"/>
      <c r="K40" s="198"/>
    </row>
    <row r="41" spans="2:11" ht="16.5" customHeight="1" x14ac:dyDescent="0.35">
      <c r="B41" s="51" t="s">
        <v>443</v>
      </c>
      <c r="C41" s="100"/>
      <c r="D41" s="198">
        <f t="shared" ref="D41:I41" si="36">D39-D32</f>
        <v>0</v>
      </c>
      <c r="E41" s="198">
        <f t="shared" si="36"/>
        <v>943.2166636846232</v>
      </c>
      <c r="F41" s="198">
        <f t="shared" si="36"/>
        <v>1161.2976927592647</v>
      </c>
      <c r="G41" s="198">
        <f t="shared" si="36"/>
        <v>1398.7407680136671</v>
      </c>
      <c r="H41" s="198">
        <f t="shared" si="36"/>
        <v>1656.9280899862686</v>
      </c>
      <c r="I41" s="198">
        <f t="shared" si="36"/>
        <v>1937.3307940032196</v>
      </c>
      <c r="J41" s="198">
        <f t="shared" ref="J41:K41" si="37">J39-J32</f>
        <v>2241.514300140735</v>
      </c>
      <c r="K41" s="198">
        <f t="shared" si="37"/>
        <v>2571.1439670452119</v>
      </c>
    </row>
    <row r="42" spans="2:11" ht="16.5" customHeight="1" x14ac:dyDescent="0.35">
      <c r="B42" s="51" t="s">
        <v>444</v>
      </c>
      <c r="C42" s="100"/>
      <c r="D42" s="198">
        <f t="shared" ref="D42:I42" si="38">D41*25%</f>
        <v>0</v>
      </c>
      <c r="E42" s="198">
        <f t="shared" si="38"/>
        <v>235.8041659211558</v>
      </c>
      <c r="F42" s="198">
        <f t="shared" si="38"/>
        <v>290.32442318981617</v>
      </c>
      <c r="G42" s="198">
        <f t="shared" si="38"/>
        <v>349.68519200341677</v>
      </c>
      <c r="H42" s="198">
        <f t="shared" si="38"/>
        <v>414.23202249656714</v>
      </c>
      <c r="I42" s="198">
        <f t="shared" si="38"/>
        <v>484.3326985008049</v>
      </c>
      <c r="J42" s="198">
        <f t="shared" ref="J42:K42" si="39">J41*25%</f>
        <v>560.37857503518376</v>
      </c>
      <c r="K42" s="198">
        <f t="shared" si="39"/>
        <v>642.78599176130297</v>
      </c>
    </row>
    <row r="43" spans="2:11" ht="16.5" customHeight="1" x14ac:dyDescent="0.35">
      <c r="B43" s="51" t="s">
        <v>468</v>
      </c>
      <c r="C43" s="100"/>
      <c r="D43" s="198">
        <f>D41-D42</f>
        <v>0</v>
      </c>
      <c r="E43" s="198">
        <f>E41-E42</f>
        <v>707.4124977634674</v>
      </c>
      <c r="F43" s="198">
        <f>F41-F42</f>
        <v>870.97326956944858</v>
      </c>
      <c r="G43" s="198">
        <f t="shared" ref="G43:K43" si="40">G41-G42</f>
        <v>1049.0555760102502</v>
      </c>
      <c r="H43" s="198">
        <f t="shared" si="40"/>
        <v>1242.6960674897014</v>
      </c>
      <c r="I43" s="198">
        <f t="shared" si="40"/>
        <v>1452.9980955024148</v>
      </c>
      <c r="J43" s="198">
        <f t="shared" si="40"/>
        <v>1681.1357251055513</v>
      </c>
      <c r="K43" s="198">
        <f t="shared" si="40"/>
        <v>1928.3579752839089</v>
      </c>
    </row>
    <row r="45" spans="2:11" x14ac:dyDescent="0.35">
      <c r="B45" s="51" t="s">
        <v>1120</v>
      </c>
      <c r="D45" s="100">
        <f>D41</f>
        <v>0</v>
      </c>
      <c r="E45" s="198">
        <f>E41-D41</f>
        <v>943.2166636846232</v>
      </c>
      <c r="F45" s="198">
        <f t="shared" ref="F45:K45" si="41">F41-E41</f>
        <v>218.08102907464149</v>
      </c>
      <c r="G45" s="198">
        <f t="shared" si="41"/>
        <v>237.4430752544024</v>
      </c>
      <c r="H45" s="198">
        <f t="shared" si="41"/>
        <v>258.18732197260147</v>
      </c>
      <c r="I45" s="198">
        <f t="shared" si="41"/>
        <v>280.40270401695102</v>
      </c>
      <c r="J45" s="198">
        <f t="shared" si="41"/>
        <v>304.18350613751545</v>
      </c>
      <c r="K45" s="198">
        <f t="shared" si="41"/>
        <v>329.62966690447684</v>
      </c>
    </row>
    <row r="46" spans="2:11" x14ac:dyDescent="0.35">
      <c r="D46" s="100"/>
      <c r="E46" s="256"/>
    </row>
    <row r="47" spans="2:11" x14ac:dyDescent="0.35">
      <c r="D47" s="100"/>
    </row>
    <row r="49" spans="4:4" x14ac:dyDescent="0.35">
      <c r="D49" s="209"/>
    </row>
  </sheetData>
  <customSheetViews>
    <customSheetView guid="{22475485-DA09-46DB-978D-BB94CE1E5597}">
      <pane xSplit="1" ySplit="5" topLeftCell="B9" activePane="bottomRight" state="frozen"/>
      <selection pane="bottomRight" activeCell="B22" sqref="B22"/>
      <pageMargins left="0.7" right="0.7" top="0.75" bottom="0.75" header="0.3" footer="0.3"/>
      <pageSetup paperSize="9" orientation="portrait" verticalDpi="0" r:id="rId1"/>
    </customSheetView>
  </customSheetView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K25"/>
  <sheetViews>
    <sheetView workbookViewId="0">
      <selection activeCell="I13" sqref="I13:J13"/>
    </sheetView>
  </sheetViews>
  <sheetFormatPr defaultColWidth="32.26953125" defaultRowHeight="14" x14ac:dyDescent="0.3"/>
  <cols>
    <col min="1" max="1" width="34.7265625" style="1" customWidth="1"/>
    <col min="2" max="2" width="8.7265625" style="1" customWidth="1"/>
    <col min="3" max="3" width="12.1796875" style="1" bestFit="1" customWidth="1"/>
    <col min="4" max="4" width="10.26953125" style="1" bestFit="1" customWidth="1"/>
    <col min="5" max="11" width="8.7265625" style="1" customWidth="1"/>
    <col min="12" max="12" width="40.453125" style="1" customWidth="1"/>
    <col min="13" max="16384" width="32.26953125" style="1"/>
  </cols>
  <sheetData>
    <row r="1" spans="1:11" ht="26.25" customHeight="1" x14ac:dyDescent="0.35">
      <c r="A1" s="483" t="s">
        <v>18</v>
      </c>
      <c r="B1" s="483"/>
      <c r="C1" s="483"/>
      <c r="D1" s="483"/>
      <c r="E1" s="484"/>
      <c r="F1" s="484"/>
      <c r="G1" s="484"/>
      <c r="H1" s="484"/>
      <c r="I1" s="484"/>
      <c r="J1" s="484"/>
      <c r="K1" s="484"/>
    </row>
    <row r="2" spans="1:11" s="2" customFormat="1" ht="21.75" customHeight="1" x14ac:dyDescent="0.35">
      <c r="A2" s="8" t="s">
        <v>14</v>
      </c>
      <c r="B2" s="9" t="s">
        <v>15</v>
      </c>
      <c r="C2" s="9" t="s">
        <v>119</v>
      </c>
      <c r="D2" s="9" t="s">
        <v>120</v>
      </c>
      <c r="E2" s="9" t="s">
        <v>121</v>
      </c>
      <c r="F2" s="9" t="s">
        <v>122</v>
      </c>
      <c r="G2" s="9" t="s">
        <v>123</v>
      </c>
      <c r="H2" s="9" t="s">
        <v>124</v>
      </c>
      <c r="I2" s="9" t="s">
        <v>125</v>
      </c>
      <c r="J2" s="9" t="s">
        <v>126</v>
      </c>
      <c r="K2" s="9" t="s">
        <v>127</v>
      </c>
    </row>
    <row r="3" spans="1:11" s="2" customFormat="1" ht="23.25" customHeight="1" x14ac:dyDescent="0.35">
      <c r="A3" s="486" t="s">
        <v>19</v>
      </c>
      <c r="B3" s="486"/>
      <c r="C3" s="486"/>
      <c r="D3" s="486"/>
      <c r="E3" s="486"/>
      <c r="F3" s="486"/>
      <c r="G3" s="486"/>
      <c r="H3" s="486"/>
      <c r="I3" s="486"/>
      <c r="J3" s="486"/>
      <c r="K3" s="486"/>
    </row>
    <row r="4" spans="1:11" ht="22.5" customHeight="1" x14ac:dyDescent="0.3">
      <c r="A4" s="485" t="s">
        <v>20</v>
      </c>
      <c r="B4" s="485"/>
      <c r="C4" s="485"/>
      <c r="D4" s="485"/>
      <c r="E4" s="485"/>
      <c r="F4" s="485"/>
      <c r="G4" s="485"/>
      <c r="H4" s="485"/>
      <c r="I4" s="485"/>
      <c r="J4" s="485"/>
      <c r="K4" s="485"/>
    </row>
    <row r="5" spans="1:11" ht="21" customHeight="1" x14ac:dyDescent="0.3">
      <c r="A5" s="10" t="s">
        <v>21</v>
      </c>
      <c r="B5" s="31">
        <f>'CoP-MoF'!D23/A</f>
        <v>4184.5479430000005</v>
      </c>
      <c r="C5" s="32">
        <f>'CoP-MoF'!D19/A</f>
        <v>2180</v>
      </c>
      <c r="D5" s="10"/>
      <c r="E5" s="10"/>
      <c r="F5" s="10"/>
      <c r="G5" s="10"/>
      <c r="H5" s="10"/>
      <c r="I5" s="10"/>
      <c r="J5" s="10"/>
      <c r="K5" s="10"/>
    </row>
    <row r="6" spans="1:11" ht="18.75" customHeight="1" x14ac:dyDescent="0.3">
      <c r="A6" s="10" t="s">
        <v>439</v>
      </c>
      <c r="B6" s="32">
        <f>'P &amp; L'!C34+'P &amp; L'!C30</f>
        <v>0</v>
      </c>
      <c r="C6" s="32">
        <f>'P &amp; L'!D34+'P &amp; L'!D30</f>
        <v>0</v>
      </c>
      <c r="D6" s="32">
        <f>'P &amp; L'!E34+'P &amp; L'!E30</f>
        <v>575.19957171939234</v>
      </c>
      <c r="E6" s="32">
        <f>'P &amp; L'!F34+'P &amp; L'!F30</f>
        <v>814.17481550984451</v>
      </c>
      <c r="F6" s="32">
        <f>'P &amp; L'!G34+'P &amp; L'!G30</f>
        <v>1082.1460727074771</v>
      </c>
      <c r="G6" s="32">
        <f>'P &amp; L'!H34+'P &amp; L'!H30</f>
        <v>1379.7491982989034</v>
      </c>
      <c r="H6" s="32">
        <f>'P &amp; L'!I34+'P &amp; L'!I30</f>
        <v>1706.1047992145257</v>
      </c>
      <c r="I6" s="32" t="e">
        <f>'P &amp; L'!#REF!+'P &amp; L'!#REF!</f>
        <v>#REF!</v>
      </c>
      <c r="J6" s="32" t="e">
        <f>'P &amp; L'!#REF!+'P &amp; L'!#REF!</f>
        <v>#REF!</v>
      </c>
      <c r="K6" s="32" t="e">
        <f>'P &amp; L'!#REF!+'P &amp; L'!#REF!</f>
        <v>#REF!</v>
      </c>
    </row>
    <row r="7" spans="1:11" ht="18.75" customHeight="1" x14ac:dyDescent="0.3">
      <c r="A7" s="10" t="s">
        <v>442</v>
      </c>
      <c r="B7" s="32" t="e">
        <f>'Cash Flow'!#REF!</f>
        <v>#REF!</v>
      </c>
      <c r="C7" s="32" t="e">
        <f>'Cash Flow'!#REF!</f>
        <v>#REF!</v>
      </c>
      <c r="D7" s="32">
        <f>'Cash Flow'!C17</f>
        <v>0</v>
      </c>
      <c r="E7" s="32">
        <f>'Cash Flow'!D17</f>
        <v>0</v>
      </c>
      <c r="F7" s="32">
        <f>'Cash Flow'!E17</f>
        <v>0</v>
      </c>
      <c r="G7" s="32">
        <f>'Cash Flow'!F17</f>
        <v>0</v>
      </c>
      <c r="H7" s="32">
        <f>'Cash Flow'!G17</f>
        <v>0</v>
      </c>
      <c r="I7" s="32"/>
      <c r="J7" s="32"/>
      <c r="K7" s="32"/>
    </row>
    <row r="8" spans="1:11" ht="18.75" customHeight="1" x14ac:dyDescent="0.3">
      <c r="A8" s="10" t="s">
        <v>440</v>
      </c>
      <c r="B8" s="32" t="e">
        <f>+B6+B7</f>
        <v>#REF!</v>
      </c>
      <c r="C8" s="32" t="e">
        <f t="shared" ref="C8:H8" si="0">B8+C6+C7</f>
        <v>#REF!</v>
      </c>
      <c r="D8" s="32" t="e">
        <f t="shared" si="0"/>
        <v>#REF!</v>
      </c>
      <c r="E8" s="32" t="e">
        <f t="shared" si="0"/>
        <v>#REF!</v>
      </c>
      <c r="F8" s="32" t="e">
        <f t="shared" si="0"/>
        <v>#REF!</v>
      </c>
      <c r="G8" s="32" t="e">
        <f t="shared" si="0"/>
        <v>#REF!</v>
      </c>
      <c r="H8" s="32" t="e">
        <f t="shared" si="0"/>
        <v>#REF!</v>
      </c>
      <c r="I8" s="32" t="e">
        <f t="shared" ref="I8:K8" si="1">H8+I6</f>
        <v>#REF!</v>
      </c>
      <c r="J8" s="32" t="e">
        <f t="shared" si="1"/>
        <v>#REF!</v>
      </c>
      <c r="K8" s="32" t="e">
        <f t="shared" si="1"/>
        <v>#REF!</v>
      </c>
    </row>
    <row r="9" spans="1:11" ht="18.75" customHeight="1" x14ac:dyDescent="0.3">
      <c r="A9" s="10" t="s">
        <v>268</v>
      </c>
      <c r="B9" s="10"/>
      <c r="C9" s="32" t="e">
        <f>((C5-D8)/E6)+3</f>
        <v>#REF!</v>
      </c>
      <c r="D9" s="33" t="e">
        <f>((B5-D8)/E6)+3</f>
        <v>#REF!</v>
      </c>
      <c r="E9" s="10"/>
      <c r="F9" s="10"/>
      <c r="G9" s="10"/>
      <c r="H9" s="10"/>
      <c r="I9" s="10"/>
      <c r="J9" s="10"/>
      <c r="K9" s="10"/>
    </row>
    <row r="10" spans="1:11" ht="18.75" customHeight="1" x14ac:dyDescent="0.3">
      <c r="A10" s="485" t="s">
        <v>22</v>
      </c>
      <c r="B10" s="487"/>
      <c r="C10" s="487"/>
      <c r="D10" s="487"/>
      <c r="E10" s="487"/>
      <c r="F10" s="487"/>
      <c r="G10" s="487"/>
      <c r="H10" s="487"/>
      <c r="I10" s="487"/>
      <c r="J10" s="487"/>
      <c r="K10" s="487"/>
    </row>
    <row r="11" spans="1:11" ht="21" customHeight="1" x14ac:dyDescent="0.3">
      <c r="A11" s="10" t="s">
        <v>272</v>
      </c>
      <c r="B11" s="34">
        <f>B5</f>
        <v>4184.5479430000005</v>
      </c>
      <c r="C11" s="10"/>
      <c r="D11" s="10"/>
      <c r="E11" s="10"/>
      <c r="F11" s="10"/>
      <c r="G11" s="10"/>
      <c r="H11" s="10"/>
      <c r="I11" s="10"/>
      <c r="J11" s="10"/>
      <c r="K11" s="10"/>
    </row>
    <row r="12" spans="1:11" ht="18.75" customHeight="1" x14ac:dyDescent="0.3">
      <c r="A12" s="10" t="s">
        <v>439</v>
      </c>
      <c r="B12" s="32" t="e">
        <f>B6+B7</f>
        <v>#REF!</v>
      </c>
      <c r="C12" s="32" t="e">
        <f t="shared" ref="C12:K12" si="2">C6+C7</f>
        <v>#REF!</v>
      </c>
      <c r="D12" s="32">
        <f t="shared" si="2"/>
        <v>575.19957171939234</v>
      </c>
      <c r="E12" s="32">
        <f t="shared" si="2"/>
        <v>814.17481550984451</v>
      </c>
      <c r="F12" s="32">
        <f t="shared" si="2"/>
        <v>1082.1460727074771</v>
      </c>
      <c r="G12" s="32">
        <f t="shared" si="2"/>
        <v>1379.7491982989034</v>
      </c>
      <c r="H12" s="32">
        <f t="shared" si="2"/>
        <v>1706.1047992145257</v>
      </c>
      <c r="I12" s="32" t="e">
        <f t="shared" si="2"/>
        <v>#REF!</v>
      </c>
      <c r="J12" s="32" t="e">
        <f t="shared" si="2"/>
        <v>#REF!</v>
      </c>
      <c r="K12" s="32" t="e">
        <f t="shared" si="2"/>
        <v>#REF!</v>
      </c>
    </row>
    <row r="13" spans="1:11" ht="18.75" customHeight="1" x14ac:dyDescent="0.3">
      <c r="A13" s="41" t="s">
        <v>441</v>
      </c>
      <c r="B13" s="31" t="e">
        <f>B12-B11</f>
        <v>#REF!</v>
      </c>
      <c r="C13" s="31" t="e">
        <f t="shared" ref="C13:K13" si="3">C12-C11</f>
        <v>#REF!</v>
      </c>
      <c r="D13" s="31">
        <f t="shared" si="3"/>
        <v>575.19957171939234</v>
      </c>
      <c r="E13" s="31">
        <f t="shared" si="3"/>
        <v>814.17481550984451</v>
      </c>
      <c r="F13" s="31">
        <f t="shared" si="3"/>
        <v>1082.1460727074771</v>
      </c>
      <c r="G13" s="31">
        <f t="shared" si="3"/>
        <v>1379.7491982989034</v>
      </c>
      <c r="H13" s="31">
        <f t="shared" si="3"/>
        <v>1706.1047992145257</v>
      </c>
      <c r="I13" s="31" t="e">
        <f t="shared" si="3"/>
        <v>#REF!</v>
      </c>
      <c r="J13" s="31" t="e">
        <f t="shared" si="3"/>
        <v>#REF!</v>
      </c>
      <c r="K13" s="31" t="e">
        <f t="shared" si="3"/>
        <v>#REF!</v>
      </c>
    </row>
    <row r="14" spans="1:11" ht="18.75" customHeight="1" x14ac:dyDescent="0.3">
      <c r="A14" s="14" t="s">
        <v>275</v>
      </c>
      <c r="B14" s="10"/>
      <c r="C14" s="10"/>
      <c r="D14" s="10"/>
      <c r="E14" s="10"/>
      <c r="F14" s="10"/>
      <c r="G14" s="10"/>
      <c r="H14" s="42" t="e">
        <f>IRR(#REF!)</f>
        <v>#REF!</v>
      </c>
      <c r="I14" s="10"/>
      <c r="J14" s="10"/>
      <c r="K14" s="42" t="e">
        <f>IRR(B13:K13)</f>
        <v>#VALUE!</v>
      </c>
    </row>
    <row r="15" spans="1:11" ht="18.75" hidden="1" customHeight="1" x14ac:dyDescent="0.35">
      <c r="A15" s="485" t="s">
        <v>27</v>
      </c>
      <c r="B15" s="488"/>
      <c r="C15" s="488"/>
      <c r="D15" s="488"/>
      <c r="E15" s="488"/>
      <c r="F15" s="488"/>
      <c r="G15" s="488"/>
      <c r="H15" s="488"/>
      <c r="I15" s="488"/>
      <c r="J15" s="488"/>
      <c r="K15" s="488"/>
    </row>
    <row r="16" spans="1:11" ht="18.75" hidden="1" customHeight="1" x14ac:dyDescent="0.3">
      <c r="A16" s="10" t="s">
        <v>28</v>
      </c>
      <c r="B16" s="7"/>
      <c r="C16" s="7"/>
      <c r="D16" s="7"/>
      <c r="E16" s="7"/>
      <c r="F16" s="7"/>
      <c r="G16" s="7"/>
      <c r="H16" s="7"/>
      <c r="I16" s="7"/>
      <c r="J16" s="7"/>
      <c r="K16" s="7"/>
    </row>
    <row r="17" spans="1:11" ht="18.75" hidden="1" customHeight="1" x14ac:dyDescent="0.3">
      <c r="A17" s="10" t="s">
        <v>23</v>
      </c>
      <c r="B17" s="7"/>
      <c r="C17" s="7"/>
      <c r="D17" s="7"/>
      <c r="E17" s="7"/>
      <c r="F17" s="7"/>
      <c r="G17" s="7"/>
      <c r="H17" s="7"/>
      <c r="I17" s="7"/>
      <c r="J17" s="7"/>
      <c r="K17" s="7"/>
    </row>
    <row r="18" spans="1:11" ht="18.75" hidden="1" customHeight="1" x14ac:dyDescent="0.3">
      <c r="A18" s="10" t="s">
        <v>24</v>
      </c>
      <c r="B18" s="7"/>
      <c r="C18" s="7"/>
      <c r="D18" s="7"/>
      <c r="E18" s="7"/>
      <c r="F18" s="7"/>
      <c r="G18" s="7"/>
      <c r="H18" s="7"/>
      <c r="I18" s="7"/>
      <c r="J18" s="7"/>
      <c r="K18" s="7"/>
    </row>
    <row r="19" spans="1:11" ht="18.75" hidden="1" customHeight="1" x14ac:dyDescent="0.3">
      <c r="A19" s="10" t="s">
        <v>26</v>
      </c>
      <c r="B19" s="7"/>
      <c r="C19" s="7"/>
      <c r="D19" s="7"/>
      <c r="E19" s="7"/>
      <c r="F19" s="7"/>
      <c r="G19" s="7"/>
      <c r="H19" s="7"/>
      <c r="I19" s="7"/>
      <c r="J19" s="7"/>
      <c r="K19" s="7"/>
    </row>
    <row r="20" spans="1:11" ht="18.75" hidden="1" customHeight="1" x14ac:dyDescent="0.3">
      <c r="A20" s="10" t="s">
        <v>25</v>
      </c>
      <c r="B20" s="7"/>
      <c r="C20" s="7"/>
      <c r="D20" s="7"/>
      <c r="E20" s="7"/>
      <c r="F20" s="7"/>
      <c r="G20" s="7"/>
      <c r="H20" s="7"/>
      <c r="I20" s="7"/>
      <c r="J20" s="7"/>
      <c r="K20" s="7"/>
    </row>
    <row r="21" spans="1:11" ht="18.75" hidden="1" customHeight="1" x14ac:dyDescent="0.3">
      <c r="A21" s="3"/>
    </row>
    <row r="22" spans="1:11" ht="18.75" customHeight="1" x14ac:dyDescent="0.3">
      <c r="A22" s="3"/>
    </row>
    <row r="23" spans="1:11" ht="18.75" customHeight="1" x14ac:dyDescent="0.3"/>
    <row r="24" spans="1:11" ht="18.75" customHeight="1" x14ac:dyDescent="0.3"/>
    <row r="25" spans="1:11" ht="18.75" customHeight="1" x14ac:dyDescent="0.3"/>
  </sheetData>
  <customSheetViews>
    <customSheetView guid="{22475485-DA09-46DB-978D-BB94CE1E5597}" hiddenRows="1">
      <selection activeCell="D25" sqref="D25"/>
      <pageMargins left="0.7" right="0.7" top="0.75" bottom="0.75" header="0.3" footer="0.3"/>
      <pageSetup paperSize="9" orientation="landscape" verticalDpi="300" r:id="rId1"/>
    </customSheetView>
  </customSheetViews>
  <mergeCells count="5">
    <mergeCell ref="A1:K1"/>
    <mergeCell ref="A4:K4"/>
    <mergeCell ref="A3:K3"/>
    <mergeCell ref="A10:K10"/>
    <mergeCell ref="A15:K15"/>
  </mergeCells>
  <pageMargins left="0.7" right="0.7" top="0.75" bottom="0.75" header="0.3" footer="0.3"/>
  <pageSetup paperSize="9" orientation="landscape" verticalDpi="3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B2:Q37"/>
  <sheetViews>
    <sheetView view="pageBreakPreview" topLeftCell="A8" zoomScaleSheetLayoutView="100" workbookViewId="0">
      <selection activeCell="D31" sqref="D31"/>
    </sheetView>
  </sheetViews>
  <sheetFormatPr defaultColWidth="8.81640625" defaultRowHeight="14.5" x14ac:dyDescent="0.35"/>
  <cols>
    <col min="5" max="5" width="11.1796875" bestFit="1" customWidth="1"/>
    <col min="6" max="6" width="17.81640625" customWidth="1"/>
  </cols>
  <sheetData>
    <row r="2" spans="2:17" x14ac:dyDescent="0.35">
      <c r="B2" t="s">
        <v>274</v>
      </c>
    </row>
    <row r="3" spans="2:17" x14ac:dyDescent="0.35">
      <c r="C3" s="24" t="s">
        <v>265</v>
      </c>
      <c r="D3" s="24" t="s">
        <v>267</v>
      </c>
      <c r="E3" s="24" t="s">
        <v>269</v>
      </c>
      <c r="F3" s="24" t="s">
        <v>270</v>
      </c>
    </row>
    <row r="4" spans="2:17" x14ac:dyDescent="0.35">
      <c r="C4" s="24"/>
      <c r="D4" s="24"/>
      <c r="E4" s="25">
        <v>0.12</v>
      </c>
      <c r="F4" s="24"/>
    </row>
    <row r="5" spans="2:17" x14ac:dyDescent="0.35">
      <c r="C5" s="24">
        <v>1</v>
      </c>
      <c r="D5" s="40" t="e">
        <f t="array" ref="D5:D14">TRANSPOSE('PBP-IRR'!B12:K12)</f>
        <v>#REF!</v>
      </c>
      <c r="E5" s="26">
        <f>(1/(1+$E$4))^C5</f>
        <v>0.89285714285714279</v>
      </c>
      <c r="F5" s="26" t="e">
        <f>E5*D5</f>
        <v>#REF!</v>
      </c>
      <c r="G5" s="23"/>
      <c r="H5" s="23"/>
      <c r="I5" s="23"/>
      <c r="J5" s="23"/>
      <c r="K5" s="23"/>
      <c r="L5" s="23"/>
      <c r="M5" s="23"/>
      <c r="N5" s="23"/>
      <c r="O5" s="23"/>
      <c r="P5" s="23"/>
      <c r="Q5" s="23"/>
    </row>
    <row r="6" spans="2:17" x14ac:dyDescent="0.35">
      <c r="C6" s="24">
        <f>C5+1</f>
        <v>2</v>
      </c>
      <c r="D6" s="40" t="e">
        <v>#REF!</v>
      </c>
      <c r="E6" s="26">
        <f t="shared" ref="E6:E14" si="0">(1/(1+$E$4))^C6</f>
        <v>0.79719387755102034</v>
      </c>
      <c r="F6" s="26" t="e">
        <f t="shared" ref="F6:F14" si="1">E6*D6</f>
        <v>#REF!</v>
      </c>
    </row>
    <row r="7" spans="2:17" x14ac:dyDescent="0.35">
      <c r="C7" s="24">
        <f t="shared" ref="C7:C14" si="2">C6+1</f>
        <v>3</v>
      </c>
      <c r="D7" s="40">
        <v>575.19957171939234</v>
      </c>
      <c r="E7" s="26">
        <f t="shared" si="0"/>
        <v>0.71178024781341098</v>
      </c>
      <c r="F7" s="26">
        <f t="shared" si="1"/>
        <v>409.41569370059693</v>
      </c>
    </row>
    <row r="8" spans="2:17" x14ac:dyDescent="0.35">
      <c r="C8" s="24">
        <f t="shared" si="2"/>
        <v>4</v>
      </c>
      <c r="D8" s="40">
        <v>814.17481550984451</v>
      </c>
      <c r="E8" s="26">
        <f t="shared" si="0"/>
        <v>0.63551807840483121</v>
      </c>
      <c r="F8" s="26">
        <f t="shared" si="1"/>
        <v>517.42281423842439</v>
      </c>
    </row>
    <row r="9" spans="2:17" x14ac:dyDescent="0.35">
      <c r="C9" s="24">
        <f t="shared" si="2"/>
        <v>5</v>
      </c>
      <c r="D9" s="40">
        <v>1082.1460727074771</v>
      </c>
      <c r="E9" s="26">
        <f t="shared" si="0"/>
        <v>0.5674268557185993</v>
      </c>
      <c r="F9" s="26">
        <f t="shared" si="1"/>
        <v>614.03874346463442</v>
      </c>
    </row>
    <row r="10" spans="2:17" x14ac:dyDescent="0.35">
      <c r="C10" s="24">
        <f t="shared" si="2"/>
        <v>6</v>
      </c>
      <c r="D10" s="40">
        <v>1379.7491982989034</v>
      </c>
      <c r="E10" s="26">
        <f t="shared" si="0"/>
        <v>0.50663112117732079</v>
      </c>
      <c r="F10" s="26">
        <f t="shared" si="1"/>
        <v>699.0238832776829</v>
      </c>
    </row>
    <row r="11" spans="2:17" x14ac:dyDescent="0.35">
      <c r="C11" s="24">
        <f t="shared" si="2"/>
        <v>7</v>
      </c>
      <c r="D11" s="40">
        <v>1706.1047992145257</v>
      </c>
      <c r="E11" s="26">
        <f t="shared" si="0"/>
        <v>0.45234921533689348</v>
      </c>
      <c r="F11" s="26">
        <f t="shared" si="1"/>
        <v>771.75516720719884</v>
      </c>
    </row>
    <row r="12" spans="2:17" x14ac:dyDescent="0.35">
      <c r="C12" s="24">
        <f t="shared" si="2"/>
        <v>8</v>
      </c>
      <c r="D12" s="40" t="e">
        <v>#REF!</v>
      </c>
      <c r="E12" s="26">
        <f t="shared" si="0"/>
        <v>0.40388322797936921</v>
      </c>
      <c r="F12" s="26" t="e">
        <f t="shared" si="1"/>
        <v>#REF!</v>
      </c>
    </row>
    <row r="13" spans="2:17" x14ac:dyDescent="0.35">
      <c r="C13" s="24">
        <f t="shared" si="2"/>
        <v>9</v>
      </c>
      <c r="D13" s="40" t="e">
        <v>#REF!</v>
      </c>
      <c r="E13" s="26">
        <f t="shared" si="0"/>
        <v>0.36061002498157962</v>
      </c>
      <c r="F13" s="26" t="e">
        <f t="shared" si="1"/>
        <v>#REF!</v>
      </c>
    </row>
    <row r="14" spans="2:17" x14ac:dyDescent="0.35">
      <c r="C14" s="24">
        <f t="shared" si="2"/>
        <v>10</v>
      </c>
      <c r="D14" s="40" t="e">
        <v>#REF!</v>
      </c>
      <c r="E14" s="26">
        <f t="shared" si="0"/>
        <v>0.3219732365906961</v>
      </c>
      <c r="F14" s="26" t="e">
        <f t="shared" si="1"/>
        <v>#REF!</v>
      </c>
    </row>
    <row r="15" spans="2:17" x14ac:dyDescent="0.35">
      <c r="C15" s="24"/>
      <c r="D15" s="24"/>
      <c r="E15" s="24"/>
      <c r="F15" s="24"/>
    </row>
    <row r="16" spans="2:17" x14ac:dyDescent="0.35">
      <c r="C16" s="24"/>
      <c r="D16" s="24"/>
      <c r="E16" s="24" t="s">
        <v>271</v>
      </c>
      <c r="F16" s="39" t="e">
        <f>SUM(F5:F15)</f>
        <v>#REF!</v>
      </c>
    </row>
    <row r="17" spans="2:6" x14ac:dyDescent="0.35">
      <c r="C17" s="24"/>
      <c r="D17" s="24" t="s">
        <v>273</v>
      </c>
      <c r="E17" s="24" t="s">
        <v>272</v>
      </c>
      <c r="F17" s="39" t="e">
        <f>('CoP-MoF'!D5+'CoP-MoF'!D7+'CoP-MoF'!#REF!)/A</f>
        <v>#REF!</v>
      </c>
    </row>
    <row r="18" spans="2:6" x14ac:dyDescent="0.35">
      <c r="C18" s="24"/>
      <c r="D18" s="24"/>
      <c r="E18" s="24" t="s">
        <v>274</v>
      </c>
      <c r="F18" s="39" t="e">
        <f>F16-F17</f>
        <v>#REF!</v>
      </c>
    </row>
    <row r="21" spans="2:6" x14ac:dyDescent="0.35">
      <c r="B21" t="s">
        <v>275</v>
      </c>
    </row>
    <row r="22" spans="2:6" x14ac:dyDescent="0.35">
      <c r="C22" s="24" t="s">
        <v>265</v>
      </c>
      <c r="D22" s="24" t="s">
        <v>267</v>
      </c>
      <c r="E22" s="24" t="s">
        <v>269</v>
      </c>
      <c r="F22" s="24" t="s">
        <v>270</v>
      </c>
    </row>
    <row r="23" spans="2:6" x14ac:dyDescent="0.35">
      <c r="C23" s="24"/>
      <c r="D23" s="24"/>
      <c r="E23" s="43">
        <v>0.16869999999999999</v>
      </c>
      <c r="F23" s="24"/>
    </row>
    <row r="24" spans="2:6" x14ac:dyDescent="0.35">
      <c r="C24" s="24">
        <v>1</v>
      </c>
      <c r="D24" s="39" t="e">
        <f>D5</f>
        <v>#REF!</v>
      </c>
      <c r="E24" s="26">
        <f>(1/(1+$E$23))^C24</f>
        <v>0.85565157867716257</v>
      </c>
      <c r="F24" s="26" t="e">
        <f>E24*D24</f>
        <v>#REF!</v>
      </c>
    </row>
    <row r="25" spans="2:6" x14ac:dyDescent="0.35">
      <c r="C25" s="24">
        <f>C24+1</f>
        <v>2</v>
      </c>
      <c r="D25" s="39" t="e">
        <f t="shared" ref="D25:D30" si="3">D6</f>
        <v>#REF!</v>
      </c>
      <c r="E25" s="26">
        <f t="shared" ref="E25:E30" si="4">(1/(1+$E$23))^C25</f>
        <v>0.73213962409272049</v>
      </c>
      <c r="F25" s="26" t="e">
        <f t="shared" ref="F25:F30" si="5">E25*D25</f>
        <v>#REF!</v>
      </c>
    </row>
    <row r="26" spans="2:6" x14ac:dyDescent="0.35">
      <c r="C26" s="24">
        <f t="shared" ref="C26:C30" si="6">C25+1</f>
        <v>3</v>
      </c>
      <c r="D26" s="39">
        <f t="shared" si="3"/>
        <v>575.19957171939234</v>
      </c>
      <c r="E26" s="26">
        <f t="shared" si="4"/>
        <v>0.6264564251670407</v>
      </c>
      <c r="F26" s="26">
        <f t="shared" si="5"/>
        <v>360.33746745694339</v>
      </c>
    </row>
    <row r="27" spans="2:6" x14ac:dyDescent="0.35">
      <c r="C27" s="24">
        <f t="shared" si="6"/>
        <v>4</v>
      </c>
      <c r="D27" s="39">
        <f t="shared" si="3"/>
        <v>814.17481550984451</v>
      </c>
      <c r="E27" s="26">
        <f t="shared" si="4"/>
        <v>0.53602842916663007</v>
      </c>
      <c r="F27" s="26">
        <f t="shared" si="5"/>
        <v>436.42084742477277</v>
      </c>
    </row>
    <row r="28" spans="2:6" x14ac:dyDescent="0.35">
      <c r="C28" s="24">
        <f t="shared" si="6"/>
        <v>5</v>
      </c>
      <c r="D28" s="39">
        <f t="shared" si="3"/>
        <v>1082.1460727074771</v>
      </c>
      <c r="E28" s="26">
        <f t="shared" si="4"/>
        <v>0.45865357163226661</v>
      </c>
      <c r="F28" s="26">
        <f t="shared" si="5"/>
        <v>496.33016127511485</v>
      </c>
    </row>
    <row r="29" spans="2:6" x14ac:dyDescent="0.35">
      <c r="C29" s="24">
        <f t="shared" si="6"/>
        <v>6</v>
      </c>
      <c r="D29" s="39">
        <f t="shared" si="3"/>
        <v>1379.7491982989034</v>
      </c>
      <c r="E29" s="26">
        <f t="shared" si="4"/>
        <v>0.39244765263306797</v>
      </c>
      <c r="F29" s="26">
        <f t="shared" si="5"/>
        <v>541.47933409476207</v>
      </c>
    </row>
    <row r="30" spans="2:6" x14ac:dyDescent="0.35">
      <c r="C30" s="24">
        <f t="shared" si="6"/>
        <v>7</v>
      </c>
      <c r="D30" s="39">
        <f t="shared" si="3"/>
        <v>1706.1047992145257</v>
      </c>
      <c r="E30" s="26">
        <f t="shared" si="4"/>
        <v>0.33579845352363136</v>
      </c>
      <c r="F30" s="26">
        <f t="shared" si="5"/>
        <v>572.90735312548327</v>
      </c>
    </row>
    <row r="31" spans="2:6" x14ac:dyDescent="0.35">
      <c r="C31" s="24"/>
      <c r="D31" s="39"/>
      <c r="E31" s="26"/>
      <c r="F31" s="26"/>
    </row>
    <row r="32" spans="2:6" x14ac:dyDescent="0.35">
      <c r="C32" s="24"/>
      <c r="D32" s="39"/>
      <c r="E32" s="26"/>
      <c r="F32" s="26"/>
    </row>
    <row r="33" spans="3:6" x14ac:dyDescent="0.35">
      <c r="C33" s="24"/>
      <c r="D33" s="39"/>
      <c r="E33" s="26"/>
      <c r="F33" s="26"/>
    </row>
    <row r="34" spans="3:6" x14ac:dyDescent="0.35">
      <c r="C34" s="24"/>
      <c r="D34" s="24"/>
      <c r="E34" s="24"/>
      <c r="F34" s="24"/>
    </row>
    <row r="35" spans="3:6" x14ac:dyDescent="0.35">
      <c r="C35" s="24"/>
      <c r="D35" s="24"/>
      <c r="E35" s="24" t="s">
        <v>271</v>
      </c>
      <c r="F35" s="39" t="e">
        <f>SUM(F24:F34)</f>
        <v>#REF!</v>
      </c>
    </row>
    <row r="36" spans="3:6" x14ac:dyDescent="0.35">
      <c r="C36" s="24"/>
      <c r="D36" s="24" t="s">
        <v>273</v>
      </c>
      <c r="E36" s="24" t="s">
        <v>272</v>
      </c>
      <c r="F36" s="39" t="e">
        <f>F17</f>
        <v>#REF!</v>
      </c>
    </row>
    <row r="37" spans="3:6" x14ac:dyDescent="0.35">
      <c r="C37" s="24"/>
      <c r="D37" s="24"/>
      <c r="E37" s="24" t="s">
        <v>274</v>
      </c>
      <c r="F37" s="39" t="e">
        <f>F35-F36</f>
        <v>#REF!</v>
      </c>
    </row>
  </sheetData>
  <customSheetViews>
    <customSheetView guid="{22475485-DA09-46DB-978D-BB94CE1E5597}" showPageBreaks="1" view="pageBreakPreview" topLeftCell="A27">
      <selection activeCell="E50" sqref="E5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F72"/>
  <sheetViews>
    <sheetView zoomScale="120" zoomScaleNormal="120" workbookViewId="0">
      <selection activeCell="C2" sqref="C2"/>
    </sheetView>
  </sheetViews>
  <sheetFormatPr defaultColWidth="13" defaultRowHeight="14" x14ac:dyDescent="0.35"/>
  <cols>
    <col min="1" max="1" width="7.26953125" style="12" customWidth="1"/>
    <col min="2" max="2" width="46.81640625" style="5" customWidth="1"/>
    <col min="3" max="3" width="17.1796875" style="12" customWidth="1"/>
    <col min="4" max="4" width="14.81640625" style="12" customWidth="1"/>
    <col min="5" max="9" width="13" style="12"/>
    <col min="10" max="10" width="13.26953125" style="12" customWidth="1"/>
    <col min="11" max="16384" width="13" style="12"/>
  </cols>
  <sheetData>
    <row r="1" spans="1:6" ht="24" customHeight="1" x14ac:dyDescent="0.35">
      <c r="A1" s="483" t="s">
        <v>207</v>
      </c>
      <c r="B1" s="483"/>
      <c r="C1" s="483"/>
      <c r="D1" s="483"/>
    </row>
    <row r="2" spans="1:6" s="4" customFormat="1" ht="20.25" customHeight="1" x14ac:dyDescent="0.35">
      <c r="A2" s="16" t="s">
        <v>0</v>
      </c>
      <c r="B2" s="22" t="s">
        <v>208</v>
      </c>
      <c r="C2" s="16" t="s">
        <v>2</v>
      </c>
      <c r="D2" s="16" t="s">
        <v>3</v>
      </c>
    </row>
    <row r="3" spans="1:6" ht="21.75" customHeight="1" x14ac:dyDescent="0.35">
      <c r="A3" s="18" t="s">
        <v>79</v>
      </c>
      <c r="B3" s="486" t="s">
        <v>209</v>
      </c>
      <c r="C3" s="489"/>
      <c r="D3" s="489"/>
    </row>
    <row r="4" spans="1:6" s="6" customFormat="1" ht="20.25" customHeight="1" x14ac:dyDescent="0.35">
      <c r="A4" s="19">
        <v>1</v>
      </c>
      <c r="B4" s="20" t="s">
        <v>210</v>
      </c>
      <c r="C4" s="21">
        <v>10000</v>
      </c>
      <c r="D4" s="19" t="s">
        <v>153</v>
      </c>
      <c r="F4" s="17"/>
    </row>
    <row r="5" spans="1:6" s="6" customFormat="1" ht="20.25" customHeight="1" x14ac:dyDescent="0.35">
      <c r="A5" s="19">
        <v>2</v>
      </c>
      <c r="B5" s="20" t="s">
        <v>211</v>
      </c>
      <c r="C5" s="21">
        <v>4070</v>
      </c>
      <c r="D5" s="19" t="s">
        <v>259</v>
      </c>
      <c r="F5" s="17"/>
    </row>
    <row r="6" spans="1:6" s="6" customFormat="1" ht="20.25" customHeight="1" x14ac:dyDescent="0.35">
      <c r="A6" s="19">
        <v>3</v>
      </c>
      <c r="B6" s="20" t="s">
        <v>212</v>
      </c>
      <c r="C6" s="21">
        <v>7000</v>
      </c>
      <c r="D6" s="19" t="s">
        <v>259</v>
      </c>
      <c r="F6" s="17"/>
    </row>
    <row r="7" spans="1:6" s="6" customFormat="1" ht="20.25" customHeight="1" x14ac:dyDescent="0.35">
      <c r="A7" s="19">
        <v>4</v>
      </c>
      <c r="B7" s="20" t="s">
        <v>138</v>
      </c>
      <c r="C7" s="21">
        <v>40000</v>
      </c>
      <c r="D7" s="19" t="s">
        <v>259</v>
      </c>
      <c r="F7" s="17"/>
    </row>
    <row r="8" spans="1:6" s="6" customFormat="1" ht="20.25" customHeight="1" x14ac:dyDescent="0.35">
      <c r="A8" s="19">
        <v>5</v>
      </c>
      <c r="B8" s="20" t="s">
        <v>139</v>
      </c>
      <c r="C8" s="21">
        <v>39700</v>
      </c>
      <c r="D8" s="19" t="s">
        <v>260</v>
      </c>
      <c r="F8" s="17"/>
    </row>
    <row r="9" spans="1:6" s="6" customFormat="1" ht="20.25" customHeight="1" x14ac:dyDescent="0.35">
      <c r="A9" s="19">
        <v>6</v>
      </c>
      <c r="B9" s="20" t="s">
        <v>213</v>
      </c>
      <c r="C9" s="21">
        <v>300</v>
      </c>
      <c r="D9" s="19" t="s">
        <v>193</v>
      </c>
      <c r="F9" s="17"/>
    </row>
    <row r="10" spans="1:6" s="6" customFormat="1" ht="20.25" customHeight="1" x14ac:dyDescent="0.35">
      <c r="A10" s="19">
        <v>7</v>
      </c>
      <c r="B10" s="20" t="s">
        <v>151</v>
      </c>
      <c r="C10" s="21">
        <v>1</v>
      </c>
      <c r="D10" s="19"/>
      <c r="F10" s="17"/>
    </row>
    <row r="11" spans="1:6" ht="21.75" customHeight="1" x14ac:dyDescent="0.35">
      <c r="A11" s="18" t="s">
        <v>80</v>
      </c>
      <c r="B11" s="486" t="s">
        <v>214</v>
      </c>
      <c r="C11" s="489"/>
      <c r="D11" s="489"/>
    </row>
    <row r="12" spans="1:6" s="6" customFormat="1" ht="20.25" customHeight="1" x14ac:dyDescent="0.35">
      <c r="A12" s="19">
        <v>1</v>
      </c>
      <c r="B12" s="20" t="s">
        <v>215</v>
      </c>
      <c r="C12" s="21">
        <f>'Det Assump'!D53</f>
        <v>18857.142857142859</v>
      </c>
      <c r="D12" s="19" t="s">
        <v>261</v>
      </c>
      <c r="F12" s="17"/>
    </row>
    <row r="13" spans="1:6" s="6" customFormat="1" ht="20.25" customHeight="1" x14ac:dyDescent="0.35">
      <c r="A13" s="19">
        <v>2</v>
      </c>
      <c r="B13" s="20" t="s">
        <v>216</v>
      </c>
      <c r="C13" s="21">
        <f>'Det Assump'!D54</f>
        <v>0</v>
      </c>
      <c r="D13" s="19" t="s">
        <v>261</v>
      </c>
      <c r="F13" s="17"/>
    </row>
    <row r="14" spans="1:6" s="6" customFormat="1" ht="20.25" customHeight="1" x14ac:dyDescent="0.35">
      <c r="A14" s="19">
        <v>3</v>
      </c>
      <c r="B14" s="20" t="s">
        <v>217</v>
      </c>
      <c r="C14" s="21" t="e">
        <f>'Det Assump'!#REF!</f>
        <v>#REF!</v>
      </c>
      <c r="D14" s="19" t="s">
        <v>261</v>
      </c>
      <c r="F14" s="17"/>
    </row>
    <row r="15" spans="1:6" s="6" customFormat="1" ht="20.25" customHeight="1" x14ac:dyDescent="0.35">
      <c r="A15" s="19">
        <v>4</v>
      </c>
      <c r="B15" s="20" t="s">
        <v>218</v>
      </c>
      <c r="C15" s="21">
        <f>Assump!G19</f>
        <v>140160000</v>
      </c>
      <c r="D15" s="19" t="s">
        <v>193</v>
      </c>
      <c r="F15" s="17"/>
    </row>
    <row r="16" spans="1:6" s="6" customFormat="1" ht="20.25" customHeight="1" x14ac:dyDescent="0.35">
      <c r="A16" s="19">
        <v>5</v>
      </c>
      <c r="B16" s="20" t="s">
        <v>219</v>
      </c>
      <c r="C16" s="21">
        <f>C4*365</f>
        <v>3650000</v>
      </c>
      <c r="D16" s="19" t="s">
        <v>161</v>
      </c>
      <c r="F16" s="17"/>
    </row>
    <row r="17" spans="1:6" s="6" customFormat="1" ht="20.25" customHeight="1" x14ac:dyDescent="0.35">
      <c r="A17" s="19">
        <v>6</v>
      </c>
      <c r="B17" s="20" t="s">
        <v>220</v>
      </c>
      <c r="C17" s="21">
        <f>C5*365</f>
        <v>1485550</v>
      </c>
      <c r="D17" s="19" t="s">
        <v>161</v>
      </c>
      <c r="F17" s="17"/>
    </row>
    <row r="18" spans="1:6" s="6" customFormat="1" ht="20.25" customHeight="1" x14ac:dyDescent="0.35">
      <c r="A18" s="19">
        <v>7</v>
      </c>
      <c r="B18" s="20" t="s">
        <v>221</v>
      </c>
      <c r="C18" s="21">
        <f>C6*356</f>
        <v>2492000</v>
      </c>
      <c r="D18" s="19" t="s">
        <v>152</v>
      </c>
      <c r="F18" s="17"/>
    </row>
    <row r="19" spans="1:6" s="6" customFormat="1" ht="20.25" customHeight="1" x14ac:dyDescent="0.35">
      <c r="A19" s="19">
        <v>8</v>
      </c>
      <c r="B19" s="20" t="s">
        <v>222</v>
      </c>
      <c r="C19" s="21">
        <f>C7*365</f>
        <v>14600000</v>
      </c>
      <c r="D19" s="19" t="s">
        <v>152</v>
      </c>
      <c r="F19" s="17"/>
    </row>
    <row r="20" spans="1:6" s="6" customFormat="1" ht="20.25" customHeight="1" x14ac:dyDescent="0.35">
      <c r="A20" s="19">
        <v>9</v>
      </c>
      <c r="B20" s="20" t="s">
        <v>223</v>
      </c>
      <c r="C20" s="21">
        <f>C8*365/1000</f>
        <v>14490.5</v>
      </c>
      <c r="D20" s="19" t="s">
        <v>171</v>
      </c>
      <c r="F20" s="17"/>
    </row>
    <row r="21" spans="1:6" s="6" customFormat="1" ht="20.25" customHeight="1" x14ac:dyDescent="0.35">
      <c r="A21" s="19">
        <v>10</v>
      </c>
      <c r="B21" s="20" t="s">
        <v>145</v>
      </c>
      <c r="C21" s="21" t="e">
        <f>'Det Assump'!#REF!</f>
        <v>#REF!</v>
      </c>
      <c r="D21" s="19" t="s">
        <v>165</v>
      </c>
      <c r="F21" s="17"/>
    </row>
    <row r="22" spans="1:6" ht="21.75" customHeight="1" x14ac:dyDescent="0.35">
      <c r="A22" s="18" t="s">
        <v>82</v>
      </c>
      <c r="B22" s="486" t="s">
        <v>224</v>
      </c>
      <c r="C22" s="489"/>
      <c r="D22" s="489"/>
    </row>
    <row r="23" spans="1:6" s="6" customFormat="1" ht="33" customHeight="1" x14ac:dyDescent="0.35">
      <c r="A23" s="19">
        <v>1</v>
      </c>
      <c r="B23" s="20" t="s">
        <v>225</v>
      </c>
      <c r="C23" s="21">
        <v>56</v>
      </c>
      <c r="D23" s="19" t="s">
        <v>159</v>
      </c>
      <c r="F23" s="17"/>
    </row>
    <row r="24" spans="1:6" s="6" customFormat="1" ht="33.75" customHeight="1" x14ac:dyDescent="0.35">
      <c r="A24" s="19">
        <v>2</v>
      </c>
      <c r="B24" s="20" t="s">
        <v>225</v>
      </c>
      <c r="C24" s="21">
        <v>8</v>
      </c>
      <c r="D24" s="19" t="s">
        <v>159</v>
      </c>
      <c r="F24" s="17"/>
    </row>
    <row r="25" spans="1:6" s="6" customFormat="1" ht="20.25" customHeight="1" x14ac:dyDescent="0.35">
      <c r="A25" s="19">
        <v>3</v>
      </c>
      <c r="B25" s="20" t="s">
        <v>226</v>
      </c>
      <c r="C25" s="21">
        <v>250</v>
      </c>
      <c r="D25" s="19" t="s">
        <v>172</v>
      </c>
      <c r="F25" s="17"/>
    </row>
    <row r="26" spans="1:6" s="6" customFormat="1" ht="20.25" customHeight="1" x14ac:dyDescent="0.35">
      <c r="A26" s="19">
        <v>4</v>
      </c>
      <c r="B26" s="20" t="s">
        <v>227</v>
      </c>
      <c r="C26" s="21">
        <v>1000</v>
      </c>
      <c r="D26" s="19" t="s">
        <v>262</v>
      </c>
      <c r="F26" s="17"/>
    </row>
    <row r="27" spans="1:6" s="6" customFormat="1" ht="20.25" customHeight="1" x14ac:dyDescent="0.35">
      <c r="A27" s="19">
        <v>5</v>
      </c>
      <c r="B27" s="20" t="s">
        <v>263</v>
      </c>
      <c r="C27" s="21">
        <v>500</v>
      </c>
      <c r="D27" s="19" t="s">
        <v>262</v>
      </c>
      <c r="F27" s="17"/>
    </row>
    <row r="28" spans="1:6" s="6" customFormat="1" ht="20.25" customHeight="1" x14ac:dyDescent="0.35">
      <c r="A28" s="19">
        <v>6</v>
      </c>
      <c r="B28" s="20" t="s">
        <v>228</v>
      </c>
      <c r="C28" s="21">
        <v>500</v>
      </c>
      <c r="D28" s="19" t="s">
        <v>262</v>
      </c>
      <c r="F28" s="17"/>
    </row>
    <row r="29" spans="1:6" s="6" customFormat="1" ht="20.25" customHeight="1" x14ac:dyDescent="0.35">
      <c r="A29" s="19">
        <v>7</v>
      </c>
      <c r="B29" s="20" t="s">
        <v>229</v>
      </c>
      <c r="C29" s="21">
        <v>20</v>
      </c>
      <c r="D29" s="19" t="s">
        <v>159</v>
      </c>
      <c r="F29" s="17"/>
    </row>
    <row r="30" spans="1:6" s="6" customFormat="1" ht="20.25" customHeight="1" x14ac:dyDescent="0.35">
      <c r="A30" s="19">
        <v>8</v>
      </c>
      <c r="B30" s="20" t="s">
        <v>230</v>
      </c>
      <c r="C30" s="21"/>
      <c r="D30" s="19"/>
      <c r="F30" s="17"/>
    </row>
    <row r="31" spans="1:6" s="6" customFormat="1" ht="20.25" customHeight="1" x14ac:dyDescent="0.35">
      <c r="A31" s="19">
        <v>9</v>
      </c>
      <c r="B31" s="20" t="s">
        <v>231</v>
      </c>
      <c r="C31" s="21"/>
      <c r="D31" s="19"/>
      <c r="F31" s="17"/>
    </row>
    <row r="32" spans="1:6" s="6" customFormat="1" ht="18" customHeight="1" x14ac:dyDescent="0.35">
      <c r="A32" s="490"/>
      <c r="B32" s="491"/>
      <c r="C32" s="491"/>
      <c r="D32" s="491"/>
      <c r="E32" s="491"/>
      <c r="F32" s="17"/>
    </row>
    <row r="33" spans="1:6" ht="21.75" customHeight="1" x14ac:dyDescent="0.35">
      <c r="A33" s="18" t="s">
        <v>87</v>
      </c>
      <c r="B33" s="486" t="s">
        <v>232</v>
      </c>
      <c r="C33" s="489"/>
      <c r="D33" s="489"/>
    </row>
    <row r="34" spans="1:6" s="6" customFormat="1" ht="18" customHeight="1" x14ac:dyDescent="0.35">
      <c r="A34" s="19" t="s">
        <v>84</v>
      </c>
      <c r="B34" s="15" t="s">
        <v>99</v>
      </c>
      <c r="C34" s="21"/>
      <c r="D34" s="19"/>
      <c r="F34" s="17"/>
    </row>
    <row r="35" spans="1:6" s="6" customFormat="1" ht="18" customHeight="1" x14ac:dyDescent="0.35">
      <c r="A35" s="19">
        <v>1</v>
      </c>
      <c r="B35" s="20" t="s">
        <v>233</v>
      </c>
      <c r="C35" s="21"/>
      <c r="D35" s="19"/>
      <c r="F35" s="17"/>
    </row>
    <row r="36" spans="1:6" s="6" customFormat="1" ht="18" customHeight="1" x14ac:dyDescent="0.35">
      <c r="A36" s="19">
        <v>2</v>
      </c>
      <c r="B36" s="20" t="s">
        <v>68</v>
      </c>
      <c r="C36" s="21"/>
      <c r="D36" s="19"/>
      <c r="F36" s="17"/>
    </row>
    <row r="37" spans="1:6" s="6" customFormat="1" ht="18" customHeight="1" x14ac:dyDescent="0.35">
      <c r="A37" s="19">
        <v>3</v>
      </c>
      <c r="B37" s="20" t="s">
        <v>70</v>
      </c>
      <c r="C37" s="21"/>
      <c r="D37" s="19"/>
      <c r="F37" s="17"/>
    </row>
    <row r="38" spans="1:6" s="6" customFormat="1" ht="18" customHeight="1" x14ac:dyDescent="0.35">
      <c r="A38" s="19">
        <v>4</v>
      </c>
      <c r="B38" s="20" t="s">
        <v>103</v>
      </c>
      <c r="C38" s="21"/>
      <c r="D38" s="19"/>
      <c r="F38" s="17"/>
    </row>
    <row r="39" spans="1:6" s="6" customFormat="1" ht="18" customHeight="1" x14ac:dyDescent="0.35">
      <c r="A39" s="19">
        <v>5</v>
      </c>
      <c r="B39" s="20" t="s">
        <v>234</v>
      </c>
      <c r="C39" s="21"/>
      <c r="D39" s="19"/>
      <c r="F39" s="17"/>
    </row>
    <row r="40" spans="1:6" s="6" customFormat="1" ht="18" customHeight="1" x14ac:dyDescent="0.35">
      <c r="A40" s="19">
        <v>6</v>
      </c>
      <c r="B40" s="20" t="s">
        <v>235</v>
      </c>
      <c r="C40" s="21"/>
      <c r="D40" s="19"/>
      <c r="F40" s="17"/>
    </row>
    <row r="41" spans="1:6" s="6" customFormat="1" ht="18" customHeight="1" x14ac:dyDescent="0.35">
      <c r="A41" s="19"/>
      <c r="B41" s="16" t="s">
        <v>258</v>
      </c>
      <c r="C41" s="21"/>
      <c r="D41" s="19"/>
      <c r="F41" s="17"/>
    </row>
    <row r="42" spans="1:6" s="6" customFormat="1" ht="18" customHeight="1" x14ac:dyDescent="0.35">
      <c r="A42" s="19" t="s">
        <v>85</v>
      </c>
      <c r="B42" s="15" t="s">
        <v>236</v>
      </c>
      <c r="C42" s="21"/>
      <c r="D42" s="19"/>
      <c r="F42" s="17"/>
    </row>
    <row r="43" spans="1:6" s="6" customFormat="1" ht="18" customHeight="1" x14ac:dyDescent="0.35">
      <c r="A43" s="19">
        <v>1</v>
      </c>
      <c r="B43" s="20" t="s">
        <v>237</v>
      </c>
      <c r="C43" s="21"/>
      <c r="D43" s="19"/>
      <c r="F43" s="17"/>
    </row>
    <row r="44" spans="1:6" s="6" customFormat="1" ht="18" customHeight="1" x14ac:dyDescent="0.35">
      <c r="A44" s="19">
        <v>2</v>
      </c>
      <c r="B44" s="20" t="s">
        <v>238</v>
      </c>
      <c r="C44" s="21"/>
      <c r="D44" s="19"/>
      <c r="F44" s="17"/>
    </row>
    <row r="45" spans="1:6" s="6" customFormat="1" ht="18" customHeight="1" x14ac:dyDescent="0.35">
      <c r="A45" s="19"/>
      <c r="B45" s="20" t="s">
        <v>102</v>
      </c>
      <c r="C45" s="21"/>
      <c r="D45" s="19"/>
      <c r="F45" s="17"/>
    </row>
    <row r="46" spans="1:6" s="6" customFormat="1" ht="18" customHeight="1" x14ac:dyDescent="0.35">
      <c r="A46" s="19"/>
      <c r="B46" s="16" t="s">
        <v>239</v>
      </c>
      <c r="C46" s="21"/>
      <c r="D46" s="19"/>
      <c r="F46" s="17"/>
    </row>
    <row r="47" spans="1:6" s="6" customFormat="1" ht="18" customHeight="1" x14ac:dyDescent="0.35">
      <c r="A47" s="19"/>
      <c r="B47" s="20"/>
      <c r="C47" s="21"/>
      <c r="D47" s="19"/>
      <c r="F47" s="17"/>
    </row>
    <row r="48" spans="1:6" ht="21.75" customHeight="1" x14ac:dyDescent="0.35">
      <c r="A48" s="18" t="s">
        <v>89</v>
      </c>
      <c r="B48" s="486" t="s">
        <v>240</v>
      </c>
      <c r="C48" s="489"/>
      <c r="D48" s="489"/>
    </row>
    <row r="49" spans="1:6" s="6" customFormat="1" ht="18" customHeight="1" x14ac:dyDescent="0.35">
      <c r="A49" s="19">
        <v>1</v>
      </c>
      <c r="B49" s="20" t="s">
        <v>241</v>
      </c>
      <c r="C49" s="21"/>
      <c r="D49" s="19"/>
      <c r="F49" s="17"/>
    </row>
    <row r="50" spans="1:6" s="6" customFormat="1" ht="18" customHeight="1" x14ac:dyDescent="0.35">
      <c r="A50" s="19">
        <v>2</v>
      </c>
      <c r="B50" s="20" t="s">
        <v>242</v>
      </c>
      <c r="C50" s="21"/>
      <c r="D50" s="19"/>
      <c r="F50" s="17"/>
    </row>
    <row r="51" spans="1:6" s="6" customFormat="1" ht="18" customHeight="1" x14ac:dyDescent="0.35">
      <c r="A51" s="19">
        <v>3</v>
      </c>
      <c r="B51" s="20" t="s">
        <v>243</v>
      </c>
      <c r="C51" s="21"/>
      <c r="D51" s="19"/>
      <c r="F51" s="17"/>
    </row>
    <row r="52" spans="1:6" s="6" customFormat="1" ht="18" customHeight="1" x14ac:dyDescent="0.35">
      <c r="A52" s="19">
        <v>4</v>
      </c>
      <c r="B52" s="20" t="s">
        <v>244</v>
      </c>
      <c r="C52" s="21"/>
      <c r="D52" s="19"/>
      <c r="F52" s="17"/>
    </row>
    <row r="53" spans="1:6" s="6" customFormat="1" ht="18" customHeight="1" x14ac:dyDescent="0.35">
      <c r="A53" s="19"/>
      <c r="B53" s="20" t="s">
        <v>245</v>
      </c>
      <c r="C53" s="21"/>
      <c r="D53" s="19"/>
      <c r="F53" s="17"/>
    </row>
    <row r="54" spans="1:6" s="6" customFormat="1" ht="18" customHeight="1" x14ac:dyDescent="0.35">
      <c r="A54" s="19">
        <v>1</v>
      </c>
      <c r="B54" s="20" t="s">
        <v>51</v>
      </c>
      <c r="C54" s="21"/>
      <c r="D54" s="19"/>
      <c r="F54" s="17"/>
    </row>
    <row r="55" spans="1:6" s="6" customFormat="1" ht="18" customHeight="1" x14ac:dyDescent="0.35">
      <c r="A55" s="19">
        <v>2</v>
      </c>
      <c r="B55" s="20" t="s">
        <v>246</v>
      </c>
      <c r="C55" s="21"/>
      <c r="D55" s="19"/>
      <c r="F55" s="17"/>
    </row>
    <row r="56" spans="1:6" s="6" customFormat="1" ht="18" customHeight="1" x14ac:dyDescent="0.35">
      <c r="A56" s="19">
        <v>3</v>
      </c>
      <c r="B56" s="20" t="s">
        <v>247</v>
      </c>
      <c r="C56" s="21"/>
      <c r="D56" s="19"/>
      <c r="F56" s="17"/>
    </row>
    <row r="57" spans="1:6" s="6" customFormat="1" ht="18" customHeight="1" x14ac:dyDescent="0.35">
      <c r="A57" s="19">
        <v>4</v>
      </c>
      <c r="B57" s="20" t="s">
        <v>248</v>
      </c>
      <c r="C57" s="21"/>
      <c r="D57" s="19"/>
      <c r="F57" s="17"/>
    </row>
    <row r="58" spans="1:6" s="6" customFormat="1" ht="18" customHeight="1" x14ac:dyDescent="0.35">
      <c r="A58" s="19">
        <v>5</v>
      </c>
      <c r="B58" s="20" t="s">
        <v>52</v>
      </c>
      <c r="C58" s="21"/>
      <c r="D58" s="19"/>
      <c r="F58" s="17"/>
    </row>
    <row r="59" spans="1:6" s="6" customFormat="1" ht="18" customHeight="1" x14ac:dyDescent="0.35">
      <c r="A59" s="19">
        <v>6</v>
      </c>
      <c r="B59" s="20" t="s">
        <v>72</v>
      </c>
      <c r="C59" s="21"/>
      <c r="D59" s="19"/>
      <c r="F59" s="17"/>
    </row>
    <row r="60" spans="1:6" s="6" customFormat="1" ht="18" customHeight="1" x14ac:dyDescent="0.35">
      <c r="A60" s="19">
        <v>7</v>
      </c>
      <c r="B60" s="20" t="s">
        <v>56</v>
      </c>
      <c r="C60" s="21"/>
      <c r="D60" s="19"/>
      <c r="F60" s="17"/>
    </row>
    <row r="61" spans="1:6" s="6" customFormat="1" ht="18" customHeight="1" x14ac:dyDescent="0.35">
      <c r="A61" s="19">
        <v>8</v>
      </c>
      <c r="B61" s="20" t="s">
        <v>58</v>
      </c>
      <c r="C61" s="21"/>
      <c r="D61" s="19"/>
      <c r="F61" s="17"/>
    </row>
    <row r="62" spans="1:6" s="6" customFormat="1" ht="18" customHeight="1" x14ac:dyDescent="0.35">
      <c r="A62" s="19">
        <v>9</v>
      </c>
      <c r="B62" s="20" t="s">
        <v>60</v>
      </c>
      <c r="C62" s="21"/>
      <c r="D62" s="19"/>
      <c r="F62" s="17"/>
    </row>
    <row r="63" spans="1:6" s="6" customFormat="1" ht="18" customHeight="1" x14ac:dyDescent="0.35">
      <c r="A63" s="19">
        <v>10</v>
      </c>
      <c r="B63" s="20" t="s">
        <v>249</v>
      </c>
      <c r="C63" s="21"/>
      <c r="D63" s="19"/>
      <c r="F63" s="17"/>
    </row>
    <row r="64" spans="1:6" s="6" customFormat="1" ht="18" customHeight="1" x14ac:dyDescent="0.35">
      <c r="A64" s="19">
        <v>11</v>
      </c>
      <c r="B64" s="20" t="s">
        <v>250</v>
      </c>
      <c r="C64" s="21"/>
      <c r="D64" s="19"/>
      <c r="F64" s="17"/>
    </row>
    <row r="65" spans="1:6" s="6" customFormat="1" ht="18" customHeight="1" x14ac:dyDescent="0.35">
      <c r="A65" s="19">
        <v>12</v>
      </c>
      <c r="B65" s="20" t="s">
        <v>63</v>
      </c>
      <c r="C65" s="21"/>
      <c r="D65" s="19"/>
      <c r="F65" s="17"/>
    </row>
    <row r="66" spans="1:6" s="6" customFormat="1" ht="18" customHeight="1" x14ac:dyDescent="0.35">
      <c r="A66" s="19">
        <v>13</v>
      </c>
      <c r="B66" s="20" t="s">
        <v>251</v>
      </c>
      <c r="C66" s="21"/>
      <c r="D66" s="19"/>
      <c r="F66" s="17"/>
    </row>
    <row r="67" spans="1:6" s="6" customFormat="1" ht="18" customHeight="1" x14ac:dyDescent="0.35">
      <c r="A67" s="19">
        <v>14</v>
      </c>
      <c r="B67" s="20" t="s">
        <v>252</v>
      </c>
      <c r="C67" s="21"/>
      <c r="D67" s="19"/>
      <c r="F67" s="17"/>
    </row>
    <row r="68" spans="1:6" s="6" customFormat="1" ht="18" customHeight="1" x14ac:dyDescent="0.35">
      <c r="A68" s="19">
        <v>15</v>
      </c>
      <c r="B68" s="20" t="s">
        <v>253</v>
      </c>
      <c r="C68" s="21"/>
      <c r="D68" s="19"/>
      <c r="F68" s="17"/>
    </row>
    <row r="69" spans="1:6" s="6" customFormat="1" ht="18" customHeight="1" x14ac:dyDescent="0.35">
      <c r="A69" s="19">
        <v>16</v>
      </c>
      <c r="B69" s="20" t="s">
        <v>254</v>
      </c>
      <c r="C69" s="21"/>
      <c r="D69" s="19"/>
      <c r="F69" s="17"/>
    </row>
    <row r="70" spans="1:6" s="6" customFormat="1" ht="18" customHeight="1" x14ac:dyDescent="0.35">
      <c r="A70" s="19">
        <v>17</v>
      </c>
      <c r="B70" s="20" t="s">
        <v>255</v>
      </c>
      <c r="C70" s="21"/>
      <c r="D70" s="19"/>
      <c r="F70" s="17"/>
    </row>
    <row r="71" spans="1:6" s="6" customFormat="1" ht="18" customHeight="1" x14ac:dyDescent="0.35">
      <c r="A71" s="19">
        <v>18</v>
      </c>
      <c r="B71" s="20" t="s">
        <v>256</v>
      </c>
      <c r="C71" s="21"/>
      <c r="D71" s="19"/>
      <c r="F71" s="17"/>
    </row>
    <row r="72" spans="1:6" s="6" customFormat="1" ht="18" customHeight="1" x14ac:dyDescent="0.35">
      <c r="A72" s="19">
        <v>19</v>
      </c>
      <c r="B72" s="20" t="s">
        <v>257</v>
      </c>
      <c r="C72" s="21"/>
      <c r="D72" s="19"/>
      <c r="F72" s="17"/>
    </row>
  </sheetData>
  <customSheetViews>
    <customSheetView guid="{22475485-DA09-46DB-978D-BB94CE1E5597}" scale="120" state="hidden" topLeftCell="A83">
      <selection activeCell="A101" sqref="A101"/>
      <pageMargins left="0.7" right="0.7" top="0.75" bottom="0.75" header="0.3" footer="0.3"/>
      <pageSetup paperSize="9" orientation="portrait" verticalDpi="0" r:id="rId1"/>
    </customSheetView>
  </customSheetViews>
  <mergeCells count="7">
    <mergeCell ref="B33:D33"/>
    <mergeCell ref="B48:D48"/>
    <mergeCell ref="A32:E32"/>
    <mergeCell ref="A1:D1"/>
    <mergeCell ref="B3:D3"/>
    <mergeCell ref="B11:D11"/>
    <mergeCell ref="B22:D22"/>
  </mergeCell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F55"/>
  <sheetViews>
    <sheetView workbookViewId="0">
      <selection sqref="A1:D1"/>
    </sheetView>
  </sheetViews>
  <sheetFormatPr defaultColWidth="13" defaultRowHeight="14" x14ac:dyDescent="0.35"/>
  <cols>
    <col min="1" max="1" width="8.453125" style="12" bestFit="1" customWidth="1"/>
    <col min="2" max="2" width="46.81640625" style="5" customWidth="1"/>
    <col min="3" max="3" width="17.1796875" style="12" customWidth="1"/>
    <col min="4" max="4" width="14.81640625" style="12" customWidth="1"/>
    <col min="5" max="9" width="13" style="12"/>
    <col min="10" max="10" width="13.26953125" style="12" customWidth="1"/>
    <col min="11" max="16384" width="13" style="12"/>
  </cols>
  <sheetData>
    <row r="1" spans="1:6" ht="26.25" customHeight="1" x14ac:dyDescent="0.35">
      <c r="A1" s="483" t="s">
        <v>207</v>
      </c>
      <c r="B1" s="483"/>
      <c r="C1" s="483"/>
      <c r="D1" s="483"/>
    </row>
    <row r="2" spans="1:6" s="4" customFormat="1" ht="20.25" customHeight="1" x14ac:dyDescent="0.35">
      <c r="A2" s="16" t="s">
        <v>0</v>
      </c>
      <c r="B2" s="22" t="s">
        <v>208</v>
      </c>
      <c r="C2" s="16" t="s">
        <v>2</v>
      </c>
      <c r="D2" s="16" t="s">
        <v>3</v>
      </c>
    </row>
    <row r="3" spans="1:6" ht="21.75" customHeight="1" x14ac:dyDescent="0.35">
      <c r="A3" s="18" t="s">
        <v>79</v>
      </c>
      <c r="B3" s="486" t="s">
        <v>209</v>
      </c>
      <c r="C3" s="489"/>
      <c r="D3" s="489"/>
    </row>
    <row r="4" spans="1:6" s="6" customFormat="1" ht="20.25" customHeight="1" x14ac:dyDescent="0.35">
      <c r="A4" s="19">
        <v>1</v>
      </c>
      <c r="B4" s="20" t="s">
        <v>210</v>
      </c>
      <c r="C4" s="37">
        <f>'Det Assump'!D35</f>
        <v>0</v>
      </c>
      <c r="D4" s="19" t="s">
        <v>153</v>
      </c>
      <c r="F4" s="17"/>
    </row>
    <row r="5" spans="1:6" s="6" customFormat="1" ht="20.25" customHeight="1" x14ac:dyDescent="0.35">
      <c r="A5" s="19">
        <v>2</v>
      </c>
      <c r="B5" s="20" t="s">
        <v>211</v>
      </c>
      <c r="C5" s="37">
        <f>'Det Assump'!D36</f>
        <v>0</v>
      </c>
      <c r="D5" s="19" t="s">
        <v>157</v>
      </c>
      <c r="F5" s="17"/>
    </row>
    <row r="6" spans="1:6" s="6" customFormat="1" ht="20.25" customHeight="1" x14ac:dyDescent="0.35">
      <c r="A6" s="19">
        <v>3</v>
      </c>
      <c r="B6" s="20" t="s">
        <v>211</v>
      </c>
      <c r="C6" s="37">
        <f>'Det Assump'!D16</f>
        <v>40000</v>
      </c>
      <c r="D6" s="19" t="s">
        <v>259</v>
      </c>
      <c r="F6" s="17"/>
    </row>
    <row r="7" spans="1:6" s="6" customFormat="1" ht="20.25" customHeight="1" x14ac:dyDescent="0.35">
      <c r="A7" s="19">
        <v>4</v>
      </c>
      <c r="B7" s="20" t="s">
        <v>138</v>
      </c>
      <c r="C7" s="37">
        <f>'Det Assump'!D22</f>
        <v>40000</v>
      </c>
      <c r="D7" s="19" t="s">
        <v>259</v>
      </c>
      <c r="F7" s="17"/>
    </row>
    <row r="8" spans="1:6" s="6" customFormat="1" ht="20.25" customHeight="1" x14ac:dyDescent="0.35">
      <c r="A8" s="19">
        <v>5</v>
      </c>
      <c r="B8" s="20" t="s">
        <v>139</v>
      </c>
      <c r="C8" s="37">
        <f>'Det Assump'!D26</f>
        <v>0</v>
      </c>
      <c r="D8" s="19" t="s">
        <v>260</v>
      </c>
      <c r="F8" s="17"/>
    </row>
    <row r="9" spans="1:6" s="6" customFormat="1" ht="20.25" customHeight="1" x14ac:dyDescent="0.35">
      <c r="A9" s="13">
        <v>6</v>
      </c>
      <c r="B9" s="20" t="s">
        <v>151</v>
      </c>
      <c r="C9" s="37">
        <v>1</v>
      </c>
      <c r="D9" s="19"/>
      <c r="F9" s="17"/>
    </row>
    <row r="10" spans="1:6" ht="21.75" customHeight="1" x14ac:dyDescent="0.35">
      <c r="A10" s="18" t="s">
        <v>80</v>
      </c>
      <c r="B10" s="486" t="s">
        <v>214</v>
      </c>
      <c r="C10" s="489"/>
      <c r="D10" s="489"/>
    </row>
    <row r="11" spans="1:6" s="6" customFormat="1" ht="20.25" customHeight="1" x14ac:dyDescent="0.35">
      <c r="A11" s="19">
        <v>1</v>
      </c>
      <c r="B11" s="20" t="s">
        <v>215</v>
      </c>
      <c r="C11" s="37">
        <f>'Det Assump'!D53</f>
        <v>18857.142857142859</v>
      </c>
      <c r="D11" s="19" t="s">
        <v>261</v>
      </c>
      <c r="F11" s="17"/>
    </row>
    <row r="12" spans="1:6" s="6" customFormat="1" ht="31" x14ac:dyDescent="0.35">
      <c r="A12" s="19">
        <v>2</v>
      </c>
      <c r="B12" s="20" t="s">
        <v>471</v>
      </c>
      <c r="C12" s="37">
        <f>'Det Assump'!D54</f>
        <v>0</v>
      </c>
      <c r="D12" s="19" t="s">
        <v>261</v>
      </c>
      <c r="F12" s="17"/>
    </row>
    <row r="13" spans="1:6" s="6" customFormat="1" ht="20.25" customHeight="1" x14ac:dyDescent="0.35">
      <c r="A13" s="19">
        <v>3</v>
      </c>
      <c r="B13" s="20" t="s">
        <v>217</v>
      </c>
      <c r="C13" s="37" t="e">
        <f>'Det Assump'!#REF!</f>
        <v>#REF!</v>
      </c>
      <c r="D13" s="19" t="s">
        <v>261</v>
      </c>
      <c r="F13" s="17"/>
    </row>
    <row r="14" spans="1:6" s="6" customFormat="1" ht="20.25" customHeight="1" x14ac:dyDescent="0.35">
      <c r="A14" s="19">
        <v>4</v>
      </c>
      <c r="B14" s="20" t="s">
        <v>218</v>
      </c>
      <c r="C14" s="37">
        <f>Assump!F19</f>
        <v>19200000</v>
      </c>
      <c r="D14" s="19" t="s">
        <v>193</v>
      </c>
      <c r="F14" s="17"/>
    </row>
    <row r="15" spans="1:6" s="6" customFormat="1" ht="20.25" customHeight="1" x14ac:dyDescent="0.35">
      <c r="A15" s="19">
        <v>5</v>
      </c>
      <c r="B15" s="20" t="s">
        <v>219</v>
      </c>
      <c r="C15" s="37">
        <f>C4*340</f>
        <v>0</v>
      </c>
      <c r="D15" s="19" t="s">
        <v>153</v>
      </c>
      <c r="F15" s="17"/>
    </row>
    <row r="16" spans="1:6" s="6" customFormat="1" ht="20.25" customHeight="1" x14ac:dyDescent="0.35">
      <c r="A16" s="19">
        <v>6</v>
      </c>
      <c r="B16" s="20" t="s">
        <v>276</v>
      </c>
      <c r="C16" s="37">
        <f>C6*340</f>
        <v>13600000</v>
      </c>
      <c r="D16" s="19" t="s">
        <v>161</v>
      </c>
      <c r="F16" s="17"/>
    </row>
    <row r="17" spans="1:6" s="6" customFormat="1" ht="20.25" customHeight="1" x14ac:dyDescent="0.35">
      <c r="A17" s="19">
        <v>8</v>
      </c>
      <c r="B17" s="20" t="s">
        <v>222</v>
      </c>
      <c r="C17" s="37">
        <f>C7*340</f>
        <v>13600000</v>
      </c>
      <c r="D17" s="19" t="s">
        <v>152</v>
      </c>
      <c r="F17" s="17"/>
    </row>
    <row r="18" spans="1:6" s="6" customFormat="1" ht="20.25" customHeight="1" x14ac:dyDescent="0.35">
      <c r="A18" s="19">
        <v>9</v>
      </c>
      <c r="B18" s="20" t="s">
        <v>223</v>
      </c>
      <c r="C18" s="37">
        <f>C8*340/1000</f>
        <v>0</v>
      </c>
      <c r="D18" s="19" t="s">
        <v>171</v>
      </c>
      <c r="F18" s="17"/>
    </row>
    <row r="19" spans="1:6" ht="21.75" customHeight="1" x14ac:dyDescent="0.35">
      <c r="A19" s="18" t="s">
        <v>82</v>
      </c>
      <c r="B19" s="486" t="s">
        <v>224</v>
      </c>
      <c r="C19" s="489"/>
      <c r="D19" s="489"/>
    </row>
    <row r="20" spans="1:6" s="6" customFormat="1" ht="33" customHeight="1" x14ac:dyDescent="0.35">
      <c r="A20" s="19">
        <v>1</v>
      </c>
      <c r="B20" s="20" t="s">
        <v>225</v>
      </c>
      <c r="C20" s="37">
        <f>Assump!D8</f>
        <v>290000</v>
      </c>
      <c r="D20" s="19" t="s">
        <v>159</v>
      </c>
      <c r="F20" s="17"/>
    </row>
    <row r="21" spans="1:6" s="6" customFormat="1" ht="21" customHeight="1" x14ac:dyDescent="0.35">
      <c r="A21" s="19">
        <v>2</v>
      </c>
      <c r="B21" s="20" t="s">
        <v>346</v>
      </c>
      <c r="C21" s="37">
        <f>'Det Assump'!D63</f>
        <v>9</v>
      </c>
      <c r="D21" s="19" t="s">
        <v>159</v>
      </c>
      <c r="F21" s="17"/>
    </row>
    <row r="22" spans="1:6" s="6" customFormat="1" ht="21" customHeight="1" x14ac:dyDescent="0.35">
      <c r="A22" s="19">
        <v>3</v>
      </c>
      <c r="B22" s="20" t="s">
        <v>149</v>
      </c>
      <c r="C22" s="37">
        <f>'Det Assump'!D64</f>
        <v>0</v>
      </c>
      <c r="D22" s="19"/>
      <c r="F22" s="17"/>
    </row>
    <row r="23" spans="1:6" s="6" customFormat="1" ht="21" customHeight="1" x14ac:dyDescent="0.35">
      <c r="A23" s="19">
        <v>4</v>
      </c>
      <c r="B23" s="20" t="s">
        <v>227</v>
      </c>
      <c r="C23" s="37">
        <f>Assump!D16</f>
        <v>245000</v>
      </c>
      <c r="D23" s="19" t="s">
        <v>262</v>
      </c>
      <c r="F23" s="17"/>
    </row>
    <row r="24" spans="1:6" s="6" customFormat="1" ht="36" customHeight="1" x14ac:dyDescent="0.35">
      <c r="A24" s="19">
        <v>5</v>
      </c>
      <c r="B24" s="20" t="s">
        <v>470</v>
      </c>
      <c r="C24" s="37" t="e">
        <f>Assump!#REF!</f>
        <v>#REF!</v>
      </c>
      <c r="D24" s="19" t="s">
        <v>262</v>
      </c>
      <c r="F24" s="17"/>
    </row>
    <row r="25" spans="1:6" s="6" customFormat="1" ht="36" customHeight="1" x14ac:dyDescent="0.35">
      <c r="A25" s="19">
        <v>6</v>
      </c>
      <c r="B25" s="20" t="s">
        <v>384</v>
      </c>
      <c r="C25" s="37">
        <v>0</v>
      </c>
      <c r="D25" s="19" t="s">
        <v>262</v>
      </c>
      <c r="F25" s="17"/>
    </row>
    <row r="26" spans="1:6" s="6" customFormat="1" ht="21" customHeight="1" x14ac:dyDescent="0.35">
      <c r="A26" s="19">
        <v>8</v>
      </c>
      <c r="B26" s="20" t="s">
        <v>230</v>
      </c>
      <c r="C26" s="37">
        <f>Assump!D20</f>
        <v>0</v>
      </c>
      <c r="D26" s="19" t="s">
        <v>173</v>
      </c>
      <c r="F26" s="17"/>
    </row>
    <row r="27" spans="1:6" s="6" customFormat="1" ht="21" customHeight="1" x14ac:dyDescent="0.35">
      <c r="A27" s="19">
        <v>9</v>
      </c>
      <c r="B27" s="20" t="s">
        <v>231</v>
      </c>
      <c r="C27" s="37">
        <f>Assump!D19</f>
        <v>7.3</v>
      </c>
      <c r="D27" s="19" t="s">
        <v>277</v>
      </c>
      <c r="F27" s="17"/>
    </row>
    <row r="28" spans="1:6" s="6" customFormat="1" ht="21" customHeight="1" x14ac:dyDescent="0.35">
      <c r="A28" s="490"/>
      <c r="B28" s="491"/>
      <c r="C28" s="491"/>
      <c r="D28" s="491"/>
      <c r="E28" s="491"/>
      <c r="F28" s="17"/>
    </row>
    <row r="29" spans="1:6" ht="21" customHeight="1" x14ac:dyDescent="0.35">
      <c r="A29" s="18" t="s">
        <v>87</v>
      </c>
      <c r="B29" s="486" t="s">
        <v>232</v>
      </c>
      <c r="C29" s="489"/>
      <c r="D29" s="489"/>
    </row>
    <row r="30" spans="1:6" s="6" customFormat="1" ht="21" customHeight="1" x14ac:dyDescent="0.35">
      <c r="A30" s="19" t="s">
        <v>84</v>
      </c>
      <c r="B30" s="15" t="s">
        <v>99</v>
      </c>
      <c r="C30" s="21"/>
      <c r="D30" s="13"/>
      <c r="F30" s="17"/>
    </row>
    <row r="31" spans="1:6" s="6" customFormat="1" ht="21" customHeight="1" x14ac:dyDescent="0.35">
      <c r="A31" s="36">
        <v>1</v>
      </c>
      <c r="B31" s="35" t="s">
        <v>465</v>
      </c>
      <c r="C31" s="37" t="e">
        <f>'CoP-MoF'!#REF!</f>
        <v>#REF!</v>
      </c>
      <c r="D31" s="19" t="s">
        <v>160</v>
      </c>
      <c r="F31" s="17"/>
    </row>
    <row r="32" spans="1:6" s="6" customFormat="1" ht="21" customHeight="1" x14ac:dyDescent="0.35">
      <c r="A32" s="36">
        <v>2</v>
      </c>
      <c r="B32" s="35" t="s">
        <v>385</v>
      </c>
      <c r="C32" s="37">
        <f>'CoP-MoF'!D5</f>
        <v>14030000.000000002</v>
      </c>
      <c r="D32" s="19" t="s">
        <v>160</v>
      </c>
      <c r="F32" s="17"/>
    </row>
    <row r="33" spans="1:6" s="6" customFormat="1" ht="21" customHeight="1" x14ac:dyDescent="0.35">
      <c r="A33" s="36">
        <v>3</v>
      </c>
      <c r="B33" s="35" t="s">
        <v>70</v>
      </c>
      <c r="C33" s="37">
        <f>'CoP-MoF'!D7</f>
        <v>315894794.30000001</v>
      </c>
      <c r="D33" s="19" t="s">
        <v>160</v>
      </c>
      <c r="F33" s="17"/>
    </row>
    <row r="34" spans="1:6" s="6" customFormat="1" ht="21" customHeight="1" x14ac:dyDescent="0.35">
      <c r="A34" s="36">
        <v>4</v>
      </c>
      <c r="B34" s="35" t="s">
        <v>103</v>
      </c>
      <c r="C34" s="37" t="e">
        <f>'CoP-MoF'!#REF!</f>
        <v>#REF!</v>
      </c>
      <c r="D34" s="19" t="s">
        <v>160</v>
      </c>
      <c r="F34" s="17"/>
    </row>
    <row r="35" spans="1:6" s="6" customFormat="1" ht="21" customHeight="1" x14ac:dyDescent="0.35">
      <c r="A35" s="36">
        <v>5</v>
      </c>
      <c r="B35" s="35" t="s">
        <v>419</v>
      </c>
      <c r="C35" s="37">
        <f>'CoP-MoF'!D9</f>
        <v>675000</v>
      </c>
      <c r="D35" s="19" t="s">
        <v>160</v>
      </c>
      <c r="F35" s="17"/>
    </row>
    <row r="36" spans="1:6" s="6" customFormat="1" ht="21" customHeight="1" x14ac:dyDescent="0.35">
      <c r="A36" s="36">
        <v>6</v>
      </c>
      <c r="B36" s="35" t="s">
        <v>104</v>
      </c>
      <c r="C36" s="37" t="e">
        <f>'CoP-MoF'!#REF!</f>
        <v>#REF!</v>
      </c>
      <c r="D36" s="19"/>
      <c r="F36" s="17"/>
    </row>
    <row r="37" spans="1:6" s="6" customFormat="1" ht="21" customHeight="1" x14ac:dyDescent="0.35">
      <c r="A37" s="36">
        <v>7</v>
      </c>
      <c r="B37" s="35" t="s">
        <v>203</v>
      </c>
      <c r="C37" s="37">
        <f>'CoP-MoF'!D13</f>
        <v>0</v>
      </c>
      <c r="D37" s="19" t="s">
        <v>160</v>
      </c>
      <c r="F37" s="17"/>
    </row>
    <row r="38" spans="1:6" s="6" customFormat="1" ht="21" customHeight="1" x14ac:dyDescent="0.35">
      <c r="A38" s="19"/>
      <c r="B38" s="16" t="s">
        <v>258</v>
      </c>
      <c r="C38" s="38" t="e">
        <f>SUM(C31:C37)</f>
        <v>#REF!</v>
      </c>
      <c r="D38" s="19" t="s">
        <v>160</v>
      </c>
      <c r="F38" s="17"/>
    </row>
    <row r="39" spans="1:6" s="6" customFormat="1" ht="21" customHeight="1" x14ac:dyDescent="0.35">
      <c r="A39" s="19" t="s">
        <v>85</v>
      </c>
      <c r="B39" s="15" t="s">
        <v>236</v>
      </c>
      <c r="C39" s="37"/>
      <c r="D39" s="19" t="s">
        <v>160</v>
      </c>
      <c r="F39" s="17"/>
    </row>
    <row r="40" spans="1:6" s="6" customFormat="1" ht="21" customHeight="1" x14ac:dyDescent="0.35">
      <c r="A40" s="19">
        <v>1</v>
      </c>
      <c r="B40" s="35" t="s">
        <v>324</v>
      </c>
      <c r="C40" s="37" t="e">
        <f>'CoP-MoF'!#REF!</f>
        <v>#REF!</v>
      </c>
      <c r="D40" s="19" t="s">
        <v>160</v>
      </c>
      <c r="F40" s="17"/>
    </row>
    <row r="41" spans="1:6" s="6" customFormat="1" ht="21" customHeight="1" x14ac:dyDescent="0.35">
      <c r="A41" s="19">
        <v>2</v>
      </c>
      <c r="B41" s="20" t="s">
        <v>238</v>
      </c>
      <c r="C41" s="37">
        <f>'CoP-MoF'!D19</f>
        <v>218000000</v>
      </c>
      <c r="D41" s="19" t="s">
        <v>160</v>
      </c>
      <c r="F41" s="17"/>
    </row>
    <row r="42" spans="1:6" s="6" customFormat="1" ht="21" customHeight="1" x14ac:dyDescent="0.35">
      <c r="A42" s="19"/>
      <c r="B42" s="20" t="s">
        <v>102</v>
      </c>
      <c r="C42" s="37">
        <f>'CoP-MoF'!D20</f>
        <v>0</v>
      </c>
      <c r="D42" s="19" t="s">
        <v>160</v>
      </c>
      <c r="F42" s="17"/>
    </row>
    <row r="43" spans="1:6" s="6" customFormat="1" ht="21" customHeight="1" x14ac:dyDescent="0.35">
      <c r="A43" s="19"/>
      <c r="B43" s="16" t="s">
        <v>239</v>
      </c>
      <c r="C43" s="38" t="e">
        <f>SUM(C40:C42)-C42</f>
        <v>#REF!</v>
      </c>
      <c r="D43" s="19" t="s">
        <v>160</v>
      </c>
      <c r="F43" s="17"/>
    </row>
    <row r="44" spans="1:6" ht="21" customHeight="1" x14ac:dyDescent="0.35">
      <c r="A44" s="18" t="s">
        <v>89</v>
      </c>
      <c r="B44" s="486" t="s">
        <v>278</v>
      </c>
      <c r="C44" s="489"/>
      <c r="D44" s="489"/>
    </row>
    <row r="45" spans="1:6" s="6" customFormat="1" ht="21" customHeight="1" x14ac:dyDescent="0.35">
      <c r="A45" s="19">
        <v>1</v>
      </c>
      <c r="B45" s="27" t="s">
        <v>241</v>
      </c>
      <c r="C45" s="37" t="e">
        <f>C38</f>
        <v>#REF!</v>
      </c>
      <c r="D45" s="19" t="s">
        <v>160</v>
      </c>
      <c r="F45" s="17"/>
    </row>
    <row r="46" spans="1:6" s="6" customFormat="1" ht="21" customHeight="1" x14ac:dyDescent="0.35">
      <c r="A46" s="19">
        <v>2</v>
      </c>
      <c r="B46" s="20" t="s">
        <v>242</v>
      </c>
      <c r="C46" s="37">
        <f>C42</f>
        <v>0</v>
      </c>
      <c r="D46" s="19" t="s">
        <v>160</v>
      </c>
      <c r="F46" s="17"/>
    </row>
    <row r="47" spans="1:6" s="6" customFormat="1" ht="21" customHeight="1" x14ac:dyDescent="0.35">
      <c r="A47" s="19">
        <v>3</v>
      </c>
      <c r="B47" s="20" t="s">
        <v>244</v>
      </c>
      <c r="C47" s="37" t="e">
        <f>C45-C46</f>
        <v>#REF!</v>
      </c>
      <c r="D47" s="19" t="s">
        <v>160</v>
      </c>
      <c r="F47" s="17"/>
    </row>
    <row r="48" spans="1:6" s="6" customFormat="1" ht="21" customHeight="1" x14ac:dyDescent="0.35">
      <c r="A48" s="19"/>
      <c r="B48" s="16" t="s">
        <v>245</v>
      </c>
      <c r="C48" s="37"/>
      <c r="D48" s="19" t="s">
        <v>160</v>
      </c>
      <c r="F48" s="17"/>
    </row>
    <row r="49" spans="1:6" s="6" customFormat="1" ht="21" customHeight="1" x14ac:dyDescent="0.35">
      <c r="A49" s="19">
        <v>1</v>
      </c>
      <c r="B49" s="20" t="s">
        <v>51</v>
      </c>
      <c r="C49" s="37">
        <f>Assump!G8</f>
        <v>3431280000</v>
      </c>
      <c r="D49" s="19" t="s">
        <v>160</v>
      </c>
      <c r="F49" s="17"/>
    </row>
    <row r="50" spans="1:6" s="6" customFormat="1" ht="21" customHeight="1" x14ac:dyDescent="0.35">
      <c r="A50" s="19">
        <v>3</v>
      </c>
      <c r="B50" s="20" t="s">
        <v>247</v>
      </c>
      <c r="C50" s="37" t="e">
        <f>Assump!#REF!</f>
        <v>#REF!</v>
      </c>
      <c r="D50" s="19" t="s">
        <v>160</v>
      </c>
      <c r="F50" s="17"/>
    </row>
    <row r="51" spans="1:6" s="6" customFormat="1" ht="21" customHeight="1" x14ac:dyDescent="0.35">
      <c r="A51" s="19">
        <v>4</v>
      </c>
      <c r="B51" s="20" t="s">
        <v>248</v>
      </c>
      <c r="C51" s="37" t="e">
        <f>Assump!#REF!</f>
        <v>#REF!</v>
      </c>
      <c r="D51" s="19" t="s">
        <v>160</v>
      </c>
      <c r="F51" s="17"/>
    </row>
    <row r="52" spans="1:6" s="6" customFormat="1" ht="21" customHeight="1" x14ac:dyDescent="0.35">
      <c r="A52" s="19">
        <v>6</v>
      </c>
      <c r="B52" s="20" t="s">
        <v>72</v>
      </c>
      <c r="C52" s="37">
        <f>Assump!G11</f>
        <v>8965920000</v>
      </c>
      <c r="D52" s="19" t="s">
        <v>160</v>
      </c>
      <c r="F52" s="17"/>
    </row>
    <row r="53" spans="1:6" s="6" customFormat="1" ht="21" customHeight="1" x14ac:dyDescent="0.35">
      <c r="A53" s="19">
        <v>7</v>
      </c>
      <c r="B53" s="20" t="s">
        <v>56</v>
      </c>
      <c r="C53" s="37" t="e">
        <f>Assump!#REF!</f>
        <v>#REF!</v>
      </c>
      <c r="D53" s="19" t="s">
        <v>160</v>
      </c>
      <c r="F53" s="17"/>
    </row>
    <row r="54" spans="1:6" s="6" customFormat="1" ht="21" customHeight="1" x14ac:dyDescent="0.35">
      <c r="A54" s="19">
        <v>8</v>
      </c>
      <c r="B54" s="20" t="s">
        <v>58</v>
      </c>
      <c r="C54" s="37" t="e">
        <f>Assump!#REF!</f>
        <v>#REF!</v>
      </c>
      <c r="D54" s="19" t="s">
        <v>160</v>
      </c>
      <c r="F54" s="17"/>
    </row>
    <row r="55" spans="1:6" s="6" customFormat="1" ht="21" customHeight="1" x14ac:dyDescent="0.35">
      <c r="A55" s="19">
        <v>9</v>
      </c>
      <c r="B55" s="20" t="s">
        <v>60</v>
      </c>
      <c r="C55" s="37" t="e">
        <f>C52-(C53+C54)</f>
        <v>#REF!</v>
      </c>
      <c r="D55" s="19" t="s">
        <v>160</v>
      </c>
      <c r="F55" s="17"/>
    </row>
  </sheetData>
  <customSheetViews>
    <customSheetView guid="{22475485-DA09-46DB-978D-BB94CE1E5597}" topLeftCell="A35">
      <selection activeCell="B40" sqref="B40"/>
      <pageMargins left="0.7" right="0.7" top="0.75" bottom="0.75" header="0.3" footer="0.3"/>
      <pageSetup paperSize="9" orientation="portrait" verticalDpi="0" copies="0" r:id="rId1"/>
    </customSheetView>
  </customSheetViews>
  <mergeCells count="7">
    <mergeCell ref="B44:D44"/>
    <mergeCell ref="A1:D1"/>
    <mergeCell ref="B3:D3"/>
    <mergeCell ref="B10:D10"/>
    <mergeCell ref="B19:D19"/>
    <mergeCell ref="A28:E28"/>
    <mergeCell ref="B29:D29"/>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C2:Q15"/>
  <sheetViews>
    <sheetView showGridLines="0" topLeftCell="B1" workbookViewId="0">
      <pane xSplit="2" ySplit="5" topLeftCell="D6" activePane="bottomRight" state="frozen"/>
      <selection activeCell="B1" sqref="B1"/>
      <selection pane="topRight" activeCell="C1" sqref="C1"/>
      <selection pane="bottomLeft" activeCell="B5" sqref="B5"/>
      <selection pane="bottomRight" activeCell="D13" sqref="D13"/>
    </sheetView>
  </sheetViews>
  <sheetFormatPr defaultColWidth="8.81640625" defaultRowHeight="14.5" x14ac:dyDescent="0.35"/>
  <cols>
    <col min="1" max="1" width="6.1796875" style="96" customWidth="1"/>
    <col min="2" max="2" width="4.54296875" style="96" customWidth="1"/>
    <col min="3" max="3" width="31.453125" style="51" customWidth="1"/>
    <col min="4" max="4" width="10.26953125" style="211" customWidth="1"/>
    <col min="5" max="5" width="2.1796875" style="44" customWidth="1"/>
    <col min="6" max="17" width="11.1796875" style="44" customWidth="1"/>
    <col min="18" max="16384" width="8.81640625" style="96"/>
  </cols>
  <sheetData>
    <row r="2" spans="3:17" ht="17.25" customHeight="1" x14ac:dyDescent="0.35">
      <c r="C2" s="150" t="s">
        <v>406</v>
      </c>
      <c r="D2" s="210"/>
      <c r="E2" s="136"/>
      <c r="F2" s="136"/>
      <c r="G2" s="136"/>
      <c r="H2" s="136"/>
      <c r="I2" s="136"/>
      <c r="J2" s="136"/>
      <c r="K2" s="136"/>
      <c r="L2" s="199"/>
      <c r="M2" s="136"/>
      <c r="N2" s="136"/>
      <c r="O2" s="136"/>
      <c r="P2" s="136"/>
      <c r="Q2" s="136"/>
    </row>
    <row r="3" spans="3:17" ht="12" customHeight="1" x14ac:dyDescent="0.35">
      <c r="C3" s="97"/>
      <c r="D3" s="44"/>
    </row>
    <row r="4" spans="3:17" ht="16.5" customHeight="1" x14ac:dyDescent="0.35">
      <c r="C4" s="122"/>
      <c r="D4" s="195"/>
      <c r="E4" s="93"/>
      <c r="F4" s="93" t="s">
        <v>543</v>
      </c>
      <c r="G4" s="93" t="s">
        <v>543</v>
      </c>
      <c r="H4" s="93" t="s">
        <v>543</v>
      </c>
      <c r="I4" s="93" t="s">
        <v>543</v>
      </c>
      <c r="J4" s="93" t="s">
        <v>543</v>
      </c>
      <c r="K4" s="93" t="s">
        <v>543</v>
      </c>
      <c r="L4" s="93" t="s">
        <v>543</v>
      </c>
      <c r="M4" s="93" t="s">
        <v>543</v>
      </c>
      <c r="N4" s="93" t="s">
        <v>543</v>
      </c>
      <c r="O4" s="93" t="s">
        <v>543</v>
      </c>
      <c r="P4" s="93" t="s">
        <v>543</v>
      </c>
      <c r="Q4" s="93" t="s">
        <v>543</v>
      </c>
    </row>
    <row r="5" spans="3:17" ht="18.75" customHeight="1" x14ac:dyDescent="0.35">
      <c r="C5" s="123" t="s">
        <v>629</v>
      </c>
      <c r="D5" s="94"/>
      <c r="E5" s="94"/>
      <c r="F5" s="94">
        <v>2025</v>
      </c>
      <c r="G5" s="94">
        <f>F5+1</f>
        <v>2026</v>
      </c>
      <c r="H5" s="94">
        <f t="shared" ref="H5:Q5" si="0">G5+1</f>
        <v>2027</v>
      </c>
      <c r="I5" s="94">
        <f t="shared" si="0"/>
        <v>2028</v>
      </c>
      <c r="J5" s="94">
        <f t="shared" si="0"/>
        <v>2029</v>
      </c>
      <c r="K5" s="94">
        <f t="shared" si="0"/>
        <v>2030</v>
      </c>
      <c r="L5" s="94">
        <f t="shared" si="0"/>
        <v>2031</v>
      </c>
      <c r="M5" s="94">
        <f t="shared" si="0"/>
        <v>2032</v>
      </c>
      <c r="N5" s="94">
        <f t="shared" si="0"/>
        <v>2033</v>
      </c>
      <c r="O5" s="94">
        <f t="shared" si="0"/>
        <v>2034</v>
      </c>
      <c r="P5" s="94">
        <f t="shared" si="0"/>
        <v>2035</v>
      </c>
      <c r="Q5" s="94">
        <f t="shared" si="0"/>
        <v>2036</v>
      </c>
    </row>
    <row r="6" spans="3:17" ht="17.25" customHeight="1" x14ac:dyDescent="0.35">
      <c r="C6" s="51" t="s">
        <v>63</v>
      </c>
      <c r="F6" s="100">
        <f>'P &amp; L'!D32</f>
        <v>0</v>
      </c>
      <c r="G6" s="100">
        <f>'P &amp; L'!E32</f>
        <v>8.2031863468372652</v>
      </c>
      <c r="H6" s="100">
        <f>'P &amp; L'!F32</f>
        <v>436.7337821795478</v>
      </c>
      <c r="I6" s="100">
        <f>'P &amp; L'!G32</f>
        <v>888.12389658198083</v>
      </c>
      <c r="J6" s="100">
        <f>'P &amp; L'!H32</f>
        <v>1365.557672740392</v>
      </c>
      <c r="K6" s="100">
        <f>'P &amp; L'!I32</f>
        <v>1869.8491085291696</v>
      </c>
      <c r="L6" s="100">
        <f>'P &amp; L'!J32</f>
        <v>2404.8781752043965</v>
      </c>
      <c r="M6" s="100">
        <f>'P &amp; L'!K32</f>
        <v>2972.7754408611586</v>
      </c>
      <c r="N6" s="100" t="e">
        <f>'P &amp; L'!#REF!</f>
        <v>#REF!</v>
      </c>
      <c r="O6" s="100" t="e">
        <f>'P &amp; L'!#REF!</f>
        <v>#REF!</v>
      </c>
      <c r="P6" s="100" t="e">
        <f>'P &amp; L'!#REF!</f>
        <v>#REF!</v>
      </c>
      <c r="Q6" s="100" t="e">
        <f>'P &amp; L'!#REF!</f>
        <v>#REF!</v>
      </c>
    </row>
    <row r="7" spans="3:17" ht="17.25" customHeight="1" x14ac:dyDescent="0.35">
      <c r="C7" s="51" t="s">
        <v>407</v>
      </c>
      <c r="F7" s="100" t="e">
        <f>Depr!#REF!</f>
        <v>#REF!</v>
      </c>
      <c r="G7" s="100" t="e">
        <f>Depr!#REF!</f>
        <v>#REF!</v>
      </c>
      <c r="H7" s="100" t="e">
        <f>Depr!#REF!</f>
        <v>#REF!</v>
      </c>
      <c r="I7" s="100" t="e">
        <f>Depr!#REF!</f>
        <v>#REF!</v>
      </c>
      <c r="J7" s="100" t="e">
        <f>Depr!#REF!</f>
        <v>#REF!</v>
      </c>
      <c r="K7" s="100" t="e">
        <f>Depr!#REF!</f>
        <v>#REF!</v>
      </c>
      <c r="L7" s="100" t="e">
        <f>Depr!#REF!</f>
        <v>#REF!</v>
      </c>
      <c r="M7" s="100" t="e">
        <f>Depr!#REF!</f>
        <v>#REF!</v>
      </c>
      <c r="N7" s="100" t="e">
        <f>Depr!#REF!</f>
        <v>#REF!</v>
      </c>
      <c r="O7" s="100" t="e">
        <f>Depr!#REF!</f>
        <v>#REF!</v>
      </c>
      <c r="P7" s="100" t="e">
        <f>Depr!#REF!</f>
        <v>#REF!</v>
      </c>
      <c r="Q7" s="100" t="e">
        <f>Depr!#REF!</f>
        <v>#REF!</v>
      </c>
    </row>
    <row r="8" spans="3:17" ht="17.25" customHeight="1" x14ac:dyDescent="0.35">
      <c r="C8" s="51" t="s">
        <v>408</v>
      </c>
      <c r="F8" s="100">
        <f>Depr!C21</f>
        <v>569.06096331232709</v>
      </c>
      <c r="G8" s="100">
        <f>Depr!D21</f>
        <v>487.35819162924531</v>
      </c>
      <c r="H8" s="100">
        <f>Depr!E21</f>
        <v>417.54519841724908</v>
      </c>
      <c r="I8" s="100">
        <f>Depr!F21</f>
        <v>357.87508063381324</v>
      </c>
      <c r="J8" s="100">
        <f>Depr!G21</f>
        <v>306.85931431997761</v>
      </c>
      <c r="K8" s="100">
        <f>Depr!H21</f>
        <v>263.22936337509367</v>
      </c>
      <c r="L8" s="100">
        <f>Depr!I21</f>
        <v>225.90401045163105</v>
      </c>
      <c r="M8" s="100">
        <f>Depr!J21</f>
        <v>193.96155530840772</v>
      </c>
      <c r="N8" s="100" t="e">
        <f>Depr!#REF!</f>
        <v>#REF!</v>
      </c>
      <c r="O8" s="100" t="e">
        <f>Depr!#REF!</f>
        <v>#REF!</v>
      </c>
      <c r="P8" s="100" t="e">
        <f>Depr!#REF!</f>
        <v>#REF!</v>
      </c>
      <c r="Q8" s="100" t="e">
        <f>Depr!#REF!</f>
        <v>#REF!</v>
      </c>
    </row>
    <row r="9" spans="3:17" ht="17.25" customHeight="1" x14ac:dyDescent="0.35">
      <c r="C9" s="51" t="s">
        <v>409</v>
      </c>
      <c r="F9" s="100" t="e">
        <f t="shared" ref="F9:Q9" si="1">F6+F7-F8</f>
        <v>#REF!</v>
      </c>
      <c r="G9" s="100" t="e">
        <f t="shared" si="1"/>
        <v>#REF!</v>
      </c>
      <c r="H9" s="100" t="e">
        <f>H6+H7-H8</f>
        <v>#REF!</v>
      </c>
      <c r="I9" s="100" t="e">
        <f>I6+I7-I8</f>
        <v>#REF!</v>
      </c>
      <c r="J9" s="100" t="e">
        <f>J6+J7-J8</f>
        <v>#REF!</v>
      </c>
      <c r="K9" s="100" t="e">
        <f t="shared" si="1"/>
        <v>#REF!</v>
      </c>
      <c r="L9" s="100" t="e">
        <f t="shared" si="1"/>
        <v>#REF!</v>
      </c>
      <c r="M9" s="100" t="e">
        <f t="shared" si="1"/>
        <v>#REF!</v>
      </c>
      <c r="N9" s="100" t="e">
        <f t="shared" si="1"/>
        <v>#REF!</v>
      </c>
      <c r="O9" s="100" t="e">
        <f t="shared" si="1"/>
        <v>#REF!</v>
      </c>
      <c r="P9" s="100" t="e">
        <f t="shared" si="1"/>
        <v>#REF!</v>
      </c>
      <c r="Q9" s="100" t="e">
        <f t="shared" si="1"/>
        <v>#REF!</v>
      </c>
    </row>
    <row r="10" spans="3:17" ht="17.25" customHeight="1" x14ac:dyDescent="0.35">
      <c r="C10" s="51" t="s">
        <v>410</v>
      </c>
      <c r="F10" s="100" t="e">
        <f>E10+F9</f>
        <v>#REF!</v>
      </c>
      <c r="G10" s="100" t="e">
        <f t="shared" ref="G10:Q10" si="2">F10+G9</f>
        <v>#REF!</v>
      </c>
      <c r="H10" s="100" t="e">
        <f t="shared" si="2"/>
        <v>#REF!</v>
      </c>
      <c r="I10" s="100" t="e">
        <f t="shared" si="2"/>
        <v>#REF!</v>
      </c>
      <c r="J10" s="100" t="e">
        <f t="shared" si="2"/>
        <v>#REF!</v>
      </c>
      <c r="K10" s="100" t="e">
        <f t="shared" si="2"/>
        <v>#REF!</v>
      </c>
      <c r="L10" s="100" t="e">
        <f t="shared" si="2"/>
        <v>#REF!</v>
      </c>
      <c r="M10" s="100" t="e">
        <f t="shared" si="2"/>
        <v>#REF!</v>
      </c>
      <c r="N10" s="100" t="e">
        <f t="shared" si="2"/>
        <v>#REF!</v>
      </c>
      <c r="O10" s="100" t="e">
        <f t="shared" si="2"/>
        <v>#REF!</v>
      </c>
      <c r="P10" s="100" t="e">
        <f t="shared" si="2"/>
        <v>#REF!</v>
      </c>
      <c r="Q10" s="100" t="e">
        <f t="shared" si="2"/>
        <v>#REF!</v>
      </c>
    </row>
    <row r="11" spans="3:17" ht="17.25" customHeight="1" x14ac:dyDescent="0.35">
      <c r="C11" s="51" t="s">
        <v>411</v>
      </c>
      <c r="F11" s="212">
        <f>IF(E12&lt;0,E12,0)</f>
        <v>0</v>
      </c>
      <c r="G11" s="212" t="e">
        <f t="shared" ref="G11:Q11" si="3">IF(F12&lt;0,F12,0)</f>
        <v>#REF!</v>
      </c>
      <c r="H11" s="212" t="e">
        <f t="shared" si="3"/>
        <v>#REF!</v>
      </c>
      <c r="I11" s="212" t="e">
        <f t="shared" si="3"/>
        <v>#REF!</v>
      </c>
      <c r="J11" s="212" t="e">
        <f t="shared" si="3"/>
        <v>#REF!</v>
      </c>
      <c r="K11" s="212" t="e">
        <f t="shared" si="3"/>
        <v>#REF!</v>
      </c>
      <c r="L11" s="212" t="e">
        <f t="shared" si="3"/>
        <v>#REF!</v>
      </c>
      <c r="M11" s="212" t="e">
        <f t="shared" si="3"/>
        <v>#REF!</v>
      </c>
      <c r="N11" s="212" t="e">
        <f t="shared" si="3"/>
        <v>#REF!</v>
      </c>
      <c r="O11" s="212" t="e">
        <f t="shared" si="3"/>
        <v>#REF!</v>
      </c>
      <c r="P11" s="212" t="e">
        <f t="shared" si="3"/>
        <v>#REF!</v>
      </c>
      <c r="Q11" s="212" t="e">
        <f t="shared" si="3"/>
        <v>#REF!</v>
      </c>
    </row>
    <row r="12" spans="3:17" ht="17.25" customHeight="1" x14ac:dyDescent="0.35">
      <c r="C12" s="152" t="s">
        <v>412</v>
      </c>
      <c r="F12" s="100" t="e">
        <f t="shared" ref="F12:Q12" si="4">F9+F11</f>
        <v>#REF!</v>
      </c>
      <c r="G12" s="100" t="e">
        <f t="shared" si="4"/>
        <v>#REF!</v>
      </c>
      <c r="H12" s="100" t="e">
        <f t="shared" si="4"/>
        <v>#REF!</v>
      </c>
      <c r="I12" s="100" t="e">
        <f t="shared" si="4"/>
        <v>#REF!</v>
      </c>
      <c r="J12" s="100" t="e">
        <f t="shared" si="4"/>
        <v>#REF!</v>
      </c>
      <c r="K12" s="100" t="e">
        <f t="shared" si="4"/>
        <v>#REF!</v>
      </c>
      <c r="L12" s="100" t="e">
        <f t="shared" si="4"/>
        <v>#REF!</v>
      </c>
      <c r="M12" s="100" t="e">
        <f t="shared" si="4"/>
        <v>#REF!</v>
      </c>
      <c r="N12" s="100" t="e">
        <f t="shared" si="4"/>
        <v>#REF!</v>
      </c>
      <c r="O12" s="100" t="e">
        <f t="shared" si="4"/>
        <v>#REF!</v>
      </c>
      <c r="P12" s="100" t="e">
        <f t="shared" si="4"/>
        <v>#REF!</v>
      </c>
      <c r="Q12" s="100" t="e">
        <f t="shared" si="4"/>
        <v>#REF!</v>
      </c>
    </row>
    <row r="13" spans="3:17" ht="17.25" customHeight="1" x14ac:dyDescent="0.35">
      <c r="C13" s="51" t="s">
        <v>413</v>
      </c>
      <c r="D13" s="211">
        <v>0.33929999999999999</v>
      </c>
      <c r="F13" s="100" t="e">
        <f t="shared" ref="F13:Q13" si="5">F12*$D$13</f>
        <v>#REF!</v>
      </c>
      <c r="G13" s="100" t="e">
        <f t="shared" si="5"/>
        <v>#REF!</v>
      </c>
      <c r="H13" s="100" t="e">
        <f t="shared" si="5"/>
        <v>#REF!</v>
      </c>
      <c r="I13" s="100" t="e">
        <f t="shared" si="5"/>
        <v>#REF!</v>
      </c>
      <c r="J13" s="100" t="e">
        <f t="shared" si="5"/>
        <v>#REF!</v>
      </c>
      <c r="K13" s="100" t="e">
        <f t="shared" si="5"/>
        <v>#REF!</v>
      </c>
      <c r="L13" s="100" t="e">
        <f t="shared" si="5"/>
        <v>#REF!</v>
      </c>
      <c r="M13" s="100" t="e">
        <f t="shared" si="5"/>
        <v>#REF!</v>
      </c>
      <c r="N13" s="100" t="e">
        <f t="shared" si="5"/>
        <v>#REF!</v>
      </c>
      <c r="O13" s="100" t="e">
        <f t="shared" si="5"/>
        <v>#REF!</v>
      </c>
      <c r="P13" s="100" t="e">
        <f t="shared" si="5"/>
        <v>#REF!</v>
      </c>
      <c r="Q13" s="100" t="e">
        <f t="shared" si="5"/>
        <v>#REF!</v>
      </c>
    </row>
    <row r="14" spans="3:17" ht="17.25" customHeight="1" x14ac:dyDescent="0.35">
      <c r="C14" s="152" t="s">
        <v>414</v>
      </c>
      <c r="D14" s="211">
        <v>0.2001</v>
      </c>
      <c r="F14" s="100" t="e">
        <f t="shared" ref="F14:Q14" si="6">IF(F6&lt;0,0,(IF(F12=0,0,F6*$D$14)))</f>
        <v>#REF!</v>
      </c>
      <c r="G14" s="100" t="e">
        <f t="shared" si="6"/>
        <v>#REF!</v>
      </c>
      <c r="H14" s="100" t="e">
        <f t="shared" si="6"/>
        <v>#REF!</v>
      </c>
      <c r="I14" s="100" t="e">
        <f t="shared" si="6"/>
        <v>#REF!</v>
      </c>
      <c r="J14" s="100" t="e">
        <f t="shared" si="6"/>
        <v>#REF!</v>
      </c>
      <c r="K14" s="100" t="e">
        <f t="shared" si="6"/>
        <v>#REF!</v>
      </c>
      <c r="L14" s="100" t="e">
        <f t="shared" si="6"/>
        <v>#REF!</v>
      </c>
      <c r="M14" s="100" t="e">
        <f t="shared" si="6"/>
        <v>#REF!</v>
      </c>
      <c r="N14" s="100" t="e">
        <f t="shared" si="6"/>
        <v>#REF!</v>
      </c>
      <c r="O14" s="100" t="e">
        <f t="shared" si="6"/>
        <v>#REF!</v>
      </c>
      <c r="P14" s="100" t="e">
        <f t="shared" si="6"/>
        <v>#REF!</v>
      </c>
      <c r="Q14" s="100" t="e">
        <f t="shared" si="6"/>
        <v>#REF!</v>
      </c>
    </row>
    <row r="15" spans="3:17" ht="17.25" customHeight="1" x14ac:dyDescent="0.35">
      <c r="C15" s="152" t="s">
        <v>415</v>
      </c>
      <c r="F15" s="118" t="e">
        <f t="shared" ref="F15:Q15" si="7">MAX(F13:F14)</f>
        <v>#REF!</v>
      </c>
      <c r="G15" s="118" t="e">
        <f t="shared" si="7"/>
        <v>#REF!</v>
      </c>
      <c r="H15" s="118" t="e">
        <f t="shared" si="7"/>
        <v>#REF!</v>
      </c>
      <c r="I15" s="118" t="e">
        <f t="shared" si="7"/>
        <v>#REF!</v>
      </c>
      <c r="J15" s="118" t="e">
        <f t="shared" si="7"/>
        <v>#REF!</v>
      </c>
      <c r="K15" s="118" t="e">
        <f t="shared" si="7"/>
        <v>#REF!</v>
      </c>
      <c r="L15" s="118" t="e">
        <f t="shared" si="7"/>
        <v>#REF!</v>
      </c>
      <c r="M15" s="118" t="e">
        <f t="shared" si="7"/>
        <v>#REF!</v>
      </c>
      <c r="N15" s="118" t="e">
        <f t="shared" si="7"/>
        <v>#REF!</v>
      </c>
      <c r="O15" s="118" t="e">
        <f t="shared" si="7"/>
        <v>#REF!</v>
      </c>
      <c r="P15" s="118" t="e">
        <f t="shared" si="7"/>
        <v>#REF!</v>
      </c>
      <c r="Q15" s="118" t="e">
        <f t="shared" si="7"/>
        <v>#REF!</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theme="5" tint="-0.499984740745262"/>
  </sheetPr>
  <dimension ref="B2:J22"/>
  <sheetViews>
    <sheetView showGridLines="0" topLeftCell="A12" workbookViewId="0">
      <selection activeCell="C21" sqref="C21:J21"/>
    </sheetView>
  </sheetViews>
  <sheetFormatPr defaultColWidth="32.26953125" defaultRowHeight="14.5" x14ac:dyDescent="0.35"/>
  <cols>
    <col min="1" max="1" width="5" style="96" customWidth="1"/>
    <col min="2" max="2" width="31.7265625" style="97" customWidth="1"/>
    <col min="3" max="10" width="12.1796875" style="44" customWidth="1"/>
    <col min="11" max="112" width="14" style="96" customWidth="1"/>
    <col min="113" max="16384" width="32.26953125" style="96"/>
  </cols>
  <sheetData>
    <row r="2" spans="2:10" ht="18" customHeight="1" x14ac:dyDescent="0.35">
      <c r="B2" s="140" t="s">
        <v>386</v>
      </c>
      <c r="C2" s="93" t="s">
        <v>401</v>
      </c>
      <c r="D2" s="93" t="s">
        <v>524</v>
      </c>
      <c r="E2" s="93"/>
      <c r="F2" s="93" t="s">
        <v>402</v>
      </c>
      <c r="G2" s="115"/>
      <c r="H2" s="93"/>
      <c r="I2" s="93" t="s">
        <v>403</v>
      </c>
    </row>
    <row r="3" spans="2:10" ht="18" customHeight="1" x14ac:dyDescent="0.35">
      <c r="B3" s="53" t="s">
        <v>404</v>
      </c>
      <c r="C3" s="198">
        <f>'CoP-MoF'!D6/A</f>
        <v>600</v>
      </c>
      <c r="D3" s="198">
        <f>D6*C3/C6</f>
        <v>27.973003652604181</v>
      </c>
      <c r="E3" s="100"/>
      <c r="F3" s="198">
        <f>C3+D3+E3</f>
        <v>627.97300365260423</v>
      </c>
      <c r="G3" s="54"/>
      <c r="H3" s="213"/>
      <c r="I3" s="213">
        <v>0.1</v>
      </c>
    </row>
    <row r="4" spans="2:10" ht="18" customHeight="1" x14ac:dyDescent="0.35">
      <c r="B4" s="97" t="s">
        <v>405</v>
      </c>
      <c r="C4" s="198">
        <f>'CoP-MoF'!D7/A</f>
        <v>3158.9479430000001</v>
      </c>
      <c r="D4" s="198">
        <f>D6*C4/C6</f>
        <v>147.27543724654245</v>
      </c>
      <c r="E4" s="100"/>
      <c r="F4" s="198">
        <f>C4+D4+E4</f>
        <v>3306.2233802465425</v>
      </c>
      <c r="G4" s="54"/>
      <c r="H4" s="213"/>
      <c r="I4" s="213">
        <v>0.15</v>
      </c>
    </row>
    <row r="5" spans="2:10" ht="18" customHeight="1" x14ac:dyDescent="0.35">
      <c r="B5" s="97" t="s">
        <v>1070</v>
      </c>
      <c r="C5" s="198">
        <f>'CoP-MoF'!D8/A</f>
        <v>98.7</v>
      </c>
      <c r="D5" s="198">
        <f>D6*C5/C6</f>
        <v>4.6015591008533878</v>
      </c>
      <c r="E5" s="100"/>
      <c r="F5" s="198">
        <f>C5+D5+E5</f>
        <v>103.3015591008534</v>
      </c>
      <c r="G5" s="54"/>
      <c r="H5" s="213"/>
      <c r="I5" s="213">
        <v>0.1</v>
      </c>
    </row>
    <row r="6" spans="2:10" ht="18" customHeight="1" x14ac:dyDescent="0.35">
      <c r="B6" s="92" t="s">
        <v>402</v>
      </c>
      <c r="C6" s="308">
        <f>SUM(C3:C5)</f>
        <v>3857.6479429999999</v>
      </c>
      <c r="D6" s="308">
        <f>'TL Schd'!D10</f>
        <v>179.85</v>
      </c>
      <c r="E6" s="139"/>
      <c r="F6" s="308">
        <f>SUM(F3:F5)</f>
        <v>4037.4979430000003</v>
      </c>
      <c r="G6" s="214"/>
      <c r="H6" s="215"/>
      <c r="I6" s="215"/>
    </row>
    <row r="9" spans="2:10" ht="15.75" customHeight="1" x14ac:dyDescent="0.35">
      <c r="B9" s="140" t="s">
        <v>630</v>
      </c>
      <c r="C9" s="140"/>
      <c r="D9" s="140"/>
      <c r="E9" s="140"/>
      <c r="F9" s="140"/>
      <c r="G9" s="140"/>
      <c r="H9" s="140"/>
      <c r="I9" s="140"/>
      <c r="J9" s="140"/>
    </row>
    <row r="10" spans="2:10" ht="15" customHeight="1" x14ac:dyDescent="0.35">
      <c r="B10" s="103" t="s">
        <v>345</v>
      </c>
      <c r="C10" s="71">
        <v>12</v>
      </c>
      <c r="D10" s="71">
        <v>12</v>
      </c>
      <c r="E10" s="71">
        <v>12</v>
      </c>
      <c r="F10" s="71">
        <v>12</v>
      </c>
      <c r="G10" s="71">
        <v>12</v>
      </c>
      <c r="H10" s="71">
        <v>12</v>
      </c>
      <c r="I10" s="71">
        <v>12</v>
      </c>
      <c r="J10" s="71">
        <v>12</v>
      </c>
    </row>
    <row r="11" spans="2:10" s="58" customFormat="1" ht="21" customHeight="1" x14ac:dyDescent="0.35">
      <c r="B11" s="110" t="s">
        <v>631</v>
      </c>
      <c r="C11" s="72">
        <v>2026</v>
      </c>
      <c r="D11" s="72">
        <f t="shared" ref="D11:J11" si="0">C11+1</f>
        <v>2027</v>
      </c>
      <c r="E11" s="72">
        <f t="shared" si="0"/>
        <v>2028</v>
      </c>
      <c r="F11" s="72">
        <f t="shared" si="0"/>
        <v>2029</v>
      </c>
      <c r="G11" s="72">
        <f t="shared" si="0"/>
        <v>2030</v>
      </c>
      <c r="H11" s="72">
        <f t="shared" si="0"/>
        <v>2031</v>
      </c>
      <c r="I11" s="72">
        <f t="shared" si="0"/>
        <v>2032</v>
      </c>
      <c r="J11" s="72">
        <f t="shared" si="0"/>
        <v>2033</v>
      </c>
    </row>
    <row r="12" spans="2:10" s="97" customFormat="1" ht="21" customHeight="1" x14ac:dyDescent="0.35">
      <c r="B12" s="97" t="s">
        <v>68</v>
      </c>
      <c r="C12" s="318">
        <f>F3</f>
        <v>627.97300365260423</v>
      </c>
      <c r="D12" s="318">
        <f t="shared" ref="D12:J12" si="1">(C14)</f>
        <v>565.17570328734382</v>
      </c>
      <c r="E12" s="318">
        <f t="shared" si="1"/>
        <v>508.65813295860943</v>
      </c>
      <c r="F12" s="318">
        <f t="shared" si="1"/>
        <v>457.79231966274847</v>
      </c>
      <c r="G12" s="318">
        <f t="shared" si="1"/>
        <v>412.01308769647363</v>
      </c>
      <c r="H12" s="318">
        <f t="shared" si="1"/>
        <v>370.81177892682626</v>
      </c>
      <c r="I12" s="318">
        <f t="shared" si="1"/>
        <v>333.73060103414366</v>
      </c>
      <c r="J12" s="318">
        <f t="shared" si="1"/>
        <v>300.35754093072927</v>
      </c>
    </row>
    <row r="13" spans="2:10" s="97" customFormat="1" ht="21" customHeight="1" x14ac:dyDescent="0.35">
      <c r="B13" s="97" t="s">
        <v>417</v>
      </c>
      <c r="C13" s="444">
        <f>(C12*$I$3)</f>
        <v>62.797300365260426</v>
      </c>
      <c r="D13" s="318">
        <f t="shared" ref="D13:J13" si="2">(D12*$I$3)</f>
        <v>56.517570328734386</v>
      </c>
      <c r="E13" s="318">
        <f t="shared" si="2"/>
        <v>50.865813295860946</v>
      </c>
      <c r="F13" s="318">
        <f t="shared" si="2"/>
        <v>45.77923196627485</v>
      </c>
      <c r="G13" s="318">
        <f t="shared" si="2"/>
        <v>41.201308769647369</v>
      </c>
      <c r="H13" s="318">
        <f t="shared" si="2"/>
        <v>37.081177892682625</v>
      </c>
      <c r="I13" s="318">
        <f t="shared" si="2"/>
        <v>33.373060103414367</v>
      </c>
      <c r="J13" s="318">
        <f t="shared" si="2"/>
        <v>30.035754093072928</v>
      </c>
    </row>
    <row r="14" spans="2:10" s="97" customFormat="1" ht="21" customHeight="1" x14ac:dyDescent="0.35">
      <c r="B14" s="97" t="s">
        <v>69</v>
      </c>
      <c r="C14" s="444">
        <f t="shared" ref="C14:J14" si="3">(C12-C13)</f>
        <v>565.17570328734382</v>
      </c>
      <c r="D14" s="318">
        <f t="shared" si="3"/>
        <v>508.65813295860943</v>
      </c>
      <c r="E14" s="318">
        <f t="shared" si="3"/>
        <v>457.79231966274847</v>
      </c>
      <c r="F14" s="318">
        <f t="shared" si="3"/>
        <v>412.01308769647363</v>
      </c>
      <c r="G14" s="318">
        <f t="shared" si="3"/>
        <v>370.81177892682626</v>
      </c>
      <c r="H14" s="318">
        <f t="shared" si="3"/>
        <v>333.73060103414366</v>
      </c>
      <c r="I14" s="318">
        <f t="shared" si="3"/>
        <v>300.35754093072927</v>
      </c>
      <c r="J14" s="318">
        <f t="shared" si="3"/>
        <v>270.32178683765636</v>
      </c>
    </row>
    <row r="15" spans="2:10" s="97" customFormat="1" ht="21" customHeight="1" x14ac:dyDescent="0.35">
      <c r="B15" s="97" t="s">
        <v>70</v>
      </c>
      <c r="C15" s="444">
        <f>F4</f>
        <v>3306.2233802465425</v>
      </c>
      <c r="D15" s="318">
        <f>C17</f>
        <v>2810.2898732095609</v>
      </c>
      <c r="E15" s="318">
        <f t="shared" ref="E15:J15" si="4">(D17)</f>
        <v>2388.7463922281268</v>
      </c>
      <c r="F15" s="318">
        <f t="shared" si="4"/>
        <v>2030.4344333939077</v>
      </c>
      <c r="G15" s="318">
        <f t="shared" si="4"/>
        <v>1725.8692683848217</v>
      </c>
      <c r="H15" s="318">
        <f t="shared" si="4"/>
        <v>1466.9888781270984</v>
      </c>
      <c r="I15" s="318">
        <f t="shared" si="4"/>
        <v>1246.9405464080337</v>
      </c>
      <c r="J15" s="318">
        <f t="shared" si="4"/>
        <v>1059.8994644468287</v>
      </c>
    </row>
    <row r="16" spans="2:10" s="97" customFormat="1" ht="21" customHeight="1" x14ac:dyDescent="0.35">
      <c r="B16" s="97" t="s">
        <v>417</v>
      </c>
      <c r="C16" s="444">
        <f>(C15*$I$4)</f>
        <v>495.93350703698138</v>
      </c>
      <c r="D16" s="318">
        <f t="shared" ref="D16:J16" si="5">(D15*$I$4)</f>
        <v>421.54348098143413</v>
      </c>
      <c r="E16" s="318">
        <f t="shared" si="5"/>
        <v>358.31195883421901</v>
      </c>
      <c r="F16" s="318">
        <f t="shared" si="5"/>
        <v>304.56516500908617</v>
      </c>
      <c r="G16" s="318">
        <f t="shared" si="5"/>
        <v>258.88039025772326</v>
      </c>
      <c r="H16" s="318">
        <f t="shared" si="5"/>
        <v>220.04833171906475</v>
      </c>
      <c r="I16" s="318">
        <f t="shared" si="5"/>
        <v>187.04108196120504</v>
      </c>
      <c r="J16" s="318">
        <f t="shared" si="5"/>
        <v>158.98491966702429</v>
      </c>
    </row>
    <row r="17" spans="2:10" s="97" customFormat="1" ht="21" customHeight="1" x14ac:dyDescent="0.35">
      <c r="B17" s="97" t="s">
        <v>200</v>
      </c>
      <c r="C17" s="444">
        <f t="shared" ref="C17:J17" si="6">(C15-C16)</f>
        <v>2810.2898732095609</v>
      </c>
      <c r="D17" s="318">
        <f t="shared" si="6"/>
        <v>2388.7463922281268</v>
      </c>
      <c r="E17" s="318">
        <f t="shared" si="6"/>
        <v>2030.4344333939077</v>
      </c>
      <c r="F17" s="318">
        <f t="shared" si="6"/>
        <v>1725.8692683848217</v>
      </c>
      <c r="G17" s="318">
        <f t="shared" si="6"/>
        <v>1466.9888781270984</v>
      </c>
      <c r="H17" s="318">
        <f t="shared" si="6"/>
        <v>1246.9405464080337</v>
      </c>
      <c r="I17" s="318">
        <f t="shared" si="6"/>
        <v>1059.8994644468287</v>
      </c>
      <c r="J17" s="318">
        <f t="shared" si="6"/>
        <v>900.91454477980437</v>
      </c>
    </row>
    <row r="18" spans="2:10" s="97" customFormat="1" ht="21" customHeight="1" x14ac:dyDescent="0.35">
      <c r="B18" s="97" t="s">
        <v>1070</v>
      </c>
      <c r="C18" s="444">
        <f>F5</f>
        <v>103.3015591008534</v>
      </c>
      <c r="D18" s="318">
        <f>C20</f>
        <v>92.971403190768058</v>
      </c>
      <c r="E18" s="318">
        <f t="shared" ref="E18:J18" si="7">D20</f>
        <v>83.674262871691255</v>
      </c>
      <c r="F18" s="318">
        <f t="shared" si="7"/>
        <v>75.306836584522131</v>
      </c>
      <c r="G18" s="318">
        <f t="shared" si="7"/>
        <v>67.776152926069912</v>
      </c>
      <c r="H18" s="318">
        <f t="shared" si="7"/>
        <v>60.998537633462917</v>
      </c>
      <c r="I18" s="318">
        <f t="shared" si="7"/>
        <v>54.898683870116628</v>
      </c>
      <c r="J18" s="318">
        <f t="shared" si="7"/>
        <v>49.408815483104966</v>
      </c>
    </row>
    <row r="19" spans="2:10" s="97" customFormat="1" ht="21" customHeight="1" x14ac:dyDescent="0.35">
      <c r="B19" s="97" t="s">
        <v>417</v>
      </c>
      <c r="C19" s="444">
        <f>(C18*$I$5)</f>
        <v>10.33015591008534</v>
      </c>
      <c r="D19" s="318">
        <f>(D18*$I$5)</f>
        <v>9.2971403190768065</v>
      </c>
      <c r="E19" s="318">
        <f t="shared" ref="E19:J19" si="8">(E18*$I$5)</f>
        <v>8.3674262871691258</v>
      </c>
      <c r="F19" s="318">
        <f t="shared" si="8"/>
        <v>7.5306836584522134</v>
      </c>
      <c r="G19" s="318">
        <f t="shared" si="8"/>
        <v>6.7776152926069919</v>
      </c>
      <c r="H19" s="318">
        <f t="shared" si="8"/>
        <v>6.0998537633462924</v>
      </c>
      <c r="I19" s="318">
        <f t="shared" si="8"/>
        <v>5.4898683870116631</v>
      </c>
      <c r="J19" s="318">
        <f t="shared" si="8"/>
        <v>4.9408815483104966</v>
      </c>
    </row>
    <row r="20" spans="2:10" s="97" customFormat="1" ht="21" customHeight="1" x14ac:dyDescent="0.35">
      <c r="B20" s="97" t="s">
        <v>1071</v>
      </c>
      <c r="C20" s="318">
        <f t="shared" ref="C20:D20" si="9">(C18-C19)</f>
        <v>92.971403190768058</v>
      </c>
      <c r="D20" s="318">
        <f t="shared" si="9"/>
        <v>83.674262871691255</v>
      </c>
      <c r="E20" s="318">
        <f t="shared" ref="E20:J20" si="10">(E18-E19)</f>
        <v>75.306836584522131</v>
      </c>
      <c r="F20" s="318">
        <f t="shared" si="10"/>
        <v>67.776152926069912</v>
      </c>
      <c r="G20" s="318">
        <f t="shared" si="10"/>
        <v>60.998537633462917</v>
      </c>
      <c r="H20" s="318">
        <f t="shared" si="10"/>
        <v>54.898683870116628</v>
      </c>
      <c r="I20" s="318">
        <f t="shared" si="10"/>
        <v>49.408815483104966</v>
      </c>
      <c r="J20" s="318">
        <f t="shared" si="10"/>
        <v>44.467933934794473</v>
      </c>
    </row>
    <row r="21" spans="2:10" s="97" customFormat="1" ht="21" customHeight="1" x14ac:dyDescent="0.35">
      <c r="B21" s="140" t="s">
        <v>416</v>
      </c>
      <c r="C21" s="319">
        <f>C13+C16+C19</f>
        <v>569.06096331232709</v>
      </c>
      <c r="D21" s="319">
        <f t="shared" ref="D21:J21" si="11">D13+D16+D19</f>
        <v>487.35819162924531</v>
      </c>
      <c r="E21" s="319">
        <f t="shared" si="11"/>
        <v>417.54519841724908</v>
      </c>
      <c r="F21" s="319">
        <f t="shared" si="11"/>
        <v>357.87508063381324</v>
      </c>
      <c r="G21" s="319">
        <f t="shared" si="11"/>
        <v>306.85931431997761</v>
      </c>
      <c r="H21" s="319">
        <f t="shared" si="11"/>
        <v>263.22936337509367</v>
      </c>
      <c r="I21" s="319">
        <f t="shared" si="11"/>
        <v>225.90401045163105</v>
      </c>
      <c r="J21" s="319">
        <f t="shared" si="11"/>
        <v>193.96155530840772</v>
      </c>
    </row>
    <row r="22" spans="2:10" x14ac:dyDescent="0.35">
      <c r="B22" s="140" t="s">
        <v>782</v>
      </c>
      <c r="C22" s="319">
        <f>C14+C17+C20</f>
        <v>3468.4369796876726</v>
      </c>
      <c r="D22" s="319">
        <f t="shared" ref="D22:J22" si="12">D14+D17+D20</f>
        <v>2981.0787880584271</v>
      </c>
      <c r="E22" s="319">
        <f t="shared" si="12"/>
        <v>2563.533589641178</v>
      </c>
      <c r="F22" s="319">
        <f t="shared" si="12"/>
        <v>2205.658509007365</v>
      </c>
      <c r="G22" s="319">
        <f t="shared" si="12"/>
        <v>1898.7991946873876</v>
      </c>
      <c r="H22" s="319">
        <f t="shared" si="12"/>
        <v>1635.5698313122939</v>
      </c>
      <c r="I22" s="319">
        <f t="shared" si="12"/>
        <v>1409.665820860663</v>
      </c>
      <c r="J22" s="319">
        <f t="shared" si="12"/>
        <v>1215.7042655522553</v>
      </c>
    </row>
  </sheetData>
  <customSheetViews>
    <customSheetView guid="{22475485-DA09-46DB-978D-BB94CE1E5597}">
      <selection activeCell="D4" sqref="D4"/>
      <pageMargins left="0.7" right="0.7" top="0.75" bottom="0.75" header="0.3" footer="0.3"/>
      <pageSetup paperSize="9" orientation="landscape" verticalDpi="300" r:id="rId1"/>
    </customSheetView>
  </customSheetViews>
  <pageMargins left="0.7" right="0.7" top="0.75" bottom="0.75" header="0.3" footer="0.3"/>
  <pageSetup paperSize="9" orientation="landscape" verticalDpi="3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theme="9"/>
  </sheetPr>
  <dimension ref="B1:F16"/>
  <sheetViews>
    <sheetView showGridLines="0" workbookViewId="0">
      <selection activeCell="F16" sqref="F16"/>
    </sheetView>
  </sheetViews>
  <sheetFormatPr defaultColWidth="32.26953125" defaultRowHeight="14.5" x14ac:dyDescent="0.35"/>
  <cols>
    <col min="1" max="1" width="4.7265625" style="96" customWidth="1"/>
    <col min="2" max="2" width="21" style="51" customWidth="1"/>
    <col min="3" max="3" width="26.90625" style="44" bestFit="1" customWidth="1"/>
    <col min="4" max="4" width="25.7265625" style="44" customWidth="1"/>
    <col min="5" max="5" width="22.453125" style="44" customWidth="1"/>
    <col min="6" max="6" width="25" style="44" customWidth="1"/>
    <col min="7" max="14" width="14" style="96" customWidth="1"/>
    <col min="15" max="16384" width="32.26953125" style="96"/>
  </cols>
  <sheetData>
    <row r="1" spans="2:6" ht="16.5" customHeight="1" x14ac:dyDescent="0.35"/>
    <row r="2" spans="2:6" s="97" customFormat="1" ht="16.5" customHeight="1" x14ac:dyDescent="0.35">
      <c r="B2" s="456" t="s">
        <v>16</v>
      </c>
      <c r="C2" s="456"/>
      <c r="D2" s="456"/>
      <c r="E2" s="456"/>
      <c r="F2" s="492"/>
    </row>
    <row r="3" spans="2:6" s="97" customFormat="1" ht="15" customHeight="1" x14ac:dyDescent="0.35"/>
    <row r="5" spans="2:6" x14ac:dyDescent="0.35">
      <c r="B5" s="367" t="s">
        <v>1045</v>
      </c>
      <c r="C5" s="368" t="s">
        <v>1046</v>
      </c>
      <c r="D5" s="367" t="s">
        <v>1047</v>
      </c>
      <c r="E5" s="367" t="s">
        <v>1048</v>
      </c>
      <c r="F5" s="369" t="s">
        <v>1049</v>
      </c>
    </row>
    <row r="6" spans="2:6" x14ac:dyDescent="0.35">
      <c r="B6" s="370">
        <v>1</v>
      </c>
      <c r="C6" s="371" t="s">
        <v>1050</v>
      </c>
      <c r="D6" s="372">
        <v>250000</v>
      </c>
      <c r="E6" s="370">
        <v>4</v>
      </c>
      <c r="F6" s="425">
        <f t="shared" ref="F6:F14" si="0">D6*E6</f>
        <v>1000000</v>
      </c>
    </row>
    <row r="7" spans="2:6" x14ac:dyDescent="0.35">
      <c r="B7" s="370">
        <v>2</v>
      </c>
      <c r="C7" s="373" t="s">
        <v>1051</v>
      </c>
      <c r="D7" s="372">
        <v>46700</v>
      </c>
      <c r="E7" s="370">
        <v>6</v>
      </c>
      <c r="F7" s="425">
        <v>280000</v>
      </c>
    </row>
    <row r="8" spans="2:6" x14ac:dyDescent="0.35">
      <c r="B8" s="370">
        <f>1+B7</f>
        <v>3</v>
      </c>
      <c r="C8" s="373" t="s">
        <v>1052</v>
      </c>
      <c r="D8" s="372">
        <v>125000</v>
      </c>
      <c r="E8" s="370">
        <v>4</v>
      </c>
      <c r="F8" s="425">
        <f t="shared" si="0"/>
        <v>500000</v>
      </c>
    </row>
    <row r="9" spans="2:6" x14ac:dyDescent="0.35">
      <c r="B9" s="370">
        <v>4</v>
      </c>
      <c r="C9" s="373" t="s">
        <v>1053</v>
      </c>
      <c r="D9" s="372">
        <v>80000</v>
      </c>
      <c r="E9" s="370">
        <v>5</v>
      </c>
      <c r="F9" s="425">
        <f t="shared" si="0"/>
        <v>400000</v>
      </c>
    </row>
    <row r="10" spans="2:6" x14ac:dyDescent="0.35">
      <c r="B10" s="370">
        <v>5</v>
      </c>
      <c r="C10" s="373" t="s">
        <v>1054</v>
      </c>
      <c r="D10" s="372">
        <v>35000</v>
      </c>
      <c r="E10" s="370">
        <v>3</v>
      </c>
      <c r="F10" s="425">
        <v>100000</v>
      </c>
    </row>
    <row r="11" spans="2:6" x14ac:dyDescent="0.35">
      <c r="B11" s="370">
        <v>6</v>
      </c>
      <c r="C11" s="373" t="s">
        <v>1055</v>
      </c>
      <c r="D11" s="372">
        <v>18000</v>
      </c>
      <c r="E11" s="370">
        <v>100</v>
      </c>
      <c r="F11" s="425">
        <f t="shared" si="0"/>
        <v>1800000</v>
      </c>
    </row>
    <row r="12" spans="2:6" x14ac:dyDescent="0.35">
      <c r="B12" s="370">
        <f>B11+1</f>
        <v>7</v>
      </c>
      <c r="C12" s="373" t="s">
        <v>1056</v>
      </c>
      <c r="D12" s="372">
        <v>17500</v>
      </c>
      <c r="E12" s="370">
        <v>28</v>
      </c>
      <c r="F12" s="425">
        <v>500000</v>
      </c>
    </row>
    <row r="13" spans="2:6" x14ac:dyDescent="0.35">
      <c r="B13" s="370">
        <v>8</v>
      </c>
      <c r="C13" s="373" t="s">
        <v>1057</v>
      </c>
      <c r="D13" s="372">
        <v>14000</v>
      </c>
      <c r="E13" s="370">
        <v>50</v>
      </c>
      <c r="F13" s="425">
        <f t="shared" si="0"/>
        <v>700000</v>
      </c>
    </row>
    <row r="14" spans="2:6" x14ac:dyDescent="0.35">
      <c r="B14" s="370">
        <v>9</v>
      </c>
      <c r="C14" s="373" t="s">
        <v>1058</v>
      </c>
      <c r="D14" s="372">
        <v>16000</v>
      </c>
      <c r="E14" s="370">
        <v>10</v>
      </c>
      <c r="F14" s="425">
        <f t="shared" si="0"/>
        <v>160000</v>
      </c>
    </row>
    <row r="15" spans="2:6" x14ac:dyDescent="0.35">
      <c r="B15" s="373"/>
      <c r="C15" s="368" t="s">
        <v>45</v>
      </c>
      <c r="D15" s="368"/>
      <c r="E15" s="367">
        <f>SUM(E6:E14)</f>
        <v>210</v>
      </c>
      <c r="F15" s="426">
        <f>SUM(F6:F14)</f>
        <v>5440000</v>
      </c>
    </row>
    <row r="16" spans="2:6" x14ac:dyDescent="0.35">
      <c r="B16" s="373"/>
      <c r="C16" s="373" t="s">
        <v>1059</v>
      </c>
      <c r="D16" s="370"/>
      <c r="E16" s="374"/>
      <c r="F16" s="427">
        <f>F15*12</f>
        <v>65280000</v>
      </c>
    </row>
  </sheetData>
  <customSheetViews>
    <customSheetView guid="{22475485-DA09-46DB-978D-BB94CE1E5597}" topLeftCell="A19">
      <selection activeCell="C23" sqref="C23"/>
      <pageMargins left="0.7" right="0.7" top="0.75" bottom="0.75" header="0.3" footer="0.3"/>
      <pageSetup paperSize="9" orientation="landscape" verticalDpi="300" r:id="rId1"/>
    </customSheetView>
  </customSheetViews>
  <mergeCells count="1">
    <mergeCell ref="B2:F2"/>
  </mergeCells>
  <pageMargins left="0.7" right="0.7" top="0.75" bottom="0.75" header="0.3" footer="0.3"/>
  <pageSetup paperSize="9" orientation="landscape" verticalDpi="3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E17"/>
  <sheetViews>
    <sheetView workbookViewId="0"/>
  </sheetViews>
  <sheetFormatPr defaultColWidth="8.81640625" defaultRowHeight="14.5" x14ac:dyDescent="0.35"/>
  <cols>
    <col min="1" max="1" width="32" customWidth="1"/>
    <col min="2" max="2" width="11.81640625" style="11" customWidth="1"/>
    <col min="3" max="3" width="16.81640625" style="11" customWidth="1"/>
  </cols>
  <sheetData>
    <row r="1" spans="1:5" s="28" customFormat="1" ht="22.5" customHeight="1" x14ac:dyDescent="0.35">
      <c r="A1" s="28" t="s">
        <v>326</v>
      </c>
      <c r="B1" s="28" t="s">
        <v>338</v>
      </c>
      <c r="C1" s="28" t="s">
        <v>327</v>
      </c>
    </row>
    <row r="2" spans="1:5" s="29" customFormat="1" ht="22.5" customHeight="1" x14ac:dyDescent="0.35">
      <c r="A2" s="28" t="s">
        <v>328</v>
      </c>
      <c r="B2" s="30">
        <v>34</v>
      </c>
      <c r="C2" s="30">
        <v>8</v>
      </c>
      <c r="E2" s="29">
        <f>B2*C2</f>
        <v>272</v>
      </c>
    </row>
    <row r="3" spans="1:5" s="29" customFormat="1" ht="22.5" customHeight="1" x14ac:dyDescent="0.35">
      <c r="A3" s="28" t="s">
        <v>329</v>
      </c>
      <c r="B3" s="30">
        <v>7.5</v>
      </c>
      <c r="C3" s="30">
        <v>8</v>
      </c>
      <c r="E3" s="29">
        <f t="shared" ref="E3:E11" si="0">B3*C3</f>
        <v>60</v>
      </c>
    </row>
    <row r="4" spans="1:5" s="29" customFormat="1" ht="22.5" customHeight="1" x14ac:dyDescent="0.35">
      <c r="A4" s="28" t="s">
        <v>330</v>
      </c>
      <c r="B4" s="30">
        <v>22.5</v>
      </c>
      <c r="C4" s="30">
        <v>8</v>
      </c>
      <c r="D4" s="29">
        <f>SUM(B2:B4)</f>
        <v>64</v>
      </c>
      <c r="E4" s="29">
        <f t="shared" si="0"/>
        <v>180</v>
      </c>
    </row>
    <row r="5" spans="1:5" s="29" customFormat="1" ht="22.5" customHeight="1" x14ac:dyDescent="0.35">
      <c r="A5" s="28" t="s">
        <v>331</v>
      </c>
      <c r="B5" s="30">
        <v>34</v>
      </c>
      <c r="C5" s="30">
        <v>10</v>
      </c>
      <c r="E5" s="29">
        <f t="shared" si="0"/>
        <v>340</v>
      </c>
    </row>
    <row r="6" spans="1:5" s="29" customFormat="1" ht="22.5" customHeight="1" x14ac:dyDescent="0.35">
      <c r="A6" s="28" t="s">
        <v>332</v>
      </c>
      <c r="B6" s="30">
        <v>30</v>
      </c>
      <c r="C6" s="30">
        <v>10</v>
      </c>
      <c r="D6" s="29">
        <f>SUM(B5:B6)</f>
        <v>64</v>
      </c>
      <c r="E6" s="29">
        <f t="shared" si="0"/>
        <v>300</v>
      </c>
    </row>
    <row r="7" spans="1:5" s="29" customFormat="1" ht="22.5" customHeight="1" x14ac:dyDescent="0.35">
      <c r="A7" s="28" t="s">
        <v>333</v>
      </c>
      <c r="B7" s="30">
        <v>3</v>
      </c>
      <c r="C7" s="30">
        <v>24</v>
      </c>
      <c r="E7" s="29">
        <f t="shared" si="0"/>
        <v>72</v>
      </c>
    </row>
    <row r="8" spans="1:5" s="29" customFormat="1" ht="22.5" customHeight="1" x14ac:dyDescent="0.35">
      <c r="A8" s="28" t="s">
        <v>334</v>
      </c>
      <c r="B8" s="30">
        <v>6</v>
      </c>
      <c r="C8" s="30">
        <v>16</v>
      </c>
      <c r="E8" s="29">
        <f t="shared" si="0"/>
        <v>96</v>
      </c>
    </row>
    <row r="9" spans="1:5" s="29" customFormat="1" ht="22.5" customHeight="1" x14ac:dyDescent="0.35">
      <c r="A9" s="28" t="s">
        <v>339</v>
      </c>
      <c r="B9" s="30">
        <v>23</v>
      </c>
      <c r="C9" s="30">
        <v>20</v>
      </c>
      <c r="E9" s="29">
        <f t="shared" si="0"/>
        <v>460</v>
      </c>
    </row>
    <row r="10" spans="1:5" s="29" customFormat="1" ht="22.5" customHeight="1" x14ac:dyDescent="0.35">
      <c r="A10" s="28" t="s">
        <v>335</v>
      </c>
      <c r="B10" s="30">
        <v>75</v>
      </c>
      <c r="C10" s="30">
        <v>11</v>
      </c>
      <c r="E10" s="29">
        <f t="shared" si="0"/>
        <v>825</v>
      </c>
    </row>
    <row r="11" spans="1:5" s="29" customFormat="1" ht="22.5" customHeight="1" x14ac:dyDescent="0.35">
      <c r="A11" s="28" t="s">
        <v>336</v>
      </c>
      <c r="B11" s="30">
        <v>90</v>
      </c>
      <c r="C11" s="30">
        <v>8</v>
      </c>
      <c r="E11" s="29">
        <f t="shared" si="0"/>
        <v>720</v>
      </c>
    </row>
    <row r="12" spans="1:5" s="29" customFormat="1" ht="22.5" customHeight="1" x14ac:dyDescent="0.35">
      <c r="A12" s="28" t="s">
        <v>337</v>
      </c>
      <c r="B12" s="30"/>
      <c r="C12" s="30">
        <v>10</v>
      </c>
    </row>
    <row r="13" spans="1:5" s="29" customFormat="1" ht="22.5" customHeight="1" x14ac:dyDescent="0.35">
      <c r="A13" s="28"/>
      <c r="B13" s="30">
        <f>SUM(B2:B11)</f>
        <v>325</v>
      </c>
      <c r="C13" s="30">
        <f>SUM(C2:C11)</f>
        <v>123</v>
      </c>
      <c r="E13" s="30">
        <f>SUM(E2:E11)</f>
        <v>3325</v>
      </c>
    </row>
    <row r="14" spans="1:5" ht="22.5" customHeight="1" x14ac:dyDescent="0.35"/>
    <row r="15" spans="1:5" ht="22.5" customHeight="1" x14ac:dyDescent="0.35"/>
    <row r="16" spans="1:5" ht="22.5" customHeight="1" x14ac:dyDescent="0.35"/>
    <row r="17" ht="22.5" customHeight="1" x14ac:dyDescent="0.35"/>
  </sheetData>
  <customSheetViews>
    <customSheetView guid="{22475485-DA09-46DB-978D-BB94CE1E5597}" state="hidden">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A6095F-A486-4993-8BB1-A6EFC2C11E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Det CoP_MOF</vt:lpstr>
      <vt:lpstr>CoP-MoF</vt:lpstr>
      <vt:lpstr>Det Assump</vt:lpstr>
      <vt:lpstr>P&amp;M</vt:lpstr>
      <vt:lpstr>Assump</vt:lpstr>
      <vt:lpstr>Sheet2</vt:lpstr>
      <vt:lpstr>P &amp; L</vt:lpstr>
      <vt:lpstr>BS</vt:lpstr>
      <vt:lpstr>Cash Flow</vt:lpstr>
      <vt:lpstr>BEP</vt:lpstr>
      <vt:lpstr>IRR</vt:lpstr>
      <vt:lpstr>DSCR</vt:lpstr>
      <vt:lpstr>Loan Assumptions</vt:lpstr>
      <vt:lpstr>TL Schd</vt:lpstr>
      <vt:lpstr>Ratio</vt:lpstr>
      <vt:lpstr>WC</vt:lpstr>
      <vt:lpstr>PBP-IRR</vt:lpstr>
      <vt:lpstr>NPV</vt:lpstr>
      <vt:lpstr>P E</vt:lpstr>
      <vt:lpstr>PE</vt:lpstr>
      <vt:lpstr>Tax</vt:lpstr>
      <vt:lpstr>Depr</vt:lpstr>
      <vt:lpstr>sal &amp; wages</vt:lpstr>
      <vt:lpstr>Sheet1</vt: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P Mishra</dc:creator>
  <cp:lastModifiedBy>Aneesh Mallick</cp:lastModifiedBy>
  <cp:lastPrinted>2022-05-12T11:22:57Z</cp:lastPrinted>
  <dcterms:created xsi:type="dcterms:W3CDTF">2015-03-21T00:42:44Z</dcterms:created>
  <dcterms:modified xsi:type="dcterms:W3CDTF">2024-07-09T12:45:25Z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{4AF292D0-B31F-47DC-AF2C-4A134CE844EB}</vt:lpwstr>
  </property>
</Properties>
</file>