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Deepak Singh\April-June 2024\VIS(2024-25)-PL148-124-164 Carbon Circle\VIS(2024-25)-PL148-124-164\Report\"/>
    </mc:Choice>
  </mc:AlternateContent>
  <bookViews>
    <workbookView xWindow="0" yWindow="0" windowWidth="24000" windowHeight="9030" firstSheet="3" activeTab="11"/>
  </bookViews>
  <sheets>
    <sheet name="Working" sheetId="13" r:id="rId1"/>
    <sheet name="Project cost &amp; expenditure" sheetId="3" r:id="rId2"/>
    <sheet name="Civil Work Cost" sheetId="4" r:id="rId3"/>
    <sheet name="Sheet1" sheetId="18" r:id="rId4"/>
    <sheet name="Sheet2" sheetId="14" r:id="rId5"/>
    <sheet name="MAterial cost bifurcation" sheetId="9" r:id="rId6"/>
    <sheet name="Land" sheetId="5" r:id="rId7"/>
    <sheet name="Status" sheetId="6" r:id="rId8"/>
    <sheet name="Sheet5" sheetId="8" r:id="rId9"/>
    <sheet name="Sheet2 (2)" sheetId="12" r:id="rId10"/>
    <sheet name="Sheet2 (3)" sheetId="16" r:id="rId11"/>
    <sheet name="Invoices" sheetId="17"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7" l="1"/>
  <c r="O7" i="17"/>
  <c r="O6" i="17"/>
  <c r="K134" i="17"/>
  <c r="T40" i="17"/>
  <c r="T41" i="17"/>
  <c r="S41" i="17"/>
  <c r="S40" i="17"/>
  <c r="U42" i="17"/>
  <c r="N23" i="4" l="1"/>
  <c r="N21" i="4"/>
  <c r="L21" i="4"/>
  <c r="T45" i="17" l="1"/>
  <c r="U45" i="17" s="1"/>
  <c r="T42" i="17"/>
  <c r="S32" i="17"/>
  <c r="T32" i="17" s="1"/>
  <c r="R42" i="17"/>
  <c r="S42" i="17" s="1"/>
  <c r="K78" i="17"/>
  <c r="J21" i="4" l="1"/>
  <c r="K133" i="17" l="1"/>
  <c r="K131" i="17"/>
  <c r="K129" i="17"/>
  <c r="K127" i="17"/>
  <c r="K125" i="17"/>
  <c r="K116" i="17"/>
  <c r="K114" i="17"/>
  <c r="K112" i="17"/>
  <c r="K110" i="17"/>
  <c r="K100" i="17"/>
  <c r="K94" i="17"/>
  <c r="K89" i="17"/>
  <c r="K87" i="17"/>
  <c r="K80" i="17"/>
  <c r="K52" i="17"/>
  <c r="K50" i="17"/>
  <c r="K48" i="17"/>
  <c r="K46" i="17"/>
  <c r="K42" i="17"/>
  <c r="K39" i="17"/>
  <c r="K36" i="17"/>
  <c r="K34" i="17"/>
  <c r="K32" i="17"/>
  <c r="K30" i="17"/>
  <c r="K25" i="17"/>
  <c r="K13" i="17"/>
  <c r="R12" i="17"/>
  <c r="R11" i="17"/>
  <c r="R10" i="17"/>
  <c r="R9" i="17"/>
  <c r="R8" i="17"/>
  <c r="K8" i="17"/>
  <c r="R7" i="17"/>
  <c r="R13" i="17" l="1"/>
  <c r="S13" i="17"/>
  <c r="N5" i="12"/>
  <c r="L7" i="12"/>
  <c r="L6" i="12"/>
  <c r="J4" i="13"/>
  <c r="J5" i="13"/>
  <c r="J6" i="13"/>
  <c r="J7" i="13"/>
  <c r="J8" i="13"/>
  <c r="J3" i="13"/>
  <c r="J9" i="13" s="1"/>
  <c r="I9" i="13"/>
  <c r="H9" i="13"/>
  <c r="G9" i="13"/>
  <c r="L17" i="4" l="1"/>
  <c r="N17" i="4" l="1"/>
  <c r="L18" i="4"/>
  <c r="N18" i="4" s="1"/>
  <c r="N10" i="4"/>
  <c r="K7" i="16" l="1"/>
  <c r="G7" i="16"/>
  <c r="J6" i="16"/>
  <c r="L5" i="16"/>
  <c r="J5" i="16"/>
  <c r="J7" i="16" s="1"/>
  <c r="O29" i="4" l="1"/>
  <c r="H8" i="14"/>
  <c r="E26" i="3" l="1"/>
  <c r="E21" i="3"/>
  <c r="F20" i="3" s="1"/>
  <c r="I20" i="8"/>
  <c r="N26" i="4"/>
  <c r="Q5" i="4"/>
  <c r="F18" i="3" l="1"/>
  <c r="F19" i="3"/>
  <c r="K24" i="12"/>
  <c r="G24" i="12"/>
  <c r="J19" i="12"/>
  <c r="J18" i="12"/>
  <c r="J17" i="12"/>
  <c r="J16" i="12"/>
  <c r="J15" i="12"/>
  <c r="J14" i="12"/>
  <c r="J13" i="12"/>
  <c r="J12" i="12"/>
  <c r="J11" i="12"/>
  <c r="J10" i="12"/>
  <c r="J9" i="12"/>
  <c r="J8" i="12"/>
  <c r="J7" i="12"/>
  <c r="J6" i="12"/>
  <c r="J5" i="12"/>
  <c r="J24" i="12" l="1"/>
  <c r="K13" i="9"/>
  <c r="M13" i="9" s="1"/>
  <c r="K14" i="9"/>
  <c r="K9" i="9"/>
  <c r="M9" i="9" s="1"/>
  <c r="I11" i="9"/>
  <c r="M10" i="9"/>
  <c r="S11" i="9"/>
  <c r="K11" i="9"/>
  <c r="M11" i="9" s="1"/>
  <c r="M7" i="9"/>
  <c r="M8" i="9"/>
  <c r="K12" i="9" l="1"/>
  <c r="M12" i="9" s="1"/>
  <c r="M14" i="9" l="1"/>
  <c r="M15" i="9" s="1"/>
  <c r="M16" i="9" s="1"/>
  <c r="N20" i="4"/>
  <c r="J9" i="4"/>
  <c r="L9" i="4" s="1"/>
  <c r="N9" i="4" s="1"/>
  <c r="I19" i="8" l="1"/>
  <c r="J7" i="4" l="1"/>
  <c r="L7" i="4" s="1"/>
  <c r="N7" i="4" s="1"/>
  <c r="V6" i="4"/>
  <c r="J6" i="4"/>
  <c r="L6" i="4" s="1"/>
  <c r="N6" i="4" s="1"/>
  <c r="V5" i="4"/>
  <c r="V7" i="4" s="1"/>
  <c r="J5" i="4"/>
  <c r="L5" i="4" s="1"/>
  <c r="N5" i="4" s="1"/>
  <c r="L19" i="4" l="1"/>
  <c r="N19" i="4" s="1"/>
  <c r="J15" i="4" l="1"/>
  <c r="L15" i="4" s="1"/>
  <c r="N15" i="4" s="1"/>
  <c r="L11" i="4"/>
  <c r="N11" i="4" s="1"/>
  <c r="L12" i="4"/>
  <c r="N12" i="4" s="1"/>
  <c r="L12" i="8"/>
  <c r="K12" i="8"/>
  <c r="J12" i="8"/>
  <c r="N17" i="5" l="1"/>
  <c r="M17" i="5"/>
  <c r="L17" i="5"/>
  <c r="O16" i="5"/>
  <c r="O15" i="5"/>
  <c r="O14" i="5"/>
  <c r="O13" i="5"/>
  <c r="O12" i="5"/>
  <c r="O17" i="5" s="1"/>
  <c r="R26" i="4" s="1"/>
  <c r="J16" i="4"/>
  <c r="L16" i="4" s="1"/>
  <c r="N16" i="4" s="1"/>
  <c r="N24" i="4" l="1"/>
  <c r="F17" i="5"/>
  <c r="G13" i="5"/>
  <c r="G14" i="5"/>
  <c r="G12" i="5"/>
  <c r="F11" i="5"/>
  <c r="F15" i="5" s="1"/>
  <c r="G15" i="5" l="1"/>
  <c r="H8" i="5"/>
  <c r="G8" i="5"/>
  <c r="H7" i="5"/>
  <c r="G7" i="5"/>
  <c r="H6" i="5"/>
  <c r="G6" i="5"/>
  <c r="J6" i="5" s="1"/>
  <c r="L6" i="5" s="1"/>
  <c r="H5" i="5"/>
  <c r="G5" i="5"/>
  <c r="J5" i="5" s="1"/>
  <c r="J7" i="5" l="1"/>
  <c r="L7" i="5" s="1"/>
  <c r="J8" i="5"/>
  <c r="L8" i="5" s="1"/>
  <c r="L5" i="5"/>
  <c r="J9" i="5" l="1"/>
  <c r="L9" i="5" s="1"/>
  <c r="L8" i="4"/>
  <c r="N8" i="4" s="1"/>
  <c r="L4" i="4"/>
  <c r="N4" i="4" s="1"/>
  <c r="J14" i="4" l="1"/>
  <c r="L14" i="4" s="1"/>
  <c r="N14" i="4" s="1"/>
  <c r="J13" i="4"/>
  <c r="L13" i="4" s="1"/>
  <c r="N13" i="4" s="1"/>
  <c r="G9" i="3" l="1"/>
  <c r="E9" i="3"/>
  <c r="F6" i="3" s="1"/>
  <c r="R27" i="4" l="1"/>
  <c r="R29" i="4" s="1"/>
  <c r="N25" i="4"/>
  <c r="H6" i="3"/>
  <c r="H8" i="3"/>
  <c r="H3" i="3"/>
  <c r="H5" i="3"/>
  <c r="H7" i="3"/>
  <c r="H4" i="3"/>
  <c r="F5" i="3"/>
  <c r="F4" i="3"/>
  <c r="F3" i="3"/>
  <c r="F8" i="3"/>
  <c r="F7" i="3"/>
</calcChain>
</file>

<file path=xl/sharedStrings.xml><?xml version="1.0" encoding="utf-8"?>
<sst xmlns="http://schemas.openxmlformats.org/spreadsheetml/2006/main" count="517" uniqueCount="351">
  <si>
    <t>Particular</t>
  </si>
  <si>
    <t>Raw Water</t>
  </si>
  <si>
    <t>Mixer</t>
  </si>
  <si>
    <t>Lagoon</t>
  </si>
  <si>
    <t>Status</t>
  </si>
  <si>
    <t>Structure/Construction work in progress</t>
  </si>
  <si>
    <t>Land including land developments</t>
  </si>
  <si>
    <t>Building</t>
  </si>
  <si>
    <t>Plant Machinery (Imported &amp; Domestic)</t>
  </si>
  <si>
    <t xml:space="preserve">Preoperative Expenses </t>
  </si>
  <si>
    <t>Interest During Construction</t>
  </si>
  <si>
    <t>Margin Money for Working Capital</t>
  </si>
  <si>
    <t>Type of Structure</t>
  </si>
  <si>
    <t>SR.NO</t>
  </si>
  <si>
    <t>R.C.C. Structure</t>
  </si>
  <si>
    <t>Area/Qty (sq. mtr)</t>
  </si>
  <si>
    <t>Rate</t>
  </si>
  <si>
    <t>Amount</t>
  </si>
  <si>
    <t>Sun Drying Unit</t>
  </si>
  <si>
    <t>Bagging Unit</t>
  </si>
  <si>
    <t>Boundary Wall</t>
  </si>
  <si>
    <t>Pre Cast</t>
  </si>
  <si>
    <t>L</t>
  </si>
  <si>
    <t>B</t>
  </si>
  <si>
    <t xml:space="preserve">Area/Qty </t>
  </si>
  <si>
    <t>Unit</t>
  </si>
  <si>
    <t>Sq. Ft</t>
  </si>
  <si>
    <t>Biogas Upgradation plant</t>
  </si>
  <si>
    <t>Land</t>
  </si>
  <si>
    <t>Cost</t>
  </si>
  <si>
    <t>Total</t>
  </si>
  <si>
    <t>S.NO</t>
  </si>
  <si>
    <t>GATA NO</t>
  </si>
  <si>
    <t>Area in (HECTARES)</t>
  </si>
  <si>
    <t>Sale Price</t>
  </si>
  <si>
    <t>Stamp Durty</t>
  </si>
  <si>
    <t>TOTAl</t>
  </si>
  <si>
    <t>Particulars</t>
  </si>
  <si>
    <t>Project Cost as Budgeted</t>
  </si>
  <si>
    <t>(As per CA Certificate)</t>
  </si>
  <si>
    <r>
      <t>Expenditure Incurred Till 31</t>
    </r>
    <r>
      <rPr>
        <b/>
        <vertAlign val="superscript"/>
        <sz val="11"/>
        <color rgb="FFFFFFFF"/>
        <rFont val="Calibri"/>
        <family val="2"/>
      </rPr>
      <t>st</t>
    </r>
    <r>
      <rPr>
        <b/>
        <sz val="11"/>
        <color rgb="FFFFFFFF"/>
        <rFont val="Calibri"/>
        <family val="2"/>
      </rPr>
      <t xml:space="preserve"> December 2023</t>
    </r>
  </si>
  <si>
    <t>Expenditure Incurred Till Date</t>
  </si>
  <si>
    <t>(LIE Assessment)</t>
  </si>
  <si>
    <t>Building &amp; Civil works</t>
  </si>
  <si>
    <t>Plant Machinery</t>
  </si>
  <si>
    <t>---</t>
  </si>
  <si>
    <t>Preoperative Expenses</t>
  </si>
  <si>
    <t>Master Control Room and Office Room</t>
  </si>
  <si>
    <t>BUP</t>
  </si>
  <si>
    <t>Vendor</t>
  </si>
  <si>
    <t>PlanET</t>
  </si>
  <si>
    <t>Planet</t>
  </si>
  <si>
    <t>Makin</t>
  </si>
  <si>
    <t>Road</t>
  </si>
  <si>
    <t>Biogas Upgradation Plant</t>
  </si>
  <si>
    <t>Cum</t>
  </si>
  <si>
    <t>Digester</t>
  </si>
  <si>
    <t>BGEI</t>
  </si>
  <si>
    <t>Total estimated cost (as per C.A. Certificate)</t>
  </si>
  <si>
    <t>Cost incured till (31st December 2023)</t>
  </si>
  <si>
    <t>Expenditure verified through bills</t>
  </si>
  <si>
    <t>Hot Water Treatment Plant</t>
  </si>
  <si>
    <t>G.I Shed</t>
  </si>
  <si>
    <t>Drain</t>
  </si>
  <si>
    <t>R.M.</t>
  </si>
  <si>
    <t>Building and other civil work</t>
  </si>
  <si>
    <t>Construction Work Is Complete</t>
  </si>
  <si>
    <t>Major work is completed, 20-30 % of GI shed roof covering is due.</t>
  </si>
  <si>
    <t>One guard room is completed and finishing work in the other guard room is in progress</t>
  </si>
  <si>
    <t>Work in progress</t>
  </si>
  <si>
    <t>Finishing work is in progress</t>
  </si>
  <si>
    <t>Completed</t>
  </si>
  <si>
    <t>All the Civil work is finished, only soil filling and flooring work is due</t>
  </si>
  <si>
    <t>G.I. Shed</t>
  </si>
  <si>
    <t>Area</t>
  </si>
  <si>
    <t>H</t>
  </si>
  <si>
    <t>Qty</t>
  </si>
  <si>
    <t>Excavation</t>
  </si>
  <si>
    <t>Brickwork</t>
  </si>
  <si>
    <t>Soil Filling</t>
  </si>
  <si>
    <t>Retaining Wall</t>
  </si>
  <si>
    <t>GSB</t>
  </si>
  <si>
    <t>P.C.C</t>
  </si>
  <si>
    <t>Steel</t>
  </si>
  <si>
    <t>Plinth</t>
  </si>
  <si>
    <t>Cost Per Sq. ft</t>
  </si>
  <si>
    <t>Digester 2</t>
  </si>
  <si>
    <t>Digester 1</t>
  </si>
  <si>
    <t>Concrete Platform</t>
  </si>
  <si>
    <t>R.C.C. Road</t>
  </si>
  <si>
    <t>Footing structure work, levelling and and P.C.C finish flooring is done.</t>
  </si>
  <si>
    <t>Structure work is complete, covering with green net is due</t>
  </si>
  <si>
    <t>Structure work is complete</t>
  </si>
  <si>
    <t>The major civil shed works have been completed.</t>
  </si>
  <si>
    <t>G+2 Structure work is complete except deshuttering of 2nd floor and brickwork is in progress.</t>
  </si>
  <si>
    <t>Name of the Package</t>
  </si>
  <si>
    <t>Name of the Vendor – PO awarded</t>
  </si>
  <si>
    <t>Total Contract Value (Rs. In Lacs)</t>
  </si>
  <si>
    <t>Remarks</t>
  </si>
  <si>
    <t>% allocation in Phase-1</t>
  </si>
  <si>
    <t>Phase-1 Amount</t>
  </si>
  <si>
    <t>Bills/ Invoices Seen (Rs. In cr)</t>
  </si>
  <si>
    <t>Digester vendor</t>
  </si>
  <si>
    <r>
      <t>PlanET</t>
    </r>
    <r>
      <rPr>
        <b/>
        <sz val="11"/>
        <color theme="1"/>
        <rFont val="Calibri"/>
        <family val="2"/>
        <scheme val="minor"/>
      </rPr>
      <t xml:space="preserve"> </t>
    </r>
    <r>
      <rPr>
        <sz val="11"/>
        <color theme="1"/>
        <rFont val="Calibri"/>
        <family val="2"/>
        <scheme val="minor"/>
      </rPr>
      <t>(incl. Customs duty + CHA charges)</t>
    </r>
  </si>
  <si>
    <t>Biogas Upgradation Plant (BUP) Vendor</t>
  </si>
  <si>
    <t>Biogas Engineering India Pvt Ltd.</t>
  </si>
  <si>
    <t>(for ultimate capacity of 10 TPD)</t>
  </si>
  <si>
    <t>Civil Works Contractor</t>
  </si>
  <si>
    <t>Makin Developers Pvt Ltd.</t>
  </si>
  <si>
    <t>Product Gas Compressor Supplier</t>
  </si>
  <si>
    <t>Kirloskar Pneumatic Company Limited</t>
  </si>
  <si>
    <t>--</t>
  </si>
  <si>
    <t>Portable Cabin Container Supplier</t>
  </si>
  <si>
    <t>Fabking Solutions Pvt Ltd.</t>
  </si>
  <si>
    <t>Bay at 132 KV @ Richha S/s</t>
  </si>
  <si>
    <t>UPPCl</t>
  </si>
  <si>
    <t>PEB shed</t>
  </si>
  <si>
    <t>Steeline Buildcon Pvt Ltd.</t>
  </si>
  <si>
    <t>Cladding Sheet/ Insulation Material</t>
  </si>
  <si>
    <t>Tata Bluescope Steel Pvt Ltd. / Infinite Build Foam</t>
  </si>
  <si>
    <t>Air Compressor</t>
  </si>
  <si>
    <t>Pumps</t>
  </si>
  <si>
    <t>Flowmore Ltd.</t>
  </si>
  <si>
    <t>Plant Electricals</t>
  </si>
  <si>
    <t>Electro control Systems</t>
  </si>
  <si>
    <t>Fire Fighting System</t>
  </si>
  <si>
    <t>Ceasefire Industries Pvt Ltd.</t>
  </si>
  <si>
    <t>Hot Water Generator</t>
  </si>
  <si>
    <t>HME Boilers Pvt Ltd.</t>
  </si>
  <si>
    <t>Erection, Commissioning &amp; Quality</t>
  </si>
  <si>
    <t>Tharayil Engineering Pvt Ltd.</t>
  </si>
  <si>
    <t>Electric Meter (Supply &amp; Services)</t>
  </si>
  <si>
    <t>ARC Electro Enterprises</t>
  </si>
  <si>
    <t>Weigh Machine</t>
  </si>
  <si>
    <t>Eagle Scale Manufacturing Works</t>
  </si>
  <si>
    <t>Main Gate</t>
  </si>
  <si>
    <t>Gandhi Automation Pvt Ltd.</t>
  </si>
  <si>
    <t>Odorising, Metering &amp; Pipeline</t>
  </si>
  <si>
    <t>Yet to be awarded</t>
  </si>
  <si>
    <t>SCADA</t>
  </si>
  <si>
    <t>Lab</t>
  </si>
  <si>
    <t>TOTAL</t>
  </si>
  <si>
    <t>land</t>
  </si>
  <si>
    <t>P.M</t>
  </si>
  <si>
    <t>B&amp;C</t>
  </si>
  <si>
    <t>S.NO.</t>
  </si>
  <si>
    <t>PARTICULARS</t>
  </si>
  <si>
    <t>ESTIMATED COST
(Rs. In Cr.)</t>
  </si>
  <si>
    <t>AMOUNT SHOWN BY THE COMPANY
(UPTO 31.12.23) 
(As Per C.A. Certificate)</t>
  </si>
  <si>
    <t>DIFFERENCE OF LAST CA CERTIFICATE AND CURRENT CA CERTIFICATE</t>
  </si>
  <si>
    <t>LAST LIE REPORT APPROVED AMOUNT</t>
  </si>
  <si>
    <t>AMOUNT APPROVED BY LIE
(As on 31-01-2024)</t>
  </si>
  <si>
    <t>TOTAL AMOUNT APPROVED
(UPTO 31-01-2024)</t>
  </si>
  <si>
    <t>REMARKS</t>
  </si>
  <si>
    <t>~1.35</t>
  </si>
  <si>
    <t>This includes cost of land with stamp duty (as per the value mentioned in the sale deed). For breakup of expenditure please refer to Table below.</t>
  </si>
  <si>
    <t>Building and other civil works.</t>
  </si>
  <si>
    <t>~9.21</t>
  </si>
  <si>
    <t>The cost assessment for building and civil works is done in accordance with the benchmark or market cost, as per the percentage of work completed. Minor difference which is coming from CA Certificate is normal which comes from actual vs. estimated calculation. (As CA certificate was prepared in December and shows the expenditure incurred till 31.12.2023 and the survey was conducted 31.01.2024)</t>
  </si>
  <si>
    <t>Plant, Machinery and equipment.</t>
  </si>
  <si>
    <t>1. In last quarter as per survey done on 17-10-2023 no machine was arrived but in this quarter survey done on 31-01-2024 significant machine installation work is done as shown in Part C (3).
2. Due to confidentiality company has not shared us list of P&amp;M Invoices. On their request our team went to their office to check the Invoices/ Bills. Our team could verify the Invoices/ Bills of several parties as mentioned in the Table xx below amounting of Rs.20.46 crores. However this shall not be construed as cross verification of Bills since Bill wise verification of machines on site is not done. If Bank has access to the Invoices/ Bills then Bank may tally it with</t>
  </si>
  <si>
    <t>Pre-operative Expenses</t>
  </si>
  <si>
    <t>Since breakup was not available therefore we were unable to verify its cost as of now and thus have not commented on this item.</t>
  </si>
  <si>
    <t>Can be referred directly from CA certificate as out of Engineering purview. Not in scope of LIE.</t>
  </si>
  <si>
    <t>Expenditure verified through bills (in Rs. In CR)</t>
  </si>
  <si>
    <t>Electro Control Systems</t>
  </si>
  <si>
    <t>NOTE:</t>
  </si>
  <si>
    <t>1. These amount were verified against bills produced at M/s. 
carbon Circle Pvt Ltd. Level 5, The Circle, Huda City Centre, 
gurugram PIN: 122002</t>
  </si>
  <si>
    <t>P&amp;M</t>
  </si>
  <si>
    <t>Brick Work and plaster</t>
  </si>
  <si>
    <t>Column for support of fire pipe</t>
  </si>
  <si>
    <t>Extra Work (site development)</t>
  </si>
  <si>
    <t>S.No</t>
  </si>
  <si>
    <t>Date</t>
  </si>
  <si>
    <t>Invoice No</t>
  </si>
  <si>
    <t>Purchase Order</t>
  </si>
  <si>
    <t>Abhishek gangwar</t>
  </si>
  <si>
    <t>23-24/01</t>
  </si>
  <si>
    <t>23-24/02</t>
  </si>
  <si>
    <t>Ali JCB</t>
  </si>
  <si>
    <t>Annu Transport</t>
  </si>
  <si>
    <t>Value in Euro</t>
  </si>
  <si>
    <t>Value in INR</t>
  </si>
  <si>
    <t>SAARP-019-10085</t>
  </si>
  <si>
    <t>SAINP-019-10180</t>
  </si>
  <si>
    <t>SAARP-019-10084</t>
  </si>
  <si>
    <t>SAINP-019-10179</t>
  </si>
  <si>
    <t>SAARP-019-10089</t>
  </si>
  <si>
    <t>SAARP-019-10088</t>
  </si>
  <si>
    <t>SAARP-019-10087</t>
  </si>
  <si>
    <t>AR Electro Enterprises</t>
  </si>
  <si>
    <t>AREE/23-24/21</t>
  </si>
  <si>
    <t>AREE/23-24/54</t>
  </si>
  <si>
    <t>Material</t>
  </si>
  <si>
    <t>AREE/23-24/55</t>
  </si>
  <si>
    <t>Installation</t>
  </si>
  <si>
    <t>AREE/23-24/60</t>
  </si>
  <si>
    <t>Beniwal Associates Pvt Ltd.</t>
  </si>
  <si>
    <t>Biogas Engineering (BGEI)</t>
  </si>
  <si>
    <t>BGI/FTY24-25/002</t>
  </si>
  <si>
    <t>Everest Human Resource Consultants</t>
  </si>
  <si>
    <t>CB/BAR/23-24/01</t>
  </si>
  <si>
    <t>Fabking</t>
  </si>
  <si>
    <t>CS/23-23/526</t>
  </si>
  <si>
    <t>FAB/23-24/601</t>
  </si>
  <si>
    <t>Flowmore</t>
  </si>
  <si>
    <t>U2230210872</t>
  </si>
  <si>
    <t>U2230210873</t>
  </si>
  <si>
    <t>Gungwar Construction</t>
  </si>
  <si>
    <t>HME Boilers Pvt Ltd</t>
  </si>
  <si>
    <t>Indian Crane Service</t>
  </si>
  <si>
    <t>Kirloskar Pneumatic Co. Ltd.</t>
  </si>
  <si>
    <t>Makin Developer Pvt Ltd</t>
  </si>
  <si>
    <t>1st RA Bill</t>
  </si>
  <si>
    <t>2nd RA Bill</t>
  </si>
  <si>
    <t>3rd RA Bill</t>
  </si>
  <si>
    <t>4th RA Bill</t>
  </si>
  <si>
    <t>5th RA Bill</t>
  </si>
  <si>
    <t>6th RA Bill</t>
  </si>
  <si>
    <t>7th RA Bill</t>
  </si>
  <si>
    <t>MA-02</t>
  </si>
  <si>
    <t>MDPL/MA/01</t>
  </si>
  <si>
    <t>MDPL/MA/02</t>
  </si>
  <si>
    <t>MDPL/MA/03</t>
  </si>
  <si>
    <t>MDPL/MA/04</t>
  </si>
  <si>
    <t>MDPL/MA/05</t>
  </si>
  <si>
    <t>MDPL/MA/06</t>
  </si>
  <si>
    <t>MDPL/MA/07</t>
  </si>
  <si>
    <t>MDPL/MA/08</t>
  </si>
  <si>
    <t>MDPL/MA/09</t>
  </si>
  <si>
    <t>MDPL/MA/10</t>
  </si>
  <si>
    <t>MDPL/MA/11</t>
  </si>
  <si>
    <t>MDPL/MAT.ADV/01</t>
  </si>
  <si>
    <t>RA MISC - 01</t>
  </si>
  <si>
    <t>RA MISC - 02</t>
  </si>
  <si>
    <t>RA MISC - 03</t>
  </si>
  <si>
    <t>RA MISC - 04</t>
  </si>
  <si>
    <t>RA MISC - 05</t>
  </si>
  <si>
    <t>Safetechno Services</t>
  </si>
  <si>
    <t>STS/23-24/056</t>
  </si>
  <si>
    <t>Salman Earthmovers</t>
  </si>
  <si>
    <t>State Bank of India</t>
  </si>
  <si>
    <t>T0723051V1979</t>
  </si>
  <si>
    <t>Schenker India Pvt Ltd</t>
  </si>
  <si>
    <t>Shril Nityanand Pad Ashram</t>
  </si>
  <si>
    <t>SBPL/2023-24/111</t>
  </si>
  <si>
    <t>SBPL/2023-24/112</t>
  </si>
  <si>
    <t>SBPL/2023-24/114</t>
  </si>
  <si>
    <t>SBPL/2023-24/115</t>
  </si>
  <si>
    <t>SBPL/2023-24/118</t>
  </si>
  <si>
    <t>SBPL/2023-24/120</t>
  </si>
  <si>
    <t>SBPL/2023-24/122</t>
  </si>
  <si>
    <t>Tata BlueSCope Steel</t>
  </si>
  <si>
    <t>CI2302102253</t>
  </si>
  <si>
    <t>Tharayil Engineering Pvt Ltd</t>
  </si>
  <si>
    <t>23-24/1372</t>
  </si>
  <si>
    <t>Upen Infra Structure Pvt Ltd</t>
  </si>
  <si>
    <t>UISPL/23-24/01</t>
  </si>
  <si>
    <t>YSR &amp; Associates</t>
  </si>
  <si>
    <t>YSR/2023-24/017</t>
  </si>
  <si>
    <t>YSR/2023-24/018</t>
  </si>
  <si>
    <t>YSR/2023-24/031</t>
  </si>
  <si>
    <t>YSR/2023-24/032</t>
  </si>
  <si>
    <t>YSR/2023-24/220</t>
  </si>
  <si>
    <t>YSR/2023-24/393</t>
  </si>
  <si>
    <t>YSR/2023-24/394</t>
  </si>
  <si>
    <t>YSR/2023-24/557</t>
  </si>
  <si>
    <t>Amit Kumar Pandey &amp; Company</t>
  </si>
  <si>
    <t>AKPC/2023-24/100</t>
  </si>
  <si>
    <t>Chetan K &amp; Associates</t>
  </si>
  <si>
    <t>065/2023-24</t>
  </si>
  <si>
    <t>Gandhi Automation Pvt Ltd</t>
  </si>
  <si>
    <t>S/2324/03770</t>
  </si>
  <si>
    <t>SKPMA Gaushala Trust</t>
  </si>
  <si>
    <t>Pump House</t>
  </si>
  <si>
    <t>Guard Room</t>
  </si>
  <si>
    <t>Meter Room</t>
  </si>
  <si>
    <t>Internal Road</t>
  </si>
  <si>
    <t>Drainage</t>
  </si>
  <si>
    <t>Bagging unit</t>
  </si>
  <si>
    <t>Anaerobic Digestor 1</t>
  </si>
  <si>
    <t>Anaerobic Digestor 2</t>
  </si>
  <si>
    <t>Raw Water Storage</t>
  </si>
  <si>
    <t>Sun drying area</t>
  </si>
  <si>
    <t>SAINP-019-10204</t>
  </si>
  <si>
    <t>SAINP-019-10197</t>
  </si>
  <si>
    <t>SAINP-019-10208</t>
  </si>
  <si>
    <t>SAINP-019-10192</t>
  </si>
  <si>
    <t>SAARP-019-10100</t>
  </si>
  <si>
    <t>=</t>
  </si>
  <si>
    <t>Plant &amp; Machinery</t>
  </si>
  <si>
    <t>Rs. In Lacs</t>
  </si>
  <si>
    <t>Name of the Vendor</t>
  </si>
  <si>
    <t> Planet Biogas Germany </t>
  </si>
  <si>
    <t>                             1,246.61</t>
  </si>
  <si>
    <t> Import Duties </t>
  </si>
  <si>
    <t>                                 181.03</t>
  </si>
  <si>
    <t> Advance to UP Transmission </t>
  </si>
  <si>
    <t>                                   45.45</t>
  </si>
  <si>
    <t> Biogas Compression from Kirloskar </t>
  </si>
  <si>
    <t>                                 123.82</t>
  </si>
  <si>
    <t> Biogas Upgradation Package </t>
  </si>
  <si>
    <t>                                 789.57</t>
  </si>
  <si>
    <t> HME Boilers </t>
  </si>
  <si>
    <t>                                   41.44</t>
  </si>
  <si>
    <t> Infinite Buildfoam </t>
  </si>
  <si>
    <t>                                   22.45</t>
  </si>
  <si>
    <t> Machine Electricals (Electro Control Systems) </t>
  </si>
  <si>
    <t>                                 336.56</t>
  </si>
  <si>
    <t> Avant Garde Expenses </t>
  </si>
  <si>
    <t>                                   47.41</t>
  </si>
  <si>
    <t> Upen Infra </t>
  </si>
  <si>
    <t>                                 129.94</t>
  </si>
  <si>
    <t> Ceasefire Industries </t>
  </si>
  <si>
    <t>                                   81.50</t>
  </si>
  <si>
    <t> Tharayil Engineering </t>
  </si>
  <si>
    <t>                                   31.13</t>
  </si>
  <si>
    <t> Shipping &amp; Transport </t>
  </si>
  <si>
    <t>                                   14.03</t>
  </si>
  <si>
    <t> Chawla, Eagle, Growth India, Aaradhya Fluidways, Pratiman, Borg etc. </t>
  </si>
  <si>
    <t>                                   71.07</t>
  </si>
  <si>
    <t> Misc. payments, advance </t>
  </si>
  <si>
    <t>                                   52.42</t>
  </si>
  <si>
    <t> Total-P&amp;M </t>
  </si>
  <si>
    <t>                             3,214.44</t>
  </si>
  <si>
    <t> Ananjay Enterprises </t>
  </si>
  <si>
    <t>                                      5.28</t>
  </si>
  <si>
    <t> Nuzra Tradeers (Boundary Wall Panels) </t>
  </si>
  <si>
    <t>                                      1.65</t>
  </si>
  <si>
    <t> Metering Work by AR Electro Enterprises </t>
  </si>
  <si>
    <t>                                   13.14</t>
  </si>
  <si>
    <t> Makin Developers </t>
  </si>
  <si>
    <t>                             1,084.85</t>
  </si>
  <si>
    <t> Flowmore </t>
  </si>
  <si>
    <t>                                      9.20</t>
  </si>
  <si>
    <t> Tata Bluescope </t>
  </si>
  <si>
    <t>                                   11.33</t>
  </si>
  <si>
    <t> Steel Purchased </t>
  </si>
  <si>
    <t>                                      0.45</t>
  </si>
  <si>
    <t> Porta Cabin from Fabking </t>
  </si>
  <si>
    <t>                                      8.62</t>
  </si>
  <si>
    <t> Main Gate from Gandhi Automations Pvt Ltd </t>
  </si>
  <si>
    <t>                                      5.39</t>
  </si>
  <si>
    <t> Steeline Buildcon </t>
  </si>
  <si>
    <t>                                 210.89</t>
  </si>
  <si>
    <t> Sagar Borewells </t>
  </si>
  <si>
    <t>                                      2.00</t>
  </si>
  <si>
    <t> Total-Building </t>
  </si>
  <si>
    <t>                             1,352.80</t>
  </si>
  <si>
    <t xml:space="preserve">Guard Room </t>
  </si>
  <si>
    <t>planET Biogas Global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</si>
</sst>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 #,##0_ ;_ * \-#,##0_ ;_ * &quot;-&quot;??_ ;_ @_ "/>
    <numFmt numFmtId="166" formatCode="_(* #,##0_);_(* \(#,##0\);_(* &quot;-&quot;??_);_(@_)"/>
    <numFmt numFmtId="167" formatCode="0.000"/>
    <numFmt numFmtId="168" formatCode="_ * #,##0.0_ ;_ * \-#,##0.0_ ;_ * &quot;-&quot;??_ ;_ @_ "/>
  </numFmts>
  <fonts count="17" x14ac:knownFonts="1">
    <font>
      <sz val="11"/>
      <color theme="1"/>
      <name val="Calibri"/>
      <family val="2"/>
      <scheme val="minor"/>
    </font>
    <font>
      <sz val="11"/>
      <color theme="1"/>
      <name val="Calibri"/>
      <family val="2"/>
      <scheme val="minor"/>
    </font>
    <font>
      <sz val="11"/>
      <color rgb="FF000000"/>
      <name val="Calibri"/>
      <family val="2"/>
    </font>
    <font>
      <sz val="11"/>
      <color theme="1"/>
      <name val="Calibri"/>
      <family val="2"/>
    </font>
    <font>
      <b/>
      <sz val="11"/>
      <color theme="1"/>
      <name val="Calibri"/>
      <family val="2"/>
      <scheme val="minor"/>
    </font>
    <font>
      <sz val="12"/>
      <color theme="1"/>
      <name val="Calibri"/>
      <family val="2"/>
      <scheme val="minor"/>
    </font>
    <font>
      <b/>
      <sz val="11"/>
      <color rgb="FFFFFFFF"/>
      <name val="Calibri"/>
      <family val="2"/>
    </font>
    <font>
      <b/>
      <i/>
      <sz val="11"/>
      <color rgb="FFFFFFFF"/>
      <name val="Calibri"/>
      <family val="2"/>
    </font>
    <font>
      <b/>
      <vertAlign val="superscript"/>
      <sz val="11"/>
      <color rgb="FFFFFFFF"/>
      <name val="Calibri"/>
      <family val="2"/>
    </font>
    <font>
      <sz val="11"/>
      <color theme="0"/>
      <name val="Calibri"/>
      <family val="2"/>
      <scheme val="minor"/>
    </font>
    <font>
      <b/>
      <sz val="11"/>
      <color theme="0"/>
      <name val="Calibri"/>
      <family val="2"/>
      <scheme val="minor"/>
    </font>
    <font>
      <b/>
      <i/>
      <sz val="14"/>
      <color theme="0"/>
      <name val="Calibri"/>
      <family val="2"/>
      <scheme val="minor"/>
    </font>
    <font>
      <b/>
      <sz val="11"/>
      <color theme="0"/>
      <name val="Calibri"/>
      <family val="2"/>
    </font>
    <font>
      <i/>
      <sz val="11"/>
      <color theme="1"/>
      <name val="Calibri"/>
      <family val="2"/>
      <scheme val="minor"/>
    </font>
    <font>
      <b/>
      <i/>
      <sz val="12"/>
      <color theme="0"/>
      <name val="Calibri"/>
      <family val="2"/>
      <scheme val="minor"/>
    </font>
    <font>
      <sz val="12"/>
      <color rgb="FF222222"/>
      <name val="Arial"/>
      <family val="2"/>
    </font>
    <font>
      <b/>
      <sz val="11"/>
      <color rgb="FF000000"/>
      <name val="Calibri"/>
      <family val="2"/>
    </font>
  </fonts>
  <fills count="9">
    <fill>
      <patternFill patternType="none"/>
    </fill>
    <fill>
      <patternFill patternType="gray125"/>
    </fill>
    <fill>
      <patternFill patternType="solid">
        <fgColor rgb="FF002060"/>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BFBFBF"/>
        <bgColor indexed="64"/>
      </patternFill>
    </fill>
    <fill>
      <patternFill patternType="solid">
        <fgColor rgb="FFFFFFFF"/>
        <bgColor indexed="64"/>
      </patternFill>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0" fontId="0" fillId="0" borderId="0" xfId="0" applyAlignment="1">
      <alignment wrapText="1"/>
    </xf>
    <xf numFmtId="0" fontId="2" fillId="0" borderId="1" xfId="0" applyFont="1" applyBorder="1" applyAlignment="1">
      <alignment vertical="center" wrapText="1"/>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horizontal="center" vertical="center" wrapText="1"/>
    </xf>
    <xf numFmtId="0" fontId="0" fillId="0" borderId="0" xfId="0" applyAlignment="1">
      <alignment horizontal="center"/>
    </xf>
    <xf numFmtId="9" fontId="2" fillId="0" borderId="0" xfId="1" applyFont="1" applyBorder="1" applyAlignment="1">
      <alignment horizontal="center" vertical="center"/>
    </xf>
    <xf numFmtId="9" fontId="0" fillId="0" borderId="0" xfId="0" applyNumberFormat="1"/>
    <xf numFmtId="9" fontId="0" fillId="0" borderId="0" xfId="1" applyFont="1"/>
    <xf numFmtId="43" fontId="0" fillId="0" borderId="0" xfId="2" applyFont="1"/>
    <xf numFmtId="0" fontId="0" fillId="0" borderId="3" xfId="0" applyBorder="1"/>
    <xf numFmtId="0" fontId="0" fillId="0" borderId="3" xfId="0" applyBorder="1" applyAlignment="1">
      <alignment wrapText="1"/>
    </xf>
    <xf numFmtId="0" fontId="0" fillId="0" borderId="3" xfId="0" applyBorder="1" applyAlignment="1">
      <alignment horizontal="center" wrapText="1"/>
    </xf>
    <xf numFmtId="164" fontId="0" fillId="0" borderId="0" xfId="0" applyNumberFormat="1"/>
    <xf numFmtId="0" fontId="4" fillId="0" borderId="0" xfId="0" applyFont="1"/>
    <xf numFmtId="0" fontId="0" fillId="0" borderId="4" xfId="0" applyBorder="1"/>
    <xf numFmtId="0" fontId="0" fillId="0" borderId="5" xfId="0" applyBorder="1"/>
    <xf numFmtId="0" fontId="0" fillId="0" borderId="5" xfId="0" applyBorder="1" applyAlignment="1">
      <alignment horizontal="center" wrapText="1"/>
    </xf>
    <xf numFmtId="0" fontId="5" fillId="0" borderId="5" xfId="0" applyFont="1" applyBorder="1"/>
    <xf numFmtId="0" fontId="0" fillId="0" borderId="5" xfId="0" applyBorder="1" applyAlignment="1">
      <alignment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165" fontId="0" fillId="0" borderId="10" xfId="2" applyNumberFormat="1" applyFont="1" applyBorder="1"/>
    <xf numFmtId="165" fontId="0" fillId="0" borderId="11" xfId="2" applyNumberFormat="1" applyFont="1" applyBorder="1"/>
    <xf numFmtId="0" fontId="6" fillId="2"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0" fillId="0" borderId="3" xfId="0" applyBorder="1" applyAlignment="1">
      <alignment horizontal="center"/>
    </xf>
    <xf numFmtId="0" fontId="9" fillId="3" borderId="3" xfId="0" applyFont="1" applyFill="1" applyBorder="1"/>
    <xf numFmtId="0" fontId="9" fillId="3" borderId="3" xfId="0" applyFont="1" applyFill="1" applyBorder="1" applyAlignment="1">
      <alignment horizontal="center" wrapText="1"/>
    </xf>
    <xf numFmtId="0" fontId="10" fillId="4" borderId="3" xfId="0" applyFont="1" applyFill="1" applyBorder="1" applyAlignment="1">
      <alignment horizontal="center" vertical="center"/>
    </xf>
    <xf numFmtId="0" fontId="10" fillId="4"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xf>
    <xf numFmtId="165" fontId="0" fillId="0" borderId="3" xfId="2" applyNumberFormat="1" applyFont="1" applyBorder="1" applyAlignment="1">
      <alignment horizontal="center" vertical="center" wrapText="1"/>
    </xf>
    <xf numFmtId="165" fontId="3" fillId="0" borderId="3" xfId="2" applyNumberFormat="1" applyFont="1" applyFill="1" applyBorder="1" applyAlignment="1">
      <alignment horizontal="center" vertical="center"/>
    </xf>
    <xf numFmtId="165" fontId="0" fillId="0" borderId="14" xfId="2" applyNumberFormat="1" applyFont="1" applyBorder="1" applyAlignment="1">
      <alignment vertical="center" wrapText="1"/>
    </xf>
    <xf numFmtId="165" fontId="0" fillId="0" borderId="14" xfId="0" applyNumberFormat="1" applyBorder="1" applyAlignment="1">
      <alignment vertical="center" wrapText="1"/>
    </xf>
    <xf numFmtId="165" fontId="0" fillId="5" borderId="14" xfId="0" applyNumberFormat="1" applyFill="1" applyBorder="1" applyAlignment="1">
      <alignment vertical="center" wrapText="1"/>
    </xf>
    <xf numFmtId="43" fontId="0" fillId="0" borderId="14" xfId="2" applyFont="1" applyBorder="1" applyAlignment="1">
      <alignment wrapText="1"/>
    </xf>
    <xf numFmtId="165" fontId="0" fillId="0" borderId="14" xfId="2" applyNumberFormat="1" applyFont="1" applyBorder="1" applyAlignment="1">
      <alignment wrapText="1"/>
    </xf>
    <xf numFmtId="0" fontId="10" fillId="4" borderId="17"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xf>
    <xf numFmtId="0" fontId="10"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4" fontId="0" fillId="0" borderId="3" xfId="0" applyNumberFormat="1" applyBorder="1" applyAlignment="1">
      <alignment horizontal="center" vertical="center" wrapText="1"/>
    </xf>
    <xf numFmtId="9" fontId="0" fillId="0" borderId="3" xfId="0" applyNumberFormat="1" applyBorder="1" applyAlignment="1">
      <alignment horizontal="center" vertical="center" wrapText="1"/>
    </xf>
    <xf numFmtId="2" fontId="0" fillId="0" borderId="0" xfId="0" applyNumberFormat="1"/>
    <xf numFmtId="0" fontId="0" fillId="0" borderId="3" xfId="0" quotePrefix="1" applyBorder="1" applyAlignment="1">
      <alignment horizontal="center" vertical="center"/>
    </xf>
    <xf numFmtId="0" fontId="4" fillId="6" borderId="3" xfId="0" applyFont="1" applyFill="1" applyBorder="1" applyAlignment="1">
      <alignment horizontal="center" vertical="center" wrapText="1"/>
    </xf>
    <xf numFmtId="0" fontId="0" fillId="6" borderId="3" xfId="0" applyFill="1" applyBorder="1"/>
    <xf numFmtId="4" fontId="4" fillId="6" borderId="3" xfId="0" applyNumberFormat="1" applyFont="1" applyFill="1" applyBorder="1" applyAlignment="1">
      <alignment horizontal="center" vertical="center"/>
    </xf>
    <xf numFmtId="0" fontId="4" fillId="6" borderId="3" xfId="0" applyFont="1" applyFill="1" applyBorder="1"/>
    <xf numFmtId="0" fontId="4" fillId="6" borderId="3" xfId="0" applyFont="1" applyFill="1" applyBorder="1" applyAlignment="1">
      <alignment horizontal="center" vertical="center"/>
    </xf>
    <xf numFmtId="166" fontId="0" fillId="0" borderId="0" xfId="0" applyNumberFormat="1"/>
    <xf numFmtId="0" fontId="12" fillId="2" borderId="0" xfId="0" applyFont="1" applyFill="1" applyAlignment="1">
      <alignment horizontal="center" vertical="center" wrapText="1"/>
    </xf>
    <xf numFmtId="0" fontId="10" fillId="2" borderId="0" xfId="0" applyFont="1" applyFill="1" applyAlignment="1">
      <alignment horizontal="center" vertical="center" wrapText="1"/>
    </xf>
    <xf numFmtId="0" fontId="2" fillId="7" borderId="3" xfId="0" applyFont="1" applyFill="1" applyBorder="1" applyAlignment="1">
      <alignmen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3" xfId="0" quotePrefix="1" applyFont="1" applyBorder="1" applyAlignment="1">
      <alignment horizontal="center" vertical="center" wrapText="1"/>
    </xf>
    <xf numFmtId="0" fontId="4" fillId="5" borderId="3" xfId="0" applyFont="1" applyFill="1" applyBorder="1" applyAlignment="1">
      <alignment horizontal="center"/>
    </xf>
    <xf numFmtId="0" fontId="13" fillId="0" borderId="3" xfId="0" applyFont="1" applyBorder="1"/>
    <xf numFmtId="165" fontId="0" fillId="0" borderId="0" xfId="0" applyNumberFormat="1"/>
    <xf numFmtId="167" fontId="4" fillId="5" borderId="3" xfId="0" applyNumberFormat="1" applyFont="1" applyFill="1" applyBorder="1" applyAlignment="1">
      <alignment horizontal="center"/>
    </xf>
    <xf numFmtId="165" fontId="0" fillId="0" borderId="3" xfId="2" applyNumberFormat="1" applyFont="1" applyFill="1" applyBorder="1" applyAlignment="1">
      <alignment horizontal="center" vertical="center" wrapText="1"/>
    </xf>
    <xf numFmtId="165" fontId="0" fillId="0" borderId="14" xfId="2" applyNumberFormat="1" applyFont="1" applyFill="1" applyBorder="1" applyAlignment="1">
      <alignment vertical="center" wrapText="1"/>
    </xf>
    <xf numFmtId="0" fontId="0" fillId="0" borderId="21" xfId="0" applyBorder="1" applyAlignment="1">
      <alignment horizontal="center" vertical="center"/>
    </xf>
    <xf numFmtId="0" fontId="14" fillId="2" borderId="3" xfId="0" applyFont="1" applyFill="1" applyBorder="1" applyAlignment="1">
      <alignment horizontal="center" vertical="center"/>
    </xf>
    <xf numFmtId="0" fontId="4" fillId="0" borderId="3" xfId="0" applyFont="1" applyBorder="1"/>
    <xf numFmtId="14" fontId="0" fillId="0" borderId="3" xfId="0" applyNumberFormat="1" applyBorder="1"/>
    <xf numFmtId="3" fontId="0" fillId="0" borderId="3" xfId="0" applyNumberFormat="1" applyBorder="1" applyAlignment="1">
      <alignment horizontal="center"/>
    </xf>
    <xf numFmtId="3" fontId="0" fillId="0" borderId="0" xfId="0" applyNumberFormat="1"/>
    <xf numFmtId="14" fontId="0" fillId="0" borderId="0" xfId="0" applyNumberFormat="1"/>
    <xf numFmtId="165" fontId="0" fillId="0" borderId="3" xfId="2" applyNumberFormat="1" applyFont="1" applyBorder="1" applyAlignment="1">
      <alignment vertical="center"/>
    </xf>
    <xf numFmtId="165" fontId="0" fillId="0" borderId="3" xfId="2" applyNumberFormat="1" applyFont="1" applyBorder="1" applyAlignment="1">
      <alignment horizontal="center"/>
    </xf>
    <xf numFmtId="165" fontId="0" fillId="0" borderId="3" xfId="0" applyNumberFormat="1" applyBorder="1" applyAlignment="1">
      <alignment horizontal="center"/>
    </xf>
    <xf numFmtId="168" fontId="0" fillId="0" borderId="3" xfId="2" applyNumberFormat="1" applyFont="1" applyBorder="1" applyAlignment="1">
      <alignment horizontal="center"/>
    </xf>
    <xf numFmtId="168" fontId="0" fillId="0" borderId="3" xfId="0" applyNumberFormat="1" applyBorder="1" applyAlignment="1">
      <alignment horizontal="center"/>
    </xf>
    <xf numFmtId="0" fontId="4" fillId="0" borderId="3" xfId="0" applyFont="1" applyBorder="1" applyAlignment="1">
      <alignment horizontal="left" vertical="center" wrapText="1"/>
    </xf>
    <xf numFmtId="0" fontId="16" fillId="8" borderId="0" xfId="0" applyFont="1" applyFill="1" applyAlignment="1">
      <alignment vertical="center"/>
    </xf>
    <xf numFmtId="0" fontId="16" fillId="8" borderId="0" xfId="0" applyFont="1" applyFill="1" applyAlignment="1">
      <alignment horizontal="right" vertical="center"/>
    </xf>
    <xf numFmtId="0" fontId="16" fillId="8" borderId="22" xfId="0" applyFont="1" applyFill="1" applyBorder="1" applyAlignment="1">
      <alignment horizontal="center" vertical="center"/>
    </xf>
    <xf numFmtId="0" fontId="16" fillId="8" borderId="23" xfId="0" applyFont="1" applyFill="1" applyBorder="1" applyAlignment="1">
      <alignment horizontal="center" vertical="center"/>
    </xf>
    <xf numFmtId="0" fontId="2" fillId="8" borderId="24" xfId="0" applyFont="1" applyFill="1" applyBorder="1" applyAlignment="1">
      <alignment vertical="center"/>
    </xf>
    <xf numFmtId="0" fontId="2" fillId="8" borderId="25" xfId="0" applyFont="1" applyFill="1" applyBorder="1" applyAlignment="1">
      <alignment vertical="center"/>
    </xf>
    <xf numFmtId="0" fontId="2" fillId="8" borderId="22" xfId="0" applyFont="1" applyFill="1" applyBorder="1" applyAlignment="1">
      <alignment vertical="center"/>
    </xf>
    <xf numFmtId="0" fontId="2" fillId="8" borderId="23" xfId="0" applyFont="1" applyFill="1" applyBorder="1" applyAlignment="1">
      <alignment vertical="center"/>
    </xf>
    <xf numFmtId="0" fontId="15" fillId="0" borderId="0" xfId="0" applyFont="1"/>
    <xf numFmtId="0" fontId="16" fillId="0" borderId="0" xfId="0" applyFont="1" applyAlignment="1">
      <alignment vertical="center"/>
    </xf>
    <xf numFmtId="0" fontId="0" fillId="5" borderId="14" xfId="0" applyFill="1" applyBorder="1" applyAlignment="1">
      <alignment horizontal="center" wrapText="1"/>
    </xf>
    <xf numFmtId="0" fontId="0" fillId="5" borderId="16" xfId="0" applyFill="1" applyBorder="1" applyAlignment="1">
      <alignment horizontal="center" wrapText="1"/>
    </xf>
    <xf numFmtId="0" fontId="0" fillId="5" borderId="15" xfId="0" applyFill="1" applyBorder="1" applyAlignment="1">
      <alignment horizontal="center" wrapText="1"/>
    </xf>
    <xf numFmtId="0" fontId="11" fillId="4" borderId="18" xfId="0" applyFont="1" applyFill="1" applyBorder="1" applyAlignment="1">
      <alignment horizontal="center" vertical="center"/>
    </xf>
    <xf numFmtId="0" fontId="11" fillId="4" borderId="19" xfId="0" applyFont="1" applyFill="1" applyBorder="1" applyAlignment="1">
      <alignment horizontal="center" vertical="center"/>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13" fillId="0" borderId="3" xfId="0" applyFont="1" applyBorder="1" applyAlignment="1">
      <alignment horizontal="left" wrapText="1"/>
    </xf>
    <xf numFmtId="0" fontId="6" fillId="2" borderId="12"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21" xfId="0" applyFont="1" applyFill="1" applyBorder="1"/>
    <xf numFmtId="43" fontId="0" fillId="0" borderId="0" xfId="0" applyNumberFormat="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Expenditure Incurred Till 31</a:t>
            </a:r>
            <a:r>
              <a:rPr lang="en-US" sz="1800" b="1" i="0" baseline="30000">
                <a:effectLst/>
              </a:rPr>
              <a:t>st</a:t>
            </a:r>
            <a:r>
              <a:rPr lang="en-US" sz="1800" b="1" i="0" baseline="0">
                <a:effectLst/>
              </a:rPr>
              <a:t> December 2024</a:t>
            </a:r>
            <a:endParaRPr lang="en-US">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D18-41C2-A4B8-A09BD92BA70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D18-41C2-A4B8-A09BD92BA70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D18-41C2-A4B8-A09BD92BA70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D18-41C2-A4B8-A09BD92BA70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D18-41C2-A4B8-A09BD92BA70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D18-41C2-A4B8-A09BD92BA70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'Project cost &amp; expenditure'!$D$3:$D$8</c:f>
              <c:strCache>
                <c:ptCount val="6"/>
                <c:pt idx="0">
                  <c:v>Land including land developments</c:v>
                </c:pt>
                <c:pt idx="1">
                  <c:v>Building</c:v>
                </c:pt>
                <c:pt idx="2">
                  <c:v>Plant Machinery (Imported &amp; Domestic)</c:v>
                </c:pt>
                <c:pt idx="3">
                  <c:v>Preoperative Expenses </c:v>
                </c:pt>
                <c:pt idx="4">
                  <c:v>Interest During Construction</c:v>
                </c:pt>
                <c:pt idx="5">
                  <c:v>Margin Money for Working Capital</c:v>
                </c:pt>
              </c:strCache>
            </c:strRef>
          </c:cat>
          <c:val>
            <c:numRef>
              <c:f>'Project cost &amp; expenditure'!$E$3:$E$8</c:f>
              <c:numCache>
                <c:formatCode>General</c:formatCode>
                <c:ptCount val="6"/>
                <c:pt idx="0">
                  <c:v>1.1499999999999999</c:v>
                </c:pt>
                <c:pt idx="1">
                  <c:v>8.74</c:v>
                </c:pt>
                <c:pt idx="2">
                  <c:v>26.16</c:v>
                </c:pt>
                <c:pt idx="3">
                  <c:v>1.75</c:v>
                </c:pt>
                <c:pt idx="4">
                  <c:v>1.5</c:v>
                </c:pt>
                <c:pt idx="5">
                  <c:v>0.2</c:v>
                </c:pt>
              </c:numCache>
            </c:numRef>
          </c:val>
          <c:extLst>
            <c:ext xmlns:c16="http://schemas.microsoft.com/office/drawing/2014/chart" uri="{C3380CC4-5D6E-409C-BE32-E72D297353CC}">
              <c16:uniqueId val="{0000000C-AD18-41C2-A4B8-A09BD92BA704}"/>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AD18-41C2-A4B8-A09BD92BA70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AD18-41C2-A4B8-A09BD92BA70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AD18-41C2-A4B8-A09BD92BA70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AD18-41C2-A4B8-A09BD92BA70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AD18-41C2-A4B8-A09BD92BA70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AD18-41C2-A4B8-A09BD92BA70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'Project cost &amp; expenditure'!$D$3:$D$8</c:f>
              <c:strCache>
                <c:ptCount val="6"/>
                <c:pt idx="0">
                  <c:v>Land including land developments</c:v>
                </c:pt>
                <c:pt idx="1">
                  <c:v>Building</c:v>
                </c:pt>
                <c:pt idx="2">
                  <c:v>Plant Machinery (Imported &amp; Domestic)</c:v>
                </c:pt>
                <c:pt idx="3">
                  <c:v>Preoperative Expenses </c:v>
                </c:pt>
                <c:pt idx="4">
                  <c:v>Interest During Construction</c:v>
                </c:pt>
                <c:pt idx="5">
                  <c:v>Margin Money for Working Capital</c:v>
                </c:pt>
              </c:strCache>
            </c:strRef>
          </c:cat>
          <c:val>
            <c:numRef>
              <c:f>'Project cost &amp; expenditure'!$F$3:$F$8</c:f>
              <c:numCache>
                <c:formatCode>0%</c:formatCode>
                <c:ptCount val="6"/>
                <c:pt idx="0">
                  <c:v>2.911392405063291E-2</c:v>
                </c:pt>
                <c:pt idx="1">
                  <c:v>0.22126582278481013</c:v>
                </c:pt>
                <c:pt idx="2">
                  <c:v>0.66227848101265818</c:v>
                </c:pt>
                <c:pt idx="3">
                  <c:v>4.4303797468354431E-2</c:v>
                </c:pt>
                <c:pt idx="4">
                  <c:v>3.7974683544303799E-2</c:v>
                </c:pt>
                <c:pt idx="5">
                  <c:v>5.0632911392405064E-3</c:v>
                </c:pt>
              </c:numCache>
            </c:numRef>
          </c:val>
          <c:extLst>
            <c:ext xmlns:c16="http://schemas.microsoft.com/office/drawing/2014/chart" uri="{C3380CC4-5D6E-409C-BE32-E72D297353CC}">
              <c16:uniqueId val="{00000019-AD18-41C2-A4B8-A09BD92BA704}"/>
            </c:ext>
          </c:extLst>
        </c:ser>
        <c:ser>
          <c:idx val="2"/>
          <c:order val="2"/>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B-AD18-41C2-A4B8-A09BD92BA70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D-AD18-41C2-A4B8-A09BD92BA70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F-AD18-41C2-A4B8-A09BD92BA70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1-AD18-41C2-A4B8-A09BD92BA70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3-AD18-41C2-A4B8-A09BD92BA70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5-AD18-41C2-A4B8-A09BD92BA70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'Project cost &amp; expenditure'!$D$3:$D$8</c:f>
              <c:strCache>
                <c:ptCount val="6"/>
                <c:pt idx="0">
                  <c:v>Land including land developments</c:v>
                </c:pt>
                <c:pt idx="1">
                  <c:v>Building</c:v>
                </c:pt>
                <c:pt idx="2">
                  <c:v>Plant Machinery (Imported &amp; Domestic)</c:v>
                </c:pt>
                <c:pt idx="3">
                  <c:v>Preoperative Expenses </c:v>
                </c:pt>
                <c:pt idx="4">
                  <c:v>Interest During Construction</c:v>
                </c:pt>
                <c:pt idx="5">
                  <c:v>Margin Money for Working Capital</c:v>
                </c:pt>
              </c:strCache>
            </c:strRef>
          </c:cat>
          <c:val>
            <c:numRef>
              <c:f>'Project cost &amp; expenditure'!$G$3:$G$8</c:f>
              <c:numCache>
                <c:formatCode>General</c:formatCode>
                <c:ptCount val="6"/>
                <c:pt idx="0">
                  <c:v>1.63</c:v>
                </c:pt>
                <c:pt idx="1">
                  <c:v>9.67</c:v>
                </c:pt>
                <c:pt idx="2">
                  <c:v>24.5</c:v>
                </c:pt>
                <c:pt idx="3">
                  <c:v>3.28</c:v>
                </c:pt>
                <c:pt idx="4">
                  <c:v>0.61</c:v>
                </c:pt>
                <c:pt idx="5">
                  <c:v>0</c:v>
                </c:pt>
              </c:numCache>
            </c:numRef>
          </c:val>
          <c:extLst>
            <c:ext xmlns:c16="http://schemas.microsoft.com/office/drawing/2014/chart" uri="{C3380CC4-5D6E-409C-BE32-E72D297353CC}">
              <c16:uniqueId val="{00000026-AD18-41C2-A4B8-A09BD92BA704}"/>
            </c:ext>
          </c:extLst>
        </c:ser>
        <c:ser>
          <c:idx val="3"/>
          <c:order val="3"/>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8-AD18-41C2-A4B8-A09BD92BA70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A-AD18-41C2-A4B8-A09BD92BA70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C-AD18-41C2-A4B8-A09BD92BA704}"/>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E-AD18-41C2-A4B8-A09BD92BA704}"/>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0-AD18-41C2-A4B8-A09BD92BA704}"/>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32-AD18-41C2-A4B8-A09BD92BA70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'Project cost &amp; expenditure'!$D$3:$D$8</c:f>
              <c:strCache>
                <c:ptCount val="6"/>
                <c:pt idx="0">
                  <c:v>Land including land developments</c:v>
                </c:pt>
                <c:pt idx="1">
                  <c:v>Building</c:v>
                </c:pt>
                <c:pt idx="2">
                  <c:v>Plant Machinery (Imported &amp; Domestic)</c:v>
                </c:pt>
                <c:pt idx="3">
                  <c:v>Preoperative Expenses </c:v>
                </c:pt>
                <c:pt idx="4">
                  <c:v>Interest During Construction</c:v>
                </c:pt>
                <c:pt idx="5">
                  <c:v>Margin Money for Working Capital</c:v>
                </c:pt>
              </c:strCache>
            </c:strRef>
          </c:cat>
          <c:val>
            <c:numRef>
              <c:f>'Project cost &amp; expenditure'!$H$3:$H$8</c:f>
              <c:numCache>
                <c:formatCode>0%</c:formatCode>
                <c:ptCount val="6"/>
                <c:pt idx="0">
                  <c:v>4.1068279163517261E-2</c:v>
                </c:pt>
                <c:pt idx="1">
                  <c:v>0.24363819601914841</c:v>
                </c:pt>
                <c:pt idx="2">
                  <c:v>0.61728395061728403</c:v>
                </c:pt>
                <c:pt idx="3">
                  <c:v>8.2640463592844549E-2</c:v>
                </c:pt>
                <c:pt idx="4">
                  <c:v>1.5369110607205846E-2</c:v>
                </c:pt>
                <c:pt idx="5">
                  <c:v>0</c:v>
                </c:pt>
              </c:numCache>
            </c:numRef>
          </c:val>
          <c:extLst>
            <c:ext xmlns:c16="http://schemas.microsoft.com/office/drawing/2014/chart" uri="{C3380CC4-5D6E-409C-BE32-E72D297353CC}">
              <c16:uniqueId val="{00000033-AD18-41C2-A4B8-A09BD92BA70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r>
              <a:rPr lang="en-US" sz="1800" b="1" i="0" cap="all" baseline="0">
                <a:effectLst/>
              </a:rPr>
              <a:t>Percentage of Civil Work Executed</a:t>
            </a:r>
            <a:endParaRPr lang="en-US">
              <a:effectLst/>
            </a:endParaRPr>
          </a:p>
        </c:rich>
      </c:tx>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600" b="1" i="0" u="none" strike="noStrike" kern="1200" baseline="0">
              <a:solidFill>
                <a:sysClr val="windowText" lastClr="000000">
                  <a:lumMod val="65000"/>
                  <a:lumOff val="35000"/>
                </a:sys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Status!$C$4:$C$19</c:f>
              <c:strCache>
                <c:ptCount val="16"/>
                <c:pt idx="0">
                  <c:v>Anaerobic Digestor 1</c:v>
                </c:pt>
                <c:pt idx="1">
                  <c:v>Anaerobic Digestor 2</c:v>
                </c:pt>
                <c:pt idx="2">
                  <c:v>Mixer</c:v>
                </c:pt>
                <c:pt idx="3">
                  <c:v>Lagoon</c:v>
                </c:pt>
                <c:pt idx="4">
                  <c:v>Hot Water Treatment Plant</c:v>
                </c:pt>
                <c:pt idx="5">
                  <c:v>Biogas Upgradation plant</c:v>
                </c:pt>
                <c:pt idx="6">
                  <c:v>Raw Water Storage</c:v>
                </c:pt>
                <c:pt idx="7">
                  <c:v>Pump House</c:v>
                </c:pt>
                <c:pt idx="8">
                  <c:v>Raw Water Storage</c:v>
                </c:pt>
                <c:pt idx="9">
                  <c:v>Master Control Room and Office Room</c:v>
                </c:pt>
                <c:pt idx="10">
                  <c:v>Bagging unit</c:v>
                </c:pt>
                <c:pt idx="11">
                  <c:v>Sun drying area</c:v>
                </c:pt>
                <c:pt idx="12">
                  <c:v>Guard Room</c:v>
                </c:pt>
                <c:pt idx="13">
                  <c:v>Meter Room</c:v>
                </c:pt>
                <c:pt idx="14">
                  <c:v>Internal Road</c:v>
                </c:pt>
                <c:pt idx="15">
                  <c:v>Drainage</c:v>
                </c:pt>
              </c:strCache>
            </c:strRef>
          </c:cat>
          <c:val>
            <c:numRef>
              <c:f>Status!$D$4:$D$19</c:f>
              <c:numCache>
                <c:formatCode>0%</c:formatCode>
                <c:ptCount val="16"/>
                <c:pt idx="0">
                  <c:v>1</c:v>
                </c:pt>
                <c:pt idx="1">
                  <c:v>1</c:v>
                </c:pt>
                <c:pt idx="2">
                  <c:v>1</c:v>
                </c:pt>
                <c:pt idx="3">
                  <c:v>1</c:v>
                </c:pt>
                <c:pt idx="4">
                  <c:v>0.95</c:v>
                </c:pt>
                <c:pt idx="5">
                  <c:v>0.95</c:v>
                </c:pt>
                <c:pt idx="6">
                  <c:v>1</c:v>
                </c:pt>
                <c:pt idx="7">
                  <c:v>0.8</c:v>
                </c:pt>
                <c:pt idx="8">
                  <c:v>1</c:v>
                </c:pt>
                <c:pt idx="9">
                  <c:v>0.85</c:v>
                </c:pt>
                <c:pt idx="10">
                  <c:v>0.95</c:v>
                </c:pt>
                <c:pt idx="11">
                  <c:v>0.95</c:v>
                </c:pt>
                <c:pt idx="12">
                  <c:v>1</c:v>
                </c:pt>
                <c:pt idx="13">
                  <c:v>0.8</c:v>
                </c:pt>
                <c:pt idx="14">
                  <c:v>1</c:v>
                </c:pt>
                <c:pt idx="15">
                  <c:v>0.8</c:v>
                </c:pt>
              </c:numCache>
            </c:numRef>
          </c:val>
          <c:extLst>
            <c:ext xmlns:c16="http://schemas.microsoft.com/office/drawing/2014/chart" uri="{C3380CC4-5D6E-409C-BE32-E72D297353CC}">
              <c16:uniqueId val="{00000000-127C-430E-A040-A5AB1A49E6ED}"/>
            </c:ext>
          </c:extLst>
        </c:ser>
        <c:dLbls>
          <c:showLegendKey val="0"/>
          <c:showVal val="1"/>
          <c:showCatName val="0"/>
          <c:showSerName val="0"/>
          <c:showPercent val="0"/>
          <c:showBubbleSize val="0"/>
        </c:dLbls>
        <c:gapWidth val="150"/>
        <c:shape val="box"/>
        <c:axId val="858665824"/>
        <c:axId val="858672064"/>
        <c:axId val="0"/>
      </c:bar3DChart>
      <c:catAx>
        <c:axId val="85866582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672064"/>
        <c:crosses val="autoZero"/>
        <c:auto val="1"/>
        <c:lblAlgn val="ctr"/>
        <c:lblOffset val="100"/>
        <c:noMultiLvlLbl val="0"/>
      </c:catAx>
      <c:valAx>
        <c:axId val="85867206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8665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17</xdr:row>
      <xdr:rowOff>80962</xdr:rowOff>
    </xdr:from>
    <xdr:to>
      <xdr:col>17</xdr:col>
      <xdr:colOff>381000</xdr:colOff>
      <xdr:row>31</xdr:row>
      <xdr:rowOff>157162</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400049</xdr:colOff>
      <xdr:row>7</xdr:row>
      <xdr:rowOff>28574</xdr:rowOff>
    </xdr:from>
    <xdr:to>
      <xdr:col>14</xdr:col>
      <xdr:colOff>352425</xdr:colOff>
      <xdr:row>26</xdr:row>
      <xdr:rowOff>171450</xdr:rowOff>
    </xdr:to>
    <xdr:graphicFrame macro="">
      <xdr:nvGraphicFramePr>
        <xdr:cNvPr id="8" name="Chart 7">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N9"/>
  <sheetViews>
    <sheetView topLeftCell="A34" zoomScale="70" zoomScaleNormal="70" workbookViewId="0">
      <selection activeCell="J3" sqref="J3"/>
    </sheetView>
  </sheetViews>
  <sheetFormatPr defaultRowHeight="15" x14ac:dyDescent="0.25"/>
  <cols>
    <col min="6" max="6" width="19.5703125" customWidth="1"/>
    <col min="7" max="7" width="14.42578125" customWidth="1"/>
    <col min="8" max="10" width="22.140625" customWidth="1"/>
    <col min="11" max="11" width="18.7109375" customWidth="1"/>
    <col min="12" max="12" width="17.28515625" customWidth="1"/>
    <col min="13" max="13" width="17.5703125" customWidth="1"/>
    <col min="14" max="14" width="31.85546875" customWidth="1"/>
  </cols>
  <sheetData>
    <row r="2" spans="5:14" ht="97.5" customHeight="1" x14ac:dyDescent="0.25">
      <c r="E2" s="63" t="s">
        <v>145</v>
      </c>
      <c r="F2" s="63" t="s">
        <v>146</v>
      </c>
      <c r="G2" s="63" t="s">
        <v>147</v>
      </c>
      <c r="H2" s="63" t="s">
        <v>148</v>
      </c>
      <c r="I2" s="63" t="s">
        <v>148</v>
      </c>
      <c r="J2" s="63" t="s">
        <v>149</v>
      </c>
      <c r="K2" s="63" t="s">
        <v>150</v>
      </c>
      <c r="L2" s="63" t="s">
        <v>151</v>
      </c>
      <c r="M2" s="64" t="s">
        <v>152</v>
      </c>
      <c r="N2" s="64" t="s">
        <v>153</v>
      </c>
    </row>
    <row r="3" spans="5:14" ht="75" x14ac:dyDescent="0.25">
      <c r="E3" s="40">
        <v>1</v>
      </c>
      <c r="F3" s="65" t="s">
        <v>6</v>
      </c>
      <c r="G3" s="66">
        <v>1.1499999999999999</v>
      </c>
      <c r="H3" s="40">
        <v>1.63</v>
      </c>
      <c r="I3" s="40">
        <v>1.63</v>
      </c>
      <c r="J3" s="40">
        <f>I3-H3</f>
        <v>0</v>
      </c>
      <c r="K3" s="40">
        <v>1.35</v>
      </c>
      <c r="L3" s="66"/>
      <c r="M3" s="66" t="s">
        <v>154</v>
      </c>
      <c r="N3" s="67" t="s">
        <v>155</v>
      </c>
    </row>
    <row r="4" spans="5:14" ht="210" x14ac:dyDescent="0.25">
      <c r="E4" s="40">
        <v>2</v>
      </c>
      <c r="F4" s="65" t="s">
        <v>156</v>
      </c>
      <c r="G4" s="66">
        <v>8.74</v>
      </c>
      <c r="H4" s="40">
        <v>9.67</v>
      </c>
      <c r="I4" s="40">
        <v>13.53</v>
      </c>
      <c r="J4" s="40">
        <f t="shared" ref="J4:J8" si="0">I4-H4</f>
        <v>3.8599999999999994</v>
      </c>
      <c r="K4" s="40">
        <v>5.27</v>
      </c>
      <c r="L4" s="66" t="s">
        <v>157</v>
      </c>
      <c r="M4" s="66" t="s">
        <v>157</v>
      </c>
      <c r="N4" s="67" t="s">
        <v>158</v>
      </c>
    </row>
    <row r="5" spans="5:14" ht="330" x14ac:dyDescent="0.25">
      <c r="E5" s="40">
        <v>3</v>
      </c>
      <c r="F5" s="65" t="s">
        <v>159</v>
      </c>
      <c r="G5" s="66">
        <v>26.16</v>
      </c>
      <c r="H5" s="40">
        <v>24.5</v>
      </c>
      <c r="I5" s="40">
        <v>32.15</v>
      </c>
      <c r="J5" s="40">
        <f t="shared" si="0"/>
        <v>7.6499999999999986</v>
      </c>
      <c r="K5" s="56" t="s">
        <v>111</v>
      </c>
      <c r="L5" s="68" t="s">
        <v>111</v>
      </c>
      <c r="M5" s="68" t="s">
        <v>111</v>
      </c>
      <c r="N5" s="67" t="s">
        <v>160</v>
      </c>
    </row>
    <row r="6" spans="5:14" ht="75" x14ac:dyDescent="0.25">
      <c r="E6" s="40">
        <v>4</v>
      </c>
      <c r="F6" s="65" t="s">
        <v>161</v>
      </c>
      <c r="G6" s="66">
        <v>1.75</v>
      </c>
      <c r="H6" s="40">
        <v>3.28</v>
      </c>
      <c r="I6" s="40">
        <v>4.75</v>
      </c>
      <c r="J6" s="40">
        <f t="shared" si="0"/>
        <v>1.4700000000000002</v>
      </c>
      <c r="K6" s="11"/>
      <c r="L6" s="11"/>
      <c r="M6" s="11"/>
      <c r="N6" s="67" t="s">
        <v>162</v>
      </c>
    </row>
    <row r="7" spans="5:14" ht="45" x14ac:dyDescent="0.25">
      <c r="E7" s="40">
        <v>5</v>
      </c>
      <c r="F7" s="65" t="s">
        <v>10</v>
      </c>
      <c r="G7" s="66">
        <v>2.4</v>
      </c>
      <c r="H7" s="40">
        <v>0.61</v>
      </c>
      <c r="I7" s="40">
        <v>1.46</v>
      </c>
      <c r="J7" s="40">
        <f t="shared" si="0"/>
        <v>0.85</v>
      </c>
      <c r="K7" s="11"/>
      <c r="L7" s="11"/>
      <c r="M7" s="11"/>
      <c r="N7" s="67" t="s">
        <v>163</v>
      </c>
    </row>
    <row r="8" spans="5:14" ht="45" x14ac:dyDescent="0.25">
      <c r="E8" s="40">
        <v>6</v>
      </c>
      <c r="F8" s="65" t="s">
        <v>11</v>
      </c>
      <c r="G8" s="66">
        <v>0.2</v>
      </c>
      <c r="H8" s="40">
        <v>0</v>
      </c>
      <c r="I8" s="40">
        <v>0.46</v>
      </c>
      <c r="J8" s="40">
        <f t="shared" si="0"/>
        <v>0.46</v>
      </c>
      <c r="K8" s="11"/>
      <c r="L8" s="11"/>
      <c r="M8" s="11"/>
      <c r="N8" s="67" t="s">
        <v>163</v>
      </c>
    </row>
    <row r="9" spans="5:14" x14ac:dyDescent="0.25">
      <c r="G9">
        <f>SUM(G3:G8)</f>
        <v>40.4</v>
      </c>
      <c r="H9">
        <f>SUM(H3:H8)</f>
        <v>39.69</v>
      </c>
      <c r="I9">
        <f>SUM(I3:I8)</f>
        <v>53.980000000000004</v>
      </c>
      <c r="J9" s="75">
        <f>SUM(J3:J8)</f>
        <v>14.29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N24"/>
  <sheetViews>
    <sheetView topLeftCell="B1" zoomScaleNormal="100" workbookViewId="0">
      <selection activeCell="O5" sqref="O5"/>
    </sheetView>
  </sheetViews>
  <sheetFormatPr defaultRowHeight="15" x14ac:dyDescent="0.25"/>
  <cols>
    <col min="5" max="5" width="18.5703125" customWidth="1"/>
    <col min="6" max="6" width="20.5703125" customWidth="1"/>
    <col min="7" max="8" width="15.7109375" customWidth="1"/>
    <col min="9" max="9" width="16.140625" customWidth="1"/>
    <col min="10" max="10" width="17.42578125" customWidth="1"/>
    <col min="11" max="11" width="16.85546875" customWidth="1"/>
  </cols>
  <sheetData>
    <row r="4" spans="5:14" ht="45" x14ac:dyDescent="0.25">
      <c r="E4" s="51" t="s">
        <v>95</v>
      </c>
      <c r="F4" s="51" t="s">
        <v>96</v>
      </c>
      <c r="G4" s="51" t="s">
        <v>97</v>
      </c>
      <c r="H4" s="51" t="s">
        <v>98</v>
      </c>
      <c r="I4" s="51" t="s">
        <v>99</v>
      </c>
      <c r="J4" s="51" t="s">
        <v>100</v>
      </c>
      <c r="K4" s="51" t="s">
        <v>101</v>
      </c>
    </row>
    <row r="5" spans="5:14" ht="30" x14ac:dyDescent="0.25">
      <c r="E5" s="52" t="s">
        <v>102</v>
      </c>
      <c r="F5" s="38" t="s">
        <v>103</v>
      </c>
      <c r="G5" s="53">
        <v>1547.75</v>
      </c>
      <c r="H5" s="38" t="s">
        <v>45</v>
      </c>
      <c r="I5" s="54">
        <v>1</v>
      </c>
      <c r="J5" s="40">
        <f>G5*I5</f>
        <v>1547.75</v>
      </c>
      <c r="K5" s="40">
        <v>10.734999999999999</v>
      </c>
      <c r="N5" t="e">
        <f>K5+K6+#REF!+#REF!+K13</f>
        <v>#REF!</v>
      </c>
    </row>
    <row r="6" spans="5:14" ht="45" x14ac:dyDescent="0.25">
      <c r="E6" s="52" t="s">
        <v>104</v>
      </c>
      <c r="F6" s="38" t="s">
        <v>105</v>
      </c>
      <c r="G6" s="38">
        <v>929.95</v>
      </c>
      <c r="H6" s="38" t="s">
        <v>106</v>
      </c>
      <c r="I6" s="54">
        <v>0.5</v>
      </c>
      <c r="J6" s="40">
        <f t="shared" ref="J6:J19" si="0">G6*I6</f>
        <v>464.97500000000002</v>
      </c>
      <c r="K6" s="40">
        <v>7.83</v>
      </c>
      <c r="L6" s="55">
        <f>K5+K6+K13</f>
        <v>20.454999999999998</v>
      </c>
    </row>
    <row r="7" spans="5:14" ht="45" x14ac:dyDescent="0.25">
      <c r="E7" s="52" t="s">
        <v>109</v>
      </c>
      <c r="F7" s="38" t="s">
        <v>110</v>
      </c>
      <c r="G7" s="38">
        <v>113</v>
      </c>
      <c r="H7" s="38" t="s">
        <v>106</v>
      </c>
      <c r="I7" s="54">
        <v>0.5</v>
      </c>
      <c r="J7" s="40">
        <f t="shared" si="0"/>
        <v>56.5</v>
      </c>
      <c r="K7" s="56" t="s">
        <v>111</v>
      </c>
      <c r="L7" s="55" t="e">
        <f>L6+#REF!</f>
        <v>#REF!</v>
      </c>
    </row>
    <row r="8" spans="5:14" ht="30" x14ac:dyDescent="0.25">
      <c r="E8" s="52" t="s">
        <v>112</v>
      </c>
      <c r="F8" s="38" t="s">
        <v>113</v>
      </c>
      <c r="G8" s="38">
        <v>5.47</v>
      </c>
      <c r="H8" s="38" t="s">
        <v>45</v>
      </c>
      <c r="I8" s="54">
        <v>1</v>
      </c>
      <c r="J8" s="40">
        <f t="shared" si="0"/>
        <v>5.47</v>
      </c>
      <c r="K8" s="56" t="s">
        <v>111</v>
      </c>
    </row>
    <row r="9" spans="5:14" ht="45" x14ac:dyDescent="0.25">
      <c r="E9" s="52" t="s">
        <v>114</v>
      </c>
      <c r="F9" s="38" t="s">
        <v>115</v>
      </c>
      <c r="G9" s="38">
        <v>45.45</v>
      </c>
      <c r="H9" s="38" t="s">
        <v>106</v>
      </c>
      <c r="I9" s="54">
        <v>0.5</v>
      </c>
      <c r="J9" s="40">
        <f t="shared" si="0"/>
        <v>22.725000000000001</v>
      </c>
      <c r="K9" s="56" t="s">
        <v>111</v>
      </c>
    </row>
    <row r="10" spans="5:14" ht="45" x14ac:dyDescent="0.25">
      <c r="E10" s="52" t="s">
        <v>118</v>
      </c>
      <c r="F10" s="38" t="s">
        <v>119</v>
      </c>
      <c r="G10" s="38">
        <v>73.900000000000006</v>
      </c>
      <c r="H10" s="38" t="s">
        <v>45</v>
      </c>
      <c r="I10" s="54">
        <v>1</v>
      </c>
      <c r="J10" s="40">
        <f t="shared" si="0"/>
        <v>73.900000000000006</v>
      </c>
      <c r="K10" s="56" t="s">
        <v>111</v>
      </c>
    </row>
    <row r="11" spans="5:14" ht="30" x14ac:dyDescent="0.25">
      <c r="E11" s="52" t="s">
        <v>120</v>
      </c>
      <c r="F11" s="38" t="s">
        <v>110</v>
      </c>
      <c r="G11" s="38">
        <v>12.39</v>
      </c>
      <c r="H11" s="38" t="s">
        <v>45</v>
      </c>
      <c r="I11" s="54">
        <v>1</v>
      </c>
      <c r="J11" s="40">
        <f t="shared" si="0"/>
        <v>12.39</v>
      </c>
      <c r="K11" s="56" t="s">
        <v>111</v>
      </c>
    </row>
    <row r="12" spans="5:14" x14ac:dyDescent="0.25">
      <c r="E12" s="52" t="s">
        <v>121</v>
      </c>
      <c r="F12" s="38" t="s">
        <v>122</v>
      </c>
      <c r="G12" s="38">
        <v>9.1999999999999993</v>
      </c>
      <c r="H12" s="38" t="s">
        <v>45</v>
      </c>
      <c r="I12" s="54">
        <v>1</v>
      </c>
      <c r="J12" s="40">
        <f t="shared" si="0"/>
        <v>9.1999999999999993</v>
      </c>
      <c r="K12" s="56" t="s">
        <v>111</v>
      </c>
    </row>
    <row r="13" spans="5:14" ht="45" x14ac:dyDescent="0.25">
      <c r="E13" s="52" t="s">
        <v>123</v>
      </c>
      <c r="F13" s="38" t="s">
        <v>124</v>
      </c>
      <c r="G13" s="38">
        <v>421.2</v>
      </c>
      <c r="H13" s="38" t="s">
        <v>106</v>
      </c>
      <c r="I13" s="54">
        <v>0.5</v>
      </c>
      <c r="J13" s="40">
        <f t="shared" si="0"/>
        <v>210.6</v>
      </c>
      <c r="K13" s="40">
        <v>1.89</v>
      </c>
    </row>
    <row r="14" spans="5:14" ht="45" x14ac:dyDescent="0.25">
      <c r="E14" s="52" t="s">
        <v>125</v>
      </c>
      <c r="F14" s="38" t="s">
        <v>126</v>
      </c>
      <c r="G14" s="38">
        <v>123.34</v>
      </c>
      <c r="H14" s="38" t="s">
        <v>106</v>
      </c>
      <c r="I14" s="54">
        <v>0.5</v>
      </c>
      <c r="J14" s="40">
        <f t="shared" si="0"/>
        <v>61.67</v>
      </c>
      <c r="K14" s="56" t="s">
        <v>111</v>
      </c>
    </row>
    <row r="15" spans="5:14" ht="45" x14ac:dyDescent="0.25">
      <c r="E15" s="52" t="s">
        <v>127</v>
      </c>
      <c r="F15" s="38" t="s">
        <v>128</v>
      </c>
      <c r="G15" s="38">
        <v>56.67</v>
      </c>
      <c r="H15" s="38" t="s">
        <v>106</v>
      </c>
      <c r="I15" s="54">
        <v>0.5</v>
      </c>
      <c r="J15" s="40">
        <f t="shared" si="0"/>
        <v>28.335000000000001</v>
      </c>
      <c r="K15" s="56" t="s">
        <v>111</v>
      </c>
    </row>
    <row r="16" spans="5:14" ht="45" x14ac:dyDescent="0.25">
      <c r="E16" s="52" t="s">
        <v>129</v>
      </c>
      <c r="F16" s="38" t="s">
        <v>130</v>
      </c>
      <c r="G16" s="38">
        <v>60.31</v>
      </c>
      <c r="H16" s="38" t="s">
        <v>106</v>
      </c>
      <c r="I16" s="54">
        <v>0.5</v>
      </c>
      <c r="J16" s="40">
        <f t="shared" si="0"/>
        <v>30.155000000000001</v>
      </c>
      <c r="K16" s="56" t="s">
        <v>111</v>
      </c>
    </row>
    <row r="17" spans="5:11" ht="45" x14ac:dyDescent="0.25">
      <c r="E17" s="52" t="s">
        <v>131</v>
      </c>
      <c r="F17" s="38" t="s">
        <v>132</v>
      </c>
      <c r="G17" s="38">
        <v>22.86</v>
      </c>
      <c r="H17" s="38" t="s">
        <v>106</v>
      </c>
      <c r="I17" s="54">
        <v>0.5</v>
      </c>
      <c r="J17" s="40">
        <f t="shared" si="0"/>
        <v>11.43</v>
      </c>
      <c r="K17" s="56" t="s">
        <v>111</v>
      </c>
    </row>
    <row r="18" spans="5:11" ht="45" x14ac:dyDescent="0.25">
      <c r="E18" s="52" t="s">
        <v>133</v>
      </c>
      <c r="F18" s="38" t="s">
        <v>134</v>
      </c>
      <c r="G18" s="38">
        <v>14.16</v>
      </c>
      <c r="H18" s="38" t="s">
        <v>106</v>
      </c>
      <c r="I18" s="54">
        <v>0.5</v>
      </c>
      <c r="J18" s="40">
        <f t="shared" si="0"/>
        <v>7.08</v>
      </c>
      <c r="K18" s="56" t="s">
        <v>111</v>
      </c>
    </row>
    <row r="19" spans="5:11" ht="45" x14ac:dyDescent="0.25">
      <c r="E19" s="52" t="s">
        <v>135</v>
      </c>
      <c r="F19" s="38" t="s">
        <v>136</v>
      </c>
      <c r="G19" s="38">
        <v>7.08</v>
      </c>
      <c r="H19" s="38" t="s">
        <v>106</v>
      </c>
      <c r="I19" s="54">
        <v>0.5</v>
      </c>
      <c r="J19" s="40">
        <f t="shared" si="0"/>
        <v>3.54</v>
      </c>
      <c r="K19" s="56" t="s">
        <v>111</v>
      </c>
    </row>
    <row r="20" spans="5:11" ht="45" x14ac:dyDescent="0.25">
      <c r="E20" s="52" t="s">
        <v>137</v>
      </c>
      <c r="F20" s="38" t="s">
        <v>138</v>
      </c>
      <c r="G20" s="38" t="s">
        <v>45</v>
      </c>
      <c r="H20" s="38" t="s">
        <v>106</v>
      </c>
      <c r="I20" s="54">
        <v>0.5</v>
      </c>
      <c r="J20" s="56" t="s">
        <v>111</v>
      </c>
      <c r="K20" s="56" t="s">
        <v>111</v>
      </c>
    </row>
    <row r="21" spans="5:11" ht="45" x14ac:dyDescent="0.25">
      <c r="E21" s="52" t="s">
        <v>19</v>
      </c>
      <c r="F21" s="38" t="s">
        <v>138</v>
      </c>
      <c r="G21" s="38" t="s">
        <v>45</v>
      </c>
      <c r="H21" s="38" t="s">
        <v>106</v>
      </c>
      <c r="I21" s="54">
        <v>0.5</v>
      </c>
      <c r="J21" s="56" t="s">
        <v>111</v>
      </c>
      <c r="K21" s="56" t="s">
        <v>111</v>
      </c>
    </row>
    <row r="22" spans="5:11" ht="45" x14ac:dyDescent="0.25">
      <c r="E22" s="52" t="s">
        <v>139</v>
      </c>
      <c r="F22" s="38" t="s">
        <v>138</v>
      </c>
      <c r="G22" s="38" t="s">
        <v>45</v>
      </c>
      <c r="H22" s="38" t="s">
        <v>106</v>
      </c>
      <c r="I22" s="54">
        <v>0.5</v>
      </c>
      <c r="J22" s="56" t="s">
        <v>111</v>
      </c>
      <c r="K22" s="56" t="s">
        <v>111</v>
      </c>
    </row>
    <row r="23" spans="5:11" ht="45" x14ac:dyDescent="0.25">
      <c r="E23" s="52" t="s">
        <v>140</v>
      </c>
      <c r="F23" s="38" t="s">
        <v>138</v>
      </c>
      <c r="G23" s="38" t="s">
        <v>45</v>
      </c>
      <c r="H23" s="38" t="s">
        <v>106</v>
      </c>
      <c r="I23" s="54">
        <v>0.5</v>
      </c>
      <c r="J23" s="56" t="s">
        <v>111</v>
      </c>
      <c r="K23" s="56" t="s">
        <v>111</v>
      </c>
    </row>
    <row r="24" spans="5:11" ht="22.5" customHeight="1" x14ac:dyDescent="0.25">
      <c r="E24" s="57" t="s">
        <v>141</v>
      </c>
      <c r="F24" s="58"/>
      <c r="G24" s="59">
        <f>SUM(G5:G23)</f>
        <v>3442.7299999999991</v>
      </c>
      <c r="H24" s="60"/>
      <c r="I24" s="60"/>
      <c r="J24" s="61">
        <f>SUM(J5:J23)</f>
        <v>2545.7199999999993</v>
      </c>
      <c r="K24" s="61">
        <f>SUM(K5:K23)</f>
        <v>20.454999999999998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L7"/>
  <sheetViews>
    <sheetView topLeftCell="B1" zoomScaleNormal="100" workbookViewId="0">
      <selection activeCell="H13" sqref="H13"/>
    </sheetView>
  </sheetViews>
  <sheetFormatPr defaultRowHeight="15" x14ac:dyDescent="0.25"/>
  <cols>
    <col min="5" max="5" width="18.5703125" customWidth="1"/>
    <col min="6" max="6" width="20.5703125" customWidth="1"/>
    <col min="7" max="8" width="15.7109375" customWidth="1"/>
    <col min="9" max="9" width="16.140625" customWidth="1"/>
    <col min="10" max="10" width="17.42578125" customWidth="1"/>
    <col min="11" max="11" width="16.85546875" customWidth="1"/>
  </cols>
  <sheetData>
    <row r="4" spans="5:12" ht="45" x14ac:dyDescent="0.25">
      <c r="E4" s="51" t="s">
        <v>95</v>
      </c>
      <c r="F4" s="51" t="s">
        <v>96</v>
      </c>
      <c r="G4" s="51" t="s">
        <v>97</v>
      </c>
      <c r="H4" s="51" t="s">
        <v>98</v>
      </c>
      <c r="I4" s="51" t="s">
        <v>99</v>
      </c>
      <c r="J4" s="51" t="s">
        <v>100</v>
      </c>
      <c r="K4" s="51" t="s">
        <v>101</v>
      </c>
    </row>
    <row r="5" spans="5:12" ht="30" x14ac:dyDescent="0.25">
      <c r="E5" s="52" t="s">
        <v>107</v>
      </c>
      <c r="F5" s="38" t="s">
        <v>108</v>
      </c>
      <c r="G5" s="53">
        <v>1221.06</v>
      </c>
      <c r="H5" s="38" t="s">
        <v>45</v>
      </c>
      <c r="I5" s="54">
        <v>1</v>
      </c>
      <c r="J5" s="40">
        <f t="shared" ref="J5:J6" si="0">G5*I5</f>
        <v>1221.06</v>
      </c>
      <c r="K5" s="40">
        <v>10.15</v>
      </c>
      <c r="L5">
        <f>K5+K6</f>
        <v>12.190000000000001</v>
      </c>
    </row>
    <row r="6" spans="5:12" ht="45" x14ac:dyDescent="0.25">
      <c r="E6" s="52" t="s">
        <v>116</v>
      </c>
      <c r="F6" s="38" t="s">
        <v>117</v>
      </c>
      <c r="G6" s="38">
        <v>204.41</v>
      </c>
      <c r="H6" s="38" t="s">
        <v>106</v>
      </c>
      <c r="I6" s="54">
        <v>0.5</v>
      </c>
      <c r="J6" s="40">
        <f t="shared" si="0"/>
        <v>102.205</v>
      </c>
      <c r="K6" s="40">
        <v>2.04</v>
      </c>
    </row>
    <row r="7" spans="5:12" ht="22.5" customHeight="1" x14ac:dyDescent="0.25">
      <c r="E7" s="57" t="s">
        <v>141</v>
      </c>
      <c r="F7" s="58"/>
      <c r="G7" s="59">
        <f>SUM(G5:G6)</f>
        <v>1425.47</v>
      </c>
      <c r="H7" s="60"/>
      <c r="I7" s="60"/>
      <c r="J7" s="61">
        <f>SUM(J5:J6)</f>
        <v>1323.2649999999999</v>
      </c>
      <c r="K7" s="61">
        <f>SUM(K5:K6)</f>
        <v>12.190000000000001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5:U134"/>
  <sheetViews>
    <sheetView tabSelected="1" topLeftCell="F82" workbookViewId="0">
      <selection activeCell="K42" sqref="K42"/>
    </sheetView>
  </sheetViews>
  <sheetFormatPr defaultRowHeight="15" x14ac:dyDescent="0.25"/>
  <cols>
    <col min="8" max="8" width="29.7109375" bestFit="1" customWidth="1"/>
    <col min="9" max="9" width="10.42578125" bestFit="1" customWidth="1"/>
    <col min="10" max="10" width="18.42578125" bestFit="1" customWidth="1"/>
    <col min="11" max="11" width="14.28515625" bestFit="1" customWidth="1"/>
    <col min="12" max="12" width="14.7109375" bestFit="1" customWidth="1"/>
    <col min="15" max="15" width="15.28515625" bestFit="1" customWidth="1"/>
    <col min="17" max="17" width="10.42578125" bestFit="1" customWidth="1"/>
    <col min="18" max="18" width="16.42578125" bestFit="1" customWidth="1"/>
    <col min="19" max="20" width="12.7109375" bestFit="1" customWidth="1"/>
    <col min="21" max="21" width="12" bestFit="1" customWidth="1"/>
  </cols>
  <sheetData>
    <row r="5" spans="7:20" ht="24.75" customHeight="1" x14ac:dyDescent="0.25">
      <c r="G5" s="76" t="s">
        <v>172</v>
      </c>
      <c r="H5" s="76" t="s">
        <v>0</v>
      </c>
      <c r="I5" s="76" t="s">
        <v>173</v>
      </c>
      <c r="J5" s="76" t="s">
        <v>174</v>
      </c>
      <c r="K5" s="76" t="s">
        <v>17</v>
      </c>
      <c r="L5" s="6" t="s">
        <v>175</v>
      </c>
    </row>
    <row r="6" spans="7:20" x14ac:dyDescent="0.25">
      <c r="G6" s="11">
        <v>1</v>
      </c>
      <c r="H6" s="77" t="s">
        <v>176</v>
      </c>
      <c r="I6" s="78">
        <v>45264</v>
      </c>
      <c r="J6" s="33" t="s">
        <v>177</v>
      </c>
      <c r="K6" s="79">
        <v>34000</v>
      </c>
      <c r="O6" s="80">
        <f>K8+K13+K25+K30+K32+K36+K34+K39+K42+K46+K48+K50+K52+K78+K87+K89+K94+K100+K110+K112+K114+K116+K125+K127+K129+K131+K133+K134</f>
        <v>365922518.57999998</v>
      </c>
      <c r="R6">
        <v>347872</v>
      </c>
    </row>
    <row r="7" spans="7:20" x14ac:dyDescent="0.25">
      <c r="G7" s="11"/>
      <c r="H7" s="11"/>
      <c r="I7" s="78">
        <v>45292</v>
      </c>
      <c r="J7" s="33" t="s">
        <v>178</v>
      </c>
      <c r="K7" s="79">
        <v>112750</v>
      </c>
      <c r="O7" s="111">
        <f>O6-K78</f>
        <v>256773414.22999996</v>
      </c>
      <c r="R7">
        <f>29514.9*92</f>
        <v>2715370.8000000003</v>
      </c>
    </row>
    <row r="8" spans="7:20" x14ac:dyDescent="0.25">
      <c r="G8" s="11"/>
      <c r="H8" s="11" t="s">
        <v>30</v>
      </c>
      <c r="I8" s="11"/>
      <c r="J8" s="33"/>
      <c r="K8" s="79">
        <f>SUM(K6:K7)</f>
        <v>146750</v>
      </c>
      <c r="O8" s="111">
        <f>K30+K34+K39+K42+K48+K52+K80+K94+K114+K134</f>
        <v>231011393.08000001</v>
      </c>
      <c r="R8">
        <f>57661.7*92</f>
        <v>5304876.3999999994</v>
      </c>
    </row>
    <row r="9" spans="7:20" x14ac:dyDescent="0.25">
      <c r="G9" s="11"/>
      <c r="H9" s="77" t="s">
        <v>179</v>
      </c>
      <c r="I9" s="78">
        <v>45293</v>
      </c>
      <c r="J9" s="33">
        <v>101</v>
      </c>
      <c r="K9" s="79">
        <v>73666</v>
      </c>
      <c r="R9">
        <f>2034*92</f>
        <v>187128</v>
      </c>
    </row>
    <row r="10" spans="7:20" x14ac:dyDescent="0.25">
      <c r="G10" s="11"/>
      <c r="H10" s="11"/>
      <c r="I10" s="78">
        <v>45309</v>
      </c>
      <c r="J10" s="33">
        <v>102</v>
      </c>
      <c r="K10" s="79">
        <v>51500</v>
      </c>
      <c r="R10">
        <f>17763.71*92</f>
        <v>1634261.3199999998</v>
      </c>
    </row>
    <row r="11" spans="7:20" x14ac:dyDescent="0.25">
      <c r="G11" s="11"/>
      <c r="H11" s="11"/>
      <c r="I11" s="78">
        <v>45324</v>
      </c>
      <c r="J11" s="33">
        <v>103</v>
      </c>
      <c r="K11" s="79">
        <v>47331</v>
      </c>
      <c r="R11">
        <f>10535.25*92</f>
        <v>969243</v>
      </c>
    </row>
    <row r="12" spans="7:20" x14ac:dyDescent="0.25">
      <c r="G12" s="11"/>
      <c r="H12" s="11"/>
      <c r="I12" s="78">
        <v>45352</v>
      </c>
      <c r="J12" s="33">
        <v>104</v>
      </c>
      <c r="K12" s="79">
        <v>52338</v>
      </c>
      <c r="R12">
        <f>288308.5*92</f>
        <v>26524382</v>
      </c>
    </row>
    <row r="13" spans="7:20" x14ac:dyDescent="0.25">
      <c r="G13" s="11"/>
      <c r="H13" s="11" t="s">
        <v>30</v>
      </c>
      <c r="I13" s="11"/>
      <c r="J13" s="33"/>
      <c r="K13" s="79">
        <f>SUM(K9:K12)</f>
        <v>224835</v>
      </c>
      <c r="R13">
        <f>SUM(R6:R12)</f>
        <v>37683133.519999996</v>
      </c>
      <c r="S13" s="80">
        <f>O6+R13</f>
        <v>403605652.09999996</v>
      </c>
    </row>
    <row r="14" spans="7:20" x14ac:dyDescent="0.25">
      <c r="G14" s="11">
        <v>2</v>
      </c>
      <c r="H14" s="77" t="s">
        <v>180</v>
      </c>
      <c r="I14" s="78">
        <v>45277</v>
      </c>
      <c r="J14" s="33">
        <v>10</v>
      </c>
      <c r="K14" s="79">
        <v>14986</v>
      </c>
    </row>
    <row r="15" spans="7:20" x14ac:dyDescent="0.25">
      <c r="G15" s="11"/>
      <c r="H15" s="11"/>
      <c r="I15" s="78">
        <v>45277</v>
      </c>
      <c r="J15" s="33">
        <v>11</v>
      </c>
      <c r="K15" s="79">
        <v>89376</v>
      </c>
      <c r="Q15" t="s">
        <v>173</v>
      </c>
      <c r="R15" t="s">
        <v>174</v>
      </c>
      <c r="S15" t="s">
        <v>181</v>
      </c>
      <c r="T15" t="s">
        <v>182</v>
      </c>
    </row>
    <row r="16" spans="7:20" x14ac:dyDescent="0.25">
      <c r="G16" s="11"/>
      <c r="H16" s="11"/>
      <c r="I16" s="78">
        <v>45281</v>
      </c>
      <c r="J16" s="33">
        <v>12</v>
      </c>
      <c r="K16" s="79">
        <v>121425</v>
      </c>
      <c r="Q16" s="81">
        <v>44993</v>
      </c>
      <c r="R16" t="s">
        <v>183</v>
      </c>
      <c r="S16">
        <v>29514.9</v>
      </c>
    </row>
    <row r="17" spans="7:20" x14ac:dyDescent="0.25">
      <c r="G17" s="11"/>
      <c r="H17" s="11"/>
      <c r="I17" s="78">
        <v>45288</v>
      </c>
      <c r="J17" s="33">
        <v>13</v>
      </c>
      <c r="K17" s="79">
        <v>16505</v>
      </c>
      <c r="Q17" s="81">
        <v>45051</v>
      </c>
      <c r="R17" t="s">
        <v>184</v>
      </c>
      <c r="T17">
        <v>347872</v>
      </c>
    </row>
    <row r="18" spans="7:20" x14ac:dyDescent="0.25">
      <c r="G18" s="11"/>
      <c r="H18" s="11"/>
      <c r="I18" s="78">
        <v>45293</v>
      </c>
      <c r="J18" s="33">
        <v>14</v>
      </c>
      <c r="K18" s="79">
        <v>665587</v>
      </c>
      <c r="Q18" s="81">
        <v>44993</v>
      </c>
      <c r="R18" t="s">
        <v>185</v>
      </c>
      <c r="S18">
        <v>57661.7</v>
      </c>
    </row>
    <row r="19" spans="7:20" x14ac:dyDescent="0.25">
      <c r="G19" s="11"/>
      <c r="H19" s="11"/>
      <c r="I19" s="11"/>
      <c r="J19" s="33">
        <v>16</v>
      </c>
      <c r="K19" s="79">
        <v>56490</v>
      </c>
      <c r="Q19" s="81">
        <v>45042</v>
      </c>
      <c r="R19" t="s">
        <v>186</v>
      </c>
      <c r="S19">
        <v>2034</v>
      </c>
    </row>
    <row r="20" spans="7:20" x14ac:dyDescent="0.25">
      <c r="G20" s="11"/>
      <c r="H20" s="11"/>
      <c r="I20" s="11"/>
      <c r="J20" s="33">
        <v>17</v>
      </c>
      <c r="K20" s="79">
        <v>255745</v>
      </c>
      <c r="Q20" s="81">
        <v>45051</v>
      </c>
      <c r="R20" t="s">
        <v>184</v>
      </c>
      <c r="S20">
        <v>17763.71</v>
      </c>
    </row>
    <row r="21" spans="7:20" x14ac:dyDescent="0.25">
      <c r="G21" s="11"/>
      <c r="H21" s="11"/>
      <c r="I21" s="11"/>
      <c r="J21" s="33">
        <v>18</v>
      </c>
      <c r="K21" s="79">
        <v>96135</v>
      </c>
      <c r="Q21" s="81">
        <v>45022</v>
      </c>
      <c r="R21" t="s">
        <v>187</v>
      </c>
      <c r="S21">
        <v>10535.25</v>
      </c>
    </row>
    <row r="22" spans="7:20" x14ac:dyDescent="0.25">
      <c r="G22" s="11"/>
      <c r="H22" s="11"/>
      <c r="I22" s="78">
        <v>45344</v>
      </c>
      <c r="J22" s="33">
        <v>19</v>
      </c>
      <c r="K22" s="79">
        <v>431150</v>
      </c>
      <c r="Q22" s="81">
        <v>45022</v>
      </c>
      <c r="R22" t="s">
        <v>188</v>
      </c>
      <c r="S22">
        <v>288308.5</v>
      </c>
    </row>
    <row r="23" spans="7:20" x14ac:dyDescent="0.25">
      <c r="G23" s="11"/>
      <c r="H23" s="11"/>
      <c r="I23" s="78">
        <v>45352</v>
      </c>
      <c r="J23" s="33">
        <v>20</v>
      </c>
      <c r="K23" s="79">
        <v>78920</v>
      </c>
      <c r="Q23" s="81">
        <v>45022</v>
      </c>
      <c r="R23" t="s">
        <v>189</v>
      </c>
      <c r="S23">
        <v>2107.0500000000002</v>
      </c>
    </row>
    <row r="24" spans="7:20" x14ac:dyDescent="0.25">
      <c r="G24" s="11"/>
      <c r="H24" s="11"/>
      <c r="I24" s="78">
        <v>45352</v>
      </c>
      <c r="J24" s="33">
        <v>21</v>
      </c>
      <c r="K24" s="79">
        <v>20832</v>
      </c>
      <c r="Q24" s="81">
        <v>45351</v>
      </c>
      <c r="R24" t="s">
        <v>284</v>
      </c>
      <c r="S24" s="80">
        <v>11000</v>
      </c>
    </row>
    <row r="25" spans="7:20" x14ac:dyDescent="0.25">
      <c r="G25" s="11"/>
      <c r="H25" s="11" t="s">
        <v>30</v>
      </c>
      <c r="I25" s="11"/>
      <c r="J25" s="33"/>
      <c r="K25" s="79">
        <f>SUM(K14:K24)</f>
        <v>1847151</v>
      </c>
      <c r="Q25" s="81">
        <v>45352</v>
      </c>
      <c r="R25" t="s">
        <v>284</v>
      </c>
      <c r="S25">
        <v>1400</v>
      </c>
    </row>
    <row r="26" spans="7:20" x14ac:dyDescent="0.25">
      <c r="G26" s="11">
        <v>3</v>
      </c>
      <c r="H26" s="77" t="s">
        <v>190</v>
      </c>
      <c r="I26" s="78">
        <v>45104</v>
      </c>
      <c r="J26" s="33" t="s">
        <v>191</v>
      </c>
      <c r="K26" s="79">
        <v>560500</v>
      </c>
      <c r="Q26" s="81">
        <v>45322</v>
      </c>
      <c r="R26" t="s">
        <v>285</v>
      </c>
      <c r="S26">
        <v>2946.36</v>
      </c>
    </row>
    <row r="27" spans="7:20" x14ac:dyDescent="0.25">
      <c r="G27" s="11"/>
      <c r="H27" s="11"/>
      <c r="I27" s="78">
        <v>45240</v>
      </c>
      <c r="J27" s="33" t="s">
        <v>192</v>
      </c>
      <c r="K27" s="79">
        <v>383500</v>
      </c>
      <c r="Q27" s="81">
        <v>45398</v>
      </c>
      <c r="R27" t="s">
        <v>286</v>
      </c>
      <c r="S27">
        <v>68868.100000000006</v>
      </c>
    </row>
    <row r="28" spans="7:20" x14ac:dyDescent="0.25">
      <c r="G28" s="11"/>
      <c r="H28" s="11"/>
      <c r="I28" s="78">
        <v>45240</v>
      </c>
      <c r="J28" s="33" t="s">
        <v>194</v>
      </c>
      <c r="K28" s="79">
        <v>383500</v>
      </c>
      <c r="Q28" s="81">
        <v>45184</v>
      </c>
      <c r="R28" t="s">
        <v>185</v>
      </c>
      <c r="S28">
        <v>716900</v>
      </c>
    </row>
    <row r="29" spans="7:20" x14ac:dyDescent="0.25">
      <c r="G29" s="11"/>
      <c r="H29" s="11"/>
      <c r="I29" s="78">
        <v>45268</v>
      </c>
      <c r="J29" s="33" t="s">
        <v>196</v>
      </c>
      <c r="K29" s="79">
        <v>383500</v>
      </c>
      <c r="Q29" s="81">
        <v>45264</v>
      </c>
      <c r="R29" t="s">
        <v>287</v>
      </c>
      <c r="S29">
        <v>86175</v>
      </c>
    </row>
    <row r="30" spans="7:20" x14ac:dyDescent="0.25">
      <c r="G30" s="11"/>
      <c r="H30" s="11" t="s">
        <v>30</v>
      </c>
      <c r="I30" s="11"/>
      <c r="J30" s="33"/>
      <c r="K30" s="79">
        <f>SUM(K26:K29)</f>
        <v>1711000</v>
      </c>
      <c r="Q30" s="81">
        <v>45199</v>
      </c>
      <c r="R30" t="s">
        <v>185</v>
      </c>
      <c r="S30">
        <v>117900</v>
      </c>
    </row>
    <row r="31" spans="7:20" x14ac:dyDescent="0.25">
      <c r="G31" s="11">
        <v>4</v>
      </c>
      <c r="H31" s="77" t="s">
        <v>197</v>
      </c>
      <c r="I31" s="78">
        <v>45240</v>
      </c>
      <c r="J31" s="33">
        <v>595</v>
      </c>
      <c r="K31" s="79">
        <v>88500</v>
      </c>
      <c r="Q31" s="81">
        <v>45198</v>
      </c>
      <c r="R31" t="s">
        <v>288</v>
      </c>
      <c r="S31">
        <v>258705.29</v>
      </c>
    </row>
    <row r="32" spans="7:20" x14ac:dyDescent="0.25">
      <c r="G32" s="11"/>
      <c r="H32" s="11" t="s">
        <v>30</v>
      </c>
      <c r="I32" s="11"/>
      <c r="J32" s="33"/>
      <c r="K32" s="79">
        <f>SUM(K31)</f>
        <v>88500</v>
      </c>
      <c r="S32">
        <f>SUM(S16:S31)</f>
        <v>1671819.8599999999</v>
      </c>
      <c r="T32">
        <f>S32*87</f>
        <v>145448327.81999999</v>
      </c>
    </row>
    <row r="33" spans="7:21" x14ac:dyDescent="0.25">
      <c r="G33" s="11">
        <v>5</v>
      </c>
      <c r="H33" s="77" t="s">
        <v>198</v>
      </c>
      <c r="I33" s="78">
        <v>45419</v>
      </c>
      <c r="J33" s="33" t="s">
        <v>199</v>
      </c>
      <c r="K33" s="79">
        <v>92747000</v>
      </c>
    </row>
    <row r="34" spans="7:21" x14ac:dyDescent="0.25">
      <c r="G34" s="11"/>
      <c r="H34" s="11" t="s">
        <v>30</v>
      </c>
      <c r="I34" s="11"/>
      <c r="J34" s="33"/>
      <c r="K34" s="79">
        <f>SUM(K33)</f>
        <v>92747000</v>
      </c>
    </row>
    <row r="35" spans="7:21" ht="30" x14ac:dyDescent="0.25">
      <c r="G35" s="11">
        <v>6</v>
      </c>
      <c r="H35" s="87" t="s">
        <v>200</v>
      </c>
      <c r="I35" s="78">
        <v>45330</v>
      </c>
      <c r="J35" s="33" t="s">
        <v>201</v>
      </c>
      <c r="K35" s="82">
        <v>56775.93</v>
      </c>
    </row>
    <row r="36" spans="7:21" x14ac:dyDescent="0.25">
      <c r="G36" s="11"/>
      <c r="H36" s="11" t="s">
        <v>30</v>
      </c>
      <c r="I36" s="11"/>
      <c r="J36" s="33"/>
      <c r="K36" s="83">
        <f>SUM(K35)</f>
        <v>56775.93</v>
      </c>
    </row>
    <row r="37" spans="7:21" x14ac:dyDescent="0.25">
      <c r="G37" s="11">
        <v>7</v>
      </c>
      <c r="H37" s="77" t="s">
        <v>202</v>
      </c>
      <c r="I37" s="78">
        <v>45238</v>
      </c>
      <c r="J37" s="33" t="s">
        <v>203</v>
      </c>
      <c r="K37" s="83">
        <v>100000</v>
      </c>
    </row>
    <row r="38" spans="7:21" x14ac:dyDescent="0.25">
      <c r="G38" s="11"/>
      <c r="H38" s="11"/>
      <c r="I38" s="78">
        <v>45238</v>
      </c>
      <c r="J38" s="33" t="s">
        <v>204</v>
      </c>
      <c r="K38" s="83">
        <v>113280</v>
      </c>
    </row>
    <row r="39" spans="7:21" x14ac:dyDescent="0.25">
      <c r="G39" s="11"/>
      <c r="H39" s="11" t="s">
        <v>30</v>
      </c>
      <c r="I39" s="11"/>
      <c r="J39" s="33"/>
      <c r="K39" s="83">
        <f>SUM(K37:K38)</f>
        <v>213280</v>
      </c>
    </row>
    <row r="40" spans="7:21" x14ac:dyDescent="0.25">
      <c r="G40" s="11">
        <v>8</v>
      </c>
      <c r="H40" s="77" t="s">
        <v>205</v>
      </c>
      <c r="I40" s="78">
        <v>45251</v>
      </c>
      <c r="J40" s="33" t="s">
        <v>206</v>
      </c>
      <c r="K40" s="83">
        <v>859488</v>
      </c>
      <c r="Q40" t="s">
        <v>193</v>
      </c>
      <c r="R40">
        <v>1153234</v>
      </c>
      <c r="S40">
        <f>R40*87</f>
        <v>100331358</v>
      </c>
      <c r="T40">
        <f>S40+T41</f>
        <v>116594067.90000001</v>
      </c>
    </row>
    <row r="41" spans="7:21" x14ac:dyDescent="0.25">
      <c r="G41" s="11"/>
      <c r="H41" s="11"/>
      <c r="I41" s="78">
        <v>45251</v>
      </c>
      <c r="J41" s="33" t="s">
        <v>207</v>
      </c>
      <c r="K41" s="83">
        <v>60704</v>
      </c>
      <c r="Q41" t="s">
        <v>195</v>
      </c>
      <c r="R41">
        <v>196766</v>
      </c>
      <c r="S41">
        <f>R41*87</f>
        <v>17118642</v>
      </c>
      <c r="T41">
        <f>S41*0.95</f>
        <v>16262709.899999999</v>
      </c>
    </row>
    <row r="42" spans="7:21" x14ac:dyDescent="0.25">
      <c r="G42" s="11"/>
      <c r="H42" s="11" t="s">
        <v>30</v>
      </c>
      <c r="I42" s="11"/>
      <c r="J42" s="33"/>
      <c r="K42" s="84">
        <f>SUM(K40:K41)</f>
        <v>920192</v>
      </c>
      <c r="R42">
        <f>SUM(R40:R41)</f>
        <v>1350000</v>
      </c>
      <c r="S42">
        <f>R42*87</f>
        <v>117450000</v>
      </c>
      <c r="T42">
        <f>R40+R41*0.95</f>
        <v>1340161.7</v>
      </c>
      <c r="U42">
        <f>T42*87</f>
        <v>116594067.89999999</v>
      </c>
    </row>
    <row r="43" spans="7:21" x14ac:dyDescent="0.25">
      <c r="G43" s="11">
        <v>9</v>
      </c>
      <c r="H43" s="77" t="s">
        <v>208</v>
      </c>
      <c r="I43" s="78">
        <v>45021</v>
      </c>
      <c r="J43" s="33">
        <v>20</v>
      </c>
      <c r="K43" s="84">
        <v>51200</v>
      </c>
    </row>
    <row r="44" spans="7:21" x14ac:dyDescent="0.25">
      <c r="G44" s="11"/>
      <c r="H44" s="11"/>
      <c r="I44" s="78">
        <v>45034</v>
      </c>
      <c r="J44" s="33">
        <v>25</v>
      </c>
      <c r="K44" s="79">
        <v>48000</v>
      </c>
    </row>
    <row r="45" spans="7:21" x14ac:dyDescent="0.25">
      <c r="G45" s="11"/>
      <c r="H45" s="11"/>
      <c r="I45" s="78">
        <v>45047</v>
      </c>
      <c r="J45" s="33">
        <v>26</v>
      </c>
      <c r="K45" s="79">
        <v>48000</v>
      </c>
      <c r="T45">
        <f>1246.61+181.03</f>
        <v>1427.6399999999999</v>
      </c>
      <c r="U45">
        <f>T45*100000</f>
        <v>142764000</v>
      </c>
    </row>
    <row r="46" spans="7:21" x14ac:dyDescent="0.25">
      <c r="G46" s="11"/>
      <c r="H46" s="11" t="s">
        <v>30</v>
      </c>
      <c r="I46" s="11"/>
      <c r="J46" s="33"/>
      <c r="K46" s="84">
        <f>SUM(K43:K45)</f>
        <v>147200</v>
      </c>
      <c r="U46" t="s">
        <v>289</v>
      </c>
    </row>
    <row r="47" spans="7:21" x14ac:dyDescent="0.25">
      <c r="G47" s="11">
        <v>10</v>
      </c>
      <c r="H47" s="77" t="s">
        <v>209</v>
      </c>
      <c r="I47" s="78">
        <v>45238</v>
      </c>
      <c r="J47" s="33">
        <v>31</v>
      </c>
      <c r="K47" s="84">
        <v>2806000</v>
      </c>
    </row>
    <row r="48" spans="7:21" x14ac:dyDescent="0.25">
      <c r="G48" s="11"/>
      <c r="H48" s="11" t="s">
        <v>30</v>
      </c>
      <c r="I48" s="11"/>
      <c r="J48" s="33"/>
      <c r="K48" s="84">
        <f>SUM(K47)</f>
        <v>2806000</v>
      </c>
    </row>
    <row r="49" spans="7:11" x14ac:dyDescent="0.25">
      <c r="G49" s="11">
        <v>11</v>
      </c>
      <c r="H49" s="77" t="s">
        <v>210</v>
      </c>
      <c r="I49" s="78">
        <v>45265</v>
      </c>
      <c r="J49" s="33">
        <v>28</v>
      </c>
      <c r="K49" s="84">
        <v>94400</v>
      </c>
    </row>
    <row r="50" spans="7:11" x14ac:dyDescent="0.25">
      <c r="G50" s="11"/>
      <c r="H50" s="11" t="s">
        <v>30</v>
      </c>
      <c r="I50" s="11"/>
      <c r="J50" s="33"/>
      <c r="K50" s="84">
        <f>SUM(K49)</f>
        <v>94400</v>
      </c>
    </row>
    <row r="51" spans="7:11" x14ac:dyDescent="0.25">
      <c r="G51" s="11">
        <v>12</v>
      </c>
      <c r="H51" s="77" t="s">
        <v>211</v>
      </c>
      <c r="I51" s="78">
        <v>45238</v>
      </c>
      <c r="J51" s="33">
        <v>34401000973</v>
      </c>
      <c r="K51" s="83">
        <v>11311307</v>
      </c>
    </row>
    <row r="52" spans="7:11" x14ac:dyDescent="0.25">
      <c r="G52" s="11"/>
      <c r="H52" s="11" t="s">
        <v>30</v>
      </c>
      <c r="I52" s="11"/>
      <c r="J52" s="33"/>
      <c r="K52" s="84">
        <f>SUM(K51)</f>
        <v>11311307</v>
      </c>
    </row>
    <row r="53" spans="7:11" x14ac:dyDescent="0.25">
      <c r="G53" s="11">
        <v>13</v>
      </c>
      <c r="H53" s="77" t="s">
        <v>212</v>
      </c>
      <c r="I53" s="78">
        <v>45058</v>
      </c>
      <c r="J53" s="33" t="s">
        <v>213</v>
      </c>
      <c r="K53" s="83">
        <v>8214169.8499999996</v>
      </c>
    </row>
    <row r="54" spans="7:11" x14ac:dyDescent="0.25">
      <c r="G54" s="11"/>
      <c r="H54" s="11"/>
      <c r="I54" s="78">
        <v>45079</v>
      </c>
      <c r="J54" s="33" t="s">
        <v>214</v>
      </c>
      <c r="K54" s="84">
        <v>8991333.8699999992</v>
      </c>
    </row>
    <row r="55" spans="7:11" x14ac:dyDescent="0.25">
      <c r="G55" s="11"/>
      <c r="H55" s="11"/>
      <c r="I55" s="78">
        <v>45108</v>
      </c>
      <c r="J55" s="33" t="s">
        <v>215</v>
      </c>
      <c r="K55" s="84">
        <v>12048070.300000001</v>
      </c>
    </row>
    <row r="56" spans="7:11" x14ac:dyDescent="0.25">
      <c r="G56" s="11"/>
      <c r="H56" s="11"/>
      <c r="I56" s="78">
        <v>45139</v>
      </c>
      <c r="J56" s="33" t="s">
        <v>216</v>
      </c>
      <c r="K56" s="84">
        <v>10840519.970000001</v>
      </c>
    </row>
    <row r="57" spans="7:11" x14ac:dyDescent="0.25">
      <c r="G57" s="11"/>
      <c r="H57" s="11"/>
      <c r="I57" s="78">
        <v>45170</v>
      </c>
      <c r="J57" s="33" t="s">
        <v>217</v>
      </c>
      <c r="K57" s="84">
        <v>8060898.5099999998</v>
      </c>
    </row>
    <row r="58" spans="7:11" x14ac:dyDescent="0.25">
      <c r="G58" s="11"/>
      <c r="H58" s="11"/>
      <c r="I58" s="78">
        <v>45201</v>
      </c>
      <c r="J58" s="33" t="s">
        <v>218</v>
      </c>
      <c r="K58" s="84">
        <v>3405574.58</v>
      </c>
    </row>
    <row r="59" spans="7:11" x14ac:dyDescent="0.25">
      <c r="G59" s="11"/>
      <c r="H59" s="11"/>
      <c r="I59" s="78">
        <v>45231</v>
      </c>
      <c r="J59" s="33" t="s">
        <v>219</v>
      </c>
      <c r="K59" s="84">
        <v>14335568.189999999</v>
      </c>
    </row>
    <row r="60" spans="7:11" x14ac:dyDescent="0.25">
      <c r="G60" s="11"/>
      <c r="H60" s="11"/>
      <c r="I60" s="78">
        <v>45023</v>
      </c>
      <c r="J60" s="33" t="s">
        <v>220</v>
      </c>
      <c r="K60" s="84">
        <v>4371451.5999999996</v>
      </c>
    </row>
    <row r="61" spans="7:11" x14ac:dyDescent="0.25">
      <c r="G61" s="11"/>
      <c r="H61" s="11"/>
      <c r="I61" s="78">
        <v>45023</v>
      </c>
      <c r="J61" s="33" t="s">
        <v>221</v>
      </c>
      <c r="K61" s="84">
        <v>5738603.1399999997</v>
      </c>
    </row>
    <row r="62" spans="7:11" x14ac:dyDescent="0.25">
      <c r="G62" s="11"/>
      <c r="H62" s="11"/>
      <c r="I62" s="78">
        <v>45068</v>
      </c>
      <c r="J62" s="33" t="s">
        <v>222</v>
      </c>
      <c r="K62" s="84">
        <v>3744454.47</v>
      </c>
    </row>
    <row r="63" spans="7:11" x14ac:dyDescent="0.25">
      <c r="G63" s="11"/>
      <c r="H63" s="11"/>
      <c r="I63" s="78">
        <v>45090</v>
      </c>
      <c r="J63" s="33" t="s">
        <v>223</v>
      </c>
      <c r="K63" s="84">
        <v>3912045.95</v>
      </c>
    </row>
    <row r="64" spans="7:11" x14ac:dyDescent="0.25">
      <c r="G64" s="11"/>
      <c r="H64" s="11"/>
      <c r="I64" s="78">
        <v>45093</v>
      </c>
      <c r="J64" s="33" t="s">
        <v>224</v>
      </c>
      <c r="K64" s="84">
        <v>3133450</v>
      </c>
    </row>
    <row r="65" spans="7:11" x14ac:dyDescent="0.25">
      <c r="G65" s="11"/>
      <c r="H65" s="11"/>
      <c r="I65" s="78">
        <v>45112</v>
      </c>
      <c r="J65" s="33" t="s">
        <v>225</v>
      </c>
      <c r="K65" s="84">
        <v>3688605.07</v>
      </c>
    </row>
    <row r="66" spans="7:11" x14ac:dyDescent="0.25">
      <c r="G66" s="11"/>
      <c r="H66" s="11"/>
      <c r="I66" s="78">
        <v>45117</v>
      </c>
      <c r="J66" s="33" t="s">
        <v>226</v>
      </c>
      <c r="K66" s="84">
        <v>2815754</v>
      </c>
    </row>
    <row r="67" spans="7:11" x14ac:dyDescent="0.25">
      <c r="G67" s="11"/>
      <c r="H67" s="11"/>
      <c r="I67" s="78">
        <v>45135</v>
      </c>
      <c r="J67" s="33" t="s">
        <v>227</v>
      </c>
      <c r="K67" s="84">
        <v>2601322.92</v>
      </c>
    </row>
    <row r="68" spans="7:11" x14ac:dyDescent="0.25">
      <c r="G68" s="11"/>
      <c r="H68" s="11"/>
      <c r="I68" s="78">
        <v>45180</v>
      </c>
      <c r="J68" s="33" t="s">
        <v>228</v>
      </c>
      <c r="K68" s="84">
        <v>523750.08</v>
      </c>
    </row>
    <row r="69" spans="7:11" x14ac:dyDescent="0.25">
      <c r="G69" s="11"/>
      <c r="H69" s="11"/>
      <c r="I69" s="78">
        <v>45213</v>
      </c>
      <c r="J69" s="33" t="s">
        <v>229</v>
      </c>
      <c r="K69" s="84">
        <v>1487359.32</v>
      </c>
    </row>
    <row r="70" spans="7:11" x14ac:dyDescent="0.25">
      <c r="G70" s="11"/>
      <c r="H70" s="11"/>
      <c r="I70" s="78">
        <v>45217</v>
      </c>
      <c r="J70" s="33" t="s">
        <v>230</v>
      </c>
      <c r="K70" s="84">
        <v>2219202.4</v>
      </c>
    </row>
    <row r="71" spans="7:11" x14ac:dyDescent="0.25">
      <c r="G71" s="11"/>
      <c r="H71" s="11"/>
      <c r="I71" s="78">
        <v>45241</v>
      </c>
      <c r="J71" s="33" t="s">
        <v>231</v>
      </c>
      <c r="K71" s="84">
        <v>2809531.62</v>
      </c>
    </row>
    <row r="72" spans="7:11" x14ac:dyDescent="0.25">
      <c r="G72" s="11"/>
      <c r="H72" s="11"/>
      <c r="I72" s="78">
        <v>45044</v>
      </c>
      <c r="J72" s="33" t="s">
        <v>232</v>
      </c>
      <c r="K72" s="84">
        <v>5684299.54</v>
      </c>
    </row>
    <row r="73" spans="7:11" x14ac:dyDescent="0.25">
      <c r="G73" s="11"/>
      <c r="H73" s="11"/>
      <c r="I73" s="78">
        <v>45107</v>
      </c>
      <c r="J73" s="33" t="s">
        <v>233</v>
      </c>
      <c r="K73" s="84">
        <v>145220.71</v>
      </c>
    </row>
    <row r="74" spans="7:11" x14ac:dyDescent="0.25">
      <c r="G74" s="11"/>
      <c r="H74" s="11"/>
      <c r="I74" s="78">
        <v>45139</v>
      </c>
      <c r="J74" s="33" t="s">
        <v>234</v>
      </c>
      <c r="K74" s="84">
        <v>83781.179999999993</v>
      </c>
    </row>
    <row r="75" spans="7:11" x14ac:dyDescent="0.25">
      <c r="G75" s="11"/>
      <c r="H75" s="11"/>
      <c r="I75" s="78">
        <v>45170</v>
      </c>
      <c r="J75" s="33" t="s">
        <v>235</v>
      </c>
      <c r="K75" s="84">
        <v>100298.04</v>
      </c>
    </row>
    <row r="76" spans="7:11" x14ac:dyDescent="0.25">
      <c r="G76" s="11"/>
      <c r="H76" s="11"/>
      <c r="I76" s="78">
        <v>45201</v>
      </c>
      <c r="J76" s="33" t="s">
        <v>236</v>
      </c>
      <c r="K76" s="84">
        <v>78062.78</v>
      </c>
    </row>
    <row r="77" spans="7:11" x14ac:dyDescent="0.25">
      <c r="G77" s="11"/>
      <c r="H77" s="11"/>
      <c r="I77" s="78">
        <v>45231</v>
      </c>
      <c r="J77" s="33" t="s">
        <v>237</v>
      </c>
      <c r="K77" s="84">
        <v>115776.26</v>
      </c>
    </row>
    <row r="78" spans="7:11" x14ac:dyDescent="0.25">
      <c r="G78" s="11"/>
      <c r="H78" s="11" t="s">
        <v>30</v>
      </c>
      <c r="I78" s="11"/>
      <c r="J78" s="33"/>
      <c r="K78" s="84">
        <f>SUM(K53:K77)</f>
        <v>109149104.35000001</v>
      </c>
    </row>
    <row r="79" spans="7:11" x14ac:dyDescent="0.25">
      <c r="G79" s="11">
        <v>14</v>
      </c>
      <c r="H79" s="77" t="s">
        <v>238</v>
      </c>
      <c r="I79" s="78">
        <v>45078</v>
      </c>
      <c r="J79" s="33" t="s">
        <v>239</v>
      </c>
      <c r="K79" s="84">
        <v>108560</v>
      </c>
    </row>
    <row r="80" spans="7:11" x14ac:dyDescent="0.25">
      <c r="G80" s="11"/>
      <c r="H80" s="11" t="s">
        <v>30</v>
      </c>
      <c r="I80" s="11"/>
      <c r="J80" s="33"/>
      <c r="K80" s="84">
        <f>SUM(K79)</f>
        <v>108560</v>
      </c>
    </row>
    <row r="81" spans="7:12" x14ac:dyDescent="0.25">
      <c r="G81" s="11">
        <v>15</v>
      </c>
      <c r="H81" s="77" t="s">
        <v>240</v>
      </c>
      <c r="I81" s="11"/>
      <c r="J81" s="33"/>
      <c r="K81" s="79">
        <v>90000</v>
      </c>
    </row>
    <row r="82" spans="7:12" x14ac:dyDescent="0.25">
      <c r="G82" s="11"/>
      <c r="H82" s="11"/>
      <c r="I82" s="78">
        <v>45372</v>
      </c>
      <c r="J82" s="33"/>
      <c r="K82" s="84">
        <v>54000</v>
      </c>
    </row>
    <row r="83" spans="7:12" x14ac:dyDescent="0.25">
      <c r="G83" s="11"/>
      <c r="H83" s="11"/>
      <c r="I83" s="11"/>
      <c r="J83" s="33"/>
      <c r="K83" s="84">
        <v>45000</v>
      </c>
    </row>
    <row r="84" spans="7:12" x14ac:dyDescent="0.25">
      <c r="G84" s="11"/>
      <c r="H84" s="11"/>
      <c r="I84" s="78">
        <v>45293</v>
      </c>
      <c r="J84" s="33"/>
      <c r="K84" s="84">
        <v>48000</v>
      </c>
    </row>
    <row r="85" spans="7:12" x14ac:dyDescent="0.25">
      <c r="G85" s="11"/>
      <c r="H85" s="11"/>
      <c r="I85" s="11"/>
      <c r="J85" s="33"/>
      <c r="K85" s="84">
        <v>51000</v>
      </c>
    </row>
    <row r="86" spans="7:12" x14ac:dyDescent="0.25">
      <c r="G86" s="11"/>
      <c r="H86" s="11"/>
      <c r="I86" s="78">
        <v>45354</v>
      </c>
      <c r="J86" s="33"/>
      <c r="K86" s="84">
        <v>21000</v>
      </c>
    </row>
    <row r="87" spans="7:12" x14ac:dyDescent="0.25">
      <c r="G87" s="11"/>
      <c r="H87" s="11" t="s">
        <v>30</v>
      </c>
      <c r="I87" s="11"/>
      <c r="J87" s="33"/>
      <c r="K87" s="79">
        <f>SUM(K81:K86)</f>
        <v>309000</v>
      </c>
    </row>
    <row r="88" spans="7:12" x14ac:dyDescent="0.25">
      <c r="G88" s="11"/>
      <c r="H88" s="77" t="s">
        <v>241</v>
      </c>
      <c r="I88" s="78">
        <v>45138</v>
      </c>
      <c r="J88" s="33" t="s">
        <v>242</v>
      </c>
      <c r="K88" s="84">
        <v>3823862.12</v>
      </c>
    </row>
    <row r="89" spans="7:12" x14ac:dyDescent="0.25">
      <c r="G89" s="11"/>
      <c r="H89" s="11" t="s">
        <v>30</v>
      </c>
      <c r="I89" s="11"/>
      <c r="J89" s="33"/>
      <c r="K89" s="84">
        <f>SUM(K88)</f>
        <v>3823862.12</v>
      </c>
    </row>
    <row r="90" spans="7:12" x14ac:dyDescent="0.25">
      <c r="G90" s="11"/>
      <c r="H90" s="77" t="s">
        <v>243</v>
      </c>
      <c r="I90" s="78">
        <v>45274</v>
      </c>
      <c r="J90" s="33">
        <v>1550067656</v>
      </c>
      <c r="K90" s="84">
        <v>310130.49</v>
      </c>
    </row>
    <row r="91" spans="7:12" x14ac:dyDescent="0.25">
      <c r="G91" s="11"/>
      <c r="H91" s="11"/>
      <c r="I91" s="78">
        <v>45274</v>
      </c>
      <c r="J91" s="33">
        <v>1550067658</v>
      </c>
      <c r="K91" s="84">
        <v>1180741.48</v>
      </c>
    </row>
    <row r="92" spans="7:12" x14ac:dyDescent="0.25">
      <c r="G92" s="11"/>
      <c r="H92" s="11"/>
      <c r="I92" s="78">
        <v>45275</v>
      </c>
      <c r="J92" s="33">
        <v>1550067758</v>
      </c>
      <c r="K92" s="84">
        <v>2589541.7599999998</v>
      </c>
      <c r="L92" s="81"/>
    </row>
    <row r="93" spans="7:12" x14ac:dyDescent="0.25">
      <c r="G93" s="11"/>
      <c r="H93" s="11"/>
      <c r="I93" s="78">
        <v>45236</v>
      </c>
      <c r="J93" s="33">
        <v>1552523050</v>
      </c>
      <c r="K93" s="84">
        <v>6903</v>
      </c>
    </row>
    <row r="94" spans="7:12" x14ac:dyDescent="0.25">
      <c r="G94" s="11"/>
      <c r="H94" s="11" t="s">
        <v>30</v>
      </c>
      <c r="I94" s="11"/>
      <c r="J94" s="33"/>
      <c r="K94" s="84">
        <f>SUM(K90:K93)</f>
        <v>4087316.7299999995</v>
      </c>
    </row>
    <row r="95" spans="7:12" x14ac:dyDescent="0.25">
      <c r="G95" s="11"/>
      <c r="H95" s="77" t="s">
        <v>244</v>
      </c>
      <c r="I95" s="78">
        <v>45307</v>
      </c>
      <c r="J95" s="33">
        <v>22</v>
      </c>
      <c r="K95" s="84">
        <v>106652</v>
      </c>
    </row>
    <row r="96" spans="7:12" x14ac:dyDescent="0.25">
      <c r="G96" s="11"/>
      <c r="H96" s="11"/>
      <c r="I96" s="78">
        <v>45324</v>
      </c>
      <c r="J96" s="33">
        <v>53</v>
      </c>
      <c r="K96" s="84">
        <v>198506</v>
      </c>
    </row>
    <row r="97" spans="7:12" x14ac:dyDescent="0.25">
      <c r="G97" s="11"/>
      <c r="H97" s="11"/>
      <c r="I97" s="78">
        <v>45339</v>
      </c>
      <c r="J97" s="33">
        <v>72</v>
      </c>
      <c r="K97" s="84">
        <v>140070</v>
      </c>
    </row>
    <row r="98" spans="7:12" x14ac:dyDescent="0.25">
      <c r="G98" s="11"/>
      <c r="H98" s="11"/>
      <c r="I98" s="78">
        <v>45352</v>
      </c>
      <c r="J98" s="33">
        <v>118</v>
      </c>
      <c r="K98" s="84">
        <v>127862</v>
      </c>
    </row>
    <row r="99" spans="7:12" x14ac:dyDescent="0.25">
      <c r="G99" s="11"/>
      <c r="H99" s="11"/>
      <c r="I99" s="78">
        <v>45368</v>
      </c>
      <c r="J99" s="33">
        <v>120</v>
      </c>
      <c r="K99" s="84">
        <v>123144</v>
      </c>
    </row>
    <row r="100" spans="7:12" x14ac:dyDescent="0.25">
      <c r="G100" s="11"/>
      <c r="H100" s="11" t="s">
        <v>30</v>
      </c>
      <c r="I100" s="11"/>
      <c r="J100" s="33"/>
      <c r="K100" s="84">
        <f>SUM(K95:K99)</f>
        <v>696234</v>
      </c>
    </row>
    <row r="101" spans="7:12" x14ac:dyDescent="0.25">
      <c r="G101" s="11"/>
      <c r="H101" s="77" t="s">
        <v>117</v>
      </c>
      <c r="I101" s="78">
        <v>45211</v>
      </c>
      <c r="J101" s="33"/>
      <c r="K101" s="84">
        <v>237150.5</v>
      </c>
    </row>
    <row r="102" spans="7:12" x14ac:dyDescent="0.25">
      <c r="G102" s="11"/>
      <c r="H102" s="11"/>
      <c r="I102" s="78">
        <v>45210</v>
      </c>
      <c r="J102" s="33" t="s">
        <v>245</v>
      </c>
      <c r="K102" s="84">
        <v>2342135</v>
      </c>
    </row>
    <row r="103" spans="7:12" x14ac:dyDescent="0.25">
      <c r="G103" s="11"/>
      <c r="H103" s="11"/>
      <c r="I103" s="78">
        <v>45211</v>
      </c>
      <c r="J103" s="33" t="s">
        <v>246</v>
      </c>
      <c r="K103" s="84">
        <v>2637831</v>
      </c>
    </row>
    <row r="104" spans="7:12" x14ac:dyDescent="0.25">
      <c r="G104" s="11"/>
      <c r="H104" s="11"/>
      <c r="I104" s="78">
        <v>45224</v>
      </c>
      <c r="J104" s="33" t="s">
        <v>247</v>
      </c>
      <c r="K104" s="84">
        <v>375240</v>
      </c>
    </row>
    <row r="105" spans="7:12" x14ac:dyDescent="0.25">
      <c r="G105" s="11"/>
      <c r="H105" s="11"/>
      <c r="I105" s="78">
        <v>45224</v>
      </c>
      <c r="J105" s="33" t="s">
        <v>248</v>
      </c>
      <c r="K105" s="84">
        <v>1565860</v>
      </c>
    </row>
    <row r="106" spans="7:12" x14ac:dyDescent="0.25">
      <c r="G106" s="11"/>
      <c r="H106" s="11"/>
      <c r="I106" s="78">
        <v>45235</v>
      </c>
      <c r="J106" s="33" t="s">
        <v>249</v>
      </c>
      <c r="K106" s="79">
        <v>179360</v>
      </c>
    </row>
    <row r="107" spans="7:12" x14ac:dyDescent="0.25">
      <c r="G107" s="11"/>
      <c r="H107" s="11"/>
      <c r="I107" s="78">
        <v>45235</v>
      </c>
      <c r="J107" s="33">
        <v>481384782179</v>
      </c>
      <c r="K107" s="84">
        <v>2509860</v>
      </c>
    </row>
    <row r="108" spans="7:12" x14ac:dyDescent="0.25">
      <c r="G108" s="11"/>
      <c r="H108" s="11"/>
      <c r="I108" s="78">
        <v>45266</v>
      </c>
      <c r="J108" s="33" t="s">
        <v>250</v>
      </c>
      <c r="K108" s="84">
        <v>1251390</v>
      </c>
    </row>
    <row r="109" spans="7:12" x14ac:dyDescent="0.25">
      <c r="G109" s="11"/>
      <c r="H109" s="11"/>
      <c r="I109" s="78">
        <v>45277</v>
      </c>
      <c r="J109" s="33" t="s">
        <v>251</v>
      </c>
      <c r="K109" s="84">
        <v>1247071.2</v>
      </c>
    </row>
    <row r="110" spans="7:12" x14ac:dyDescent="0.25">
      <c r="G110" s="11"/>
      <c r="H110" s="11" t="s">
        <v>30</v>
      </c>
      <c r="I110" s="11"/>
      <c r="J110" s="33"/>
      <c r="K110" s="84">
        <f>SUM(K101:K109)</f>
        <v>12345897.699999999</v>
      </c>
      <c r="L110">
        <v>2.1</v>
      </c>
    </row>
    <row r="111" spans="7:12" x14ac:dyDescent="0.25">
      <c r="G111" s="11"/>
      <c r="H111" s="77" t="s">
        <v>252</v>
      </c>
      <c r="I111" s="78">
        <v>45184</v>
      </c>
      <c r="J111" s="33" t="s">
        <v>253</v>
      </c>
      <c r="K111" s="84">
        <v>133384.20000000001</v>
      </c>
    </row>
    <row r="112" spans="7:12" x14ac:dyDescent="0.25">
      <c r="G112" s="11"/>
      <c r="H112" s="11" t="s">
        <v>30</v>
      </c>
      <c r="I112" s="11"/>
      <c r="J112" s="33"/>
      <c r="K112" s="84">
        <f>SUM(K111)</f>
        <v>133384.20000000001</v>
      </c>
    </row>
    <row r="113" spans="7:11" x14ac:dyDescent="0.25">
      <c r="G113" s="11"/>
      <c r="H113" s="77" t="s">
        <v>254</v>
      </c>
      <c r="I113" s="78">
        <v>45267</v>
      </c>
      <c r="J113" s="33" t="s">
        <v>255</v>
      </c>
      <c r="K113" s="84">
        <v>512669.45</v>
      </c>
    </row>
    <row r="114" spans="7:11" x14ac:dyDescent="0.25">
      <c r="G114" s="11"/>
      <c r="H114" s="11" t="s">
        <v>30</v>
      </c>
      <c r="I114" s="11"/>
      <c r="J114" s="33"/>
      <c r="K114" s="84">
        <f>SUM(K113)</f>
        <v>512669.45</v>
      </c>
    </row>
    <row r="115" spans="7:11" x14ac:dyDescent="0.25">
      <c r="G115" s="11"/>
      <c r="H115" s="77" t="s">
        <v>256</v>
      </c>
      <c r="I115" s="78">
        <v>45264</v>
      </c>
      <c r="J115" s="33" t="s">
        <v>257</v>
      </c>
      <c r="K115" s="85">
        <v>5337364.2</v>
      </c>
    </row>
    <row r="116" spans="7:11" x14ac:dyDescent="0.25">
      <c r="G116" s="11"/>
      <c r="H116" s="11" t="s">
        <v>30</v>
      </c>
      <c r="I116" s="11"/>
      <c r="J116" s="33"/>
      <c r="K116" s="86">
        <f>SUM(K115)</f>
        <v>5337364.2</v>
      </c>
    </row>
    <row r="117" spans="7:11" x14ac:dyDescent="0.25">
      <c r="G117" s="11"/>
      <c r="H117" s="77" t="s">
        <v>258</v>
      </c>
      <c r="I117" s="78">
        <v>45048</v>
      </c>
      <c r="J117" s="33" t="s">
        <v>259</v>
      </c>
      <c r="K117" s="83">
        <v>19426</v>
      </c>
    </row>
    <row r="118" spans="7:11" x14ac:dyDescent="0.25">
      <c r="G118" s="11"/>
      <c r="H118" s="11"/>
      <c r="I118" s="78">
        <v>45048</v>
      </c>
      <c r="J118" s="33" t="s">
        <v>260</v>
      </c>
      <c r="K118" s="83">
        <v>19426</v>
      </c>
    </row>
    <row r="119" spans="7:11" x14ac:dyDescent="0.25">
      <c r="G119" s="11"/>
      <c r="H119" s="11"/>
      <c r="I119" s="78">
        <v>45061</v>
      </c>
      <c r="J119" s="33" t="s">
        <v>261</v>
      </c>
      <c r="K119" s="79">
        <v>132160</v>
      </c>
    </row>
    <row r="120" spans="7:11" x14ac:dyDescent="0.25">
      <c r="G120" s="11"/>
      <c r="H120" s="11"/>
      <c r="I120" s="78">
        <v>45061</v>
      </c>
      <c r="J120" s="33" t="s">
        <v>262</v>
      </c>
      <c r="K120" s="83">
        <v>10915</v>
      </c>
    </row>
    <row r="121" spans="7:11" x14ac:dyDescent="0.25">
      <c r="G121" s="11"/>
      <c r="H121" s="11"/>
      <c r="I121" s="78">
        <v>45208</v>
      </c>
      <c r="J121" s="33" t="s">
        <v>263</v>
      </c>
      <c r="K121" s="83">
        <v>67400</v>
      </c>
    </row>
    <row r="122" spans="7:11" x14ac:dyDescent="0.25">
      <c r="G122" s="11"/>
      <c r="H122" s="11"/>
      <c r="I122" s="78">
        <v>45244</v>
      </c>
      <c r="J122" s="33" t="s">
        <v>264</v>
      </c>
      <c r="K122" s="83">
        <v>5900</v>
      </c>
    </row>
    <row r="123" spans="7:11" x14ac:dyDescent="0.25">
      <c r="G123" s="11"/>
      <c r="H123" s="11"/>
      <c r="I123" s="78">
        <v>45244</v>
      </c>
      <c r="J123" s="33" t="s">
        <v>265</v>
      </c>
      <c r="K123" s="83">
        <v>5900</v>
      </c>
    </row>
    <row r="124" spans="7:11" x14ac:dyDescent="0.25">
      <c r="G124" s="11"/>
      <c r="H124" s="11"/>
      <c r="I124" s="78">
        <v>45330</v>
      </c>
      <c r="J124" s="33" t="s">
        <v>266</v>
      </c>
      <c r="K124" s="83">
        <v>71390</v>
      </c>
    </row>
    <row r="125" spans="7:11" x14ac:dyDescent="0.25">
      <c r="G125" s="11"/>
      <c r="H125" s="11" t="s">
        <v>30</v>
      </c>
      <c r="I125" s="11"/>
      <c r="J125" s="33"/>
      <c r="K125" s="84">
        <f>SUM(K117:K124)</f>
        <v>332517</v>
      </c>
    </row>
    <row r="126" spans="7:11" x14ac:dyDescent="0.25">
      <c r="G126" s="11"/>
      <c r="H126" s="77" t="s">
        <v>267</v>
      </c>
      <c r="I126" s="78">
        <v>45206</v>
      </c>
      <c r="J126" s="33" t="s">
        <v>268</v>
      </c>
      <c r="K126" s="84">
        <v>47200</v>
      </c>
    </row>
    <row r="127" spans="7:11" x14ac:dyDescent="0.25">
      <c r="G127" s="11"/>
      <c r="H127" s="11" t="s">
        <v>30</v>
      </c>
      <c r="I127" s="11"/>
      <c r="J127" s="33"/>
      <c r="K127" s="84">
        <f>SUM(K126)</f>
        <v>47200</v>
      </c>
    </row>
    <row r="128" spans="7:11" x14ac:dyDescent="0.25">
      <c r="G128" s="11"/>
      <c r="H128" s="77" t="s">
        <v>269</v>
      </c>
      <c r="I128" s="78">
        <v>45111</v>
      </c>
      <c r="J128" s="33" t="s">
        <v>270</v>
      </c>
      <c r="K128" s="84">
        <v>20000</v>
      </c>
    </row>
    <row r="129" spans="7:11" x14ac:dyDescent="0.25">
      <c r="G129" s="11"/>
      <c r="H129" s="11" t="s">
        <v>30</v>
      </c>
      <c r="I129" s="11"/>
      <c r="J129" s="33"/>
      <c r="K129" s="84">
        <f>SUM(K128)</f>
        <v>20000</v>
      </c>
    </row>
    <row r="130" spans="7:11" x14ac:dyDescent="0.25">
      <c r="G130" s="11"/>
      <c r="H130" s="77" t="s">
        <v>271</v>
      </c>
      <c r="I130" s="78">
        <v>45371</v>
      </c>
      <c r="J130" s="33" t="s">
        <v>272</v>
      </c>
      <c r="K130" s="83">
        <v>61360</v>
      </c>
    </row>
    <row r="131" spans="7:11" x14ac:dyDescent="0.25">
      <c r="G131" s="11"/>
      <c r="H131" s="11" t="s">
        <v>30</v>
      </c>
      <c r="I131" s="11"/>
      <c r="J131" s="11"/>
      <c r="K131" s="84">
        <f>SUM(K130)</f>
        <v>61360</v>
      </c>
    </row>
    <row r="132" spans="7:11" x14ac:dyDescent="0.25">
      <c r="G132" s="11"/>
      <c r="H132" s="77" t="s">
        <v>273</v>
      </c>
      <c r="I132" s="11"/>
      <c r="J132" s="11"/>
      <c r="K132" s="33">
        <v>158150</v>
      </c>
    </row>
    <row r="133" spans="7:11" x14ac:dyDescent="0.25">
      <c r="G133" s="11"/>
      <c r="H133" s="11" t="s">
        <v>30</v>
      </c>
      <c r="I133" s="11"/>
      <c r="J133" s="11"/>
      <c r="K133" s="33">
        <f>SUM(K132)</f>
        <v>158150</v>
      </c>
    </row>
    <row r="134" spans="7:11" x14ac:dyDescent="0.25">
      <c r="H134" s="110" t="s">
        <v>350</v>
      </c>
      <c r="K134">
        <f>T40</f>
        <v>116594067.90000001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H26"/>
  <sheetViews>
    <sheetView topLeftCell="C1" workbookViewId="0">
      <selection activeCell="F26" sqref="F26"/>
    </sheetView>
  </sheetViews>
  <sheetFormatPr defaultRowHeight="15" x14ac:dyDescent="0.25"/>
  <cols>
    <col min="4" max="4" width="53.42578125" customWidth="1"/>
    <col min="5" max="6" width="9.140625" customWidth="1"/>
    <col min="7" max="7" width="9.7109375" customWidth="1"/>
  </cols>
  <sheetData>
    <row r="3" spans="4:8" ht="75.75" thickBot="1" x14ac:dyDescent="0.3">
      <c r="D3" s="2" t="s">
        <v>6</v>
      </c>
      <c r="E3" s="3">
        <v>1.1499999999999999</v>
      </c>
      <c r="F3" s="7">
        <f>E3/$E$9</f>
        <v>2.911392405063291E-2</v>
      </c>
      <c r="G3" s="6">
        <v>1.63</v>
      </c>
      <c r="H3" s="9">
        <f>G3/$G$9</f>
        <v>4.1068279163517261E-2</v>
      </c>
    </row>
    <row r="4" spans="4:8" ht="15.75" thickBot="1" x14ac:dyDescent="0.3">
      <c r="D4" s="4" t="s">
        <v>7</v>
      </c>
      <c r="E4" s="3">
        <v>8.74</v>
      </c>
      <c r="F4" s="7">
        <f t="shared" ref="F4:F8" si="0">E4/$E$9</f>
        <v>0.22126582278481013</v>
      </c>
      <c r="G4" s="5">
        <v>9.67</v>
      </c>
      <c r="H4" s="9">
        <f t="shared" ref="H4:H8" si="1">G4/$G$9</f>
        <v>0.24363819601914841</v>
      </c>
    </row>
    <row r="5" spans="4:8" ht="15.75" thickBot="1" x14ac:dyDescent="0.3">
      <c r="D5" s="4" t="s">
        <v>8</v>
      </c>
      <c r="E5" s="3">
        <v>26.16</v>
      </c>
      <c r="F5" s="7">
        <f t="shared" si="0"/>
        <v>0.66227848101265818</v>
      </c>
      <c r="G5" s="5">
        <v>24.5</v>
      </c>
      <c r="H5" s="9">
        <f t="shared" si="1"/>
        <v>0.61728395061728403</v>
      </c>
    </row>
    <row r="6" spans="4:8" ht="15.75" thickBot="1" x14ac:dyDescent="0.3">
      <c r="D6" s="4" t="s">
        <v>9</v>
      </c>
      <c r="E6" s="3">
        <v>1.75</v>
      </c>
      <c r="F6" s="7">
        <f t="shared" si="0"/>
        <v>4.4303797468354431E-2</v>
      </c>
      <c r="G6" s="5">
        <v>3.28</v>
      </c>
      <c r="H6" s="9">
        <f t="shared" si="1"/>
        <v>8.2640463592844549E-2</v>
      </c>
    </row>
    <row r="7" spans="4:8" ht="15.75" thickBot="1" x14ac:dyDescent="0.3">
      <c r="D7" s="4" t="s">
        <v>10</v>
      </c>
      <c r="E7" s="3">
        <v>1.5</v>
      </c>
      <c r="F7" s="7">
        <f t="shared" si="0"/>
        <v>3.7974683544303799E-2</v>
      </c>
      <c r="G7" s="5">
        <v>0.61</v>
      </c>
      <c r="H7" s="9">
        <f t="shared" si="1"/>
        <v>1.5369110607205846E-2</v>
      </c>
    </row>
    <row r="8" spans="4:8" ht="15.75" thickBot="1" x14ac:dyDescent="0.3">
      <c r="D8" s="4" t="s">
        <v>11</v>
      </c>
      <c r="E8" s="3">
        <v>0.2</v>
      </c>
      <c r="F8" s="7">
        <f t="shared" si="0"/>
        <v>5.0632911392405064E-3</v>
      </c>
      <c r="G8" s="5">
        <v>0</v>
      </c>
      <c r="H8" s="9">
        <f t="shared" si="1"/>
        <v>0</v>
      </c>
    </row>
    <row r="9" spans="4:8" x14ac:dyDescent="0.25">
      <c r="E9">
        <f>SUM(E3:E8)</f>
        <v>39.5</v>
      </c>
      <c r="F9" s="8"/>
      <c r="G9">
        <f>SUM(G3:G8)</f>
        <v>39.69</v>
      </c>
    </row>
    <row r="18" spans="4:6" ht="15.75" thickBot="1" x14ac:dyDescent="0.3">
      <c r="D18" s="2" t="s">
        <v>6</v>
      </c>
      <c r="E18" s="3">
        <v>1.35</v>
      </c>
      <c r="F18" s="7">
        <f>E18/E21</f>
        <v>4.5135406218655971E-2</v>
      </c>
    </row>
    <row r="19" spans="4:6" ht="15.75" thickBot="1" x14ac:dyDescent="0.3">
      <c r="D19" s="4" t="s">
        <v>7</v>
      </c>
      <c r="E19" s="3">
        <v>8.1</v>
      </c>
      <c r="F19" s="7">
        <f>E19/E21</f>
        <v>0.27081243731193577</v>
      </c>
    </row>
    <row r="20" spans="4:6" ht="15.75" thickBot="1" x14ac:dyDescent="0.3">
      <c r="D20" s="4" t="s">
        <v>8</v>
      </c>
      <c r="E20" s="3">
        <v>20.46</v>
      </c>
      <c r="F20" s="7">
        <f>E20/E21</f>
        <v>0.6840521564694082</v>
      </c>
    </row>
    <row r="21" spans="4:6" ht="15.75" thickBot="1" x14ac:dyDescent="0.3">
      <c r="D21" s="4"/>
      <c r="E21" s="3">
        <f>SUM(E18:E20)</f>
        <v>29.91</v>
      </c>
      <c r="F21" s="7"/>
    </row>
    <row r="22" spans="4:6" ht="15.75" thickBot="1" x14ac:dyDescent="0.3">
      <c r="D22" s="4"/>
      <c r="E22" s="3"/>
      <c r="F22" s="7"/>
    </row>
    <row r="23" spans="4:6" ht="15.75" thickBot="1" x14ac:dyDescent="0.3">
      <c r="D23" s="4"/>
      <c r="E23" s="3"/>
      <c r="F23" s="7"/>
    </row>
    <row r="26" spans="4:6" x14ac:dyDescent="0.25">
      <c r="E26">
        <f>24.5/39.69*100</f>
        <v>61.728395061728406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V30"/>
  <sheetViews>
    <sheetView topLeftCell="D55" zoomScaleNormal="100" workbookViewId="0">
      <selection activeCell="M21" sqref="M21"/>
    </sheetView>
  </sheetViews>
  <sheetFormatPr defaultRowHeight="15" x14ac:dyDescent="0.25"/>
  <cols>
    <col min="6" max="6" width="15.140625" customWidth="1"/>
    <col min="8" max="9" width="9.140625" hidden="1" customWidth="1"/>
    <col min="10" max="10" width="11.5703125" hidden="1" customWidth="1"/>
    <col min="11" max="13" width="11.5703125" customWidth="1"/>
    <col min="14" max="14" width="21" bestFit="1" customWidth="1"/>
    <col min="15" max="15" width="25" hidden="1" customWidth="1"/>
    <col min="17" max="17" width="13.42578125" bestFit="1" customWidth="1"/>
    <col min="18" max="18" width="17" customWidth="1"/>
    <col min="20" max="20" width="15.85546875" customWidth="1"/>
  </cols>
  <sheetData>
    <row r="2" spans="5:22" ht="18.75" x14ac:dyDescent="0.25">
      <c r="E2" s="101" t="s">
        <v>65</v>
      </c>
      <c r="F2" s="102"/>
      <c r="G2" s="102"/>
      <c r="H2" s="102"/>
      <c r="I2" s="102"/>
      <c r="J2" s="102"/>
      <c r="K2" s="102"/>
      <c r="L2" s="102"/>
      <c r="M2" s="102"/>
      <c r="N2" s="102"/>
      <c r="O2" s="102"/>
    </row>
    <row r="3" spans="5:22" ht="30" x14ac:dyDescent="0.25">
      <c r="E3" s="36" t="s">
        <v>13</v>
      </c>
      <c r="F3" s="36" t="s">
        <v>0</v>
      </c>
      <c r="G3" s="37" t="s">
        <v>12</v>
      </c>
      <c r="H3" s="37" t="s">
        <v>22</v>
      </c>
      <c r="I3" s="37" t="s">
        <v>23</v>
      </c>
      <c r="J3" s="37" t="s">
        <v>15</v>
      </c>
      <c r="K3" s="37" t="s">
        <v>25</v>
      </c>
      <c r="L3" s="37" t="s">
        <v>24</v>
      </c>
      <c r="M3" s="37" t="s">
        <v>16</v>
      </c>
      <c r="N3" s="37" t="s">
        <v>17</v>
      </c>
      <c r="O3" s="48" t="s">
        <v>4</v>
      </c>
    </row>
    <row r="4" spans="5:22" ht="30" x14ac:dyDescent="0.25">
      <c r="E4" s="40">
        <v>1</v>
      </c>
      <c r="F4" s="38" t="s">
        <v>19</v>
      </c>
      <c r="G4" s="38" t="s">
        <v>73</v>
      </c>
      <c r="H4" s="38"/>
      <c r="I4" s="38"/>
      <c r="J4" s="38">
        <v>800</v>
      </c>
      <c r="K4" s="38" t="s">
        <v>26</v>
      </c>
      <c r="L4" s="41">
        <f>J4*10.7639</f>
        <v>8611.119999999999</v>
      </c>
      <c r="M4" s="41">
        <v>1000</v>
      </c>
      <c r="N4" s="43">
        <f>L4*M4</f>
        <v>8611119.9999999981</v>
      </c>
      <c r="O4" s="49" t="s">
        <v>93</v>
      </c>
    </row>
    <row r="5" spans="5:22" ht="45" x14ac:dyDescent="0.25">
      <c r="E5" s="40">
        <v>2</v>
      </c>
      <c r="F5" s="38" t="s">
        <v>18</v>
      </c>
      <c r="G5" s="38" t="s">
        <v>88</v>
      </c>
      <c r="H5" s="38"/>
      <c r="I5" s="38"/>
      <c r="J5" s="38">
        <f>36*27</f>
        <v>972</v>
      </c>
      <c r="K5" s="38" t="s">
        <v>26</v>
      </c>
      <c r="L5" s="41">
        <f t="shared" ref="L5:L7" si="0">J5*10.7639</f>
        <v>10462.5108</v>
      </c>
      <c r="M5" s="41">
        <v>550</v>
      </c>
      <c r="N5" s="43">
        <f t="shared" ref="N5:N7" si="1">L5*M5</f>
        <v>5754380.9400000004</v>
      </c>
      <c r="O5" s="49" t="s">
        <v>90</v>
      </c>
      <c r="Q5" s="14">
        <f>91*31</f>
        <v>2821</v>
      </c>
      <c r="V5">
        <f>18*8</f>
        <v>144</v>
      </c>
    </row>
    <row r="6" spans="5:22" ht="45" x14ac:dyDescent="0.25">
      <c r="E6" s="40">
        <v>3</v>
      </c>
      <c r="F6" s="38" t="s">
        <v>54</v>
      </c>
      <c r="G6" s="38" t="s">
        <v>73</v>
      </c>
      <c r="H6" s="38"/>
      <c r="I6" s="38"/>
      <c r="J6" s="38">
        <f>36*36</f>
        <v>1296</v>
      </c>
      <c r="K6" s="38" t="s">
        <v>26</v>
      </c>
      <c r="L6" s="41">
        <f t="shared" si="0"/>
        <v>13950.0144</v>
      </c>
      <c r="M6" s="73">
        <v>1200</v>
      </c>
      <c r="N6" s="43">
        <f t="shared" si="1"/>
        <v>16740017.279999999</v>
      </c>
      <c r="O6" s="49" t="s">
        <v>72</v>
      </c>
      <c r="V6">
        <f>18*18</f>
        <v>324</v>
      </c>
    </row>
    <row r="7" spans="5:22" ht="75" x14ac:dyDescent="0.25">
      <c r="E7" s="40">
        <v>4</v>
      </c>
      <c r="F7" s="38" t="s">
        <v>47</v>
      </c>
      <c r="G7" s="38" t="s">
        <v>14</v>
      </c>
      <c r="H7" s="38"/>
      <c r="I7" s="38"/>
      <c r="J7" s="40">
        <f>19*18*3</f>
        <v>1026</v>
      </c>
      <c r="K7" s="38" t="s">
        <v>26</v>
      </c>
      <c r="L7" s="41">
        <f t="shared" si="0"/>
        <v>11043.761399999999</v>
      </c>
      <c r="M7" s="73">
        <v>1400</v>
      </c>
      <c r="N7" s="43">
        <f t="shared" si="1"/>
        <v>15461265.959999999</v>
      </c>
      <c r="O7" s="49" t="s">
        <v>94</v>
      </c>
      <c r="V7">
        <f>SUM(V5:V6)</f>
        <v>468</v>
      </c>
    </row>
    <row r="8" spans="5:22" ht="30" x14ac:dyDescent="0.25">
      <c r="E8" s="40">
        <v>5</v>
      </c>
      <c r="F8" s="38" t="s">
        <v>1</v>
      </c>
      <c r="G8" s="38" t="s">
        <v>14</v>
      </c>
      <c r="H8" s="38"/>
      <c r="I8" s="38"/>
      <c r="J8" s="38">
        <v>468</v>
      </c>
      <c r="K8" s="38" t="s">
        <v>26</v>
      </c>
      <c r="L8" s="73">
        <f t="shared" ref="L8:L14" si="2">J8*10.7639</f>
        <v>5037.5051999999996</v>
      </c>
      <c r="M8" s="73">
        <v>1000</v>
      </c>
      <c r="N8" s="74">
        <f t="shared" ref="N8:N14" si="3">L8*M8</f>
        <v>5037505.1999999993</v>
      </c>
      <c r="O8" s="49" t="s">
        <v>66</v>
      </c>
    </row>
    <row r="9" spans="5:22" ht="45" x14ac:dyDescent="0.25">
      <c r="E9" s="40">
        <v>6</v>
      </c>
      <c r="F9" s="38" t="s">
        <v>61</v>
      </c>
      <c r="G9" s="38" t="s">
        <v>62</v>
      </c>
      <c r="H9" s="38"/>
      <c r="I9" s="38"/>
      <c r="J9" s="38">
        <f>13*36</f>
        <v>468</v>
      </c>
      <c r="K9" s="38" t="s">
        <v>26</v>
      </c>
      <c r="L9" s="73">
        <f>J9*10.7639</f>
        <v>5037.5051999999996</v>
      </c>
      <c r="M9" s="73">
        <v>1200</v>
      </c>
      <c r="N9" s="74">
        <f t="shared" si="3"/>
        <v>6045006.2399999993</v>
      </c>
      <c r="O9" s="49" t="s">
        <v>67</v>
      </c>
    </row>
    <row r="10" spans="5:22" ht="30" x14ac:dyDescent="0.25">
      <c r="E10" s="40">
        <v>7</v>
      </c>
      <c r="F10" s="40" t="s">
        <v>2</v>
      </c>
      <c r="G10" s="38" t="s">
        <v>14</v>
      </c>
      <c r="H10" s="38"/>
      <c r="I10" s="38"/>
      <c r="J10" s="40"/>
      <c r="K10" s="38" t="s">
        <v>55</v>
      </c>
      <c r="L10" s="42">
        <v>160</v>
      </c>
      <c r="M10" s="73">
        <v>9500</v>
      </c>
      <c r="N10" s="74">
        <f>L10*M10</f>
        <v>1520000</v>
      </c>
      <c r="O10" s="49" t="s">
        <v>92</v>
      </c>
    </row>
    <row r="11" spans="5:22" ht="30" x14ac:dyDescent="0.25">
      <c r="E11" s="40">
        <v>8</v>
      </c>
      <c r="F11" s="38" t="s">
        <v>87</v>
      </c>
      <c r="G11" s="38" t="s">
        <v>14</v>
      </c>
      <c r="H11" s="38"/>
      <c r="I11" s="38"/>
      <c r="J11" s="40"/>
      <c r="K11" s="38" t="s">
        <v>55</v>
      </c>
      <c r="L11" s="42">
        <f>1700/2</f>
        <v>850</v>
      </c>
      <c r="M11" s="73">
        <v>10000</v>
      </c>
      <c r="N11" s="74">
        <f>L11*M11</f>
        <v>8500000</v>
      </c>
      <c r="O11" s="49" t="s">
        <v>92</v>
      </c>
    </row>
    <row r="12" spans="5:22" ht="45" x14ac:dyDescent="0.25">
      <c r="E12" s="40">
        <v>9</v>
      </c>
      <c r="F12" s="38" t="s">
        <v>86</v>
      </c>
      <c r="G12" s="38" t="s">
        <v>14</v>
      </c>
      <c r="H12" s="38"/>
      <c r="I12" s="38"/>
      <c r="J12" s="40"/>
      <c r="K12" s="38" t="s">
        <v>55</v>
      </c>
      <c r="L12" s="42">
        <f>1700/2</f>
        <v>850</v>
      </c>
      <c r="M12" s="73">
        <v>10000</v>
      </c>
      <c r="N12" s="74">
        <f>L12*M12</f>
        <v>8500000</v>
      </c>
      <c r="O12" s="49" t="s">
        <v>91</v>
      </c>
    </row>
    <row r="13" spans="5:22" ht="30" x14ac:dyDescent="0.25">
      <c r="E13" s="40">
        <v>10</v>
      </c>
      <c r="F13" s="40" t="s">
        <v>3</v>
      </c>
      <c r="G13" s="38" t="s">
        <v>14</v>
      </c>
      <c r="H13" s="38"/>
      <c r="I13" s="38"/>
      <c r="J13" s="40">
        <f>57*13</f>
        <v>741</v>
      </c>
      <c r="K13" s="38" t="s">
        <v>26</v>
      </c>
      <c r="L13" s="73">
        <f t="shared" si="2"/>
        <v>7976.0499</v>
      </c>
      <c r="M13" s="73">
        <v>1100</v>
      </c>
      <c r="N13" s="74">
        <f t="shared" si="3"/>
        <v>8773654.8900000006</v>
      </c>
      <c r="O13" s="49" t="s">
        <v>5</v>
      </c>
    </row>
    <row r="14" spans="5:22" ht="60" x14ac:dyDescent="0.25">
      <c r="E14" s="40">
        <v>11</v>
      </c>
      <c r="F14" s="38" t="s">
        <v>349</v>
      </c>
      <c r="G14" s="38" t="s">
        <v>14</v>
      </c>
      <c r="H14" s="38"/>
      <c r="I14" s="38"/>
      <c r="J14" s="38">
        <f>180/10.7639</f>
        <v>16.722563383160381</v>
      </c>
      <c r="K14" s="38" t="s">
        <v>26</v>
      </c>
      <c r="L14" s="73">
        <f t="shared" si="2"/>
        <v>180.00000000000003</v>
      </c>
      <c r="M14" s="73">
        <v>1250</v>
      </c>
      <c r="N14" s="74">
        <f t="shared" si="3"/>
        <v>225000.00000000003</v>
      </c>
      <c r="O14" s="49" t="s">
        <v>68</v>
      </c>
    </row>
    <row r="15" spans="5:22" ht="30" x14ac:dyDescent="0.25">
      <c r="E15" s="40">
        <v>12</v>
      </c>
      <c r="F15" s="38" t="s">
        <v>276</v>
      </c>
      <c r="G15" s="38" t="s">
        <v>14</v>
      </c>
      <c r="H15" s="38"/>
      <c r="I15" s="38"/>
      <c r="J15" s="38">
        <f>180/10.7639</f>
        <v>16.722563383160381</v>
      </c>
      <c r="K15" s="38" t="s">
        <v>26</v>
      </c>
      <c r="L15" s="73">
        <f t="shared" ref="L15" si="4">J15*10.7639</f>
        <v>180.00000000000003</v>
      </c>
      <c r="M15" s="73">
        <v>1100</v>
      </c>
      <c r="N15" s="74">
        <f t="shared" ref="N15" si="5">L15*M15</f>
        <v>198000.00000000003</v>
      </c>
      <c r="O15" s="38" t="s">
        <v>70</v>
      </c>
    </row>
    <row r="16" spans="5:22" x14ac:dyDescent="0.25">
      <c r="E16" s="40">
        <v>13</v>
      </c>
      <c r="F16" s="38" t="s">
        <v>20</v>
      </c>
      <c r="G16" s="38" t="s">
        <v>21</v>
      </c>
      <c r="H16" s="38"/>
      <c r="I16" s="38"/>
      <c r="J16" s="39">
        <f>944*2.13</f>
        <v>2010.7199999999998</v>
      </c>
      <c r="K16" s="38" t="s">
        <v>26</v>
      </c>
      <c r="L16" s="73">
        <f t="shared" ref="L16" si="6">J16*10.7639</f>
        <v>21643.189007999998</v>
      </c>
      <c r="M16" s="73">
        <v>140</v>
      </c>
      <c r="N16" s="74">
        <f t="shared" ref="N16:N18" si="7">L16*M16</f>
        <v>3030046.4611199996</v>
      </c>
      <c r="O16" s="49" t="s">
        <v>71</v>
      </c>
    </row>
    <row r="17" spans="5:18" ht="45" customHeight="1" x14ac:dyDescent="0.25">
      <c r="E17" s="105">
        <v>14</v>
      </c>
      <c r="F17" s="103" t="s">
        <v>170</v>
      </c>
      <c r="G17" s="38" t="s">
        <v>14</v>
      </c>
      <c r="H17" s="38"/>
      <c r="I17" s="38"/>
      <c r="J17" s="39"/>
      <c r="K17" s="38"/>
      <c r="L17" s="73">
        <f>0.45*0.45*1.5*109</f>
        <v>33.108750000000001</v>
      </c>
      <c r="M17" s="73">
        <v>10357</v>
      </c>
      <c r="N17" s="74">
        <f t="shared" si="7"/>
        <v>342907.32374999998</v>
      </c>
      <c r="O17" s="49" t="s">
        <v>71</v>
      </c>
    </row>
    <row r="18" spans="5:18" x14ac:dyDescent="0.25">
      <c r="E18" s="106"/>
      <c r="F18" s="104"/>
      <c r="G18" s="38" t="s">
        <v>83</v>
      </c>
      <c r="H18" s="38"/>
      <c r="I18" s="38"/>
      <c r="J18" s="39"/>
      <c r="K18" s="38"/>
      <c r="L18" s="73">
        <f>L17*0.01*7850</f>
        <v>2599.0368750000002</v>
      </c>
      <c r="M18" s="73">
        <v>89</v>
      </c>
      <c r="N18" s="74">
        <f t="shared" si="7"/>
        <v>231314.28187500002</v>
      </c>
      <c r="O18" s="49"/>
    </row>
    <row r="19" spans="5:18" ht="30" x14ac:dyDescent="0.25">
      <c r="E19" s="40">
        <v>15</v>
      </c>
      <c r="F19" s="38" t="s">
        <v>53</v>
      </c>
      <c r="G19" s="38" t="s">
        <v>89</v>
      </c>
      <c r="H19" s="38"/>
      <c r="I19" s="38"/>
      <c r="J19" s="39"/>
      <c r="K19" s="38" t="s">
        <v>55</v>
      </c>
      <c r="L19" s="41">
        <f>550*6*0.23</f>
        <v>759</v>
      </c>
      <c r="M19" s="73">
        <v>10357</v>
      </c>
      <c r="N19" s="44">
        <f>M19*L19</f>
        <v>7860963</v>
      </c>
      <c r="O19" s="49" t="s">
        <v>69</v>
      </c>
    </row>
    <row r="20" spans="5:18" ht="60" x14ac:dyDescent="0.25">
      <c r="E20" s="40">
        <v>16</v>
      </c>
      <c r="F20" s="38" t="s">
        <v>63</v>
      </c>
      <c r="G20" s="38" t="s">
        <v>169</v>
      </c>
      <c r="H20" s="38"/>
      <c r="I20" s="38"/>
      <c r="J20" s="39"/>
      <c r="K20" s="38" t="s">
        <v>64</v>
      </c>
      <c r="L20" s="41">
        <v>550</v>
      </c>
      <c r="M20" s="41">
        <v>3000</v>
      </c>
      <c r="N20" s="44">
        <f>L20*M20</f>
        <v>1650000</v>
      </c>
      <c r="O20" s="49" t="s">
        <v>69</v>
      </c>
    </row>
    <row r="21" spans="5:18" ht="30" x14ac:dyDescent="0.25">
      <c r="E21" s="40">
        <v>17</v>
      </c>
      <c r="F21" s="38" t="s">
        <v>274</v>
      </c>
      <c r="G21" s="38" t="s">
        <v>14</v>
      </c>
      <c r="H21" s="38"/>
      <c r="I21" s="38"/>
      <c r="J21" s="39">
        <f>16*18</f>
        <v>288</v>
      </c>
      <c r="K21" s="38" t="s">
        <v>26</v>
      </c>
      <c r="L21" s="41">
        <f>J21*10.7639</f>
        <v>3100.0032000000001</v>
      </c>
      <c r="M21" s="73">
        <v>1200</v>
      </c>
      <c r="N21" s="44">
        <f>L21*M21</f>
        <v>3720003.8400000003</v>
      </c>
      <c r="O21" s="49"/>
    </row>
    <row r="22" spans="5:18" ht="30" x14ac:dyDescent="0.25">
      <c r="E22" s="40">
        <v>18</v>
      </c>
      <c r="F22" s="38" t="s">
        <v>171</v>
      </c>
      <c r="G22" s="38"/>
      <c r="H22" s="38"/>
      <c r="I22" s="38"/>
      <c r="J22" s="39"/>
      <c r="K22" s="38"/>
      <c r="L22" s="41"/>
      <c r="M22" s="41"/>
      <c r="N22" s="44">
        <v>5311000</v>
      </c>
      <c r="O22" s="49" t="s">
        <v>69</v>
      </c>
    </row>
    <row r="23" spans="5:18" x14ac:dyDescent="0.25">
      <c r="E23" s="98" t="s">
        <v>30</v>
      </c>
      <c r="F23" s="99"/>
      <c r="G23" s="99"/>
      <c r="H23" s="99"/>
      <c r="I23" s="99"/>
      <c r="J23" s="99"/>
      <c r="K23" s="99"/>
      <c r="L23" s="99"/>
      <c r="M23" s="100"/>
      <c r="N23" s="45">
        <f>SUM(N4:N22)</f>
        <v>107512185.41674501</v>
      </c>
      <c r="O23" s="11"/>
    </row>
    <row r="24" spans="5:18" x14ac:dyDescent="0.25">
      <c r="E24" s="11"/>
      <c r="F24" s="12" t="s">
        <v>28</v>
      </c>
      <c r="G24" s="13"/>
      <c r="H24" s="13"/>
      <c r="I24" s="13"/>
      <c r="J24" s="12"/>
      <c r="K24" s="13"/>
      <c r="L24" s="13"/>
      <c r="M24" s="12"/>
      <c r="N24" s="46">
        <f>Land!O17</f>
        <v>13551400</v>
      </c>
      <c r="O24" s="11"/>
    </row>
    <row r="25" spans="5:18" x14ac:dyDescent="0.25">
      <c r="E25" s="11"/>
      <c r="F25" s="11"/>
      <c r="G25" s="11"/>
      <c r="H25" s="11"/>
      <c r="I25" s="11"/>
      <c r="J25" s="11"/>
      <c r="K25" s="11"/>
      <c r="L25" s="11"/>
      <c r="M25" s="11"/>
      <c r="N25" s="47">
        <f>N23+N24</f>
        <v>121063585.41674501</v>
      </c>
      <c r="O25" s="11"/>
    </row>
    <row r="26" spans="5:18" x14ac:dyDescent="0.25">
      <c r="M26" t="s">
        <v>142</v>
      </c>
      <c r="N26" s="46">
        <f>Land!O19</f>
        <v>0</v>
      </c>
      <c r="Q26" t="s">
        <v>28</v>
      </c>
      <c r="R26" s="46">
        <f>Land!O17</f>
        <v>13551400</v>
      </c>
    </row>
    <row r="27" spans="5:18" x14ac:dyDescent="0.25">
      <c r="M27" t="s">
        <v>143</v>
      </c>
      <c r="O27" s="62"/>
      <c r="Q27" t="s">
        <v>7</v>
      </c>
      <c r="R27" s="71">
        <f>N23</f>
        <v>107512185.41674501</v>
      </c>
    </row>
    <row r="28" spans="5:18" x14ac:dyDescent="0.25">
      <c r="M28" t="s">
        <v>144</v>
      </c>
      <c r="Q28" t="s">
        <v>168</v>
      </c>
      <c r="R28" s="55">
        <v>204550000</v>
      </c>
    </row>
    <row r="29" spans="5:18" x14ac:dyDescent="0.25">
      <c r="N29" s="62"/>
      <c r="O29">
        <f>8.1+1.35+20.455</f>
        <v>29.904999999999998</v>
      </c>
      <c r="R29" s="71">
        <f>SUM(R26:R28)</f>
        <v>325613585.41674501</v>
      </c>
    </row>
    <row r="30" spans="5:18" x14ac:dyDescent="0.25">
      <c r="K30" s="46"/>
      <c r="R30" s="14"/>
    </row>
  </sheetData>
  <mergeCells count="4">
    <mergeCell ref="E23:M23"/>
    <mergeCell ref="E2:O2"/>
    <mergeCell ref="F17:F18"/>
    <mergeCell ref="E17:E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5:H38"/>
  <sheetViews>
    <sheetView topLeftCell="A13" workbookViewId="0">
      <selection activeCell="N29" sqref="N29"/>
    </sheetView>
  </sheetViews>
  <sheetFormatPr defaultRowHeight="15" x14ac:dyDescent="0.25"/>
  <cols>
    <col min="7" max="7" width="64.5703125" bestFit="1" customWidth="1"/>
    <col min="8" max="8" width="21.140625" bestFit="1" customWidth="1"/>
  </cols>
  <sheetData>
    <row r="5" spans="7:8" x14ac:dyDescent="0.25">
      <c r="G5" s="88" t="s">
        <v>290</v>
      </c>
      <c r="H5" s="89" t="s">
        <v>291</v>
      </c>
    </row>
    <row r="6" spans="7:8" x14ac:dyDescent="0.25">
      <c r="G6" s="90" t="s">
        <v>292</v>
      </c>
      <c r="H6" s="91" t="s">
        <v>17</v>
      </c>
    </row>
    <row r="7" spans="7:8" x14ac:dyDescent="0.25">
      <c r="G7" s="92" t="s">
        <v>293</v>
      </c>
      <c r="H7" s="93" t="s">
        <v>294</v>
      </c>
    </row>
    <row r="8" spans="7:8" x14ac:dyDescent="0.25">
      <c r="G8" s="92" t="s">
        <v>295</v>
      </c>
      <c r="H8" s="93" t="s">
        <v>296</v>
      </c>
    </row>
    <row r="9" spans="7:8" x14ac:dyDescent="0.25">
      <c r="G9" s="92" t="s">
        <v>297</v>
      </c>
      <c r="H9" s="93" t="s">
        <v>298</v>
      </c>
    </row>
    <row r="10" spans="7:8" x14ac:dyDescent="0.25">
      <c r="G10" s="92" t="s">
        <v>299</v>
      </c>
      <c r="H10" s="93" t="s">
        <v>300</v>
      </c>
    </row>
    <row r="11" spans="7:8" x14ac:dyDescent="0.25">
      <c r="G11" s="92" t="s">
        <v>301</v>
      </c>
      <c r="H11" s="93" t="s">
        <v>302</v>
      </c>
    </row>
    <row r="12" spans="7:8" x14ac:dyDescent="0.25">
      <c r="G12" s="92" t="s">
        <v>303</v>
      </c>
      <c r="H12" s="93" t="s">
        <v>304</v>
      </c>
    </row>
    <row r="13" spans="7:8" x14ac:dyDescent="0.25">
      <c r="G13" s="92" t="s">
        <v>305</v>
      </c>
      <c r="H13" s="93" t="s">
        <v>306</v>
      </c>
    </row>
    <row r="14" spans="7:8" x14ac:dyDescent="0.25">
      <c r="G14" s="92" t="s">
        <v>307</v>
      </c>
      <c r="H14" s="93" t="s">
        <v>308</v>
      </c>
    </row>
    <row r="15" spans="7:8" x14ac:dyDescent="0.25">
      <c r="G15" s="92" t="s">
        <v>309</v>
      </c>
      <c r="H15" s="93" t="s">
        <v>310</v>
      </c>
    </row>
    <row r="16" spans="7:8" x14ac:dyDescent="0.25">
      <c r="G16" s="92" t="s">
        <v>311</v>
      </c>
      <c r="H16" s="93" t="s">
        <v>312</v>
      </c>
    </row>
    <row r="17" spans="7:8" x14ac:dyDescent="0.25">
      <c r="G17" s="92" t="s">
        <v>313</v>
      </c>
      <c r="H17" s="93" t="s">
        <v>314</v>
      </c>
    </row>
    <row r="18" spans="7:8" x14ac:dyDescent="0.25">
      <c r="G18" s="92" t="s">
        <v>315</v>
      </c>
      <c r="H18" s="93" t="s">
        <v>316</v>
      </c>
    </row>
    <row r="19" spans="7:8" x14ac:dyDescent="0.25">
      <c r="G19" s="92" t="s">
        <v>317</v>
      </c>
      <c r="H19" s="93" t="s">
        <v>318</v>
      </c>
    </row>
    <row r="20" spans="7:8" x14ac:dyDescent="0.25">
      <c r="G20" s="92" t="s">
        <v>319</v>
      </c>
      <c r="H20" s="93" t="s">
        <v>320</v>
      </c>
    </row>
    <row r="21" spans="7:8" x14ac:dyDescent="0.25">
      <c r="G21" s="92" t="s">
        <v>321</v>
      </c>
      <c r="H21" s="93" t="s">
        <v>322</v>
      </c>
    </row>
    <row r="22" spans="7:8" x14ac:dyDescent="0.25">
      <c r="G22" s="97" t="s">
        <v>323</v>
      </c>
      <c r="H22" s="97" t="s">
        <v>324</v>
      </c>
    </row>
    <row r="23" spans="7:8" ht="15.75" x14ac:dyDescent="0.25">
      <c r="G23" s="96"/>
      <c r="H23" s="96"/>
    </row>
    <row r="24" spans="7:8" ht="15.75" x14ac:dyDescent="0.25">
      <c r="G24" s="96"/>
      <c r="H24" s="96"/>
    </row>
    <row r="25" spans="7:8" ht="15.75" x14ac:dyDescent="0.25">
      <c r="G25" s="96"/>
      <c r="H25" s="96"/>
    </row>
    <row r="26" spans="7:8" ht="15.75" x14ac:dyDescent="0.25">
      <c r="G26" s="97" t="s">
        <v>7</v>
      </c>
      <c r="H26" s="96"/>
    </row>
    <row r="27" spans="7:8" x14ac:dyDescent="0.25">
      <c r="G27" s="94" t="s">
        <v>325</v>
      </c>
      <c r="H27" s="95" t="s">
        <v>326</v>
      </c>
    </row>
    <row r="28" spans="7:8" x14ac:dyDescent="0.25">
      <c r="G28" s="92" t="s">
        <v>327</v>
      </c>
      <c r="H28" s="93" t="s">
        <v>328</v>
      </c>
    </row>
    <row r="29" spans="7:8" x14ac:dyDescent="0.25">
      <c r="G29" s="92" t="s">
        <v>329</v>
      </c>
      <c r="H29" s="93" t="s">
        <v>330</v>
      </c>
    </row>
    <row r="30" spans="7:8" x14ac:dyDescent="0.25">
      <c r="G30" s="92" t="s">
        <v>331</v>
      </c>
      <c r="H30" s="93" t="s">
        <v>332</v>
      </c>
    </row>
    <row r="31" spans="7:8" x14ac:dyDescent="0.25">
      <c r="G31" s="92" t="s">
        <v>333</v>
      </c>
      <c r="H31" s="93" t="s">
        <v>334</v>
      </c>
    </row>
    <row r="32" spans="7:8" x14ac:dyDescent="0.25">
      <c r="G32" s="92" t="s">
        <v>335</v>
      </c>
      <c r="H32" s="93" t="s">
        <v>336</v>
      </c>
    </row>
    <row r="33" spans="7:8" x14ac:dyDescent="0.25">
      <c r="G33" s="92" t="s">
        <v>337</v>
      </c>
      <c r="H33" s="93" t="s">
        <v>338</v>
      </c>
    </row>
    <row r="34" spans="7:8" x14ac:dyDescent="0.25">
      <c r="G34" s="92" t="s">
        <v>339</v>
      </c>
      <c r="H34" s="93" t="s">
        <v>340</v>
      </c>
    </row>
    <row r="35" spans="7:8" x14ac:dyDescent="0.25">
      <c r="G35" s="92" t="s">
        <v>341</v>
      </c>
      <c r="H35" s="93" t="s">
        <v>342</v>
      </c>
    </row>
    <row r="36" spans="7:8" x14ac:dyDescent="0.25">
      <c r="G36" s="92" t="s">
        <v>343</v>
      </c>
      <c r="H36" s="93" t="s">
        <v>344</v>
      </c>
    </row>
    <row r="37" spans="7:8" x14ac:dyDescent="0.25">
      <c r="G37" s="92" t="s">
        <v>345</v>
      </c>
      <c r="H37" s="93" t="s">
        <v>346</v>
      </c>
    </row>
    <row r="38" spans="7:8" x14ac:dyDescent="0.25">
      <c r="G38" s="88" t="s">
        <v>347</v>
      </c>
      <c r="H38" s="88" t="s">
        <v>348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4:H10"/>
  <sheetViews>
    <sheetView workbookViewId="0">
      <selection activeCell="H8" sqref="H8"/>
    </sheetView>
  </sheetViews>
  <sheetFormatPr defaultRowHeight="15" x14ac:dyDescent="0.25"/>
  <cols>
    <col min="5" max="5" width="8.7109375" customWidth="1"/>
    <col min="6" max="6" width="9.140625" hidden="1" customWidth="1"/>
    <col min="7" max="7" width="32.5703125" customWidth="1"/>
    <col min="8" max="8" width="42.140625" customWidth="1"/>
  </cols>
  <sheetData>
    <row r="4" spans="7:8" ht="30" x14ac:dyDescent="0.25">
      <c r="G4" s="36" t="s">
        <v>37</v>
      </c>
      <c r="H4" s="37" t="s">
        <v>164</v>
      </c>
    </row>
    <row r="5" spans="7:8" x14ac:dyDescent="0.25">
      <c r="G5" s="33" t="s">
        <v>50</v>
      </c>
      <c r="H5" s="33">
        <v>10.734999999999999</v>
      </c>
    </row>
    <row r="6" spans="7:8" x14ac:dyDescent="0.25">
      <c r="G6" s="33" t="s">
        <v>57</v>
      </c>
      <c r="H6" s="33">
        <v>7.83</v>
      </c>
    </row>
    <row r="7" spans="7:8" x14ac:dyDescent="0.25">
      <c r="G7" s="33" t="s">
        <v>165</v>
      </c>
      <c r="H7" s="33">
        <v>1.89</v>
      </c>
    </row>
    <row r="8" spans="7:8" x14ac:dyDescent="0.25">
      <c r="G8" s="69" t="s">
        <v>30</v>
      </c>
      <c r="H8" s="72">
        <f>SUM(H5:H7)</f>
        <v>20.454999999999998</v>
      </c>
    </row>
    <row r="9" spans="7:8" x14ac:dyDescent="0.25">
      <c r="G9" s="70" t="s">
        <v>166</v>
      </c>
      <c r="H9" s="11"/>
    </row>
    <row r="10" spans="7:8" x14ac:dyDescent="0.25">
      <c r="G10" s="107" t="s">
        <v>167</v>
      </c>
      <c r="H10" s="107"/>
    </row>
  </sheetData>
  <mergeCells count="1">
    <mergeCell ref="G10: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6:S16"/>
  <sheetViews>
    <sheetView workbookViewId="0">
      <selection activeCell="N22" sqref="N22"/>
    </sheetView>
  </sheetViews>
  <sheetFormatPr defaultRowHeight="15" x14ac:dyDescent="0.25"/>
  <cols>
    <col min="8" max="8" width="14" bestFit="1" customWidth="1"/>
    <col min="12" max="12" width="13.42578125" bestFit="1" customWidth="1"/>
  </cols>
  <sheetData>
    <row r="6" spans="8:19" x14ac:dyDescent="0.25">
      <c r="H6" s="50"/>
      <c r="I6" s="50" t="s">
        <v>74</v>
      </c>
      <c r="J6" s="50" t="s">
        <v>75</v>
      </c>
      <c r="K6" s="50" t="s">
        <v>76</v>
      </c>
      <c r="L6" s="50" t="s">
        <v>16</v>
      </c>
      <c r="M6" s="50" t="s">
        <v>17</v>
      </c>
    </row>
    <row r="7" spans="8:19" x14ac:dyDescent="0.25">
      <c r="H7" s="50" t="s">
        <v>77</v>
      </c>
      <c r="I7" s="50"/>
      <c r="J7" s="50"/>
      <c r="K7" s="50">
        <v>120.96</v>
      </c>
      <c r="L7" s="50">
        <v>350</v>
      </c>
      <c r="M7" s="50">
        <f>K7*L7</f>
        <v>42336</v>
      </c>
    </row>
    <row r="8" spans="8:19" x14ac:dyDescent="0.25">
      <c r="H8" s="50" t="s">
        <v>78</v>
      </c>
      <c r="I8" s="50"/>
      <c r="J8" s="50"/>
      <c r="K8" s="50">
        <v>79.760000000000005</v>
      </c>
      <c r="L8" s="50">
        <v>5746</v>
      </c>
      <c r="M8" s="50">
        <f t="shared" ref="M8:M13" si="0">K8*L8</f>
        <v>458300.96</v>
      </c>
    </row>
    <row r="9" spans="8:19" x14ac:dyDescent="0.25">
      <c r="H9" s="50" t="s">
        <v>79</v>
      </c>
      <c r="I9" s="50"/>
      <c r="J9" s="50"/>
      <c r="K9" s="50">
        <f>36*27*1.2</f>
        <v>1166.3999999999999</v>
      </c>
      <c r="L9" s="50">
        <v>400</v>
      </c>
      <c r="M9" s="50">
        <f t="shared" si="0"/>
        <v>466559.99999999994</v>
      </c>
    </row>
    <row r="10" spans="8:19" x14ac:dyDescent="0.25">
      <c r="H10" s="50" t="s">
        <v>84</v>
      </c>
      <c r="I10" s="50"/>
      <c r="J10" s="50"/>
      <c r="K10" s="50">
        <v>11.4</v>
      </c>
      <c r="L10" s="50">
        <v>9793</v>
      </c>
      <c r="M10" s="50">
        <f t="shared" si="0"/>
        <v>111640.2</v>
      </c>
    </row>
    <row r="11" spans="8:19" x14ac:dyDescent="0.25">
      <c r="H11" s="50" t="s">
        <v>80</v>
      </c>
      <c r="I11" s="50">
        <f>72*1.2</f>
        <v>86.399999999999991</v>
      </c>
      <c r="J11" s="50">
        <v>0.15</v>
      </c>
      <c r="K11" s="50">
        <f>J11*I11</f>
        <v>12.959999999999999</v>
      </c>
      <c r="L11" s="50">
        <v>9793</v>
      </c>
      <c r="M11" s="50">
        <f t="shared" si="0"/>
        <v>126917.27999999998</v>
      </c>
      <c r="S11">
        <f>35*35.315</f>
        <v>1236.0249999999999</v>
      </c>
    </row>
    <row r="12" spans="8:19" x14ac:dyDescent="0.25">
      <c r="H12" s="50" t="s">
        <v>83</v>
      </c>
      <c r="I12" s="50"/>
      <c r="J12" s="50"/>
      <c r="K12" s="50">
        <f>(K10+K11)*5%*7850</f>
        <v>9561.2999999999993</v>
      </c>
      <c r="L12" s="50">
        <v>89.65</v>
      </c>
      <c r="M12" s="50">
        <f t="shared" si="0"/>
        <v>857170.54500000004</v>
      </c>
    </row>
    <row r="13" spans="8:19" x14ac:dyDescent="0.25">
      <c r="H13" s="50" t="s">
        <v>81</v>
      </c>
      <c r="I13" s="50"/>
      <c r="J13" s="50"/>
      <c r="K13" s="50">
        <f>36*27*0.2</f>
        <v>194.4</v>
      </c>
      <c r="L13" s="50">
        <v>3000</v>
      </c>
      <c r="M13" s="50">
        <f t="shared" si="0"/>
        <v>583200</v>
      </c>
    </row>
    <row r="14" spans="8:19" x14ac:dyDescent="0.25">
      <c r="H14" s="50" t="s">
        <v>82</v>
      </c>
      <c r="I14" s="50"/>
      <c r="J14" s="50"/>
      <c r="K14" s="50">
        <f>36*27*0.15</f>
        <v>145.79999999999998</v>
      </c>
      <c r="L14" s="50">
        <v>6000</v>
      </c>
      <c r="M14" s="50">
        <f>SUM(M7:M13)</f>
        <v>2646124.9849999999</v>
      </c>
    </row>
    <row r="15" spans="8:19" x14ac:dyDescent="0.25">
      <c r="H15" s="50"/>
      <c r="I15" s="50"/>
      <c r="J15" s="50"/>
      <c r="K15" s="50"/>
      <c r="L15" s="50" t="s">
        <v>30</v>
      </c>
      <c r="M15" s="50">
        <f>SUM(M7:M14)</f>
        <v>5292249.97</v>
      </c>
    </row>
    <row r="16" spans="8:19" x14ac:dyDescent="0.25">
      <c r="H16" s="50"/>
      <c r="I16" s="50"/>
      <c r="J16" s="50"/>
      <c r="K16" s="50"/>
      <c r="L16" s="50" t="s">
        <v>85</v>
      </c>
      <c r="M16" s="50">
        <f>M15/10463</f>
        <v>505.80617127019019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O17"/>
  <sheetViews>
    <sheetView workbookViewId="0">
      <selection activeCell="O17" sqref="O17"/>
    </sheetView>
  </sheetViews>
  <sheetFormatPr defaultRowHeight="15" x14ac:dyDescent="0.25"/>
  <cols>
    <col min="12" max="12" width="12.5703125" bestFit="1" customWidth="1"/>
    <col min="13" max="13" width="12" customWidth="1"/>
    <col min="15" max="15" width="12.42578125" customWidth="1"/>
  </cols>
  <sheetData>
    <row r="5" spans="5:15" x14ac:dyDescent="0.25">
      <c r="F5">
        <v>3.14</v>
      </c>
      <c r="G5">
        <f>15*15</f>
        <v>225</v>
      </c>
      <c r="H5">
        <f>14.7*14.7</f>
        <v>216.08999999999997</v>
      </c>
      <c r="I5">
        <v>7</v>
      </c>
      <c r="J5">
        <f>F5*(G5-H5)*I5</f>
        <v>195.84180000000057</v>
      </c>
      <c r="K5">
        <v>9000</v>
      </c>
      <c r="L5">
        <f>J5*K5</f>
        <v>1762576.2000000051</v>
      </c>
    </row>
    <row r="6" spans="5:15" x14ac:dyDescent="0.25">
      <c r="F6">
        <v>3.14</v>
      </c>
      <c r="G6">
        <f>15*15</f>
        <v>225</v>
      </c>
      <c r="H6">
        <f>13.2*13.2</f>
        <v>174.23999999999998</v>
      </c>
      <c r="I6">
        <v>3</v>
      </c>
      <c r="J6">
        <f>F6*(G6-H6)*I6</f>
        <v>478.15920000000017</v>
      </c>
      <c r="K6">
        <v>9000</v>
      </c>
      <c r="L6">
        <f t="shared" ref="L6:L8" si="0">J6*K6</f>
        <v>4303432.8000000017</v>
      </c>
    </row>
    <row r="7" spans="5:15" x14ac:dyDescent="0.25">
      <c r="F7">
        <v>3.14</v>
      </c>
      <c r="G7">
        <f>5*5</f>
        <v>25</v>
      </c>
      <c r="H7">
        <f>4.7*4.7</f>
        <v>22.090000000000003</v>
      </c>
      <c r="I7">
        <v>3.5</v>
      </c>
      <c r="J7">
        <f>F7*(G7-H7)*I7</f>
        <v>31.980899999999963</v>
      </c>
      <c r="K7">
        <v>9000</v>
      </c>
      <c r="L7">
        <f t="shared" si="0"/>
        <v>287828.09999999969</v>
      </c>
    </row>
    <row r="8" spans="5:15" x14ac:dyDescent="0.25">
      <c r="F8">
        <v>4.1399999999999997</v>
      </c>
      <c r="G8">
        <f>5*5</f>
        <v>25</v>
      </c>
      <c r="H8">
        <f>4.2*4.2</f>
        <v>17.64</v>
      </c>
      <c r="I8">
        <v>3</v>
      </c>
      <c r="J8">
        <f>F8*(G8-H8)*I8</f>
        <v>91.41119999999998</v>
      </c>
      <c r="K8">
        <v>9000</v>
      </c>
      <c r="L8">
        <f t="shared" si="0"/>
        <v>822700.79999999981</v>
      </c>
    </row>
    <row r="9" spans="5:15" x14ac:dyDescent="0.25">
      <c r="J9">
        <f>SUM(J5:J8)</f>
        <v>797.39310000000069</v>
      </c>
      <c r="K9">
        <v>9000</v>
      </c>
      <c r="L9" s="10">
        <f>J9*K9</f>
        <v>7176537.900000006</v>
      </c>
    </row>
    <row r="10" spans="5:15" ht="15.75" thickBot="1" x14ac:dyDescent="0.3">
      <c r="F10" t="s">
        <v>28</v>
      </c>
      <c r="G10" t="s">
        <v>29</v>
      </c>
    </row>
    <row r="11" spans="5:15" ht="30" x14ac:dyDescent="0.25">
      <c r="F11">
        <f>1.0715*2</f>
        <v>2.1429999999999998</v>
      </c>
      <c r="G11">
        <v>4532000</v>
      </c>
      <c r="J11" s="16" t="s">
        <v>31</v>
      </c>
      <c r="K11" s="17" t="s">
        <v>32</v>
      </c>
      <c r="L11" s="18" t="s">
        <v>33</v>
      </c>
      <c r="M11" s="19" t="s">
        <v>34</v>
      </c>
      <c r="N11" s="20" t="s">
        <v>35</v>
      </c>
      <c r="O11" s="21" t="s">
        <v>36</v>
      </c>
    </row>
    <row r="12" spans="5:15" x14ac:dyDescent="0.25">
      <c r="F12">
        <v>0.18575</v>
      </c>
      <c r="G12">
        <f>734000+36700</f>
        <v>770700</v>
      </c>
      <c r="J12" s="22">
        <v>1</v>
      </c>
      <c r="K12" s="11">
        <v>391</v>
      </c>
      <c r="L12" s="11">
        <v>1.0714999999999999</v>
      </c>
      <c r="M12" s="11">
        <v>4238000</v>
      </c>
      <c r="N12" s="11">
        <v>220300</v>
      </c>
      <c r="O12" s="23">
        <f>N12+M12</f>
        <v>4458300</v>
      </c>
    </row>
    <row r="13" spans="5:15" x14ac:dyDescent="0.25">
      <c r="F13">
        <v>0.18575</v>
      </c>
      <c r="G13">
        <f>882000+44100</f>
        <v>926100</v>
      </c>
      <c r="J13" s="22">
        <v>2</v>
      </c>
      <c r="K13" s="11">
        <v>161</v>
      </c>
      <c r="L13" s="11">
        <v>0.18575</v>
      </c>
      <c r="M13" s="11">
        <v>734000</v>
      </c>
      <c r="N13" s="11">
        <v>36700</v>
      </c>
      <c r="O13" s="23">
        <f t="shared" ref="O13:O16" si="1">N13+M13</f>
        <v>770700</v>
      </c>
    </row>
    <row r="14" spans="5:15" x14ac:dyDescent="0.25">
      <c r="F14">
        <v>0.22500000000000001</v>
      </c>
      <c r="G14">
        <f>1958000+98000</f>
        <v>2056000</v>
      </c>
      <c r="J14" s="22">
        <v>3</v>
      </c>
      <c r="K14" s="11">
        <v>161</v>
      </c>
      <c r="L14" s="11">
        <v>0.18575</v>
      </c>
      <c r="M14" s="11">
        <v>882000</v>
      </c>
      <c r="N14" s="11">
        <v>44100</v>
      </c>
      <c r="O14" s="23">
        <f t="shared" si="1"/>
        <v>926100</v>
      </c>
    </row>
    <row r="15" spans="5:15" x14ac:dyDescent="0.25">
      <c r="E15" s="15" t="s">
        <v>30</v>
      </c>
      <c r="F15" s="15">
        <f>SUM(F11:F14)</f>
        <v>2.7395</v>
      </c>
      <c r="G15" s="15">
        <f>SUM(G11:G14)</f>
        <v>8284800</v>
      </c>
      <c r="J15" s="22">
        <v>4</v>
      </c>
      <c r="K15" s="11">
        <v>388</v>
      </c>
      <c r="L15" s="11">
        <v>0.22500000000000001</v>
      </c>
      <c r="M15" s="11">
        <v>1958000</v>
      </c>
      <c r="N15" s="11">
        <v>98000</v>
      </c>
      <c r="O15" s="23">
        <f t="shared" si="1"/>
        <v>2056000</v>
      </c>
    </row>
    <row r="16" spans="5:15" x14ac:dyDescent="0.25">
      <c r="J16" s="22">
        <v>5</v>
      </c>
      <c r="K16" s="11">
        <v>391</v>
      </c>
      <c r="L16" s="11">
        <v>1.0714999999999999</v>
      </c>
      <c r="M16" s="11">
        <v>5086000</v>
      </c>
      <c r="N16" s="11">
        <v>254300</v>
      </c>
      <c r="O16" s="23">
        <f t="shared" si="1"/>
        <v>5340300</v>
      </c>
    </row>
    <row r="17" spans="6:15" ht="15.75" thickBot="1" x14ac:dyDescent="0.3">
      <c r="F17">
        <f>4238000+220300+73700</f>
        <v>4532000</v>
      </c>
      <c r="J17" s="24" t="s">
        <v>30</v>
      </c>
      <c r="K17" s="25"/>
      <c r="L17" s="25">
        <f>SUM(L12:L16)</f>
        <v>2.7395</v>
      </c>
      <c r="M17" s="26">
        <f>SUM(M12:M16)</f>
        <v>12898000</v>
      </c>
      <c r="N17" s="25">
        <f>SUM(N12:N16)</f>
        <v>653400</v>
      </c>
      <c r="O17" s="27">
        <f>SUM(O12:O16)</f>
        <v>13551400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9"/>
  <sheetViews>
    <sheetView workbookViewId="0">
      <selection activeCell="P22" sqref="P22"/>
    </sheetView>
  </sheetViews>
  <sheetFormatPr defaultRowHeight="15" x14ac:dyDescent="0.25"/>
  <cols>
    <col min="3" max="3" width="34.85546875" customWidth="1"/>
    <col min="4" max="4" width="10.140625" bestFit="1" customWidth="1"/>
  </cols>
  <sheetData>
    <row r="1" spans="3:4" x14ac:dyDescent="0.25">
      <c r="D1" s="8"/>
    </row>
    <row r="2" spans="3:4" x14ac:dyDescent="0.25">
      <c r="D2" s="8"/>
    </row>
    <row r="3" spans="3:4" x14ac:dyDescent="0.25">
      <c r="D3" s="8"/>
    </row>
    <row r="4" spans="3:4" x14ac:dyDescent="0.25">
      <c r="C4" t="s">
        <v>280</v>
      </c>
      <c r="D4" s="8">
        <v>1</v>
      </c>
    </row>
    <row r="5" spans="3:4" x14ac:dyDescent="0.25">
      <c r="C5" t="s">
        <v>281</v>
      </c>
      <c r="D5" s="8">
        <v>1</v>
      </c>
    </row>
    <row r="6" spans="3:4" x14ac:dyDescent="0.25">
      <c r="C6" t="s">
        <v>2</v>
      </c>
      <c r="D6" s="8">
        <v>1</v>
      </c>
    </row>
    <row r="7" spans="3:4" x14ac:dyDescent="0.25">
      <c r="C7" t="s">
        <v>3</v>
      </c>
      <c r="D7" s="8">
        <v>1</v>
      </c>
    </row>
    <row r="8" spans="3:4" x14ac:dyDescent="0.25">
      <c r="C8" t="s">
        <v>61</v>
      </c>
      <c r="D8" s="8">
        <v>0.95</v>
      </c>
    </row>
    <row r="9" spans="3:4" x14ac:dyDescent="0.25">
      <c r="C9" t="s">
        <v>27</v>
      </c>
      <c r="D9" s="8">
        <v>0.95</v>
      </c>
    </row>
    <row r="10" spans="3:4" x14ac:dyDescent="0.25">
      <c r="C10" t="s">
        <v>282</v>
      </c>
      <c r="D10" s="8">
        <v>1</v>
      </c>
    </row>
    <row r="11" spans="3:4" x14ac:dyDescent="0.25">
      <c r="C11" t="s">
        <v>274</v>
      </c>
      <c r="D11" s="8">
        <v>0.8</v>
      </c>
    </row>
    <row r="12" spans="3:4" x14ac:dyDescent="0.25">
      <c r="C12" t="s">
        <v>282</v>
      </c>
      <c r="D12" s="8">
        <v>1</v>
      </c>
    </row>
    <row r="13" spans="3:4" x14ac:dyDescent="0.25">
      <c r="C13" t="s">
        <v>47</v>
      </c>
      <c r="D13" s="8">
        <v>0.85</v>
      </c>
    </row>
    <row r="14" spans="3:4" x14ac:dyDescent="0.25">
      <c r="C14" t="s">
        <v>279</v>
      </c>
      <c r="D14" s="8">
        <v>0.95</v>
      </c>
    </row>
    <row r="15" spans="3:4" x14ac:dyDescent="0.25">
      <c r="C15" t="s">
        <v>283</v>
      </c>
      <c r="D15" s="8">
        <v>0.95</v>
      </c>
    </row>
    <row r="16" spans="3:4" x14ac:dyDescent="0.25">
      <c r="C16" t="s">
        <v>275</v>
      </c>
      <c r="D16" s="8">
        <v>1</v>
      </c>
    </row>
    <row r="17" spans="3:4" x14ac:dyDescent="0.25">
      <c r="C17" t="s">
        <v>276</v>
      </c>
      <c r="D17" s="8">
        <v>0.8</v>
      </c>
    </row>
    <row r="18" spans="3:4" x14ac:dyDescent="0.25">
      <c r="C18" t="s">
        <v>277</v>
      </c>
      <c r="D18" s="8">
        <v>1</v>
      </c>
    </row>
    <row r="19" spans="3:4" x14ac:dyDescent="0.25">
      <c r="C19" t="s">
        <v>278</v>
      </c>
      <c r="D19" s="8">
        <v>0.8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M24"/>
  <sheetViews>
    <sheetView topLeftCell="A13" workbookViewId="0">
      <selection activeCell="A19" sqref="A19:XFD19"/>
    </sheetView>
  </sheetViews>
  <sheetFormatPr defaultRowHeight="15" x14ac:dyDescent="0.25"/>
  <cols>
    <col min="7" max="7" width="19.140625" bestFit="1" customWidth="1"/>
    <col min="9" max="9" width="19.28515625" customWidth="1"/>
    <col min="10" max="10" width="19.42578125" customWidth="1"/>
    <col min="11" max="11" width="12.85546875" customWidth="1"/>
    <col min="12" max="12" width="13.140625" customWidth="1"/>
    <col min="13" max="13" width="13" customWidth="1"/>
  </cols>
  <sheetData>
    <row r="3" spans="7:13" ht="15.75" thickBot="1" x14ac:dyDescent="0.3"/>
    <row r="4" spans="7:13" ht="156" customHeight="1" thickBot="1" x14ac:dyDescent="0.3">
      <c r="I4" s="108" t="s">
        <v>37</v>
      </c>
      <c r="J4" s="28" t="s">
        <v>38</v>
      </c>
      <c r="K4" s="28" t="s">
        <v>38</v>
      </c>
      <c r="L4" s="28" t="s">
        <v>40</v>
      </c>
      <c r="M4" s="28" t="s">
        <v>41</v>
      </c>
    </row>
    <row r="5" spans="7:13" ht="30.75" thickBot="1" x14ac:dyDescent="0.3">
      <c r="I5" s="109"/>
      <c r="J5" s="28" t="s">
        <v>38</v>
      </c>
      <c r="K5" s="29" t="s">
        <v>39</v>
      </c>
      <c r="L5" s="29" t="s">
        <v>39</v>
      </c>
      <c r="M5" s="29" t="s">
        <v>42</v>
      </c>
    </row>
    <row r="6" spans="7:13" ht="30.75" thickBot="1" x14ac:dyDescent="0.3">
      <c r="I6" s="2" t="s">
        <v>6</v>
      </c>
      <c r="J6" s="3">
        <v>1.1499999999999999</v>
      </c>
      <c r="K6" s="5">
        <v>1.1499999999999999</v>
      </c>
      <c r="L6" s="5">
        <v>1.63</v>
      </c>
      <c r="M6" s="5">
        <v>1.35</v>
      </c>
    </row>
    <row r="7" spans="7:13" ht="15.75" thickBot="1" x14ac:dyDescent="0.3">
      <c r="I7" s="4" t="s">
        <v>43</v>
      </c>
      <c r="J7" s="3">
        <v>8.74</v>
      </c>
      <c r="K7" s="5">
        <v>8.74</v>
      </c>
      <c r="L7" s="5">
        <v>9.67</v>
      </c>
      <c r="M7" s="5">
        <v>5.44</v>
      </c>
    </row>
    <row r="8" spans="7:13" ht="15.75" thickBot="1" x14ac:dyDescent="0.3">
      <c r="I8" s="4" t="s">
        <v>44</v>
      </c>
      <c r="J8" s="3">
        <v>26.16</v>
      </c>
      <c r="K8" s="5">
        <v>26.16</v>
      </c>
      <c r="L8" s="5">
        <v>24.5</v>
      </c>
      <c r="M8" s="5" t="s">
        <v>45</v>
      </c>
    </row>
    <row r="9" spans="7:13" ht="15.75" thickBot="1" x14ac:dyDescent="0.3">
      <c r="I9" s="4" t="s">
        <v>46</v>
      </c>
      <c r="J9" s="3">
        <v>1.75</v>
      </c>
      <c r="K9" s="5">
        <v>1.75</v>
      </c>
      <c r="L9" s="5">
        <v>3.28</v>
      </c>
      <c r="M9" s="5" t="s">
        <v>45</v>
      </c>
    </row>
    <row r="10" spans="7:13" ht="15.75" thickBot="1" x14ac:dyDescent="0.3">
      <c r="I10" s="4" t="s">
        <v>10</v>
      </c>
      <c r="J10" s="3">
        <v>1.5</v>
      </c>
      <c r="K10" s="5">
        <v>2.4</v>
      </c>
      <c r="L10" s="5">
        <v>0.61</v>
      </c>
      <c r="M10" s="5" t="s">
        <v>45</v>
      </c>
    </row>
    <row r="11" spans="7:13" ht="15.75" thickBot="1" x14ac:dyDescent="0.3">
      <c r="I11" s="4" t="s">
        <v>11</v>
      </c>
      <c r="J11" s="3">
        <v>0.2</v>
      </c>
      <c r="K11" s="5">
        <v>0.2</v>
      </c>
      <c r="L11" s="5">
        <v>0</v>
      </c>
      <c r="M11" s="5" t="s">
        <v>45</v>
      </c>
    </row>
    <row r="12" spans="7:13" ht="15.75" thickBot="1" x14ac:dyDescent="0.3">
      <c r="I12" s="30" t="s">
        <v>30</v>
      </c>
      <c r="J12" s="31">
        <f>SUM(J6:J11)</f>
        <v>39.5</v>
      </c>
      <c r="K12" s="32">
        <f>SUM(K6:K11)</f>
        <v>40.4</v>
      </c>
      <c r="L12" s="32">
        <f>SUM(L6:L11)</f>
        <v>39.69</v>
      </c>
      <c r="M12" s="32">
        <v>6.8</v>
      </c>
    </row>
    <row r="16" spans="7:13" ht="45" x14ac:dyDescent="0.25">
      <c r="G16" s="34" t="s">
        <v>37</v>
      </c>
      <c r="H16" s="34" t="s">
        <v>49</v>
      </c>
      <c r="I16" s="35" t="s">
        <v>60</v>
      </c>
      <c r="J16" s="1"/>
    </row>
    <row r="17" spans="7:12" x14ac:dyDescent="0.25">
      <c r="G17" s="11" t="s">
        <v>56</v>
      </c>
      <c r="H17" s="11" t="s">
        <v>50</v>
      </c>
      <c r="I17" s="33">
        <v>10.734999999999999</v>
      </c>
      <c r="L17">
        <v>15.47</v>
      </c>
    </row>
    <row r="18" spans="7:12" x14ac:dyDescent="0.25">
      <c r="G18" s="11" t="s">
        <v>48</v>
      </c>
      <c r="H18" s="11" t="s">
        <v>57</v>
      </c>
      <c r="I18" s="33">
        <v>7.83</v>
      </c>
      <c r="L18">
        <v>9.2899999999999991</v>
      </c>
    </row>
    <row r="19" spans="7:12" ht="45" x14ac:dyDescent="0.25">
      <c r="G19" s="13" t="s">
        <v>58</v>
      </c>
      <c r="H19" s="11">
        <v>26.6</v>
      </c>
      <c r="I19" s="33">
        <f>SUM(I17:I18)</f>
        <v>18.564999999999998</v>
      </c>
      <c r="L19">
        <v>1.1299999999999999</v>
      </c>
    </row>
    <row r="20" spans="7:12" ht="45" x14ac:dyDescent="0.25">
      <c r="G20" s="13" t="s">
        <v>59</v>
      </c>
      <c r="H20" s="11">
        <v>24.5</v>
      </c>
      <c r="I20" s="11" t="e">
        <f>I17:I19</f>
        <v>#VALUE!</v>
      </c>
      <c r="L20">
        <v>0.12</v>
      </c>
    </row>
    <row r="22" spans="7:12" x14ac:dyDescent="0.25">
      <c r="G22" t="s">
        <v>51</v>
      </c>
    </row>
    <row r="23" spans="7:12" x14ac:dyDescent="0.25">
      <c r="G23" t="s">
        <v>48</v>
      </c>
    </row>
    <row r="24" spans="7:12" x14ac:dyDescent="0.25">
      <c r="G24" t="s">
        <v>52</v>
      </c>
    </row>
  </sheetData>
  <mergeCells count="1">
    <mergeCell ref="I4: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Working</vt:lpstr>
      <vt:lpstr>Project cost &amp; expenditure</vt:lpstr>
      <vt:lpstr>Civil Work Cost</vt:lpstr>
      <vt:lpstr>Sheet1</vt:lpstr>
      <vt:lpstr>Sheet2</vt:lpstr>
      <vt:lpstr>MAterial cost bifurcation</vt:lpstr>
      <vt:lpstr>Land</vt:lpstr>
      <vt:lpstr>Status</vt:lpstr>
      <vt:lpstr>Sheet5</vt:lpstr>
      <vt:lpstr>Sheet2 (2)</vt:lpstr>
      <vt:lpstr>Sheet2 (3)</vt:lpstr>
      <vt:lpstr>Invoices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Deepak Singh</cp:lastModifiedBy>
  <dcterms:created xsi:type="dcterms:W3CDTF">2023-11-01T06:31:17Z</dcterms:created>
  <dcterms:modified xsi:type="dcterms:W3CDTF">2024-07-01T05:30:37Z</dcterms:modified>
</cp:coreProperties>
</file>