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ngineer9\Downloads\VIS(2024-25)PL172-142-182\Report\"/>
    </mc:Choice>
  </mc:AlternateContent>
  <bookViews>
    <workbookView xWindow="0" yWindow="0" windowWidth="24000" windowHeight="8775" activeTab="2"/>
  </bookViews>
  <sheets>
    <sheet name="Sheet1" sheetId="1" r:id="rId1"/>
    <sheet name="Sheet3" sheetId="3" r:id="rId2"/>
    <sheet name="Calculations" sheetId="4" r:id="rId3"/>
  </sheets>
  <definedNames>
    <definedName name="_xlnm._FilterDatabase" localSheetId="0" hidden="1">Sheet1!$B$4:$S$45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F41" i="1"/>
  <c r="S41" i="1"/>
  <c r="O41" i="1"/>
  <c r="E57" i="1" l="1"/>
  <c r="E55" i="1"/>
  <c r="D55" i="1"/>
  <c r="U59" i="1" l="1"/>
  <c r="K60" i="1"/>
  <c r="E51" i="1" l="1"/>
  <c r="M54" i="1" l="1"/>
  <c r="M53" i="1"/>
  <c r="G22" i="1"/>
  <c r="G23" i="1"/>
  <c r="G24" i="1"/>
  <c r="G25" i="1"/>
  <c r="G26" i="1"/>
  <c r="G27" i="1"/>
  <c r="G21" i="1"/>
  <c r="G37" i="1"/>
  <c r="G36" i="1"/>
  <c r="G35" i="1"/>
  <c r="G34" i="1"/>
  <c r="G33" i="1"/>
  <c r="G32" i="1"/>
  <c r="G30" i="1"/>
  <c r="G31" i="1"/>
  <c r="G39" i="1"/>
  <c r="G29" i="1"/>
  <c r="G19" i="1"/>
  <c r="G18" i="1"/>
  <c r="G20" i="1"/>
  <c r="G28" i="1"/>
  <c r="G38" i="1"/>
  <c r="G40" i="1"/>
  <c r="G13" i="1"/>
  <c r="G12" i="1"/>
  <c r="G11" i="1"/>
  <c r="G10" i="1"/>
  <c r="G9" i="1"/>
  <c r="G7" i="1"/>
  <c r="G6" i="1"/>
  <c r="G5" i="1"/>
  <c r="Q22" i="1"/>
  <c r="Q30" i="1"/>
  <c r="P14" i="1"/>
  <c r="P15" i="1"/>
  <c r="P22" i="1"/>
  <c r="P23" i="1"/>
  <c r="P30" i="1"/>
  <c r="P31" i="1"/>
  <c r="P38" i="1"/>
  <c r="O14" i="1"/>
  <c r="O15" i="1"/>
  <c r="O16" i="1"/>
  <c r="O17" i="1"/>
  <c r="O18" i="1"/>
  <c r="O19" i="1"/>
  <c r="O20" i="1"/>
  <c r="O21" i="1"/>
  <c r="O22" i="1"/>
  <c r="O23" i="1"/>
  <c r="O24" i="1"/>
  <c r="O25" i="1"/>
  <c r="O26" i="1"/>
  <c r="O27" i="1"/>
  <c r="O28" i="1"/>
  <c r="O29" i="1"/>
  <c r="O30" i="1"/>
  <c r="S30" i="1" s="1"/>
  <c r="O31" i="1"/>
  <c r="O32" i="1"/>
  <c r="O33" i="1"/>
  <c r="O34" i="1"/>
  <c r="O35" i="1"/>
  <c r="O36" i="1"/>
  <c r="O37" i="1"/>
  <c r="O38" i="1"/>
  <c r="O39" i="1"/>
  <c r="O40" i="1"/>
  <c r="M14" i="1"/>
  <c r="M15" i="1"/>
  <c r="M16" i="1"/>
  <c r="P16" i="1" s="1"/>
  <c r="M17" i="1"/>
  <c r="P17" i="1" s="1"/>
  <c r="M18" i="1"/>
  <c r="P18" i="1" s="1"/>
  <c r="Q18" i="1" s="1"/>
  <c r="S18" i="1" s="1"/>
  <c r="M19" i="1"/>
  <c r="P19" i="1" s="1"/>
  <c r="M20" i="1"/>
  <c r="P20" i="1" s="1"/>
  <c r="Q20" i="1" s="1"/>
  <c r="M21" i="1"/>
  <c r="P21" i="1" s="1"/>
  <c r="Q21" i="1" s="1"/>
  <c r="M22" i="1"/>
  <c r="M23" i="1"/>
  <c r="M24" i="1"/>
  <c r="P24" i="1" s="1"/>
  <c r="M25" i="1"/>
  <c r="P25" i="1" s="1"/>
  <c r="M26" i="1"/>
  <c r="P26" i="1" s="1"/>
  <c r="M27" i="1"/>
  <c r="P27" i="1" s="1"/>
  <c r="M28" i="1"/>
  <c r="P28" i="1" s="1"/>
  <c r="Q28" i="1" s="1"/>
  <c r="M29" i="1"/>
  <c r="P29" i="1" s="1"/>
  <c r="Q29" i="1" s="1"/>
  <c r="M30" i="1"/>
  <c r="M31" i="1"/>
  <c r="M32" i="1"/>
  <c r="P32" i="1" s="1"/>
  <c r="M33" i="1"/>
  <c r="P33" i="1" s="1"/>
  <c r="M34" i="1"/>
  <c r="P34" i="1" s="1"/>
  <c r="M35" i="1"/>
  <c r="P35" i="1" s="1"/>
  <c r="Q35" i="1" s="1"/>
  <c r="S35" i="1" s="1"/>
  <c r="M36" i="1"/>
  <c r="P36" i="1" s="1"/>
  <c r="Q36" i="1" s="1"/>
  <c r="S36" i="1" s="1"/>
  <c r="M37" i="1"/>
  <c r="P37" i="1" s="1"/>
  <c r="M38" i="1"/>
  <c r="M39" i="1"/>
  <c r="M40" i="1"/>
  <c r="P40" i="1" s="1"/>
  <c r="J14" i="1"/>
  <c r="J15" i="1"/>
  <c r="J16" i="1"/>
  <c r="J17" i="1"/>
  <c r="J18" i="1"/>
  <c r="J19" i="1"/>
  <c r="J20" i="1"/>
  <c r="J21" i="1"/>
  <c r="J22" i="1"/>
  <c r="J23" i="1"/>
  <c r="J24" i="1"/>
  <c r="J25" i="1"/>
  <c r="J26" i="1"/>
  <c r="J27" i="1"/>
  <c r="J28" i="1"/>
  <c r="J29" i="1"/>
  <c r="J30" i="1"/>
  <c r="J31" i="1"/>
  <c r="J32" i="1"/>
  <c r="J33" i="1"/>
  <c r="J34" i="1"/>
  <c r="J35" i="1"/>
  <c r="J36" i="1"/>
  <c r="J37" i="1"/>
  <c r="J38" i="1"/>
  <c r="J39" i="1"/>
  <c r="P39" i="1" s="1"/>
  <c r="J40" i="1"/>
  <c r="F15" i="1"/>
  <c r="F16" i="1"/>
  <c r="F17" i="1"/>
  <c r="F18" i="1"/>
  <c r="F19" i="1"/>
  <c r="F20" i="1"/>
  <c r="F21" i="1"/>
  <c r="F22" i="1"/>
  <c r="F23" i="1"/>
  <c r="F24" i="1"/>
  <c r="F25" i="1"/>
  <c r="F26" i="1"/>
  <c r="F27" i="1"/>
  <c r="F28" i="1"/>
  <c r="F29" i="1"/>
  <c r="F30" i="1"/>
  <c r="F31" i="1"/>
  <c r="F32" i="1"/>
  <c r="F33" i="1"/>
  <c r="F34" i="1"/>
  <c r="F35" i="1"/>
  <c r="F36" i="1"/>
  <c r="F37" i="1"/>
  <c r="F38" i="1"/>
  <c r="F39" i="1"/>
  <c r="F40" i="1"/>
  <c r="E14" i="1"/>
  <c r="F14" i="1" s="1"/>
  <c r="E23" i="1"/>
  <c r="E15" i="1"/>
  <c r="Q27" i="1" l="1"/>
  <c r="S22" i="1"/>
  <c r="S29" i="1"/>
  <c r="S21" i="1"/>
  <c r="S28" i="1"/>
  <c r="S27" i="1"/>
  <c r="S20" i="1"/>
  <c r="Q19" i="1"/>
  <c r="S19" i="1" s="1"/>
  <c r="Q25" i="1"/>
  <c r="S25" i="1" s="1"/>
  <c r="Q24" i="1"/>
  <c r="Q23" i="1"/>
  <c r="S23" i="1" s="1"/>
  <c r="Q40" i="1"/>
  <c r="S40" i="1" s="1"/>
  <c r="Q39" i="1"/>
  <c r="S39" i="1" s="1"/>
  <c r="Q38" i="1"/>
  <c r="S38" i="1" s="1"/>
  <c r="Q37" i="1"/>
  <c r="S37" i="1" s="1"/>
  <c r="Q34" i="1"/>
  <c r="S34" i="1" s="1"/>
  <c r="Q33" i="1"/>
  <c r="S33" i="1" s="1"/>
  <c r="Q32" i="1"/>
  <c r="S32" i="1" s="1"/>
  <c r="Q31" i="1"/>
  <c r="S31" i="1" s="1"/>
  <c r="S26" i="1"/>
  <c r="Q26" i="1"/>
  <c r="S24" i="1"/>
  <c r="Q17" i="1"/>
  <c r="S17" i="1" s="1"/>
  <c r="Q16" i="1"/>
  <c r="S16" i="1" s="1"/>
  <c r="Q15" i="1"/>
  <c r="S15" i="1" s="1"/>
  <c r="Q14" i="1"/>
  <c r="S14" i="1" s="1"/>
  <c r="N51" i="1"/>
  <c r="L51" i="1" l="1"/>
  <c r="I51" i="1"/>
  <c r="O51" i="1" l="1"/>
  <c r="P51" i="1" s="1"/>
  <c r="R51" i="1" s="1"/>
  <c r="N15" i="3"/>
  <c r="D54" i="1" l="1"/>
  <c r="D57" i="1" s="1"/>
  <c r="F55" i="1"/>
  <c r="E54" i="1" l="1"/>
  <c r="F8" i="4" s="1"/>
  <c r="D7" i="3"/>
  <c r="E7" i="3" s="1"/>
  <c r="D6" i="3"/>
  <c r="E6" i="3" s="1"/>
  <c r="J8" i="1" l="1"/>
  <c r="J9" i="1"/>
  <c r="J10" i="1"/>
  <c r="J11" i="1"/>
  <c r="J12" i="1"/>
  <c r="J13" i="1"/>
  <c r="M8" i="1"/>
  <c r="M9" i="1"/>
  <c r="M10" i="1"/>
  <c r="M11" i="1"/>
  <c r="M12" i="1"/>
  <c r="M13" i="1"/>
  <c r="F6" i="1"/>
  <c r="F7" i="1"/>
  <c r="F8" i="1"/>
  <c r="O8" i="1" s="1"/>
  <c r="F9" i="1"/>
  <c r="O9" i="1" s="1"/>
  <c r="F10" i="1"/>
  <c r="O10" i="1" s="1"/>
  <c r="F11" i="1"/>
  <c r="O11" i="1" s="1"/>
  <c r="F12" i="1"/>
  <c r="O12" i="1" s="1"/>
  <c r="F13" i="1"/>
  <c r="O13" i="1" s="1"/>
  <c r="F5" i="1"/>
  <c r="P10" i="1" l="1"/>
  <c r="Q10" i="1" s="1"/>
  <c r="S10" i="1" s="1"/>
  <c r="P12" i="1"/>
  <c r="Q12" i="1" s="1"/>
  <c r="S12" i="1" s="1"/>
  <c r="P9" i="1"/>
  <c r="Q9" i="1" s="1"/>
  <c r="S9" i="1" s="1"/>
  <c r="P8" i="1"/>
  <c r="Q8" i="1" s="1"/>
  <c r="S8" i="1" s="1"/>
  <c r="P13" i="1"/>
  <c r="Q13" i="1" s="1"/>
  <c r="S13" i="1" s="1"/>
  <c r="P11" i="1"/>
  <c r="Q11" i="1" s="1"/>
  <c r="S11" i="1" s="1"/>
  <c r="M5" i="1"/>
  <c r="G3" i="4" l="1"/>
  <c r="F6" i="4" s="1"/>
  <c r="C3" i="4" l="1"/>
  <c r="B6" i="4" s="1"/>
  <c r="O6" i="1"/>
  <c r="O7" i="1"/>
  <c r="O5" i="1"/>
  <c r="R41" i="1"/>
  <c r="J6" i="1"/>
  <c r="J7" i="1"/>
  <c r="J5" i="1"/>
  <c r="I59" i="1"/>
  <c r="H7" i="3" l="1"/>
  <c r="H6" i="3"/>
  <c r="F13" i="4"/>
  <c r="M6" i="1"/>
  <c r="P6" i="1" s="1"/>
  <c r="Q6" i="1" s="1"/>
  <c r="S6" i="1" s="1"/>
  <c r="M7" i="1"/>
  <c r="P7" i="1" s="1"/>
  <c r="Q7" i="1" s="1"/>
  <c r="S7" i="1" s="1"/>
  <c r="P5" i="1"/>
  <c r="Q5" i="1" s="1"/>
  <c r="S5" i="1" s="1"/>
  <c r="H8" i="3" l="1"/>
  <c r="B7" i="4" s="1"/>
  <c r="B9" i="4" s="1"/>
  <c r="B10" i="4" s="1"/>
  <c r="F7" i="4"/>
  <c r="F9" i="4" s="1"/>
  <c r="F10" i="4" s="1"/>
  <c r="B12" i="4" l="1"/>
  <c r="B11" i="4"/>
  <c r="F11" i="4"/>
  <c r="F12" i="4"/>
</calcChain>
</file>

<file path=xl/sharedStrings.xml><?xml version="1.0" encoding="utf-8"?>
<sst xmlns="http://schemas.openxmlformats.org/spreadsheetml/2006/main" count="163" uniqueCount="106">
  <si>
    <t>SR. No.</t>
  </si>
  <si>
    <t>Type of Structure</t>
  </si>
  <si>
    <r>
      <t xml:space="preserve">Area 
</t>
    </r>
    <r>
      <rPr>
        <b/>
        <i/>
        <sz val="10"/>
        <rFont val="Calibri"/>
        <family val="2"/>
        <scheme val="minor"/>
      </rPr>
      <t>(in sq.ft)</t>
    </r>
  </si>
  <si>
    <r>
      <t xml:space="preserve">Height </t>
    </r>
    <r>
      <rPr>
        <b/>
        <i/>
        <sz val="10"/>
        <rFont val="Calibri"/>
        <family val="2"/>
        <scheme val="minor"/>
      </rPr>
      <t>(in ft.)</t>
    </r>
  </si>
  <si>
    <t>Year of Construction</t>
  </si>
  <si>
    <t xml:space="preserve">Year of Valuation </t>
  </si>
  <si>
    <r>
      <t xml:space="preserve">Total Life Consumed 
</t>
    </r>
    <r>
      <rPr>
        <b/>
        <i/>
        <sz val="10"/>
        <rFont val="Calibri"/>
        <family val="2"/>
        <scheme val="minor"/>
      </rPr>
      <t>(in years)</t>
    </r>
  </si>
  <si>
    <r>
      <t xml:space="preserve">Total Economical Life
</t>
    </r>
    <r>
      <rPr>
        <b/>
        <i/>
        <sz val="10"/>
        <rFont val="Calibri"/>
        <family val="2"/>
        <scheme val="minor"/>
      </rPr>
      <t>(in years)</t>
    </r>
  </si>
  <si>
    <t>Salvage value</t>
  </si>
  <si>
    <t>Depreciation Rate</t>
  </si>
  <si>
    <r>
      <t xml:space="preserve">Plinth Area  Rate 
</t>
    </r>
    <r>
      <rPr>
        <b/>
        <i/>
        <sz val="10"/>
        <rFont val="Calibri"/>
        <family val="2"/>
        <scheme val="minor"/>
      </rPr>
      <t>(in per sq.ft)</t>
    </r>
  </si>
  <si>
    <t>Gross Replacement Value
(INR)</t>
  </si>
  <si>
    <t>Discounting Factor</t>
  </si>
  <si>
    <t>Depreciated Replacement Market Value
(INR)</t>
  </si>
  <si>
    <t>TOTAL</t>
  </si>
  <si>
    <r>
      <t>Area</t>
    </r>
    <r>
      <rPr>
        <b/>
        <sz val="10"/>
        <rFont val="Calibri"/>
        <family val="2"/>
        <scheme val="minor"/>
      </rPr>
      <t xml:space="preserve"> (in sq. mtr.)</t>
    </r>
  </si>
  <si>
    <t>RCC structure bounded by brick wall</t>
  </si>
  <si>
    <t>Depriciation Factor</t>
  </si>
  <si>
    <t>Particular</t>
  </si>
  <si>
    <t>Govt guidline rate for construction(Per SQM)</t>
  </si>
  <si>
    <t>Guidline Value</t>
  </si>
  <si>
    <t>Particulars</t>
  </si>
  <si>
    <t>R.C.C</t>
  </si>
  <si>
    <t>Tin Shed</t>
  </si>
  <si>
    <t>Tin Shed and Tin Sheet Roof</t>
  </si>
  <si>
    <t>Land</t>
  </si>
  <si>
    <t>Rate</t>
  </si>
  <si>
    <t>Value</t>
  </si>
  <si>
    <t xml:space="preserve"> -   </t>
  </si>
  <si>
    <t>land</t>
  </si>
  <si>
    <t>Building</t>
  </si>
  <si>
    <t>Aesthetic</t>
  </si>
  <si>
    <t>Fair market</t>
  </si>
  <si>
    <t>Round off</t>
  </si>
  <si>
    <t>Realizable</t>
  </si>
  <si>
    <t>Distress</t>
  </si>
  <si>
    <t>FMV</t>
  </si>
  <si>
    <t>Govt.</t>
  </si>
  <si>
    <t>Depreciation amount
(INR)</t>
  </si>
  <si>
    <t xml:space="preserve">Depreciation factor
 </t>
  </si>
  <si>
    <t>2. Construction year of the plant has been taken from the information provided by the client during site survey .</t>
  </si>
  <si>
    <t>3. The valuation is done by considering the depreciated replacement cost approach.</t>
  </si>
  <si>
    <t>Notes:</t>
  </si>
  <si>
    <t>Guard Room</t>
  </si>
  <si>
    <r>
      <t xml:space="preserve">Area 
</t>
    </r>
    <r>
      <rPr>
        <b/>
        <i/>
        <sz val="10"/>
        <rFont val="Calibri"/>
        <family val="2"/>
        <scheme val="minor"/>
      </rPr>
      <t>(in sq.mtr)</t>
    </r>
  </si>
  <si>
    <t xml:space="preserve"> </t>
  </si>
  <si>
    <t>Insurance</t>
  </si>
  <si>
    <t>S.no</t>
  </si>
  <si>
    <t>Plot No.</t>
  </si>
  <si>
    <t>No. of plots</t>
  </si>
  <si>
    <t>Area</t>
  </si>
  <si>
    <t>Ownership</t>
  </si>
  <si>
    <t>G-421 to 432, G1-390 to 396 &amp; H-381 to 389.</t>
  </si>
  <si>
    <t>F-378 to 380</t>
  </si>
  <si>
    <t>Total</t>
  </si>
  <si>
    <t>~ 9</t>
  </si>
  <si>
    <t>Bit</t>
  </si>
  <si>
    <r>
      <t xml:space="preserve">Area 
</t>
    </r>
    <r>
      <rPr>
        <b/>
        <i/>
        <sz val="10"/>
        <rFont val="Calibri"/>
        <family val="2"/>
        <scheme val="minor"/>
      </rPr>
      <t>(in running mtr)</t>
    </r>
  </si>
  <si>
    <t>Rcc</t>
  </si>
  <si>
    <r>
      <t xml:space="preserve">Plinth Area  Rate 
</t>
    </r>
    <r>
      <rPr>
        <b/>
        <i/>
        <sz val="10"/>
        <rFont val="Calibri"/>
        <family val="2"/>
        <scheme val="minor"/>
      </rPr>
      <t>(in per running mtr</t>
    </r>
  </si>
  <si>
    <t>Boundary wall</t>
  </si>
  <si>
    <t>Road</t>
  </si>
  <si>
    <t>road Value</t>
  </si>
  <si>
    <t>Asthetic value</t>
  </si>
  <si>
    <t>Meter Room</t>
  </si>
  <si>
    <t>Sand Blasting-1</t>
  </si>
  <si>
    <t>Shed</t>
  </si>
  <si>
    <t>Pump Room</t>
  </si>
  <si>
    <t>Gard Room</t>
  </si>
  <si>
    <t>Visitor Room</t>
  </si>
  <si>
    <t>Unit-II</t>
  </si>
  <si>
    <t>Production Hall</t>
  </si>
  <si>
    <t>Canopy 1-10</t>
  </si>
  <si>
    <t>Ele Substation</t>
  </si>
  <si>
    <t>Projection</t>
  </si>
  <si>
    <t>Cabin</t>
  </si>
  <si>
    <t>Admin Block</t>
  </si>
  <si>
    <t>MS Stair</t>
  </si>
  <si>
    <t>Canteen Block</t>
  </si>
  <si>
    <t>Porch</t>
  </si>
  <si>
    <t>Argon Store</t>
  </si>
  <si>
    <t>Sheet Plant</t>
  </si>
  <si>
    <t>Sand Blasting-2</t>
  </si>
  <si>
    <t>Gas Storage</t>
  </si>
  <si>
    <t>Laboratory</t>
  </si>
  <si>
    <t>Block</t>
  </si>
  <si>
    <t>3a</t>
  </si>
  <si>
    <t>5a</t>
  </si>
  <si>
    <t>9a</t>
  </si>
  <si>
    <t>10a</t>
  </si>
  <si>
    <t>10b</t>
  </si>
  <si>
    <t>12a</t>
  </si>
  <si>
    <t>14a</t>
  </si>
  <si>
    <t>Mezzanine Floor-1</t>
  </si>
  <si>
    <t>Mezzanine Floor-2</t>
  </si>
  <si>
    <t>First Floor</t>
  </si>
  <si>
    <t>Cut</t>
  </si>
  <si>
    <t>Ms Stair</t>
  </si>
  <si>
    <t>BUILDING VALUATION FOR M/S. INTERARCH BUILDING PRODUCTS PVT LTD</t>
  </si>
  <si>
    <t>4.All the building and structures belongs to M/s. Interarch Building Products Pvt Ltd.</t>
  </si>
  <si>
    <t>RCC &amp; Shed</t>
  </si>
  <si>
    <t>1. All the details pertaining to the building area statement such as area,  floor,type of structure etc. has been taken as per the approved map and information provided by client during survey.</t>
  </si>
  <si>
    <t>Office Block (Gas storage)</t>
  </si>
  <si>
    <t xml:space="preserve">Total Stair Area </t>
  </si>
  <si>
    <t>Rcc &amp; Shed</t>
  </si>
  <si>
    <t>External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</si>
</sst>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_ * #,##0_ ;_ * \-#,##0_ ;_ * &quot;-&quot;??_ ;_ @_ "/>
    <numFmt numFmtId="166" formatCode="_ * #,##0.000_ ;_ * \-#,##0.000_ ;_ * &quot;-&quot;??_ ;_ @_ "/>
    <numFmt numFmtId="167" formatCode="_ * #,##0.0000_ ;_ * \-#,##0.0000_ ;_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name val="Calibri"/>
      <family val="2"/>
      <scheme val="minor"/>
    </font>
    <font>
      <b/>
      <i/>
      <sz val="10"/>
      <name val="Calibri"/>
      <family val="2"/>
      <scheme val="minor"/>
    </font>
    <font>
      <b/>
      <i/>
      <sz val="11"/>
      <color theme="1"/>
      <name val="Calibri"/>
      <family val="2"/>
      <scheme val="minor"/>
    </font>
    <font>
      <b/>
      <sz val="10"/>
      <name val="Calibri"/>
      <family val="2"/>
      <scheme val="minor"/>
    </font>
    <font>
      <b/>
      <sz val="12"/>
      <color theme="1"/>
      <name val="Calibri"/>
      <family val="2"/>
      <scheme val="minor"/>
    </font>
    <font>
      <sz val="11"/>
      <name val="Calibri"/>
      <family val="2"/>
      <scheme val="minor"/>
    </font>
    <font>
      <b/>
      <sz val="10"/>
      <color theme="1"/>
      <name val="Arial"/>
      <family val="2"/>
    </font>
    <font>
      <i/>
      <sz val="10"/>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rgb="FF1E3661"/>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499984740745262"/>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7">
    <xf numFmtId="0" fontId="0" fillId="0" borderId="0" xfId="0"/>
    <xf numFmtId="0" fontId="0" fillId="0" borderId="0" xfId="0" applyAlignment="1">
      <alignment wrapText="1"/>
    </xf>
    <xf numFmtId="165" fontId="0" fillId="0" borderId="0" xfId="1" applyNumberFormat="1" applyFont="1"/>
    <xf numFmtId="43" fontId="0" fillId="0" borderId="0" xfId="0" applyNumberFormat="1"/>
    <xf numFmtId="43" fontId="0" fillId="0" borderId="0" xfId="1" applyFont="1"/>
    <xf numFmtId="0" fontId="0" fillId="0" borderId="13" xfId="0" applyBorder="1" applyAlignment="1">
      <alignment horizontal="center" vertical="center" wrapText="1"/>
    </xf>
    <xf numFmtId="0" fontId="0" fillId="4" borderId="0" xfId="0" applyFill="1"/>
    <xf numFmtId="0" fontId="4" fillId="4" borderId="5" xfId="0" applyFont="1" applyFill="1" applyBorder="1" applyAlignment="1">
      <alignment horizontal="center" vertical="center" wrapText="1"/>
    </xf>
    <xf numFmtId="43" fontId="4" fillId="4" borderId="5" xfId="1" applyFont="1" applyFill="1" applyBorder="1" applyAlignment="1">
      <alignment horizontal="center" vertical="center" wrapText="1"/>
    </xf>
    <xf numFmtId="43" fontId="4" fillId="4" borderId="4" xfId="1" applyFont="1" applyFill="1" applyBorder="1" applyAlignment="1">
      <alignment horizontal="center" vertical="center" wrapText="1"/>
    </xf>
    <xf numFmtId="0" fontId="9" fillId="4" borderId="4" xfId="0" applyFont="1" applyFill="1" applyBorder="1" applyAlignment="1">
      <alignment horizontal="center" vertical="center" wrapText="1"/>
    </xf>
    <xf numFmtId="9" fontId="9" fillId="4" borderId="4" xfId="0" applyNumberFormat="1"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43" fontId="4" fillId="3" borderId="16" xfId="1" applyFont="1" applyFill="1" applyBorder="1" applyAlignment="1">
      <alignment horizontal="center" vertical="center" wrapText="1"/>
    </xf>
    <xf numFmtId="165" fontId="4" fillId="3" borderId="17" xfId="1" applyNumberFormat="1"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wrapText="1"/>
    </xf>
    <xf numFmtId="43" fontId="0" fillId="0" borderId="10" xfId="1" applyFont="1" applyBorder="1" applyAlignment="1">
      <alignment horizontal="center" vertical="center"/>
    </xf>
    <xf numFmtId="43" fontId="1" fillId="0" borderId="10" xfId="1" applyFill="1" applyBorder="1" applyAlignment="1">
      <alignment horizontal="center" vertical="center" wrapText="1"/>
    </xf>
    <xf numFmtId="165" fontId="0" fillId="0" borderId="10" xfId="1" applyNumberFormat="1" applyFont="1" applyBorder="1" applyAlignment="1">
      <alignment horizontal="center" vertical="center" wrapText="1"/>
    </xf>
    <xf numFmtId="166" fontId="0" fillId="0" borderId="10" xfId="1" applyNumberFormat="1" applyFont="1" applyBorder="1" applyAlignment="1">
      <alignment horizontal="center" vertical="center" wrapText="1"/>
    </xf>
    <xf numFmtId="165" fontId="1" fillId="0" borderId="11" xfId="1" applyNumberFormat="1" applyFill="1" applyBorder="1" applyAlignment="1">
      <alignment horizontal="center" vertical="center" wrapText="1"/>
    </xf>
    <xf numFmtId="165" fontId="1" fillId="0" borderId="14" xfId="1" applyNumberFormat="1" applyFill="1" applyBorder="1" applyAlignment="1">
      <alignment horizontal="center" vertical="center" wrapText="1"/>
    </xf>
    <xf numFmtId="43" fontId="0" fillId="0" borderId="13" xfId="1" applyFont="1" applyBorder="1" applyAlignment="1">
      <alignment horizontal="center" vertical="center"/>
    </xf>
    <xf numFmtId="165" fontId="0" fillId="0" borderId="13" xfId="1" applyNumberFormat="1" applyFont="1" applyBorder="1" applyAlignment="1">
      <alignment horizontal="center" vertical="center" wrapText="1"/>
    </xf>
    <xf numFmtId="166" fontId="0" fillId="0" borderId="13" xfId="1" applyNumberFormat="1" applyFont="1" applyBorder="1" applyAlignment="1">
      <alignment horizontal="center" vertical="center" wrapText="1"/>
    </xf>
    <xf numFmtId="167" fontId="0" fillId="0" borderId="0" xfId="0" applyNumberFormat="1"/>
    <xf numFmtId="0" fontId="0" fillId="0" borderId="12" xfId="0" applyBorder="1" applyAlignment="1">
      <alignment horizontal="center" vertical="center"/>
    </xf>
    <xf numFmtId="165" fontId="2" fillId="0" borderId="21" xfId="1" applyNumberFormat="1" applyFont="1" applyBorder="1"/>
    <xf numFmtId="165" fontId="9" fillId="4" borderId="4" xfId="1" applyNumberFormat="1" applyFont="1" applyFill="1" applyBorder="1" applyAlignment="1">
      <alignment horizontal="center" vertical="center" wrapText="1"/>
    </xf>
    <xf numFmtId="4" fontId="0" fillId="0" borderId="0" xfId="0" applyNumberFormat="1"/>
    <xf numFmtId="0" fontId="0" fillId="0" borderId="22" xfId="0" applyBorder="1"/>
    <xf numFmtId="0" fontId="0" fillId="0" borderId="24" xfId="0" applyBorder="1"/>
    <xf numFmtId="3" fontId="0" fillId="0" borderId="25" xfId="0" applyNumberFormat="1" applyBorder="1"/>
    <xf numFmtId="0" fontId="0" fillId="0" borderId="18" xfId="0" applyBorder="1"/>
    <xf numFmtId="3" fontId="0" fillId="0" borderId="26" xfId="0" applyNumberFormat="1" applyBorder="1"/>
    <xf numFmtId="0" fontId="0" fillId="0" borderId="27" xfId="0" applyBorder="1"/>
    <xf numFmtId="0" fontId="0" fillId="0" borderId="23" xfId="0" applyBorder="1"/>
    <xf numFmtId="3" fontId="0" fillId="0" borderId="19" xfId="0" applyNumberFormat="1" applyBorder="1"/>
    <xf numFmtId="165" fontId="4" fillId="4" borderId="5" xfId="1" applyNumberFormat="1" applyFont="1" applyFill="1" applyBorder="1" applyAlignment="1">
      <alignment horizontal="center" vertical="center" wrapText="1"/>
    </xf>
    <xf numFmtId="165" fontId="9" fillId="4" borderId="4"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9" fontId="0" fillId="0" borderId="0" xfId="0" applyNumberFormat="1"/>
    <xf numFmtId="3" fontId="10" fillId="0" borderId="0" xfId="0" applyNumberFormat="1" applyFont="1"/>
    <xf numFmtId="165" fontId="0" fillId="0" borderId="0" xfId="0" applyNumberFormat="1"/>
    <xf numFmtId="166" fontId="0" fillId="0" borderId="0" xfId="1" applyNumberFormat="1" applyFont="1"/>
    <xf numFmtId="164" fontId="0" fillId="0" borderId="0" xfId="0" applyNumberFormat="1"/>
    <xf numFmtId="165" fontId="0" fillId="0" borderId="25" xfId="1" applyNumberFormat="1" applyFont="1" applyBorder="1"/>
    <xf numFmtId="165" fontId="10" fillId="0" borderId="0" xfId="1" applyNumberFormat="1" applyFont="1"/>
    <xf numFmtId="0" fontId="9" fillId="0" borderId="4" xfId="0" applyFont="1" applyBorder="1" applyAlignment="1">
      <alignment horizontal="center" vertical="center" wrapText="1"/>
    </xf>
    <xf numFmtId="165" fontId="9" fillId="4" borderId="4" xfId="1" applyNumberFormat="1" applyFont="1" applyFill="1" applyBorder="1" applyAlignment="1">
      <alignment horizontal="center" wrapText="1"/>
    </xf>
    <xf numFmtId="165" fontId="9" fillId="4" borderId="4" xfId="1" applyNumberFormat="1" applyFont="1" applyFill="1" applyBorder="1" applyAlignment="1">
      <alignment vertical="center" wrapText="1"/>
    </xf>
    <xf numFmtId="165" fontId="9" fillId="0" borderId="4" xfId="1" applyNumberFormat="1" applyFont="1" applyBorder="1" applyAlignment="1">
      <alignment horizontal="center" vertical="center" wrapText="1"/>
    </xf>
    <xf numFmtId="3" fontId="9" fillId="4" borderId="4" xfId="0" applyNumberFormat="1" applyFont="1" applyFill="1" applyBorder="1" applyAlignment="1">
      <alignment horizontal="center" vertical="center" wrapText="1"/>
    </xf>
    <xf numFmtId="1" fontId="0" fillId="0" borderId="0" xfId="0" applyNumberFormat="1"/>
    <xf numFmtId="0" fontId="4" fillId="5" borderId="4" xfId="0"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65" fontId="4" fillId="0" borderId="5" xfId="1" applyNumberFormat="1" applyFont="1" applyFill="1" applyBorder="1" applyAlignment="1">
      <alignment horizontal="center" vertical="center" wrapText="1"/>
    </xf>
    <xf numFmtId="0" fontId="12" fillId="6" borderId="4" xfId="0" applyFont="1" applyFill="1" applyBorder="1" applyAlignment="1">
      <alignment horizontal="center" vertical="center"/>
    </xf>
    <xf numFmtId="0" fontId="0" fillId="0" borderId="4" xfId="0" applyBorder="1" applyAlignment="1">
      <alignment horizontal="center" vertical="center"/>
    </xf>
    <xf numFmtId="0" fontId="0" fillId="3" borderId="4" xfId="0" applyFill="1" applyBorder="1" applyAlignment="1">
      <alignment horizontal="center" vertical="center"/>
    </xf>
    <xf numFmtId="0" fontId="2" fillId="3" borderId="4" xfId="0" applyFont="1" applyFill="1" applyBorder="1" applyAlignment="1">
      <alignment horizontal="center" vertical="center"/>
    </xf>
    <xf numFmtId="165" fontId="4" fillId="0" borderId="4" xfId="1" applyNumberFormat="1" applyFont="1" applyBorder="1" applyAlignment="1">
      <alignment horizontal="center" vertical="center" wrapText="1"/>
    </xf>
    <xf numFmtId="0" fontId="2" fillId="0" borderId="4" xfId="0" applyFont="1" applyBorder="1"/>
    <xf numFmtId="165" fontId="2" fillId="0" borderId="4" xfId="0" applyNumberFormat="1" applyFont="1" applyBorder="1"/>
    <xf numFmtId="165" fontId="2" fillId="0" borderId="4" xfId="1" applyNumberFormat="1" applyFont="1" applyBorder="1"/>
    <xf numFmtId="3" fontId="9" fillId="4" borderId="5" xfId="0" applyNumberFormat="1" applyFont="1" applyFill="1" applyBorder="1" applyAlignment="1">
      <alignment horizontal="center" vertical="center" wrapText="1"/>
    </xf>
    <xf numFmtId="0" fontId="0" fillId="0" borderId="0" xfId="0" applyAlignment="1">
      <alignment horizontal="center"/>
    </xf>
    <xf numFmtId="0" fontId="9" fillId="4" borderId="28"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8" fillId="3" borderId="6"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G69"/>
  <sheetViews>
    <sheetView topLeftCell="A31" zoomScale="85" zoomScaleNormal="85" workbookViewId="0">
      <selection activeCell="G56" sqref="G56"/>
    </sheetView>
  </sheetViews>
  <sheetFormatPr defaultRowHeight="15" x14ac:dyDescent="0.25"/>
  <cols>
    <col min="1" max="1" width="7.42578125" customWidth="1"/>
    <col min="2" max="2" width="11" bestFit="1" customWidth="1"/>
    <col min="3" max="3" width="18.28515625" bestFit="1" customWidth="1"/>
    <col min="4" max="4" width="14" style="1" customWidth="1"/>
    <col min="5" max="5" width="12.42578125" style="1" customWidth="1"/>
    <col min="6" max="6" width="11.7109375" customWidth="1"/>
    <col min="7" max="7" width="14.42578125" style="6" customWidth="1"/>
    <col min="8" max="8" width="15.42578125" customWidth="1"/>
    <col min="9" max="9" width="9.5703125" customWidth="1"/>
    <col min="10" max="10" width="10.42578125" customWidth="1"/>
    <col min="11" max="11" width="11" customWidth="1"/>
    <col min="12" max="12" width="7.85546875" customWidth="1"/>
    <col min="13" max="13" width="11.85546875" customWidth="1"/>
    <col min="14" max="14" width="18.7109375" customWidth="1"/>
    <col min="15" max="15" width="15.42578125" customWidth="1"/>
    <col min="16" max="16" width="12.42578125" hidden="1" customWidth="1"/>
    <col min="17" max="17" width="13.42578125" hidden="1" customWidth="1"/>
    <col min="18" max="18" width="11.7109375" hidden="1" customWidth="1"/>
    <col min="19" max="19" width="15.28515625" customWidth="1"/>
    <col min="20" max="20" width="10.28515625" bestFit="1" customWidth="1"/>
    <col min="21" max="21" width="14.28515625" style="2" bestFit="1" customWidth="1"/>
    <col min="22" max="22" width="15.42578125" bestFit="1" customWidth="1"/>
    <col min="23" max="23" width="14.42578125" bestFit="1" customWidth="1"/>
    <col min="24" max="24" width="15.42578125" bestFit="1" customWidth="1"/>
    <col min="25" max="25" width="22.28515625" customWidth="1"/>
    <col min="26" max="26" width="14.42578125" bestFit="1" customWidth="1"/>
    <col min="27" max="27" width="10.28515625" bestFit="1" customWidth="1"/>
    <col min="30" max="30" width="14.42578125" bestFit="1" customWidth="1"/>
  </cols>
  <sheetData>
    <row r="3" spans="2:24" ht="29.25" customHeight="1" x14ac:dyDescent="0.25">
      <c r="B3" s="79" t="s">
        <v>98</v>
      </c>
      <c r="C3" s="80"/>
      <c r="D3" s="80"/>
      <c r="E3" s="80"/>
      <c r="F3" s="80"/>
      <c r="G3" s="80"/>
      <c r="H3" s="80"/>
      <c r="I3" s="80"/>
      <c r="J3" s="80"/>
      <c r="K3" s="80"/>
      <c r="L3" s="80"/>
      <c r="M3" s="80"/>
      <c r="N3" s="80"/>
      <c r="O3" s="80"/>
      <c r="P3" s="80"/>
      <c r="Q3" s="80"/>
      <c r="R3" s="80"/>
      <c r="S3" s="81"/>
      <c r="U3" s="47"/>
    </row>
    <row r="4" spans="2:24" ht="60" x14ac:dyDescent="0.25">
      <c r="B4" s="57" t="s">
        <v>85</v>
      </c>
      <c r="C4" s="57" t="s">
        <v>21</v>
      </c>
      <c r="D4" s="57" t="s">
        <v>1</v>
      </c>
      <c r="E4" s="57" t="s">
        <v>44</v>
      </c>
      <c r="F4" s="57" t="s">
        <v>2</v>
      </c>
      <c r="G4" s="57" t="s">
        <v>3</v>
      </c>
      <c r="H4" s="57" t="s">
        <v>4</v>
      </c>
      <c r="I4" s="57" t="s">
        <v>5</v>
      </c>
      <c r="J4" s="57" t="s">
        <v>6</v>
      </c>
      <c r="K4" s="57" t="s">
        <v>7</v>
      </c>
      <c r="L4" s="57" t="s">
        <v>8</v>
      </c>
      <c r="M4" s="57" t="s">
        <v>9</v>
      </c>
      <c r="N4" s="57" t="s">
        <v>10</v>
      </c>
      <c r="O4" s="57" t="s">
        <v>11</v>
      </c>
      <c r="P4" s="57" t="s">
        <v>39</v>
      </c>
      <c r="Q4" s="57" t="s">
        <v>38</v>
      </c>
      <c r="R4" s="57" t="s">
        <v>12</v>
      </c>
      <c r="S4" s="57" t="s">
        <v>13</v>
      </c>
      <c r="U4"/>
      <c r="X4" s="44"/>
    </row>
    <row r="5" spans="2:24" x14ac:dyDescent="0.25">
      <c r="B5" s="10">
        <v>1</v>
      </c>
      <c r="C5" s="10" t="s">
        <v>43</v>
      </c>
      <c r="D5" s="10" t="s">
        <v>66</v>
      </c>
      <c r="E5" s="55">
        <v>20.16</v>
      </c>
      <c r="F5" s="55">
        <f t="shared" ref="F5:F40" si="0">E5*10.7639</f>
        <v>217.000224</v>
      </c>
      <c r="G5" s="51">
        <f>2.4*3.26</f>
        <v>7.823999999999999</v>
      </c>
      <c r="H5" s="12">
        <v>2006</v>
      </c>
      <c r="I5" s="10">
        <v>2024</v>
      </c>
      <c r="J5" s="10">
        <f>I5-H5</f>
        <v>18</v>
      </c>
      <c r="K5" s="10">
        <v>40</v>
      </c>
      <c r="L5" s="11">
        <v>0.1</v>
      </c>
      <c r="M5" s="10">
        <f t="shared" ref="M5:M40" si="1">(1-L5)/K5</f>
        <v>2.2499999999999999E-2</v>
      </c>
      <c r="N5" s="51">
        <v>1000</v>
      </c>
      <c r="O5" s="52">
        <f>N5*F5</f>
        <v>217000.22400000002</v>
      </c>
      <c r="P5" s="43">
        <f>M5*J5</f>
        <v>0.40499999999999997</v>
      </c>
      <c r="Q5" s="10">
        <f>O5*P5</f>
        <v>87885.090720000007</v>
      </c>
      <c r="R5" s="10"/>
      <c r="S5" s="54">
        <f>O5-Q5</f>
        <v>129115.13328000001</v>
      </c>
      <c r="U5"/>
    </row>
    <row r="6" spans="2:24" x14ac:dyDescent="0.25">
      <c r="B6" s="10">
        <v>2</v>
      </c>
      <c r="C6" s="10" t="s">
        <v>64</v>
      </c>
      <c r="D6" s="10" t="s">
        <v>66</v>
      </c>
      <c r="E6" s="55">
        <v>32.799999999999997</v>
      </c>
      <c r="F6" s="55">
        <f t="shared" si="0"/>
        <v>353.05591999999996</v>
      </c>
      <c r="G6" s="51">
        <f>3.5*3.26</f>
        <v>11.41</v>
      </c>
      <c r="H6" s="12">
        <v>2006</v>
      </c>
      <c r="I6" s="10">
        <v>2024</v>
      </c>
      <c r="J6" s="10">
        <f t="shared" ref="J6:J40" si="2">I6-H6</f>
        <v>18</v>
      </c>
      <c r="K6" s="10">
        <v>40</v>
      </c>
      <c r="L6" s="11">
        <v>0.1</v>
      </c>
      <c r="M6" s="10">
        <f t="shared" si="1"/>
        <v>2.2499999999999999E-2</v>
      </c>
      <c r="N6" s="51">
        <v>1000</v>
      </c>
      <c r="O6" s="53">
        <f t="shared" ref="O6:O40" si="3">N6*F6</f>
        <v>353055.92</v>
      </c>
      <c r="P6" s="43">
        <f t="shared" ref="P6" si="4">M6*J6</f>
        <v>0.40499999999999997</v>
      </c>
      <c r="Q6" s="10">
        <f t="shared" ref="Q6" si="5">O6*P6</f>
        <v>142987.6476</v>
      </c>
      <c r="R6" s="10"/>
      <c r="S6" s="54">
        <f t="shared" ref="S6:S40" si="6">O6-Q6</f>
        <v>210068.27239999999</v>
      </c>
      <c r="U6"/>
    </row>
    <row r="7" spans="2:24" x14ac:dyDescent="0.25">
      <c r="B7" s="10">
        <v>3</v>
      </c>
      <c r="C7" s="10" t="s">
        <v>65</v>
      </c>
      <c r="D7" s="10" t="s">
        <v>66</v>
      </c>
      <c r="E7" s="55">
        <v>110.96</v>
      </c>
      <c r="F7" s="55">
        <f t="shared" si="0"/>
        <v>1194.3623439999999</v>
      </c>
      <c r="G7" s="69">
        <f>6.5*3.26</f>
        <v>21.189999999999998</v>
      </c>
      <c r="H7" s="12">
        <v>2006</v>
      </c>
      <c r="I7" s="10">
        <v>2024</v>
      </c>
      <c r="J7" s="10">
        <f t="shared" si="2"/>
        <v>18</v>
      </c>
      <c r="K7" s="10">
        <v>40</v>
      </c>
      <c r="L7" s="11">
        <v>0.1</v>
      </c>
      <c r="M7" s="10">
        <f t="shared" si="1"/>
        <v>2.2499999999999999E-2</v>
      </c>
      <c r="N7" s="51">
        <v>1100</v>
      </c>
      <c r="O7" s="31">
        <f t="shared" si="3"/>
        <v>1313798.5784</v>
      </c>
      <c r="P7" s="43">
        <f>M7*J7</f>
        <v>0.40499999999999997</v>
      </c>
      <c r="Q7" s="42">
        <f>O7*P7</f>
        <v>532088.42425199994</v>
      </c>
      <c r="R7" s="10"/>
      <c r="S7" s="54">
        <f t="shared" si="6"/>
        <v>781710.15414800006</v>
      </c>
      <c r="U7" t="s">
        <v>45</v>
      </c>
    </row>
    <row r="8" spans="2:24" x14ac:dyDescent="0.25">
      <c r="B8" s="10" t="s">
        <v>86</v>
      </c>
      <c r="C8" s="10" t="s">
        <v>66</v>
      </c>
      <c r="D8" s="10" t="s">
        <v>66</v>
      </c>
      <c r="E8" s="55">
        <v>52.85</v>
      </c>
      <c r="F8" s="55">
        <f t="shared" si="0"/>
        <v>568.87211500000001</v>
      </c>
      <c r="G8" s="71">
        <v>8</v>
      </c>
      <c r="H8" s="12">
        <v>2006</v>
      </c>
      <c r="I8" s="10">
        <v>2024</v>
      </c>
      <c r="J8" s="10">
        <f t="shared" si="2"/>
        <v>18</v>
      </c>
      <c r="K8" s="10">
        <v>40</v>
      </c>
      <c r="L8" s="11">
        <v>0.1</v>
      </c>
      <c r="M8" s="10">
        <f t="shared" si="1"/>
        <v>2.2499999999999999E-2</v>
      </c>
      <c r="N8" s="51">
        <v>800</v>
      </c>
      <c r="O8" s="31">
        <f t="shared" si="3"/>
        <v>455097.69199999998</v>
      </c>
      <c r="P8" s="43">
        <f t="shared" ref="P8:P40" si="7">M8*J8</f>
        <v>0.40499999999999997</v>
      </c>
      <c r="Q8" s="42">
        <f t="shared" ref="Q8:Q40" si="8">O8*P8</f>
        <v>184314.56525999997</v>
      </c>
      <c r="R8" s="10"/>
      <c r="S8" s="54">
        <f t="shared" si="6"/>
        <v>270783.12673999998</v>
      </c>
      <c r="U8"/>
    </row>
    <row r="9" spans="2:24" x14ac:dyDescent="0.25">
      <c r="B9" s="10">
        <v>4</v>
      </c>
      <c r="C9" s="10" t="s">
        <v>67</v>
      </c>
      <c r="D9" s="10" t="s">
        <v>100</v>
      </c>
      <c r="E9" s="55">
        <v>36.549999999999997</v>
      </c>
      <c r="F9" s="55">
        <f t="shared" si="0"/>
        <v>393.42054499999995</v>
      </c>
      <c r="G9" s="51">
        <f>3.49*3.26</f>
        <v>11.3774</v>
      </c>
      <c r="H9" s="12">
        <v>2006</v>
      </c>
      <c r="I9" s="10">
        <v>2024</v>
      </c>
      <c r="J9" s="10">
        <f t="shared" si="2"/>
        <v>18</v>
      </c>
      <c r="K9" s="10">
        <v>40</v>
      </c>
      <c r="L9" s="11">
        <v>0.1</v>
      </c>
      <c r="M9" s="10">
        <f t="shared" si="1"/>
        <v>2.2499999999999999E-2</v>
      </c>
      <c r="N9" s="51">
        <v>1000</v>
      </c>
      <c r="O9" s="31">
        <f t="shared" si="3"/>
        <v>393420.54499999993</v>
      </c>
      <c r="P9" s="43">
        <f t="shared" si="7"/>
        <v>0.40499999999999997</v>
      </c>
      <c r="Q9" s="42">
        <f t="shared" si="8"/>
        <v>159335.32072499997</v>
      </c>
      <c r="R9" s="10"/>
      <c r="S9" s="54">
        <f t="shared" si="6"/>
        <v>234085.22427499996</v>
      </c>
      <c r="U9"/>
    </row>
    <row r="10" spans="2:24" x14ac:dyDescent="0.25">
      <c r="B10" s="10">
        <v>5</v>
      </c>
      <c r="C10" s="10" t="s">
        <v>68</v>
      </c>
      <c r="D10" s="10" t="s">
        <v>66</v>
      </c>
      <c r="E10" s="55">
        <v>14.02</v>
      </c>
      <c r="F10" s="55">
        <f t="shared" si="0"/>
        <v>150.90987799999999</v>
      </c>
      <c r="G10" s="51">
        <f>2.3*3.26</f>
        <v>7.4979999999999993</v>
      </c>
      <c r="H10" s="12">
        <v>2006</v>
      </c>
      <c r="I10" s="10">
        <v>2024</v>
      </c>
      <c r="J10" s="10">
        <f t="shared" si="2"/>
        <v>18</v>
      </c>
      <c r="K10" s="10">
        <v>40</v>
      </c>
      <c r="L10" s="11">
        <v>0.1</v>
      </c>
      <c r="M10" s="10">
        <f t="shared" si="1"/>
        <v>2.2499999999999999E-2</v>
      </c>
      <c r="N10" s="51">
        <v>1000</v>
      </c>
      <c r="O10" s="31">
        <f t="shared" si="3"/>
        <v>150909.878</v>
      </c>
      <c r="P10" s="43">
        <f t="shared" si="7"/>
        <v>0.40499999999999997</v>
      </c>
      <c r="Q10" s="42">
        <f t="shared" si="8"/>
        <v>61118.500589999996</v>
      </c>
      <c r="R10" s="10"/>
      <c r="S10" s="54">
        <f t="shared" si="6"/>
        <v>89791.377410000001</v>
      </c>
      <c r="U10"/>
    </row>
    <row r="11" spans="2:24" x14ac:dyDescent="0.25">
      <c r="B11" s="10" t="s">
        <v>87</v>
      </c>
      <c r="C11" s="10" t="s">
        <v>69</v>
      </c>
      <c r="D11" s="10" t="s">
        <v>66</v>
      </c>
      <c r="E11" s="55">
        <v>14.62</v>
      </c>
      <c r="F11" s="55">
        <f t="shared" si="0"/>
        <v>157.36821799999998</v>
      </c>
      <c r="G11" s="51">
        <f>2.3*3.26</f>
        <v>7.4979999999999993</v>
      </c>
      <c r="H11" s="12">
        <v>2006</v>
      </c>
      <c r="I11" s="10">
        <v>2024</v>
      </c>
      <c r="J11" s="10">
        <f t="shared" si="2"/>
        <v>18</v>
      </c>
      <c r="K11" s="10">
        <v>40</v>
      </c>
      <c r="L11" s="11">
        <v>0.1</v>
      </c>
      <c r="M11" s="10">
        <f t="shared" si="1"/>
        <v>2.2499999999999999E-2</v>
      </c>
      <c r="N11" s="51">
        <v>1000</v>
      </c>
      <c r="O11" s="31">
        <f t="shared" si="3"/>
        <v>157368.21799999999</v>
      </c>
      <c r="P11" s="43">
        <f t="shared" si="7"/>
        <v>0.40499999999999997</v>
      </c>
      <c r="Q11" s="42">
        <f t="shared" si="8"/>
        <v>63734.128289999993</v>
      </c>
      <c r="R11" s="10"/>
      <c r="S11" s="54">
        <f t="shared" si="6"/>
        <v>93634.08971</v>
      </c>
      <c r="U11"/>
    </row>
    <row r="12" spans="2:24" x14ac:dyDescent="0.25">
      <c r="B12" s="10">
        <v>6</v>
      </c>
      <c r="C12" s="10" t="s">
        <v>64</v>
      </c>
      <c r="D12" s="10" t="s">
        <v>66</v>
      </c>
      <c r="E12" s="55">
        <v>8.7899999999999991</v>
      </c>
      <c r="F12" s="55">
        <f t="shared" si="0"/>
        <v>94.61468099999999</v>
      </c>
      <c r="G12" s="51">
        <f>3.9*3.26</f>
        <v>12.713999999999999</v>
      </c>
      <c r="H12" s="12">
        <v>2006</v>
      </c>
      <c r="I12" s="10">
        <v>2024</v>
      </c>
      <c r="J12" s="10">
        <f t="shared" si="2"/>
        <v>18</v>
      </c>
      <c r="K12" s="10">
        <v>40</v>
      </c>
      <c r="L12" s="11">
        <v>0.1</v>
      </c>
      <c r="M12" s="10">
        <f t="shared" si="1"/>
        <v>2.2499999999999999E-2</v>
      </c>
      <c r="N12" s="51">
        <v>1000</v>
      </c>
      <c r="O12" s="31">
        <f t="shared" si="3"/>
        <v>94614.680999999997</v>
      </c>
      <c r="P12" s="43">
        <f t="shared" si="7"/>
        <v>0.40499999999999997</v>
      </c>
      <c r="Q12" s="42">
        <f t="shared" si="8"/>
        <v>38318.945804999996</v>
      </c>
      <c r="R12" s="10"/>
      <c r="S12" s="54">
        <f t="shared" si="6"/>
        <v>56295.735195000001</v>
      </c>
      <c r="U12"/>
    </row>
    <row r="13" spans="2:24" x14ac:dyDescent="0.25">
      <c r="B13" s="10">
        <v>7</v>
      </c>
      <c r="C13" s="10" t="s">
        <v>70</v>
      </c>
      <c r="D13" s="10" t="s">
        <v>66</v>
      </c>
      <c r="E13" s="55">
        <v>446.03</v>
      </c>
      <c r="F13" s="55">
        <f t="shared" si="0"/>
        <v>4801.0223169999999</v>
      </c>
      <c r="G13" s="51">
        <f>9*3.26</f>
        <v>29.339999999999996</v>
      </c>
      <c r="H13" s="12">
        <v>2006</v>
      </c>
      <c r="I13" s="10">
        <v>2024</v>
      </c>
      <c r="J13" s="10">
        <f t="shared" si="2"/>
        <v>18</v>
      </c>
      <c r="K13" s="10">
        <v>40</v>
      </c>
      <c r="L13" s="11">
        <v>0.1</v>
      </c>
      <c r="M13" s="10">
        <f t="shared" si="1"/>
        <v>2.2499999999999999E-2</v>
      </c>
      <c r="N13" s="51">
        <v>1100</v>
      </c>
      <c r="O13" s="31">
        <f t="shared" si="3"/>
        <v>5281124.5487000002</v>
      </c>
      <c r="P13" s="43">
        <f t="shared" si="7"/>
        <v>0.40499999999999997</v>
      </c>
      <c r="Q13" s="42">
        <f t="shared" si="8"/>
        <v>2138855.4422235</v>
      </c>
      <c r="R13" s="10"/>
      <c r="S13" s="54">
        <f t="shared" si="6"/>
        <v>3142269.1064765002</v>
      </c>
      <c r="U13"/>
    </row>
    <row r="14" spans="2:24" x14ac:dyDescent="0.25">
      <c r="B14" s="85">
        <v>8</v>
      </c>
      <c r="C14" s="10" t="s">
        <v>71</v>
      </c>
      <c r="D14" s="10" t="s">
        <v>66</v>
      </c>
      <c r="E14" s="55">
        <f>12060</f>
        <v>12060</v>
      </c>
      <c r="F14" s="55">
        <f t="shared" si="0"/>
        <v>129812.63399999999</v>
      </c>
      <c r="G14" s="51">
        <v>18</v>
      </c>
      <c r="H14" s="12">
        <v>2006</v>
      </c>
      <c r="I14" s="10">
        <v>2024</v>
      </c>
      <c r="J14" s="10">
        <f t="shared" si="2"/>
        <v>18</v>
      </c>
      <c r="K14" s="10">
        <v>40</v>
      </c>
      <c r="L14" s="11">
        <v>0.1</v>
      </c>
      <c r="M14" s="10">
        <f t="shared" si="1"/>
        <v>2.2499999999999999E-2</v>
      </c>
      <c r="N14" s="51">
        <v>1200</v>
      </c>
      <c r="O14" s="31">
        <f t="shared" si="3"/>
        <v>155775160.79999998</v>
      </c>
      <c r="P14" s="43">
        <f t="shared" si="7"/>
        <v>0.40499999999999997</v>
      </c>
      <c r="Q14" s="42">
        <f t="shared" si="8"/>
        <v>63088940.123999991</v>
      </c>
      <c r="R14" s="10"/>
      <c r="S14" s="54">
        <f t="shared" si="6"/>
        <v>92686220.675999999</v>
      </c>
      <c r="U14"/>
    </row>
    <row r="15" spans="2:24" x14ac:dyDescent="0.25">
      <c r="B15" s="86"/>
      <c r="C15" s="10" t="s">
        <v>72</v>
      </c>
      <c r="D15" s="10" t="s">
        <v>66</v>
      </c>
      <c r="E15" s="55">
        <f>22.95+18.9+3+18.25+3+20.72+21.9+19.88+19.32+22.5</f>
        <v>170.42</v>
      </c>
      <c r="F15" s="55">
        <f t="shared" si="0"/>
        <v>1834.3838379999997</v>
      </c>
      <c r="G15" s="51">
        <v>15</v>
      </c>
      <c r="H15" s="12">
        <v>2006</v>
      </c>
      <c r="I15" s="10">
        <v>2024</v>
      </c>
      <c r="J15" s="10">
        <f t="shared" si="2"/>
        <v>18</v>
      </c>
      <c r="K15" s="10">
        <v>40</v>
      </c>
      <c r="L15" s="11">
        <v>0.1</v>
      </c>
      <c r="M15" s="10">
        <f t="shared" si="1"/>
        <v>2.2499999999999999E-2</v>
      </c>
      <c r="N15" s="51">
        <v>600</v>
      </c>
      <c r="O15" s="31">
        <f t="shared" si="3"/>
        <v>1100630.3027999999</v>
      </c>
      <c r="P15" s="43">
        <f t="shared" si="7"/>
        <v>0.40499999999999997</v>
      </c>
      <c r="Q15" s="42">
        <f t="shared" si="8"/>
        <v>445755.27263399994</v>
      </c>
      <c r="R15" s="10"/>
      <c r="S15" s="54">
        <f t="shared" si="6"/>
        <v>654875.03016600001</v>
      </c>
      <c r="U15"/>
    </row>
    <row r="16" spans="2:24" ht="19.5" customHeight="1" x14ac:dyDescent="0.25">
      <c r="B16" s="86"/>
      <c r="C16" s="10" t="s">
        <v>93</v>
      </c>
      <c r="D16" s="10" t="s">
        <v>66</v>
      </c>
      <c r="E16" s="55">
        <v>89.4</v>
      </c>
      <c r="F16" s="55">
        <f t="shared" si="0"/>
        <v>962.29266000000007</v>
      </c>
      <c r="G16" s="51">
        <v>12</v>
      </c>
      <c r="H16" s="12">
        <v>2006</v>
      </c>
      <c r="I16" s="10">
        <v>2024</v>
      </c>
      <c r="J16" s="10">
        <f t="shared" si="2"/>
        <v>18</v>
      </c>
      <c r="K16" s="10">
        <v>40</v>
      </c>
      <c r="L16" s="11">
        <v>0.1</v>
      </c>
      <c r="M16" s="10">
        <f t="shared" si="1"/>
        <v>2.2499999999999999E-2</v>
      </c>
      <c r="N16" s="51">
        <v>800</v>
      </c>
      <c r="O16" s="31">
        <f t="shared" si="3"/>
        <v>769834.12800000003</v>
      </c>
      <c r="P16" s="43">
        <f t="shared" si="7"/>
        <v>0.40499999999999997</v>
      </c>
      <c r="Q16" s="42">
        <f t="shared" si="8"/>
        <v>311782.82183999999</v>
      </c>
      <c r="R16" s="10"/>
      <c r="S16" s="54">
        <f t="shared" si="6"/>
        <v>458051.30616000004</v>
      </c>
      <c r="U16"/>
    </row>
    <row r="17" spans="2:21" ht="15.75" customHeight="1" x14ac:dyDescent="0.25">
      <c r="B17" s="87"/>
      <c r="C17" s="10" t="s">
        <v>94</v>
      </c>
      <c r="D17" s="10" t="s">
        <v>66</v>
      </c>
      <c r="E17" s="55">
        <v>76.55</v>
      </c>
      <c r="F17" s="55">
        <f t="shared" si="0"/>
        <v>823.97654499999999</v>
      </c>
      <c r="G17" s="51">
        <v>12</v>
      </c>
      <c r="H17" s="12">
        <v>2006</v>
      </c>
      <c r="I17" s="10">
        <v>2024</v>
      </c>
      <c r="J17" s="10">
        <f t="shared" si="2"/>
        <v>18</v>
      </c>
      <c r="K17" s="10">
        <v>40</v>
      </c>
      <c r="L17" s="11">
        <v>0.1</v>
      </c>
      <c r="M17" s="10">
        <f t="shared" si="1"/>
        <v>2.2499999999999999E-2</v>
      </c>
      <c r="N17" s="51">
        <v>800</v>
      </c>
      <c r="O17" s="31">
        <f t="shared" si="3"/>
        <v>659181.23600000003</v>
      </c>
      <c r="P17" s="43">
        <f t="shared" si="7"/>
        <v>0.40499999999999997</v>
      </c>
      <c r="Q17" s="42">
        <f t="shared" si="8"/>
        <v>266968.40058000002</v>
      </c>
      <c r="R17" s="10"/>
      <c r="S17" s="54">
        <f t="shared" si="6"/>
        <v>392212.83542000002</v>
      </c>
      <c r="U17"/>
    </row>
    <row r="18" spans="2:21" x14ac:dyDescent="0.25">
      <c r="B18" s="85">
        <v>9</v>
      </c>
      <c r="C18" s="10" t="s">
        <v>73</v>
      </c>
      <c r="D18" s="10" t="s">
        <v>66</v>
      </c>
      <c r="E18" s="55">
        <v>216.74</v>
      </c>
      <c r="F18" s="55">
        <f t="shared" si="0"/>
        <v>2332.967686</v>
      </c>
      <c r="G18" s="51">
        <f>6*3.26</f>
        <v>19.559999999999999</v>
      </c>
      <c r="H18" s="12">
        <v>2006</v>
      </c>
      <c r="I18" s="10">
        <v>2024</v>
      </c>
      <c r="J18" s="10">
        <f t="shared" si="2"/>
        <v>18</v>
      </c>
      <c r="K18" s="10">
        <v>40</v>
      </c>
      <c r="L18" s="11">
        <v>0.1</v>
      </c>
      <c r="M18" s="10">
        <f t="shared" si="1"/>
        <v>2.2499999999999999E-2</v>
      </c>
      <c r="N18" s="51">
        <v>1000</v>
      </c>
      <c r="O18" s="31">
        <f t="shared" si="3"/>
        <v>2332967.6859999998</v>
      </c>
      <c r="P18" s="43">
        <f t="shared" si="7"/>
        <v>0.40499999999999997</v>
      </c>
      <c r="Q18" s="42">
        <f t="shared" si="8"/>
        <v>944851.91282999981</v>
      </c>
      <c r="R18" s="10"/>
      <c r="S18" s="54">
        <f t="shared" si="6"/>
        <v>1388115.7731699999</v>
      </c>
      <c r="U18"/>
    </row>
    <row r="19" spans="2:21" x14ac:dyDescent="0.25">
      <c r="B19" s="87"/>
      <c r="C19" s="10" t="s">
        <v>74</v>
      </c>
      <c r="D19" s="10" t="s">
        <v>66</v>
      </c>
      <c r="E19" s="55">
        <v>12.96</v>
      </c>
      <c r="F19" s="55">
        <f t="shared" si="0"/>
        <v>139.50014400000001</v>
      </c>
      <c r="G19" s="51">
        <f>6*3.26</f>
        <v>19.559999999999999</v>
      </c>
      <c r="H19" s="12">
        <v>2006</v>
      </c>
      <c r="I19" s="10">
        <v>2024</v>
      </c>
      <c r="J19" s="10">
        <f t="shared" si="2"/>
        <v>18</v>
      </c>
      <c r="K19" s="10">
        <v>40</v>
      </c>
      <c r="L19" s="11">
        <v>0.1</v>
      </c>
      <c r="M19" s="10">
        <f t="shared" si="1"/>
        <v>2.2499999999999999E-2</v>
      </c>
      <c r="N19" s="51">
        <v>1000</v>
      </c>
      <c r="O19" s="31">
        <f t="shared" si="3"/>
        <v>139500.144</v>
      </c>
      <c r="P19" s="43">
        <f t="shared" si="7"/>
        <v>0.40499999999999997</v>
      </c>
      <c r="Q19" s="42">
        <f t="shared" si="8"/>
        <v>56497.558319999996</v>
      </c>
      <c r="R19" s="10"/>
      <c r="S19" s="54">
        <f t="shared" si="6"/>
        <v>83002.585680000004</v>
      </c>
      <c r="U19"/>
    </row>
    <row r="20" spans="2:21" x14ac:dyDescent="0.25">
      <c r="B20" s="10" t="s">
        <v>88</v>
      </c>
      <c r="C20" s="10" t="s">
        <v>75</v>
      </c>
      <c r="D20" s="10" t="s">
        <v>66</v>
      </c>
      <c r="E20" s="55">
        <v>4.03</v>
      </c>
      <c r="F20" s="55">
        <f t="shared" si="0"/>
        <v>43.378517000000002</v>
      </c>
      <c r="G20" s="51">
        <f t="shared" ref="G20:G40" si="9">9*3.26</f>
        <v>29.339999999999996</v>
      </c>
      <c r="H20" s="12">
        <v>2006</v>
      </c>
      <c r="I20" s="10">
        <v>2024</v>
      </c>
      <c r="J20" s="10">
        <f t="shared" si="2"/>
        <v>18</v>
      </c>
      <c r="K20" s="10">
        <v>40</v>
      </c>
      <c r="L20" s="11">
        <v>0.1</v>
      </c>
      <c r="M20" s="10">
        <f t="shared" si="1"/>
        <v>2.2499999999999999E-2</v>
      </c>
      <c r="N20" s="51">
        <v>1000</v>
      </c>
      <c r="O20" s="31">
        <f t="shared" si="3"/>
        <v>43378.517</v>
      </c>
      <c r="P20" s="43">
        <f t="shared" si="7"/>
        <v>0.40499999999999997</v>
      </c>
      <c r="Q20" s="42">
        <f t="shared" si="8"/>
        <v>17568.299384999998</v>
      </c>
      <c r="R20" s="10"/>
      <c r="S20" s="54">
        <f t="shared" si="6"/>
        <v>25810.217615000001</v>
      </c>
      <c r="U20"/>
    </row>
    <row r="21" spans="2:21" x14ac:dyDescent="0.25">
      <c r="B21" s="85">
        <v>10</v>
      </c>
      <c r="C21" s="10" t="s">
        <v>76</v>
      </c>
      <c r="D21" s="85" t="s">
        <v>100</v>
      </c>
      <c r="E21" s="55">
        <v>296.52</v>
      </c>
      <c r="F21" s="55">
        <f t="shared" si="0"/>
        <v>3191.7116279999996</v>
      </c>
      <c r="G21" s="51">
        <f>3*3.26</f>
        <v>9.7799999999999994</v>
      </c>
      <c r="H21" s="12">
        <v>2006</v>
      </c>
      <c r="I21" s="10">
        <v>2024</v>
      </c>
      <c r="J21" s="10">
        <f t="shared" si="2"/>
        <v>18</v>
      </c>
      <c r="K21" s="10">
        <v>40</v>
      </c>
      <c r="L21" s="11">
        <v>0.1</v>
      </c>
      <c r="M21" s="10">
        <f t="shared" si="1"/>
        <v>2.2499999999999999E-2</v>
      </c>
      <c r="N21" s="51">
        <v>1200</v>
      </c>
      <c r="O21" s="31">
        <f t="shared" si="3"/>
        <v>3830053.9535999997</v>
      </c>
      <c r="P21" s="43">
        <f t="shared" si="7"/>
        <v>0.40499999999999997</v>
      </c>
      <c r="Q21" s="42">
        <f t="shared" si="8"/>
        <v>1551171.8512079997</v>
      </c>
      <c r="R21" s="10"/>
      <c r="S21" s="54">
        <f t="shared" si="6"/>
        <v>2278882.1023920001</v>
      </c>
      <c r="U21"/>
    </row>
    <row r="22" spans="2:21" x14ac:dyDescent="0.25">
      <c r="B22" s="86"/>
      <c r="C22" s="10" t="s">
        <v>74</v>
      </c>
      <c r="D22" s="86"/>
      <c r="E22" s="55">
        <v>111.9</v>
      </c>
      <c r="F22" s="55">
        <f t="shared" si="0"/>
        <v>1204.4804100000001</v>
      </c>
      <c r="G22" s="51">
        <f t="shared" ref="G22:G27" si="10">3*3.26</f>
        <v>9.7799999999999994</v>
      </c>
      <c r="H22" s="12">
        <v>2006</v>
      </c>
      <c r="I22" s="10">
        <v>2024</v>
      </c>
      <c r="J22" s="10">
        <f t="shared" si="2"/>
        <v>18</v>
      </c>
      <c r="K22" s="10">
        <v>40</v>
      </c>
      <c r="L22" s="11">
        <v>0.1</v>
      </c>
      <c r="M22" s="10">
        <f t="shared" si="1"/>
        <v>2.2499999999999999E-2</v>
      </c>
      <c r="N22" s="51">
        <v>1200</v>
      </c>
      <c r="O22" s="31">
        <f t="shared" si="3"/>
        <v>1445376.4920000001</v>
      </c>
      <c r="P22" s="43">
        <f t="shared" si="7"/>
        <v>0.40499999999999997</v>
      </c>
      <c r="Q22" s="42">
        <f t="shared" si="8"/>
        <v>585377.47926000005</v>
      </c>
      <c r="R22" s="10"/>
      <c r="S22" s="54">
        <f t="shared" si="6"/>
        <v>859999.01274000003</v>
      </c>
      <c r="U22"/>
    </row>
    <row r="23" spans="2:21" x14ac:dyDescent="0.25">
      <c r="B23" s="86"/>
      <c r="C23" s="10" t="s">
        <v>77</v>
      </c>
      <c r="D23" s="86"/>
      <c r="E23" s="55">
        <f>4.52+2.26</f>
        <v>6.7799999999999994</v>
      </c>
      <c r="F23" s="55">
        <f t="shared" si="0"/>
        <v>72.979241999999985</v>
      </c>
      <c r="G23" s="51">
        <f t="shared" si="10"/>
        <v>9.7799999999999994</v>
      </c>
      <c r="H23" s="12">
        <v>2006</v>
      </c>
      <c r="I23" s="10">
        <v>2024</v>
      </c>
      <c r="J23" s="10">
        <f t="shared" si="2"/>
        <v>18</v>
      </c>
      <c r="K23" s="10">
        <v>40</v>
      </c>
      <c r="L23" s="11">
        <v>0.1</v>
      </c>
      <c r="M23" s="10">
        <f t="shared" si="1"/>
        <v>2.2499999999999999E-2</v>
      </c>
      <c r="N23" s="51">
        <v>800</v>
      </c>
      <c r="O23" s="31">
        <f t="shared" si="3"/>
        <v>58383.393599999989</v>
      </c>
      <c r="P23" s="43">
        <f t="shared" si="7"/>
        <v>0.40499999999999997</v>
      </c>
      <c r="Q23" s="42">
        <f t="shared" si="8"/>
        <v>23645.274407999994</v>
      </c>
      <c r="R23" s="10"/>
      <c r="S23" s="54">
        <f t="shared" si="6"/>
        <v>34738.119191999998</v>
      </c>
      <c r="U23"/>
    </row>
    <row r="24" spans="2:21" x14ac:dyDescent="0.25">
      <c r="B24" s="86"/>
      <c r="C24" s="10" t="s">
        <v>95</v>
      </c>
      <c r="D24" s="86"/>
      <c r="E24" s="55">
        <v>204.6</v>
      </c>
      <c r="F24" s="55">
        <f t="shared" si="0"/>
        <v>2202.29394</v>
      </c>
      <c r="G24" s="51">
        <f t="shared" si="10"/>
        <v>9.7799999999999994</v>
      </c>
      <c r="H24" s="12">
        <v>2006</v>
      </c>
      <c r="I24" s="10">
        <v>2024</v>
      </c>
      <c r="J24" s="10">
        <f t="shared" si="2"/>
        <v>18</v>
      </c>
      <c r="K24" s="10">
        <v>40</v>
      </c>
      <c r="L24" s="11">
        <v>0.1</v>
      </c>
      <c r="M24" s="10">
        <f t="shared" si="1"/>
        <v>2.2499999999999999E-2</v>
      </c>
      <c r="N24" s="51">
        <v>1200</v>
      </c>
      <c r="O24" s="31">
        <f t="shared" si="3"/>
        <v>2642752.7280000001</v>
      </c>
      <c r="P24" s="43">
        <f t="shared" si="7"/>
        <v>0.40499999999999997</v>
      </c>
      <c r="Q24" s="42">
        <f t="shared" si="8"/>
        <v>1070314.8548399999</v>
      </c>
      <c r="R24" s="10"/>
      <c r="S24" s="54">
        <f t="shared" si="6"/>
        <v>1572437.8731600002</v>
      </c>
      <c r="U24"/>
    </row>
    <row r="25" spans="2:21" x14ac:dyDescent="0.25">
      <c r="B25" s="87"/>
      <c r="C25" s="10" t="s">
        <v>96</v>
      </c>
      <c r="D25" s="86"/>
      <c r="E25" s="55">
        <v>14.28</v>
      </c>
      <c r="F25" s="55">
        <f t="shared" si="0"/>
        <v>153.70849199999998</v>
      </c>
      <c r="G25" s="51">
        <f t="shared" si="10"/>
        <v>9.7799999999999994</v>
      </c>
      <c r="H25" s="12">
        <v>2006</v>
      </c>
      <c r="I25" s="10">
        <v>2024</v>
      </c>
      <c r="J25" s="10">
        <f t="shared" si="2"/>
        <v>18</v>
      </c>
      <c r="K25" s="10">
        <v>40</v>
      </c>
      <c r="L25" s="11">
        <v>0.1</v>
      </c>
      <c r="M25" s="10">
        <f t="shared" si="1"/>
        <v>2.2499999999999999E-2</v>
      </c>
      <c r="N25" s="51">
        <v>1200</v>
      </c>
      <c r="O25" s="31">
        <f t="shared" si="3"/>
        <v>184450.19039999996</v>
      </c>
      <c r="P25" s="43">
        <f t="shared" si="7"/>
        <v>0.40499999999999997</v>
      </c>
      <c r="Q25" s="42">
        <f t="shared" si="8"/>
        <v>74702.327111999984</v>
      </c>
      <c r="R25" s="10"/>
      <c r="S25" s="54">
        <f t="shared" si="6"/>
        <v>109747.86328799998</v>
      </c>
      <c r="U25"/>
    </row>
    <row r="26" spans="2:21" x14ac:dyDescent="0.25">
      <c r="B26" s="10" t="s">
        <v>89</v>
      </c>
      <c r="C26" s="10" t="s">
        <v>78</v>
      </c>
      <c r="D26" s="87"/>
      <c r="E26" s="55">
        <v>131.58000000000001</v>
      </c>
      <c r="F26" s="55">
        <f t="shared" si="0"/>
        <v>1416.3139620000002</v>
      </c>
      <c r="G26" s="51">
        <f t="shared" si="10"/>
        <v>9.7799999999999994</v>
      </c>
      <c r="H26" s="12">
        <v>2006</v>
      </c>
      <c r="I26" s="10">
        <v>2024</v>
      </c>
      <c r="J26" s="10">
        <f t="shared" si="2"/>
        <v>18</v>
      </c>
      <c r="K26" s="10">
        <v>40</v>
      </c>
      <c r="L26" s="11">
        <v>0.1</v>
      </c>
      <c r="M26" s="10">
        <f t="shared" si="1"/>
        <v>2.2499999999999999E-2</v>
      </c>
      <c r="N26" s="51">
        <v>1200</v>
      </c>
      <c r="O26" s="31">
        <f t="shared" si="3"/>
        <v>1699576.7544000002</v>
      </c>
      <c r="P26" s="43">
        <f t="shared" si="7"/>
        <v>0.40499999999999997</v>
      </c>
      <c r="Q26" s="42">
        <f t="shared" si="8"/>
        <v>688328.58553200006</v>
      </c>
      <c r="R26" s="10"/>
      <c r="S26" s="54">
        <f t="shared" si="6"/>
        <v>1011248.1688680002</v>
      </c>
      <c r="U26"/>
    </row>
    <row r="27" spans="2:21" x14ac:dyDescent="0.25">
      <c r="B27" s="10" t="s">
        <v>90</v>
      </c>
      <c r="C27" s="10" t="s">
        <v>79</v>
      </c>
      <c r="D27" s="10" t="s">
        <v>66</v>
      </c>
      <c r="E27" s="55">
        <v>45.6</v>
      </c>
      <c r="F27" s="55">
        <f t="shared" si="0"/>
        <v>490.83384000000001</v>
      </c>
      <c r="G27" s="51">
        <f t="shared" si="10"/>
        <v>9.7799999999999994</v>
      </c>
      <c r="H27" s="12">
        <v>2006</v>
      </c>
      <c r="I27" s="10">
        <v>2024</v>
      </c>
      <c r="J27" s="10">
        <f t="shared" si="2"/>
        <v>18</v>
      </c>
      <c r="K27" s="10">
        <v>40</v>
      </c>
      <c r="L27" s="11">
        <v>0.1</v>
      </c>
      <c r="M27" s="10">
        <f t="shared" si="1"/>
        <v>2.2499999999999999E-2</v>
      </c>
      <c r="N27" s="51">
        <v>800</v>
      </c>
      <c r="O27" s="31">
        <f t="shared" si="3"/>
        <v>392667.07199999999</v>
      </c>
      <c r="P27" s="43">
        <f t="shared" si="7"/>
        <v>0.40499999999999997</v>
      </c>
      <c r="Q27" s="42">
        <f t="shared" si="8"/>
        <v>159030.16415999999</v>
      </c>
      <c r="R27" s="10"/>
      <c r="S27" s="54">
        <f t="shared" si="6"/>
        <v>233636.90784</v>
      </c>
      <c r="U27"/>
    </row>
    <row r="28" spans="2:21" x14ac:dyDescent="0.25">
      <c r="B28" s="10">
        <v>11</v>
      </c>
      <c r="C28" s="10" t="s">
        <v>80</v>
      </c>
      <c r="D28" s="10" t="s">
        <v>66</v>
      </c>
      <c r="E28" s="55">
        <v>39.64</v>
      </c>
      <c r="F28" s="55">
        <f t="shared" si="0"/>
        <v>426.68099599999999</v>
      </c>
      <c r="G28" s="51">
        <f t="shared" si="9"/>
        <v>29.339999999999996</v>
      </c>
      <c r="H28" s="12">
        <v>2006</v>
      </c>
      <c r="I28" s="10">
        <v>2024</v>
      </c>
      <c r="J28" s="10">
        <f t="shared" si="2"/>
        <v>18</v>
      </c>
      <c r="K28" s="10">
        <v>40</v>
      </c>
      <c r="L28" s="11">
        <v>0.1</v>
      </c>
      <c r="M28" s="10">
        <f t="shared" si="1"/>
        <v>2.2499999999999999E-2</v>
      </c>
      <c r="N28" s="51">
        <v>1000</v>
      </c>
      <c r="O28" s="31">
        <f t="shared" si="3"/>
        <v>426680.99599999998</v>
      </c>
      <c r="P28" s="43">
        <f t="shared" si="7"/>
        <v>0.40499999999999997</v>
      </c>
      <c r="Q28" s="42">
        <f t="shared" si="8"/>
        <v>172805.80337999997</v>
      </c>
      <c r="R28" s="10"/>
      <c r="S28" s="54">
        <f t="shared" si="6"/>
        <v>253875.19262000002</v>
      </c>
      <c r="U28"/>
    </row>
    <row r="29" spans="2:21" x14ac:dyDescent="0.25">
      <c r="B29" s="10">
        <v>12</v>
      </c>
      <c r="C29" s="10" t="s">
        <v>81</v>
      </c>
      <c r="D29" s="10" t="s">
        <v>66</v>
      </c>
      <c r="E29" s="55">
        <v>145.53</v>
      </c>
      <c r="F29" s="55">
        <f t="shared" si="0"/>
        <v>1566.4703669999999</v>
      </c>
      <c r="G29" s="51">
        <f>8.5*3.26</f>
        <v>27.709999999999997</v>
      </c>
      <c r="H29" s="12">
        <v>2006</v>
      </c>
      <c r="I29" s="10">
        <v>2024</v>
      </c>
      <c r="J29" s="10">
        <f t="shared" si="2"/>
        <v>18</v>
      </c>
      <c r="K29" s="10">
        <v>40</v>
      </c>
      <c r="L29" s="11">
        <v>0.1</v>
      </c>
      <c r="M29" s="10">
        <f t="shared" si="1"/>
        <v>2.2499999999999999E-2</v>
      </c>
      <c r="N29" s="51">
        <v>1000</v>
      </c>
      <c r="O29" s="31">
        <f t="shared" si="3"/>
        <v>1566470.3669999999</v>
      </c>
      <c r="P29" s="43">
        <f t="shared" si="7"/>
        <v>0.40499999999999997</v>
      </c>
      <c r="Q29" s="42">
        <f t="shared" si="8"/>
        <v>634420.49863499985</v>
      </c>
      <c r="R29" s="10"/>
      <c r="S29" s="54">
        <f t="shared" si="6"/>
        <v>932049.868365</v>
      </c>
      <c r="U29"/>
    </row>
    <row r="30" spans="2:21" x14ac:dyDescent="0.25">
      <c r="B30" s="10" t="s">
        <v>91</v>
      </c>
      <c r="C30" s="10" t="s">
        <v>82</v>
      </c>
      <c r="D30" s="10" t="s">
        <v>66</v>
      </c>
      <c r="E30" s="55">
        <v>181.76</v>
      </c>
      <c r="F30" s="55">
        <f t="shared" si="0"/>
        <v>1956.4464639999999</v>
      </c>
      <c r="G30" s="51">
        <f t="shared" ref="G30:G31" si="11">8.5*3.26</f>
        <v>27.709999999999997</v>
      </c>
      <c r="H30" s="12">
        <v>2006</v>
      </c>
      <c r="I30" s="10">
        <v>2024</v>
      </c>
      <c r="J30" s="10">
        <f t="shared" si="2"/>
        <v>18</v>
      </c>
      <c r="K30" s="10">
        <v>40</v>
      </c>
      <c r="L30" s="11">
        <v>0.1</v>
      </c>
      <c r="M30" s="10">
        <f t="shared" si="1"/>
        <v>2.2499999999999999E-2</v>
      </c>
      <c r="N30" s="51">
        <v>1000</v>
      </c>
      <c r="O30" s="31">
        <f t="shared" si="3"/>
        <v>1956446.4639999999</v>
      </c>
      <c r="P30" s="43">
        <f t="shared" si="7"/>
        <v>0.40499999999999997</v>
      </c>
      <c r="Q30" s="42">
        <f t="shared" si="8"/>
        <v>792360.81791999994</v>
      </c>
      <c r="R30" s="10"/>
      <c r="S30" s="54">
        <f t="shared" si="6"/>
        <v>1164085.6460799999</v>
      </c>
      <c r="U30"/>
    </row>
    <row r="31" spans="2:21" x14ac:dyDescent="0.25">
      <c r="B31" s="10">
        <v>13</v>
      </c>
      <c r="C31" s="10" t="s">
        <v>83</v>
      </c>
      <c r="D31" s="10" t="s">
        <v>66</v>
      </c>
      <c r="E31" s="55">
        <v>138.88999999999999</v>
      </c>
      <c r="F31" s="55">
        <f t="shared" si="0"/>
        <v>1494.9980709999998</v>
      </c>
      <c r="G31" s="51">
        <f t="shared" si="11"/>
        <v>27.709999999999997</v>
      </c>
      <c r="H31" s="12">
        <v>2006</v>
      </c>
      <c r="I31" s="10">
        <v>2024</v>
      </c>
      <c r="J31" s="10">
        <f t="shared" si="2"/>
        <v>18</v>
      </c>
      <c r="K31" s="10">
        <v>40</v>
      </c>
      <c r="L31" s="11">
        <v>0.1</v>
      </c>
      <c r="M31" s="10">
        <f t="shared" si="1"/>
        <v>2.2499999999999999E-2</v>
      </c>
      <c r="N31" s="51">
        <v>1000</v>
      </c>
      <c r="O31" s="31">
        <f t="shared" si="3"/>
        <v>1494998.0709999998</v>
      </c>
      <c r="P31" s="43">
        <f t="shared" si="7"/>
        <v>0.40499999999999997</v>
      </c>
      <c r="Q31" s="42">
        <f t="shared" si="8"/>
        <v>605474.21875499981</v>
      </c>
      <c r="R31" s="10"/>
      <c r="S31" s="54">
        <f t="shared" si="6"/>
        <v>889523.85224499996</v>
      </c>
      <c r="U31"/>
    </row>
    <row r="32" spans="2:21" x14ac:dyDescent="0.25">
      <c r="B32" s="85">
        <v>14</v>
      </c>
      <c r="C32" s="10" t="s">
        <v>84</v>
      </c>
      <c r="D32" s="85" t="s">
        <v>100</v>
      </c>
      <c r="E32" s="55">
        <v>80.52</v>
      </c>
      <c r="F32" s="55">
        <f t="shared" si="0"/>
        <v>866.70922799999994</v>
      </c>
      <c r="G32" s="51">
        <f t="shared" ref="G32:G37" si="12">2.5*3.26</f>
        <v>8.1499999999999986</v>
      </c>
      <c r="H32" s="12">
        <v>2006</v>
      </c>
      <c r="I32" s="10">
        <v>2024</v>
      </c>
      <c r="J32" s="10">
        <f t="shared" si="2"/>
        <v>18</v>
      </c>
      <c r="K32" s="10">
        <v>40</v>
      </c>
      <c r="L32" s="11">
        <v>0.1</v>
      </c>
      <c r="M32" s="10">
        <f t="shared" si="1"/>
        <v>2.2499999999999999E-2</v>
      </c>
      <c r="N32" s="51">
        <v>1100</v>
      </c>
      <c r="O32" s="31">
        <f t="shared" si="3"/>
        <v>953380.15079999994</v>
      </c>
      <c r="P32" s="43">
        <f t="shared" si="7"/>
        <v>0.40499999999999997</v>
      </c>
      <c r="Q32" s="42">
        <f t="shared" si="8"/>
        <v>386118.96107399993</v>
      </c>
      <c r="R32" s="10"/>
      <c r="S32" s="54">
        <f t="shared" si="6"/>
        <v>567261.18972599995</v>
      </c>
      <c r="U32"/>
    </row>
    <row r="33" spans="2:33" x14ac:dyDescent="0.25">
      <c r="B33" s="86"/>
      <c r="C33" s="10" t="s">
        <v>74</v>
      </c>
      <c r="D33" s="86"/>
      <c r="E33" s="55">
        <v>3</v>
      </c>
      <c r="F33" s="55">
        <f t="shared" si="0"/>
        <v>32.291699999999999</v>
      </c>
      <c r="G33" s="51">
        <f t="shared" si="12"/>
        <v>8.1499999999999986</v>
      </c>
      <c r="H33" s="12">
        <v>2006</v>
      </c>
      <c r="I33" s="10">
        <v>2024</v>
      </c>
      <c r="J33" s="10">
        <f t="shared" si="2"/>
        <v>18</v>
      </c>
      <c r="K33" s="10">
        <v>40</v>
      </c>
      <c r="L33" s="11">
        <v>0.1</v>
      </c>
      <c r="M33" s="10">
        <f t="shared" si="1"/>
        <v>2.2499999999999999E-2</v>
      </c>
      <c r="N33" s="51">
        <v>1100</v>
      </c>
      <c r="O33" s="31">
        <f t="shared" si="3"/>
        <v>35520.869999999995</v>
      </c>
      <c r="P33" s="43">
        <f t="shared" si="7"/>
        <v>0.40499999999999997</v>
      </c>
      <c r="Q33" s="42">
        <f t="shared" si="8"/>
        <v>14385.952349999998</v>
      </c>
      <c r="R33" s="10"/>
      <c r="S33" s="54">
        <f t="shared" si="6"/>
        <v>21134.917649999996</v>
      </c>
      <c r="U33"/>
    </row>
    <row r="34" spans="2:33" x14ac:dyDescent="0.25">
      <c r="B34" s="86"/>
      <c r="C34" s="10" t="s">
        <v>77</v>
      </c>
      <c r="D34" s="86"/>
      <c r="E34" s="55">
        <v>4.08</v>
      </c>
      <c r="F34" s="55">
        <f t="shared" si="0"/>
        <v>43.916711999999997</v>
      </c>
      <c r="G34" s="51">
        <f t="shared" si="12"/>
        <v>8.1499999999999986</v>
      </c>
      <c r="H34" s="12">
        <v>2006</v>
      </c>
      <c r="I34" s="10">
        <v>2024</v>
      </c>
      <c r="J34" s="10">
        <f t="shared" si="2"/>
        <v>18</v>
      </c>
      <c r="K34" s="10">
        <v>40</v>
      </c>
      <c r="L34" s="11">
        <v>0.1</v>
      </c>
      <c r="M34" s="10">
        <f t="shared" si="1"/>
        <v>2.2499999999999999E-2</v>
      </c>
      <c r="N34" s="51">
        <v>800</v>
      </c>
      <c r="O34" s="31">
        <f t="shared" si="3"/>
        <v>35133.369599999998</v>
      </c>
      <c r="P34" s="43">
        <f t="shared" si="7"/>
        <v>0.40499999999999997</v>
      </c>
      <c r="Q34" s="42">
        <f t="shared" si="8"/>
        <v>14229.014687999997</v>
      </c>
      <c r="R34" s="10"/>
      <c r="S34" s="54">
        <f t="shared" si="6"/>
        <v>20904.354912000003</v>
      </c>
      <c r="U34"/>
    </row>
    <row r="35" spans="2:33" x14ac:dyDescent="0.25">
      <c r="B35" s="86"/>
      <c r="C35" s="10" t="s">
        <v>95</v>
      </c>
      <c r="D35" s="86"/>
      <c r="E35" s="55">
        <v>80.52</v>
      </c>
      <c r="F35" s="55">
        <f t="shared" si="0"/>
        <v>866.70922799999994</v>
      </c>
      <c r="G35" s="51">
        <f t="shared" si="12"/>
        <v>8.1499999999999986</v>
      </c>
      <c r="H35" s="12">
        <v>2006</v>
      </c>
      <c r="I35" s="10">
        <v>2024</v>
      </c>
      <c r="J35" s="10">
        <f t="shared" si="2"/>
        <v>18</v>
      </c>
      <c r="K35" s="10">
        <v>40</v>
      </c>
      <c r="L35" s="11">
        <v>0.1</v>
      </c>
      <c r="M35" s="10">
        <f t="shared" si="1"/>
        <v>2.2499999999999999E-2</v>
      </c>
      <c r="N35" s="51">
        <v>1100</v>
      </c>
      <c r="O35" s="31">
        <f t="shared" si="3"/>
        <v>953380.15079999994</v>
      </c>
      <c r="P35" s="43">
        <f t="shared" si="7"/>
        <v>0.40499999999999997</v>
      </c>
      <c r="Q35" s="42">
        <f t="shared" si="8"/>
        <v>386118.96107399993</v>
      </c>
      <c r="R35" s="10"/>
      <c r="S35" s="54">
        <f t="shared" si="6"/>
        <v>567261.18972599995</v>
      </c>
      <c r="U35"/>
    </row>
    <row r="36" spans="2:33" x14ac:dyDescent="0.25">
      <c r="B36" s="86"/>
      <c r="C36" s="10" t="s">
        <v>74</v>
      </c>
      <c r="D36" s="86"/>
      <c r="E36" s="55">
        <v>3.24</v>
      </c>
      <c r="F36" s="55">
        <f t="shared" si="0"/>
        <v>34.875036000000001</v>
      </c>
      <c r="G36" s="51">
        <f t="shared" si="12"/>
        <v>8.1499999999999986</v>
      </c>
      <c r="H36" s="12">
        <v>2006</v>
      </c>
      <c r="I36" s="10">
        <v>2024</v>
      </c>
      <c r="J36" s="10">
        <f t="shared" si="2"/>
        <v>18</v>
      </c>
      <c r="K36" s="10">
        <v>40</v>
      </c>
      <c r="L36" s="11">
        <v>0.1</v>
      </c>
      <c r="M36" s="10">
        <f t="shared" si="1"/>
        <v>2.2499999999999999E-2</v>
      </c>
      <c r="N36" s="51">
        <v>1100</v>
      </c>
      <c r="O36" s="31">
        <f t="shared" si="3"/>
        <v>38362.539600000004</v>
      </c>
      <c r="P36" s="43">
        <f t="shared" si="7"/>
        <v>0.40499999999999997</v>
      </c>
      <c r="Q36" s="42">
        <f t="shared" si="8"/>
        <v>15536.828538</v>
      </c>
      <c r="R36" s="10"/>
      <c r="S36" s="54">
        <f t="shared" si="6"/>
        <v>22825.711062000002</v>
      </c>
      <c r="U36"/>
    </row>
    <row r="37" spans="2:33" x14ac:dyDescent="0.25">
      <c r="B37" s="87"/>
      <c r="C37" s="10" t="s">
        <v>97</v>
      </c>
      <c r="D37" s="87"/>
      <c r="E37" s="55">
        <v>5.88</v>
      </c>
      <c r="F37" s="55">
        <f t="shared" si="0"/>
        <v>63.291731999999996</v>
      </c>
      <c r="G37" s="51">
        <f t="shared" si="12"/>
        <v>8.1499999999999986</v>
      </c>
      <c r="H37" s="12">
        <v>2006</v>
      </c>
      <c r="I37" s="10">
        <v>2024</v>
      </c>
      <c r="J37" s="10">
        <f t="shared" si="2"/>
        <v>18</v>
      </c>
      <c r="K37" s="10">
        <v>40</v>
      </c>
      <c r="L37" s="11">
        <v>0.1</v>
      </c>
      <c r="M37" s="10">
        <f t="shared" si="1"/>
        <v>2.2499999999999999E-2</v>
      </c>
      <c r="N37" s="51">
        <v>1100</v>
      </c>
      <c r="O37" s="31">
        <f t="shared" si="3"/>
        <v>69620.905199999994</v>
      </c>
      <c r="P37" s="43">
        <f t="shared" si="7"/>
        <v>0.40499999999999997</v>
      </c>
      <c r="Q37" s="42">
        <f t="shared" si="8"/>
        <v>28196.466605999994</v>
      </c>
      <c r="R37" s="10"/>
      <c r="S37" s="54">
        <f t="shared" si="6"/>
        <v>41424.438593999999</v>
      </c>
      <c r="U37"/>
    </row>
    <row r="38" spans="2:33" x14ac:dyDescent="0.25">
      <c r="B38" s="10" t="s">
        <v>92</v>
      </c>
      <c r="C38" s="10" t="s">
        <v>66</v>
      </c>
      <c r="D38" s="10" t="s">
        <v>66</v>
      </c>
      <c r="E38" s="55">
        <v>7.77</v>
      </c>
      <c r="F38" s="55">
        <f t="shared" si="0"/>
        <v>83.635502999999986</v>
      </c>
      <c r="G38" s="51">
        <f t="shared" si="9"/>
        <v>29.339999999999996</v>
      </c>
      <c r="H38" s="12">
        <v>2006</v>
      </c>
      <c r="I38" s="10">
        <v>2024</v>
      </c>
      <c r="J38" s="10">
        <f t="shared" si="2"/>
        <v>18</v>
      </c>
      <c r="K38" s="10">
        <v>40</v>
      </c>
      <c r="L38" s="11">
        <v>0.1</v>
      </c>
      <c r="M38" s="10">
        <f t="shared" si="1"/>
        <v>2.2499999999999999E-2</v>
      </c>
      <c r="N38" s="51">
        <v>1100</v>
      </c>
      <c r="O38" s="31">
        <f t="shared" si="3"/>
        <v>91999.053299999985</v>
      </c>
      <c r="P38" s="43">
        <f t="shared" si="7"/>
        <v>0.40499999999999997</v>
      </c>
      <c r="Q38" s="42">
        <f t="shared" si="8"/>
        <v>37259.616586499993</v>
      </c>
      <c r="R38" s="10"/>
      <c r="S38" s="54">
        <f t="shared" si="6"/>
        <v>54739.436713499992</v>
      </c>
      <c r="U38"/>
    </row>
    <row r="39" spans="2:33" ht="30" x14ac:dyDescent="0.25">
      <c r="B39" s="70">
        <v>15</v>
      </c>
      <c r="C39" s="10" t="s">
        <v>102</v>
      </c>
      <c r="D39" s="10" t="s">
        <v>66</v>
      </c>
      <c r="E39" s="55">
        <v>92.64</v>
      </c>
      <c r="F39" s="55">
        <f t="shared" si="0"/>
        <v>997.16769599999998</v>
      </c>
      <c r="G39" s="51">
        <f>5*3.26</f>
        <v>16.299999999999997</v>
      </c>
      <c r="H39" s="12">
        <v>2019</v>
      </c>
      <c r="I39" s="10">
        <v>2024</v>
      </c>
      <c r="J39" s="10">
        <f t="shared" si="2"/>
        <v>5</v>
      </c>
      <c r="K39" s="10">
        <v>40</v>
      </c>
      <c r="L39" s="11">
        <v>0.1</v>
      </c>
      <c r="M39" s="10">
        <f t="shared" si="1"/>
        <v>2.2499999999999999E-2</v>
      </c>
      <c r="N39" s="51">
        <v>1200</v>
      </c>
      <c r="O39" s="31">
        <f t="shared" si="3"/>
        <v>1196601.2352</v>
      </c>
      <c r="P39" s="43">
        <f t="shared" si="7"/>
        <v>0.11249999999999999</v>
      </c>
      <c r="Q39" s="42">
        <f t="shared" si="8"/>
        <v>134617.63895999998</v>
      </c>
      <c r="R39" s="10"/>
      <c r="S39" s="54">
        <f t="shared" si="6"/>
        <v>1061983.5962400001</v>
      </c>
      <c r="U39"/>
    </row>
    <row r="40" spans="2:33" x14ac:dyDescent="0.25">
      <c r="B40" s="72"/>
      <c r="C40" s="12" t="s">
        <v>103</v>
      </c>
      <c r="D40" s="10" t="s">
        <v>104</v>
      </c>
      <c r="E40" s="68">
        <v>29.39</v>
      </c>
      <c r="F40" s="55">
        <f t="shared" si="0"/>
        <v>316.351021</v>
      </c>
      <c r="G40" s="51">
        <f t="shared" si="9"/>
        <v>29.339999999999996</v>
      </c>
      <c r="H40" s="12">
        <v>2006</v>
      </c>
      <c r="I40" s="10">
        <v>2024</v>
      </c>
      <c r="J40" s="10">
        <f t="shared" si="2"/>
        <v>18</v>
      </c>
      <c r="K40" s="10">
        <v>40</v>
      </c>
      <c r="L40" s="11">
        <v>0.1</v>
      </c>
      <c r="M40" s="10">
        <f t="shared" si="1"/>
        <v>2.2499999999999999E-2</v>
      </c>
      <c r="N40" s="51">
        <v>800</v>
      </c>
      <c r="O40" s="31">
        <f t="shared" si="3"/>
        <v>253080.8168</v>
      </c>
      <c r="P40" s="43">
        <f t="shared" si="7"/>
        <v>0.40499999999999997</v>
      </c>
      <c r="Q40" s="42">
        <f t="shared" si="8"/>
        <v>102497.73080399999</v>
      </c>
      <c r="R40" s="12"/>
      <c r="S40" s="54">
        <f t="shared" si="6"/>
        <v>150583.08599600001</v>
      </c>
      <c r="U40"/>
    </row>
    <row r="41" spans="2:33" ht="24" customHeight="1" x14ac:dyDescent="0.25">
      <c r="B41" s="7"/>
      <c r="C41" s="7"/>
      <c r="D41" s="7"/>
      <c r="E41" s="58">
        <f>SUM(E5:E39)</f>
        <v>14961.61</v>
      </c>
      <c r="F41" s="59">
        <f>SUM(F5:F39)</f>
        <v>161045.27387900001</v>
      </c>
      <c r="G41" s="8"/>
      <c r="H41" s="9"/>
      <c r="I41" s="8"/>
      <c r="J41" s="8"/>
      <c r="K41" s="8"/>
      <c r="L41" s="8"/>
      <c r="M41" s="8"/>
      <c r="N41" s="8"/>
      <c r="O41" s="41">
        <f>SUM(O5:O39)</f>
        <v>188308897.85539997</v>
      </c>
      <c r="P41" s="8"/>
      <c r="Q41" s="8"/>
      <c r="R41" s="8">
        <f>SUM(R5:R39)</f>
        <v>0</v>
      </c>
      <c r="S41" s="41">
        <f>SUM(S5:S39)</f>
        <v>112393800.08525899</v>
      </c>
      <c r="U41"/>
      <c r="V41" s="3"/>
    </row>
    <row r="42" spans="2:33" x14ac:dyDescent="0.25">
      <c r="B42" s="82" t="s">
        <v>42</v>
      </c>
      <c r="C42" s="83"/>
      <c r="D42" s="83"/>
      <c r="E42" s="83"/>
      <c r="F42" s="83"/>
      <c r="G42" s="83"/>
      <c r="H42" s="83"/>
      <c r="I42" s="83"/>
      <c r="J42" s="83"/>
      <c r="K42" s="83"/>
      <c r="L42" s="83"/>
      <c r="M42" s="83"/>
      <c r="N42" s="83"/>
      <c r="O42" s="83"/>
      <c r="P42" s="83"/>
      <c r="Q42" s="83"/>
      <c r="R42" s="83"/>
      <c r="S42" s="84"/>
      <c r="U42"/>
      <c r="X42" s="4"/>
    </row>
    <row r="43" spans="2:33" ht="29.25" customHeight="1" x14ac:dyDescent="0.25">
      <c r="B43" s="76" t="s">
        <v>101</v>
      </c>
      <c r="C43" s="77"/>
      <c r="D43" s="77"/>
      <c r="E43" s="77"/>
      <c r="F43" s="77"/>
      <c r="G43" s="77"/>
      <c r="H43" s="77"/>
      <c r="I43" s="77"/>
      <c r="J43" s="77"/>
      <c r="K43" s="77"/>
      <c r="L43" s="77"/>
      <c r="M43" s="77"/>
      <c r="N43" s="77"/>
      <c r="O43" s="77"/>
      <c r="P43" s="77"/>
      <c r="Q43" s="77"/>
      <c r="R43" s="77"/>
      <c r="S43" s="78"/>
      <c r="U43"/>
      <c r="X43" s="4"/>
      <c r="Y43" s="4"/>
      <c r="Z43" s="4"/>
      <c r="AA43" s="4"/>
      <c r="AB43" s="4"/>
      <c r="AC43" s="4"/>
      <c r="AD43" s="4"/>
      <c r="AE43" s="4"/>
      <c r="AF43" s="4"/>
      <c r="AG43" s="4"/>
    </row>
    <row r="44" spans="2:33" ht="15" customHeight="1" x14ac:dyDescent="0.25">
      <c r="B44" s="76" t="s">
        <v>40</v>
      </c>
      <c r="C44" s="77"/>
      <c r="D44" s="77"/>
      <c r="E44" s="77"/>
      <c r="F44" s="77"/>
      <c r="G44" s="77"/>
      <c r="H44" s="77"/>
      <c r="I44" s="77"/>
      <c r="J44" s="77"/>
      <c r="K44" s="77"/>
      <c r="L44" s="77"/>
      <c r="M44" s="77"/>
      <c r="N44" s="77"/>
      <c r="O44" s="77"/>
      <c r="P44" s="77"/>
      <c r="Q44" s="77"/>
      <c r="R44" s="77"/>
      <c r="S44" s="78"/>
      <c r="U44"/>
      <c r="X44" s="4"/>
      <c r="Y44" s="4"/>
      <c r="Z44" s="4"/>
      <c r="AA44" s="4"/>
      <c r="AB44" s="4"/>
      <c r="AC44" s="4"/>
      <c r="AD44" s="4"/>
      <c r="AE44" s="4"/>
      <c r="AF44" s="4"/>
      <c r="AG44" s="4"/>
    </row>
    <row r="45" spans="2:33" ht="18" customHeight="1" x14ac:dyDescent="0.25">
      <c r="B45" s="76" t="s">
        <v>41</v>
      </c>
      <c r="C45" s="77"/>
      <c r="D45" s="77"/>
      <c r="E45" s="77"/>
      <c r="F45" s="77"/>
      <c r="G45" s="77"/>
      <c r="H45" s="77"/>
      <c r="I45" s="77"/>
      <c r="J45" s="77"/>
      <c r="K45" s="77"/>
      <c r="L45" s="77"/>
      <c r="M45" s="77"/>
      <c r="N45" s="77"/>
      <c r="O45" s="77"/>
      <c r="P45" s="77"/>
      <c r="Q45" s="77"/>
      <c r="R45" s="77"/>
      <c r="S45" s="78"/>
      <c r="U45"/>
      <c r="Y45" s="4"/>
      <c r="Z45" s="4"/>
      <c r="AA45" s="4"/>
      <c r="AB45" s="4"/>
      <c r="AC45" s="4"/>
      <c r="AD45" s="4"/>
      <c r="AE45" s="4"/>
      <c r="AF45" s="4"/>
      <c r="AG45" s="4"/>
    </row>
    <row r="46" spans="2:33" x14ac:dyDescent="0.25">
      <c r="B46" s="73" t="s">
        <v>99</v>
      </c>
      <c r="C46" s="74"/>
      <c r="D46" s="74"/>
      <c r="E46" s="74"/>
      <c r="F46" s="74"/>
      <c r="G46" s="74"/>
      <c r="H46" s="74"/>
      <c r="I46" s="74"/>
      <c r="J46" s="74"/>
      <c r="K46" s="74"/>
      <c r="L46" s="74"/>
      <c r="M46" s="74"/>
      <c r="N46" s="74"/>
      <c r="O46" s="74"/>
      <c r="P46" s="74"/>
      <c r="Q46" s="74"/>
      <c r="R46" s="74"/>
      <c r="S46" s="75"/>
      <c r="U46"/>
      <c r="Y46" s="4"/>
      <c r="Z46" s="4"/>
      <c r="AA46" s="4"/>
      <c r="AB46" s="4"/>
      <c r="AC46" s="4"/>
      <c r="AD46" s="4"/>
      <c r="AE46" s="4"/>
      <c r="AF46" s="4"/>
      <c r="AG46" s="4"/>
    </row>
    <row r="47" spans="2:33" x14ac:dyDescent="0.25">
      <c r="D47"/>
      <c r="E47"/>
      <c r="G47"/>
      <c r="O47" s="48"/>
      <c r="U47"/>
      <c r="Y47" s="4"/>
      <c r="Z47" s="4"/>
      <c r="AA47" s="4"/>
      <c r="AB47" s="4"/>
      <c r="AC47" s="4"/>
      <c r="AD47" s="4"/>
      <c r="AE47" s="4"/>
      <c r="AF47" s="4"/>
      <c r="AG47" s="4"/>
    </row>
    <row r="48" spans="2:33" ht="28.5" customHeight="1" x14ac:dyDescent="0.25">
      <c r="D48"/>
      <c r="E48"/>
      <c r="G48"/>
      <c r="S48" s="4"/>
      <c r="U48"/>
      <c r="Y48" s="4"/>
      <c r="Z48" s="4"/>
      <c r="AA48" s="4"/>
      <c r="AB48" s="4"/>
      <c r="AC48" s="4"/>
      <c r="AD48" s="4"/>
      <c r="AE48" s="4"/>
      <c r="AF48" s="4"/>
      <c r="AG48" s="4"/>
    </row>
    <row r="49" spans="2:33" x14ac:dyDescent="0.25">
      <c r="C49" s="2"/>
      <c r="D49"/>
      <c r="E49"/>
      <c r="G49"/>
      <c r="U49"/>
      <c r="Y49" s="4"/>
      <c r="Z49" s="4"/>
      <c r="AA49" s="4"/>
      <c r="AB49" s="4"/>
      <c r="AC49" s="4"/>
      <c r="AD49" s="4"/>
      <c r="AE49" s="4"/>
      <c r="AF49" s="4"/>
      <c r="AG49" s="4"/>
    </row>
    <row r="50" spans="2:33" ht="81.75" customHeight="1" x14ac:dyDescent="0.25">
      <c r="B50" s="57" t="s">
        <v>21</v>
      </c>
      <c r="C50" s="57" t="s">
        <v>1</v>
      </c>
      <c r="D50" s="57" t="s">
        <v>57</v>
      </c>
      <c r="E50" s="57" t="s">
        <v>2</v>
      </c>
      <c r="F50" s="57" t="s">
        <v>3</v>
      </c>
      <c r="G50" s="57" t="s">
        <v>4</v>
      </c>
      <c r="H50" s="57" t="s">
        <v>5</v>
      </c>
      <c r="I50" s="57" t="s">
        <v>6</v>
      </c>
      <c r="J50" s="57" t="s">
        <v>7</v>
      </c>
      <c r="K50" s="57" t="s">
        <v>8</v>
      </c>
      <c r="L50" s="57" t="s">
        <v>9</v>
      </c>
      <c r="M50" s="57" t="s">
        <v>59</v>
      </c>
      <c r="N50" s="57" t="s">
        <v>11</v>
      </c>
      <c r="O50" s="57" t="s">
        <v>39</v>
      </c>
      <c r="P50" s="57" t="s">
        <v>38</v>
      </c>
      <c r="Q50" s="57" t="s">
        <v>12</v>
      </c>
      <c r="R50" s="57" t="s">
        <v>13</v>
      </c>
      <c r="U50"/>
      <c r="Y50" s="4"/>
      <c r="Z50" s="4"/>
      <c r="AA50" s="4"/>
      <c r="AB50" s="4"/>
      <c r="AC50" s="4"/>
      <c r="AD50" s="4"/>
      <c r="AE50" s="4"/>
      <c r="AF50" s="4"/>
      <c r="AG50" s="4"/>
    </row>
    <row r="51" spans="2:33" ht="67.5" customHeight="1" x14ac:dyDescent="0.25">
      <c r="B51" s="10" t="s">
        <v>60</v>
      </c>
      <c r="C51" s="10" t="s">
        <v>58</v>
      </c>
      <c r="D51" s="55">
        <v>750</v>
      </c>
      <c r="E51" s="55">
        <f>D51*3.26</f>
        <v>2445</v>
      </c>
      <c r="F51" s="51" t="s">
        <v>55</v>
      </c>
      <c r="G51" s="12">
        <v>2006</v>
      </c>
      <c r="H51" s="10">
        <v>2024</v>
      </c>
      <c r="I51" s="10">
        <f>H51-G51</f>
        <v>18</v>
      </c>
      <c r="J51" s="10">
        <v>45</v>
      </c>
      <c r="K51" s="11">
        <v>0.05</v>
      </c>
      <c r="L51" s="10">
        <f>(1-K51)/J51</f>
        <v>2.1111111111111112E-2</v>
      </c>
      <c r="M51" s="51">
        <v>5000</v>
      </c>
      <c r="N51" s="52">
        <f>M51*D51</f>
        <v>3750000</v>
      </c>
      <c r="O51" s="43">
        <f>L51*I51</f>
        <v>0.38</v>
      </c>
      <c r="P51" s="10">
        <f>N51*O51</f>
        <v>1425000</v>
      </c>
      <c r="Q51" s="10"/>
      <c r="R51" s="54">
        <f>N51-P51</f>
        <v>2325000</v>
      </c>
      <c r="U51"/>
    </row>
    <row r="52" spans="2:33" ht="15" customHeight="1" x14ac:dyDescent="0.25">
      <c r="B52" t="s">
        <v>61</v>
      </c>
      <c r="C52" t="s">
        <v>56</v>
      </c>
      <c r="D52">
        <v>700</v>
      </c>
      <c r="E52"/>
      <c r="G52"/>
      <c r="U52"/>
    </row>
    <row r="53" spans="2:33" x14ac:dyDescent="0.25">
      <c r="D53"/>
      <c r="E53"/>
      <c r="G53"/>
      <c r="M53">
        <f>5000*750</f>
        <v>3750000</v>
      </c>
      <c r="U53"/>
    </row>
    <row r="54" spans="2:33" x14ac:dyDescent="0.25">
      <c r="C54" s="65" t="s">
        <v>60</v>
      </c>
      <c r="D54" s="64">
        <f>R51</f>
        <v>2325000</v>
      </c>
      <c r="E54" s="66">
        <f>ROUND(D54,-5)</f>
        <v>2300000</v>
      </c>
      <c r="G54"/>
      <c r="M54">
        <f>500*10000</f>
        <v>5000000</v>
      </c>
      <c r="U54"/>
    </row>
    <row r="55" spans="2:33" x14ac:dyDescent="0.25">
      <c r="C55" s="65" t="s">
        <v>62</v>
      </c>
      <c r="D55" s="67">
        <f>340*9*0.23*10000</f>
        <v>7038000.0000000009</v>
      </c>
      <c r="E55" s="66">
        <f>ROUND(D55,-5)</f>
        <v>7000000</v>
      </c>
      <c r="F55" s="46">
        <f>D55+R51</f>
        <v>9363000</v>
      </c>
      <c r="G55"/>
      <c r="U55"/>
    </row>
    <row r="56" spans="2:33" x14ac:dyDescent="0.25">
      <c r="C56" s="65" t="s">
        <v>105</v>
      </c>
      <c r="D56" s="67"/>
      <c r="E56" s="66">
        <v>5000000</v>
      </c>
      <c r="F56" s="46"/>
      <c r="G56"/>
      <c r="U56"/>
    </row>
    <row r="57" spans="2:33" x14ac:dyDescent="0.25">
      <c r="C57" s="65" t="s">
        <v>63</v>
      </c>
      <c r="D57" s="66">
        <f>SUM(D54:D55)</f>
        <v>9363000</v>
      </c>
      <c r="E57" s="66">
        <f>SUM(E54:E56)</f>
        <v>14300000</v>
      </c>
      <c r="G57"/>
      <c r="U57"/>
    </row>
    <row r="59" spans="2:33" x14ac:dyDescent="0.25">
      <c r="I59">
        <f>11000*0.7</f>
        <v>7699.9999999999991</v>
      </c>
      <c r="U59" s="2">
        <f>K60*10000</f>
        <v>7038000.0000000009</v>
      </c>
    </row>
    <row r="60" spans="2:33" x14ac:dyDescent="0.25">
      <c r="I60" s="2"/>
      <c r="J60" s="3"/>
      <c r="K60" s="3">
        <f>340*9*0.23</f>
        <v>703.80000000000007</v>
      </c>
      <c r="O60" s="3"/>
      <c r="P60" s="3"/>
    </row>
    <row r="63" spans="2:33" x14ac:dyDescent="0.25">
      <c r="J63" s="3"/>
      <c r="K63" s="3"/>
      <c r="O63" s="3"/>
      <c r="P63" s="3"/>
    </row>
    <row r="68" spans="10:16" x14ac:dyDescent="0.25">
      <c r="J68" s="2"/>
    </row>
    <row r="69" spans="10:16" x14ac:dyDescent="0.25">
      <c r="P69" s="2"/>
    </row>
  </sheetData>
  <autoFilter ref="B4:S45"/>
  <mergeCells count="12">
    <mergeCell ref="B46:S46"/>
    <mergeCell ref="B45:S45"/>
    <mergeCell ref="B3:S3"/>
    <mergeCell ref="B42:S42"/>
    <mergeCell ref="B43:S43"/>
    <mergeCell ref="B44:S44"/>
    <mergeCell ref="B14:B17"/>
    <mergeCell ref="B18:B19"/>
    <mergeCell ref="B21:B25"/>
    <mergeCell ref="B32:B37"/>
    <mergeCell ref="D21:D26"/>
    <mergeCell ref="D32:D37"/>
  </mergeCells>
  <pageMargins left="0.7" right="0.7" top="0.75" bottom="0.75" header="0.3" footer="0.3"/>
  <pageSetup orientation="portrait" r:id="rId1"/>
  <ignoredErrors>
    <ignoredError sqref="G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5"/>
  <sheetViews>
    <sheetView workbookViewId="0">
      <selection activeCell="K12" sqref="K12:N15"/>
    </sheetView>
  </sheetViews>
  <sheetFormatPr defaultRowHeight="15" x14ac:dyDescent="0.25"/>
  <cols>
    <col min="1" max="1" width="5.85546875" customWidth="1"/>
    <col min="2" max="2" width="11.5703125" bestFit="1" customWidth="1"/>
    <col min="3" max="3" width="12.85546875" bestFit="1" customWidth="1"/>
    <col min="4" max="4" width="10" style="4" bestFit="1" customWidth="1"/>
    <col min="5" max="5" width="11.5703125" style="4" bestFit="1" customWidth="1"/>
    <col min="6" max="6" width="17.7109375" style="4" bestFit="1" customWidth="1"/>
    <col min="7" max="7" width="11.85546875" style="4" bestFit="1" customWidth="1"/>
    <col min="8" max="8" width="15.85546875" style="2" customWidth="1"/>
    <col min="12" max="12" width="40.7109375" customWidth="1"/>
    <col min="13" max="13" width="11.28515625" bestFit="1" customWidth="1"/>
    <col min="15" max="15" width="10.7109375" bestFit="1" customWidth="1"/>
    <col min="17" max="17" width="15.28515625" bestFit="1" customWidth="1"/>
  </cols>
  <sheetData>
    <row r="3" spans="1:17" ht="15.75" thickBot="1" x14ac:dyDescent="0.3"/>
    <row r="4" spans="1:17" ht="16.5" thickBot="1" x14ac:dyDescent="0.3">
      <c r="A4" s="88" t="s">
        <v>20</v>
      </c>
      <c r="B4" s="89"/>
      <c r="C4" s="89"/>
      <c r="D4" s="89"/>
      <c r="E4" s="89"/>
      <c r="F4" s="89"/>
      <c r="G4" s="89"/>
      <c r="H4" s="90"/>
    </row>
    <row r="5" spans="1:17" ht="60.75" thickBot="1" x14ac:dyDescent="0.3">
      <c r="A5" s="13" t="s">
        <v>0</v>
      </c>
      <c r="B5" s="14" t="s">
        <v>18</v>
      </c>
      <c r="C5" s="14" t="s">
        <v>1</v>
      </c>
      <c r="D5" s="15" t="s">
        <v>15</v>
      </c>
      <c r="E5" s="15" t="s">
        <v>2</v>
      </c>
      <c r="F5" s="15" t="s">
        <v>19</v>
      </c>
      <c r="G5" s="15" t="s">
        <v>17</v>
      </c>
      <c r="H5" s="16" t="s">
        <v>20</v>
      </c>
    </row>
    <row r="6" spans="1:17" ht="50.1" customHeight="1" thickBot="1" x14ac:dyDescent="0.3">
      <c r="A6" s="17">
        <v>1</v>
      </c>
      <c r="B6" s="18" t="s">
        <v>22</v>
      </c>
      <c r="C6" s="18" t="s">
        <v>16</v>
      </c>
      <c r="D6" s="19">
        <f>Sheet1!E5+Sheet1!E6+Sheet1!E7+Sheet1!E8+Sheet1!E9+Sheet1!E10+Sheet1!E11+Sheet1!E13</f>
        <v>727.99</v>
      </c>
      <c r="E6" s="20">
        <f>D6*10.7639</f>
        <v>7836.0115609999993</v>
      </c>
      <c r="F6" s="21"/>
      <c r="G6" s="22"/>
      <c r="H6" s="23">
        <f>G6*F6*D6</f>
        <v>0</v>
      </c>
      <c r="P6" s="28"/>
      <c r="Q6" s="4"/>
    </row>
    <row r="7" spans="1:17" ht="50.1" customHeight="1" thickBot="1" x14ac:dyDescent="0.3">
      <c r="A7" s="29">
        <v>2</v>
      </c>
      <c r="B7" s="5" t="s">
        <v>23</v>
      </c>
      <c r="C7" s="5" t="s">
        <v>24</v>
      </c>
      <c r="D7" s="25" t="e">
        <f>Sheet1!E12+Sheet1!#REF!</f>
        <v>#REF!</v>
      </c>
      <c r="E7" s="20" t="e">
        <f>D7*10.7639</f>
        <v>#REF!</v>
      </c>
      <c r="F7" s="26"/>
      <c r="G7" s="27"/>
      <c r="H7" s="24" t="e">
        <f>G7*F7*D7</f>
        <v>#REF!</v>
      </c>
      <c r="P7" s="28"/>
      <c r="Q7" s="4"/>
    </row>
    <row r="8" spans="1:17" ht="15.75" thickBot="1" x14ac:dyDescent="0.3">
      <c r="A8" s="91" t="s">
        <v>14</v>
      </c>
      <c r="B8" s="92"/>
      <c r="C8" s="92"/>
      <c r="D8" s="92"/>
      <c r="E8" s="92"/>
      <c r="F8" s="92"/>
      <c r="G8" s="93"/>
      <c r="H8" s="30" t="e">
        <f>SUM(H6+H7)</f>
        <v>#REF!</v>
      </c>
    </row>
    <row r="12" spans="1:17" ht="44.25" customHeight="1" x14ac:dyDescent="0.25">
      <c r="K12" s="60" t="s">
        <v>47</v>
      </c>
      <c r="L12" s="60" t="s">
        <v>48</v>
      </c>
      <c r="M12" s="60" t="s">
        <v>49</v>
      </c>
      <c r="N12" s="60" t="s">
        <v>50</v>
      </c>
      <c r="O12" t="s">
        <v>51</v>
      </c>
    </row>
    <row r="13" spans="1:17" x14ac:dyDescent="0.25">
      <c r="K13" s="61">
        <v>1</v>
      </c>
      <c r="L13" s="61" t="s">
        <v>52</v>
      </c>
      <c r="M13" s="61">
        <v>28</v>
      </c>
      <c r="N13" s="61">
        <v>35126</v>
      </c>
    </row>
    <row r="14" spans="1:17" x14ac:dyDescent="0.25">
      <c r="K14" s="61">
        <v>2</v>
      </c>
      <c r="L14" s="61" t="s">
        <v>53</v>
      </c>
      <c r="M14" s="61">
        <v>3</v>
      </c>
      <c r="N14" s="61">
        <v>8332</v>
      </c>
    </row>
    <row r="15" spans="1:17" x14ac:dyDescent="0.25">
      <c r="K15" s="62">
        <v>3</v>
      </c>
      <c r="L15" s="63" t="s">
        <v>54</v>
      </c>
      <c r="M15" s="63">
        <v>31</v>
      </c>
      <c r="N15" s="63">
        <f>SUM(N13:N14)</f>
        <v>43458</v>
      </c>
    </row>
  </sheetData>
  <mergeCells count="2">
    <mergeCell ref="A4:H4"/>
    <mergeCell ref="A8:G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workbookViewId="0">
      <selection activeCell="H8" sqref="H8"/>
    </sheetView>
  </sheetViews>
  <sheetFormatPr defaultRowHeight="15" x14ac:dyDescent="0.25"/>
  <cols>
    <col min="1" max="1" width="11" bestFit="1" customWidth="1"/>
    <col min="2" max="2" width="15.28515625" bestFit="1" customWidth="1"/>
    <col min="3" max="3" width="11.7109375" bestFit="1" customWidth="1"/>
    <col min="5" max="5" width="11" bestFit="1" customWidth="1"/>
    <col min="6" max="6" width="15.28515625" bestFit="1" customWidth="1"/>
    <col min="7" max="7" width="16.85546875" bestFit="1" customWidth="1"/>
    <col min="9" max="9" width="14.42578125" bestFit="1" customWidth="1"/>
    <col min="10" max="11" width="10" bestFit="1" customWidth="1"/>
  </cols>
  <sheetData>
    <row r="1" spans="1:9" ht="15.75" thickBot="1" x14ac:dyDescent="0.3">
      <c r="A1" s="94" t="s">
        <v>37</v>
      </c>
      <c r="B1" s="95"/>
      <c r="C1" s="96"/>
      <c r="E1" s="94" t="s">
        <v>36</v>
      </c>
      <c r="F1" s="95"/>
      <c r="G1" s="96"/>
    </row>
    <row r="2" spans="1:9" x14ac:dyDescent="0.25">
      <c r="A2" s="33" t="s">
        <v>25</v>
      </c>
      <c r="B2" s="38" t="s">
        <v>26</v>
      </c>
      <c r="C2" s="39" t="s">
        <v>27</v>
      </c>
      <c r="E2" s="33" t="s">
        <v>25</v>
      </c>
      <c r="F2" s="38" t="s">
        <v>26</v>
      </c>
      <c r="G2" s="39" t="s">
        <v>27</v>
      </c>
    </row>
    <row r="3" spans="1:9" ht="15.75" thickBot="1" x14ac:dyDescent="0.3">
      <c r="A3" s="36">
        <v>35143</v>
      </c>
      <c r="B3" s="40">
        <v>8000</v>
      </c>
      <c r="C3" s="37">
        <f>B3*A3</f>
        <v>281144000</v>
      </c>
      <c r="E3" s="36">
        <v>35143</v>
      </c>
      <c r="F3" s="40">
        <v>8800</v>
      </c>
      <c r="G3" s="37">
        <f>F3*E3</f>
        <v>309258400</v>
      </c>
    </row>
    <row r="4" spans="1:9" ht="15.75" thickBot="1" x14ac:dyDescent="0.3">
      <c r="C4" s="37"/>
      <c r="F4" t="s">
        <v>28</v>
      </c>
    </row>
    <row r="5" spans="1:9" ht="15.75" thickBot="1" x14ac:dyDescent="0.3"/>
    <row r="6" spans="1:9" x14ac:dyDescent="0.25">
      <c r="A6" s="33" t="s">
        <v>29</v>
      </c>
      <c r="B6" s="45">
        <f>C3</f>
        <v>281144000</v>
      </c>
      <c r="E6" s="33" t="s">
        <v>29</v>
      </c>
      <c r="F6" s="50">
        <f>G3</f>
        <v>309258400</v>
      </c>
      <c r="G6" s="4"/>
    </row>
    <row r="7" spans="1:9" x14ac:dyDescent="0.25">
      <c r="A7" s="34" t="s">
        <v>30</v>
      </c>
      <c r="B7" s="45" t="e">
        <f>Sheet3!H8</f>
        <v>#REF!</v>
      </c>
      <c r="E7" s="34" t="s">
        <v>30</v>
      </c>
      <c r="F7" s="49">
        <f>Sheet1!S41</f>
        <v>112393800.08525899</v>
      </c>
      <c r="G7" s="4"/>
    </row>
    <row r="8" spans="1:9" x14ac:dyDescent="0.25">
      <c r="A8" s="34" t="s">
        <v>31</v>
      </c>
      <c r="B8" s="35"/>
      <c r="E8" s="34" t="s">
        <v>31</v>
      </c>
      <c r="F8" s="35">
        <f>Sheet1!E57</f>
        <v>14300000</v>
      </c>
      <c r="G8" s="4"/>
    </row>
    <row r="9" spans="1:9" x14ac:dyDescent="0.25">
      <c r="A9" s="34" t="s">
        <v>32</v>
      </c>
      <c r="B9" s="35" t="e">
        <f>SUM(B6:B8)</f>
        <v>#REF!</v>
      </c>
      <c r="E9" s="34" t="s">
        <v>32</v>
      </c>
      <c r="F9" s="35">
        <f>SUM(F6:F8)</f>
        <v>435952200.08525896</v>
      </c>
      <c r="G9" s="4"/>
    </row>
    <row r="10" spans="1:9" x14ac:dyDescent="0.25">
      <c r="A10" s="34"/>
      <c r="B10" s="35" t="e">
        <f>ROUND(B9,-5)</f>
        <v>#REF!</v>
      </c>
      <c r="E10" s="34" t="s">
        <v>33</v>
      </c>
      <c r="F10" s="35">
        <f>ROUND(F9,-7)</f>
        <v>440000000</v>
      </c>
      <c r="G10" s="3"/>
      <c r="I10" s="32"/>
    </row>
    <row r="11" spans="1:9" x14ac:dyDescent="0.25">
      <c r="A11" s="34"/>
      <c r="B11" s="35" t="e">
        <f>0.85*B10</f>
        <v>#REF!</v>
      </c>
      <c r="E11" s="34" t="s">
        <v>34</v>
      </c>
      <c r="F11" s="35">
        <f>0.85*F10</f>
        <v>374000000</v>
      </c>
      <c r="G11" s="48"/>
      <c r="I11" s="32"/>
    </row>
    <row r="12" spans="1:9" ht="15.75" thickBot="1" x14ac:dyDescent="0.3">
      <c r="A12" s="36"/>
      <c r="B12" s="37" t="e">
        <f>0.75*B10</f>
        <v>#REF!</v>
      </c>
      <c r="E12" s="36" t="s">
        <v>35</v>
      </c>
      <c r="F12" s="37">
        <f>0.75*F10</f>
        <v>330000000</v>
      </c>
      <c r="G12" s="48"/>
    </row>
    <row r="13" spans="1:9" x14ac:dyDescent="0.25">
      <c r="E13" s="34" t="s">
        <v>46</v>
      </c>
      <c r="F13" s="56">
        <f>0.8*Sheet1!O41</f>
        <v>150647118.28431997</v>
      </c>
    </row>
    <row r="16" spans="1:9" x14ac:dyDescent="0.25">
      <c r="B16" s="2"/>
    </row>
  </sheetData>
  <mergeCells count="2">
    <mergeCell ref="E1:G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Babul</dc:creator>
  <cp:lastModifiedBy>Deepak Singh</cp:lastModifiedBy>
  <dcterms:created xsi:type="dcterms:W3CDTF">2022-11-04T05:05:51Z</dcterms:created>
  <dcterms:modified xsi:type="dcterms:W3CDTF">2024-07-04T13:18:18Z</dcterms:modified>
</cp:coreProperties>
</file>