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Audit- Akhilesh Bhalerao\FY 2023-24\"/>
    </mc:Choice>
  </mc:AlternateContent>
  <xr:revisionPtr revIDLastSave="0" documentId="13_ncr:1_{428819AC-18B6-47C1-8978-1FFCB3C645A1}" xr6:coauthVersionLast="47" xr6:coauthVersionMax="47" xr10:uidLastSave="{00000000-0000-0000-0000-000000000000}"/>
  <bookViews>
    <workbookView xWindow="-108" yWindow="-108" windowWidth="23256" windowHeight="12456" activeTab="1" xr2:uid="{5F9C983A-CF25-4E7F-83A5-A7B7579185B8}"/>
  </bookViews>
  <sheets>
    <sheet name="Detailed- HWD" sheetId="1" r:id="rId1"/>
    <sheet name="Summarised-HWD" sheetId="3" r:id="rId2"/>
    <sheet name="Detailed-AWB" sheetId="4" state="hidden" r:id="rId3"/>
    <sheet name="Summarised-AWB" sheetId="5" state="hidden" r:id="rId4"/>
    <sheet name="CONSO" sheetId="6" r:id="rId5"/>
  </sheets>
  <definedNames>
    <definedName name="_xlnm._FilterDatabase" localSheetId="0" hidden="1">'Detailed- HWD'!$A$3:$AB$267</definedName>
    <definedName name="_xlnm.Print_Area" localSheetId="0">'Detailed- HWD'!$A$3:$J$267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4" l="1"/>
  <c r="I23" i="3"/>
  <c r="K25" i="3"/>
  <c r="K23" i="3"/>
  <c r="L22" i="3"/>
  <c r="L21" i="3"/>
  <c r="L20" i="3"/>
  <c r="L30" i="3"/>
  <c r="L29" i="3"/>
  <c r="L28" i="3"/>
  <c r="L27" i="3"/>
  <c r="L26" i="3"/>
  <c r="L25" i="3"/>
  <c r="L24" i="3"/>
  <c r="Q27" i="1"/>
  <c r="Q38" i="1"/>
  <c r="Q202" i="1"/>
  <c r="R87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7" i="1"/>
  <c r="S36" i="1"/>
  <c r="S35" i="1"/>
  <c r="S34" i="1"/>
  <c r="S33" i="1"/>
  <c r="S32" i="1"/>
  <c r="S31" i="1"/>
  <c r="S30" i="1"/>
  <c r="S29" i="1"/>
  <c r="S28" i="1"/>
  <c r="S26" i="1"/>
  <c r="S25" i="1"/>
  <c r="S24" i="1"/>
  <c r="S23" i="1"/>
  <c r="S22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7" i="1"/>
  <c r="T36" i="1"/>
  <c r="T35" i="1"/>
  <c r="T34" i="1"/>
  <c r="T33" i="1"/>
  <c r="T32" i="1"/>
  <c r="T31" i="1"/>
  <c r="T30" i="1"/>
  <c r="T29" i="1"/>
  <c r="T28" i="1"/>
  <c r="T26" i="1"/>
  <c r="T25" i="1"/>
  <c r="T24" i="1"/>
  <c r="T23" i="1"/>
  <c r="T22" i="1"/>
  <c r="N103" i="1"/>
  <c r="H23" i="3"/>
  <c r="R157" i="1"/>
  <c r="R155" i="1"/>
  <c r="S7" i="1" l="1"/>
  <c r="T7" i="1" s="1"/>
  <c r="S193" i="1"/>
  <c r="T193" i="1" s="1"/>
  <c r="S210" i="1"/>
  <c r="T210" i="1" s="1"/>
  <c r="S222" i="1"/>
  <c r="T222" i="1" s="1"/>
  <c r="S228" i="1"/>
  <c r="T228" i="1" s="1"/>
  <c r="S234" i="1"/>
  <c r="T234" i="1" s="1"/>
  <c r="S242" i="1"/>
  <c r="T242" i="1" s="1"/>
  <c r="S261" i="1"/>
  <c r="T261" i="1" s="1"/>
  <c r="I29" i="3"/>
  <c r="I30" i="3"/>
  <c r="I24" i="3"/>
  <c r="N87" i="1"/>
  <c r="G20" i="3"/>
  <c r="C23" i="3"/>
  <c r="G149" i="1"/>
  <c r="H149" i="1" s="1"/>
  <c r="G148" i="1"/>
  <c r="H148" i="1" s="1"/>
  <c r="G147" i="1"/>
  <c r="H147" i="1" s="1"/>
  <c r="G146" i="1"/>
  <c r="H146" i="1" s="1"/>
  <c r="G145" i="1"/>
  <c r="H145" i="1" s="1"/>
  <c r="G144" i="1"/>
  <c r="H144" i="1" s="1"/>
  <c r="G143" i="1"/>
  <c r="H143" i="1" s="1"/>
  <c r="L149" i="1"/>
  <c r="M149" i="1" s="1"/>
  <c r="L148" i="1"/>
  <c r="M148" i="1" s="1"/>
  <c r="L147" i="1"/>
  <c r="L146" i="1"/>
  <c r="L145" i="1"/>
  <c r="M145" i="1" s="1"/>
  <c r="L144" i="1"/>
  <c r="M144" i="1" s="1"/>
  <c r="L143" i="1"/>
  <c r="M146" i="1" l="1"/>
  <c r="M143" i="1"/>
  <c r="O143" i="1" s="1"/>
  <c r="P143" i="1" s="1"/>
  <c r="M147" i="1"/>
  <c r="O144" i="1"/>
  <c r="P144" i="1" s="1"/>
  <c r="O148" i="1"/>
  <c r="P148" i="1" s="1"/>
  <c r="O146" i="1"/>
  <c r="P146" i="1" s="1"/>
  <c r="R146" i="1" s="1"/>
  <c r="O147" i="1"/>
  <c r="P147" i="1" s="1"/>
  <c r="R147" i="1" s="1"/>
  <c r="O145" i="1"/>
  <c r="P145" i="1" s="1"/>
  <c r="O149" i="1"/>
  <c r="P149" i="1" s="1"/>
  <c r="R149" i="1" s="1"/>
  <c r="R148" i="1"/>
  <c r="R144" i="1" l="1"/>
  <c r="R143" i="1"/>
  <c r="R145" i="1"/>
  <c r="Q241" i="1" l="1"/>
  <c r="N241" i="1"/>
  <c r="K241" i="1"/>
  <c r="J241" i="1"/>
  <c r="I241" i="1"/>
  <c r="G240" i="1"/>
  <c r="H240" i="1" s="1"/>
  <c r="L240" i="1"/>
  <c r="Z153" i="1"/>
  <c r="L258" i="1"/>
  <c r="G258" i="1"/>
  <c r="H258" i="1" s="1"/>
  <c r="E23" i="3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05" i="1"/>
  <c r="M240" i="1" l="1"/>
  <c r="M258" i="1"/>
  <c r="O258" i="1" s="1"/>
  <c r="P258" i="1" s="1"/>
  <c r="O240" i="1"/>
  <c r="P240" i="1" s="1"/>
  <c r="S240" i="1" s="1"/>
  <c r="U150" i="1"/>
  <c r="R258" i="1" l="1"/>
  <c r="S258" i="1"/>
  <c r="R240" i="1"/>
  <c r="T240" i="1" s="1"/>
  <c r="X154" i="1"/>
  <c r="Y27" i="1"/>
  <c r="T258" i="1" l="1"/>
  <c r="Y153" i="1"/>
  <c r="Y38" i="1"/>
  <c r="Y64" i="1"/>
  <c r="Y88" i="1"/>
  <c r="Y93" i="1"/>
  <c r="Z207" i="1"/>
  <c r="Y207" i="1"/>
  <c r="Y202" i="1"/>
  <c r="Y154" i="1" l="1"/>
  <c r="AA207" i="1"/>
  <c r="AB207" i="1" s="1"/>
  <c r="AA153" i="1"/>
  <c r="X209" i="1"/>
  <c r="Q151" i="1"/>
  <c r="K151" i="1"/>
  <c r="J151" i="1"/>
  <c r="I151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R127" i="1" s="1"/>
  <c r="L126" i="1"/>
  <c r="R126" i="1" s="1"/>
  <c r="L125" i="1"/>
  <c r="R125" i="1" s="1"/>
  <c r="L124" i="1"/>
  <c r="L123" i="1"/>
  <c r="L122" i="1"/>
  <c r="R122" i="1" s="1"/>
  <c r="L121" i="1"/>
  <c r="R121" i="1" s="1"/>
  <c r="L120" i="1"/>
  <c r="L119" i="1"/>
  <c r="R119" i="1" s="1"/>
  <c r="L118" i="1"/>
  <c r="R118" i="1" s="1"/>
  <c r="L117" i="1"/>
  <c r="R117" i="1" s="1"/>
  <c r="L116" i="1"/>
  <c r="R116" i="1" s="1"/>
  <c r="L115" i="1"/>
  <c r="R115" i="1" s="1"/>
  <c r="L114" i="1"/>
  <c r="R114" i="1" s="1"/>
  <c r="L113" i="1"/>
  <c r="R113" i="1" s="1"/>
  <c r="L112" i="1"/>
  <c r="L111" i="1"/>
  <c r="R111" i="1" s="1"/>
  <c r="L110" i="1"/>
  <c r="R110" i="1" s="1"/>
  <c r="L109" i="1"/>
  <c r="R109" i="1" s="1"/>
  <c r="L108" i="1"/>
  <c r="R108" i="1" s="1"/>
  <c r="L107" i="1"/>
  <c r="R107" i="1" s="1"/>
  <c r="L106" i="1"/>
  <c r="R106" i="1" s="1"/>
  <c r="L105" i="1"/>
  <c r="R105" i="1" s="1"/>
  <c r="G105" i="1"/>
  <c r="H105" i="1" s="1"/>
  <c r="G106" i="1"/>
  <c r="H106" i="1" s="1"/>
  <c r="O106" i="1" s="1"/>
  <c r="P106" i="1" s="1"/>
  <c r="G107" i="1"/>
  <c r="H107" i="1" s="1"/>
  <c r="G108" i="1"/>
  <c r="H108" i="1" s="1"/>
  <c r="G109" i="1"/>
  <c r="H109" i="1" s="1"/>
  <c r="O109" i="1" s="1"/>
  <c r="P109" i="1" s="1"/>
  <c r="G110" i="1"/>
  <c r="H110" i="1" s="1"/>
  <c r="G111" i="1"/>
  <c r="H111" i="1" s="1"/>
  <c r="G112" i="1"/>
  <c r="H112" i="1" s="1"/>
  <c r="O112" i="1" s="1"/>
  <c r="P112" i="1" s="1"/>
  <c r="G113" i="1"/>
  <c r="H113" i="1" s="1"/>
  <c r="G114" i="1"/>
  <c r="H114" i="1" s="1"/>
  <c r="O114" i="1" s="1"/>
  <c r="P114" i="1" s="1"/>
  <c r="G115" i="1"/>
  <c r="H115" i="1" s="1"/>
  <c r="G116" i="1"/>
  <c r="H116" i="1" s="1"/>
  <c r="G117" i="1"/>
  <c r="H117" i="1" s="1"/>
  <c r="O117" i="1" s="1"/>
  <c r="P117" i="1" s="1"/>
  <c r="G118" i="1"/>
  <c r="H118" i="1" s="1"/>
  <c r="G119" i="1"/>
  <c r="H119" i="1" s="1"/>
  <c r="G120" i="1"/>
  <c r="H120" i="1" s="1"/>
  <c r="O120" i="1" s="1"/>
  <c r="P120" i="1" s="1"/>
  <c r="G121" i="1"/>
  <c r="H121" i="1" s="1"/>
  <c r="G122" i="1"/>
  <c r="H122" i="1" s="1"/>
  <c r="G123" i="1"/>
  <c r="H123" i="1" s="1"/>
  <c r="G124" i="1"/>
  <c r="H124" i="1" s="1"/>
  <c r="O124" i="1" s="1"/>
  <c r="P124" i="1" s="1"/>
  <c r="G125" i="1"/>
  <c r="H125" i="1" s="1"/>
  <c r="O125" i="1" s="1"/>
  <c r="P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R112" i="1" l="1"/>
  <c r="R120" i="1"/>
  <c r="R124" i="1"/>
  <c r="AB153" i="1"/>
  <c r="M107" i="1"/>
  <c r="M110" i="1"/>
  <c r="M118" i="1"/>
  <c r="M122" i="1"/>
  <c r="O122" i="1" s="1"/>
  <c r="P122" i="1" s="1"/>
  <c r="M126" i="1"/>
  <c r="M128" i="1"/>
  <c r="P128" i="1" s="1"/>
  <c r="M134" i="1"/>
  <c r="O134" i="1" s="1"/>
  <c r="P134" i="1" s="1"/>
  <c r="M137" i="1"/>
  <c r="O137" i="1" s="1"/>
  <c r="P137" i="1" s="1"/>
  <c r="M141" i="1"/>
  <c r="O141" i="1" s="1"/>
  <c r="P141" i="1" s="1"/>
  <c r="M111" i="1"/>
  <c r="M119" i="1"/>
  <c r="M105" i="1"/>
  <c r="M108" i="1"/>
  <c r="M112" i="1"/>
  <c r="M116" i="1"/>
  <c r="M120" i="1"/>
  <c r="M124" i="1"/>
  <c r="M127" i="1"/>
  <c r="O127" i="1" s="1"/>
  <c r="P127" i="1" s="1"/>
  <c r="M130" i="1"/>
  <c r="O130" i="1" s="1"/>
  <c r="P130" i="1" s="1"/>
  <c r="R130" i="1" s="1"/>
  <c r="M136" i="1"/>
  <c r="O136" i="1" s="1"/>
  <c r="P136" i="1" s="1"/>
  <c r="M139" i="1"/>
  <c r="O139" i="1" s="1"/>
  <c r="P139" i="1" s="1"/>
  <c r="R139" i="1" s="1"/>
  <c r="M114" i="1"/>
  <c r="M115" i="1"/>
  <c r="M123" i="1"/>
  <c r="M129" i="1"/>
  <c r="O129" i="1" s="1"/>
  <c r="P129" i="1" s="1"/>
  <c r="M132" i="1"/>
  <c r="O132" i="1" s="1"/>
  <c r="P132" i="1" s="1"/>
  <c r="R132" i="1" s="1"/>
  <c r="M135" i="1"/>
  <c r="O135" i="1" s="1"/>
  <c r="P135" i="1" s="1"/>
  <c r="M138" i="1"/>
  <c r="O138" i="1" s="1"/>
  <c r="P138" i="1" s="1"/>
  <c r="R138" i="1" s="1"/>
  <c r="M142" i="1"/>
  <c r="O142" i="1" s="1"/>
  <c r="P142" i="1" s="1"/>
  <c r="R142" i="1" s="1"/>
  <c r="M106" i="1"/>
  <c r="M109" i="1"/>
  <c r="M113" i="1"/>
  <c r="M117" i="1"/>
  <c r="M121" i="1"/>
  <c r="M125" i="1"/>
  <c r="M131" i="1"/>
  <c r="O131" i="1" s="1"/>
  <c r="P131" i="1" s="1"/>
  <c r="R131" i="1" s="1"/>
  <c r="M133" i="1"/>
  <c r="O133" i="1" s="1"/>
  <c r="P133" i="1" s="1"/>
  <c r="R133" i="1" s="1"/>
  <c r="M140" i="1"/>
  <c r="O140" i="1" s="1"/>
  <c r="P140" i="1" s="1"/>
  <c r="R140" i="1" s="1"/>
  <c r="O111" i="1"/>
  <c r="P111" i="1" s="1"/>
  <c r="O119" i="1"/>
  <c r="P119" i="1" s="1"/>
  <c r="O105" i="1"/>
  <c r="O108" i="1"/>
  <c r="P108" i="1" s="1"/>
  <c r="O116" i="1"/>
  <c r="P116" i="1" s="1"/>
  <c r="O110" i="1"/>
  <c r="P110" i="1" s="1"/>
  <c r="O107" i="1"/>
  <c r="P107" i="1" s="1"/>
  <c r="O113" i="1"/>
  <c r="P113" i="1" s="1"/>
  <c r="O121" i="1"/>
  <c r="P121" i="1" s="1"/>
  <c r="O126" i="1"/>
  <c r="P126" i="1" s="1"/>
  <c r="O115" i="1"/>
  <c r="P115" i="1" s="1"/>
  <c r="O118" i="1"/>
  <c r="P118" i="1" s="1"/>
  <c r="R137" i="1" l="1"/>
  <c r="O123" i="1"/>
  <c r="P123" i="1" s="1"/>
  <c r="R136" i="1"/>
  <c r="R141" i="1"/>
  <c r="R129" i="1"/>
  <c r="R135" i="1"/>
  <c r="R128" i="1"/>
  <c r="R134" i="1"/>
  <c r="P105" i="1"/>
  <c r="R123" i="1" l="1"/>
  <c r="K30" i="6"/>
  <c r="H30" i="6"/>
  <c r="D30" i="6"/>
  <c r="C30" i="6"/>
  <c r="K29" i="6"/>
  <c r="H29" i="6"/>
  <c r="D29" i="6"/>
  <c r="C29" i="6"/>
  <c r="K28" i="6"/>
  <c r="H28" i="6"/>
  <c r="D28" i="6"/>
  <c r="C28" i="6"/>
  <c r="K27" i="6"/>
  <c r="H27" i="6"/>
  <c r="D27" i="6"/>
  <c r="C27" i="6"/>
  <c r="K26" i="6"/>
  <c r="H26" i="6"/>
  <c r="D26" i="6"/>
  <c r="C26" i="6"/>
  <c r="K25" i="6"/>
  <c r="H25" i="6"/>
  <c r="D25" i="6"/>
  <c r="C25" i="6"/>
  <c r="K24" i="6"/>
  <c r="H24" i="6"/>
  <c r="D24" i="6"/>
  <c r="C24" i="6"/>
  <c r="K23" i="6"/>
  <c r="D23" i="6"/>
  <c r="C23" i="6"/>
  <c r="K22" i="6"/>
  <c r="H22" i="6"/>
  <c r="D22" i="6"/>
  <c r="C22" i="6"/>
  <c r="K21" i="6"/>
  <c r="H21" i="6"/>
  <c r="D21" i="6"/>
  <c r="C21" i="6"/>
  <c r="K20" i="6"/>
  <c r="H20" i="6"/>
  <c r="G20" i="6"/>
  <c r="D20" i="6"/>
  <c r="C20" i="6"/>
  <c r="G4" i="6"/>
  <c r="N11" i="4"/>
  <c r="N15" i="4"/>
  <c r="N14" i="4"/>
  <c r="N13" i="4"/>
  <c r="L6" i="5"/>
  <c r="K6" i="5"/>
  <c r="J6" i="5"/>
  <c r="I6" i="5"/>
  <c r="I14" i="5" s="1"/>
  <c r="J14" i="5" s="1"/>
  <c r="H6" i="5"/>
  <c r="G6" i="5"/>
  <c r="G14" i="5" s="1"/>
  <c r="F6" i="5"/>
  <c r="E6" i="5"/>
  <c r="D6" i="5"/>
  <c r="C6" i="5"/>
  <c r="C22" i="5" s="1"/>
  <c r="K5" i="5"/>
  <c r="K21" i="5" s="1"/>
  <c r="I5" i="5"/>
  <c r="G5" i="5"/>
  <c r="G13" i="5" s="1"/>
  <c r="G21" i="5" s="1"/>
  <c r="F5" i="5"/>
  <c r="E5" i="5"/>
  <c r="D5" i="5"/>
  <c r="D21" i="5" s="1"/>
  <c r="C5" i="5"/>
  <c r="C21" i="5" s="1"/>
  <c r="L4" i="5"/>
  <c r="K4" i="5"/>
  <c r="J4" i="5"/>
  <c r="I4" i="5"/>
  <c r="H4" i="5"/>
  <c r="G4" i="5"/>
  <c r="G12" i="5" s="1"/>
  <c r="G20" i="5" s="1"/>
  <c r="F4" i="5"/>
  <c r="E4" i="5"/>
  <c r="D4" i="5"/>
  <c r="C4" i="5"/>
  <c r="C20" i="5" s="1"/>
  <c r="K15" i="5"/>
  <c r="D15" i="5"/>
  <c r="C15" i="5"/>
  <c r="E14" i="5"/>
  <c r="F14" i="5" s="1"/>
  <c r="E13" i="5"/>
  <c r="F13" i="5" s="1"/>
  <c r="E12" i="5"/>
  <c r="F12" i="5" s="1"/>
  <c r="H15" i="5"/>
  <c r="K22" i="5"/>
  <c r="H22" i="5"/>
  <c r="D22" i="5"/>
  <c r="K20" i="5"/>
  <c r="J12" i="5"/>
  <c r="H20" i="5"/>
  <c r="D20" i="5"/>
  <c r="R20" i="4"/>
  <c r="Q20" i="4"/>
  <c r="P20" i="4"/>
  <c r="O20" i="4"/>
  <c r="N20" i="4"/>
  <c r="M20" i="4"/>
  <c r="L20" i="4"/>
  <c r="K20" i="4"/>
  <c r="J20" i="4"/>
  <c r="I20" i="4"/>
  <c r="R19" i="4"/>
  <c r="P19" i="4"/>
  <c r="O19" i="4"/>
  <c r="L19" i="4"/>
  <c r="M19" i="4" s="1"/>
  <c r="H19" i="4"/>
  <c r="G19" i="4"/>
  <c r="Q17" i="4"/>
  <c r="O17" i="4"/>
  <c r="M17" i="4"/>
  <c r="L17" i="4"/>
  <c r="K17" i="4"/>
  <c r="J17" i="4"/>
  <c r="I17" i="4"/>
  <c r="L16" i="4"/>
  <c r="M16" i="4" s="1"/>
  <c r="L15" i="4"/>
  <c r="M15" i="4" s="1"/>
  <c r="L14" i="4"/>
  <c r="M14" i="4" s="1"/>
  <c r="L13" i="4"/>
  <c r="M13" i="4" s="1"/>
  <c r="R13" i="4" s="1"/>
  <c r="L12" i="4"/>
  <c r="M12" i="4" s="1"/>
  <c r="L11" i="4"/>
  <c r="M11" i="4" s="1"/>
  <c r="H16" i="4"/>
  <c r="H15" i="4"/>
  <c r="R15" i="4" s="1"/>
  <c r="H13" i="4"/>
  <c r="O13" i="4" s="1"/>
  <c r="H12" i="4"/>
  <c r="R12" i="4" s="1"/>
  <c r="H11" i="4"/>
  <c r="R11" i="4" s="1"/>
  <c r="H6" i="4"/>
  <c r="G16" i="4"/>
  <c r="G15" i="4"/>
  <c r="G14" i="4"/>
  <c r="H14" i="4" s="1"/>
  <c r="G13" i="4"/>
  <c r="G12" i="4"/>
  <c r="G11" i="4"/>
  <c r="Q9" i="4"/>
  <c r="N9" i="4"/>
  <c r="K9" i="4"/>
  <c r="J9" i="4"/>
  <c r="I9" i="4"/>
  <c r="L8" i="4"/>
  <c r="M8" i="4" s="1"/>
  <c r="G8" i="4"/>
  <c r="H8" i="4" s="1"/>
  <c r="L7" i="4"/>
  <c r="M7" i="4" s="1"/>
  <c r="G7" i="4"/>
  <c r="H7" i="4" s="1"/>
  <c r="L6" i="4"/>
  <c r="M6" i="4" s="1"/>
  <c r="G6" i="4"/>
  <c r="L5" i="4"/>
  <c r="M5" i="4" s="1"/>
  <c r="G5" i="4"/>
  <c r="H5" i="4" s="1"/>
  <c r="G4" i="4"/>
  <c r="H4" i="4" s="1"/>
  <c r="D31" i="6" l="1"/>
  <c r="K31" i="6"/>
  <c r="G36" i="6"/>
  <c r="C31" i="6"/>
  <c r="N17" i="4"/>
  <c r="H5" i="5" s="1"/>
  <c r="H21" i="5" s="1"/>
  <c r="H23" i="5" s="1"/>
  <c r="P13" i="4"/>
  <c r="G22" i="5"/>
  <c r="G15" i="5"/>
  <c r="G23" i="5"/>
  <c r="K7" i="5"/>
  <c r="J20" i="5"/>
  <c r="J22" i="5"/>
  <c r="F20" i="5"/>
  <c r="F21" i="5"/>
  <c r="F22" i="5"/>
  <c r="E15" i="5"/>
  <c r="E20" i="5"/>
  <c r="E21" i="5"/>
  <c r="E22" i="5"/>
  <c r="L14" i="5"/>
  <c r="L22" i="5" s="1"/>
  <c r="D23" i="5"/>
  <c r="L12" i="5"/>
  <c r="L20" i="5" s="1"/>
  <c r="C23" i="5"/>
  <c r="G7" i="5"/>
  <c r="D7" i="5"/>
  <c r="J13" i="5"/>
  <c r="C7" i="5"/>
  <c r="E7" i="5"/>
  <c r="I7" i="5"/>
  <c r="K23" i="5"/>
  <c r="I20" i="5"/>
  <c r="I22" i="5"/>
  <c r="F7" i="5"/>
  <c r="O14" i="4"/>
  <c r="P14" i="4" s="1"/>
  <c r="R14" i="4"/>
  <c r="O11" i="4"/>
  <c r="P11" i="4" s="1"/>
  <c r="O15" i="4"/>
  <c r="P15" i="4" s="1"/>
  <c r="O12" i="4"/>
  <c r="P12" i="4" s="1"/>
  <c r="O16" i="4"/>
  <c r="P16" i="4" s="1"/>
  <c r="R16" i="4" s="1"/>
  <c r="O6" i="4"/>
  <c r="P6" i="4" s="1"/>
  <c r="O5" i="4"/>
  <c r="P5" i="4" s="1"/>
  <c r="R5" i="4" s="1"/>
  <c r="O8" i="4"/>
  <c r="P8" i="4" s="1"/>
  <c r="R8" i="4" s="1"/>
  <c r="O7" i="4"/>
  <c r="P7" i="4" s="1"/>
  <c r="R7" i="4" s="1"/>
  <c r="R6" i="4"/>
  <c r="H7" i="5" l="1"/>
  <c r="R17" i="4"/>
  <c r="L5" i="5" s="1"/>
  <c r="L7" i="5" s="1"/>
  <c r="P17" i="4"/>
  <c r="J5" i="5" s="1"/>
  <c r="J7" i="5" s="1"/>
  <c r="E23" i="5"/>
  <c r="J15" i="5"/>
  <c r="F23" i="5"/>
  <c r="L13" i="5"/>
  <c r="I21" i="5"/>
  <c r="I23" i="5" s="1"/>
  <c r="I15" i="5"/>
  <c r="F15" i="5"/>
  <c r="L21" i="5" l="1"/>
  <c r="L23" i="5" s="1"/>
  <c r="J21" i="5"/>
  <c r="J23" i="5" s="1"/>
  <c r="L15" i="5"/>
  <c r="L4" i="4" l="1"/>
  <c r="L9" i="4" s="1"/>
  <c r="N89" i="1"/>
  <c r="N92" i="1"/>
  <c r="N91" i="1"/>
  <c r="N253" i="1"/>
  <c r="N244" i="1"/>
  <c r="N226" i="1"/>
  <c r="N225" i="1"/>
  <c r="N224" i="1"/>
  <c r="N223" i="1"/>
  <c r="N151" i="1" l="1"/>
  <c r="H7" i="3" s="1"/>
  <c r="H7" i="6" s="1"/>
  <c r="M4" i="4"/>
  <c r="M9" i="4" s="1"/>
  <c r="O4" i="4"/>
  <c r="N213" i="1"/>
  <c r="N221" i="1" s="1"/>
  <c r="H10" i="3" s="1"/>
  <c r="N8" i="1"/>
  <c r="N20" i="1" s="1"/>
  <c r="H5" i="3" s="1"/>
  <c r="N266" i="1"/>
  <c r="N265" i="1"/>
  <c r="N264" i="1"/>
  <c r="N263" i="1"/>
  <c r="N262" i="1"/>
  <c r="H23" i="6"/>
  <c r="H31" i="6" s="1"/>
  <c r="G36" i="3"/>
  <c r="E30" i="3"/>
  <c r="E29" i="3"/>
  <c r="E28" i="3"/>
  <c r="E27" i="3"/>
  <c r="E27" i="6" s="1"/>
  <c r="E26" i="3"/>
  <c r="E23" i="6"/>
  <c r="E22" i="3"/>
  <c r="E21" i="3"/>
  <c r="K31" i="3"/>
  <c r="E20" i="3"/>
  <c r="D31" i="3"/>
  <c r="C31" i="3"/>
  <c r="Q6" i="1"/>
  <c r="K4" i="3" s="1"/>
  <c r="K4" i="6" s="1"/>
  <c r="N6" i="1"/>
  <c r="H4" i="3" s="1"/>
  <c r="K6" i="1"/>
  <c r="E4" i="3" s="1"/>
  <c r="J6" i="1"/>
  <c r="D4" i="3" s="1"/>
  <c r="D4" i="6" s="1"/>
  <c r="I6" i="1"/>
  <c r="C4" i="3" s="1"/>
  <c r="C4" i="6" s="1"/>
  <c r="Q20" i="1"/>
  <c r="K5" i="3" s="1"/>
  <c r="K20" i="1"/>
  <c r="E5" i="3" s="1"/>
  <c r="J20" i="1"/>
  <c r="D5" i="3" s="1"/>
  <c r="Q267" i="1"/>
  <c r="K6" i="3" s="1"/>
  <c r="K267" i="1"/>
  <c r="E6" i="3" s="1"/>
  <c r="J267" i="1"/>
  <c r="D6" i="3" s="1"/>
  <c r="I267" i="1"/>
  <c r="C6" i="3" s="1"/>
  <c r="Q260" i="1"/>
  <c r="K14" i="3" s="1"/>
  <c r="N260" i="1"/>
  <c r="H14" i="3" s="1"/>
  <c r="K260" i="1"/>
  <c r="E14" i="3" s="1"/>
  <c r="J260" i="1"/>
  <c r="D14" i="3" s="1"/>
  <c r="I260" i="1"/>
  <c r="C14" i="3" s="1"/>
  <c r="K13" i="3"/>
  <c r="H13" i="3"/>
  <c r="E13" i="3"/>
  <c r="D13" i="3"/>
  <c r="C13" i="3"/>
  <c r="Q233" i="1"/>
  <c r="K12" i="3" s="1"/>
  <c r="N233" i="1"/>
  <c r="H12" i="3" s="1"/>
  <c r="K233" i="1"/>
  <c r="E12" i="3" s="1"/>
  <c r="J233" i="1"/>
  <c r="D12" i="3" s="1"/>
  <c r="I233" i="1"/>
  <c r="C12" i="3" s="1"/>
  <c r="Q227" i="1"/>
  <c r="K11" i="3" s="1"/>
  <c r="N227" i="1"/>
  <c r="H11" i="3" s="1"/>
  <c r="K227" i="1"/>
  <c r="E11" i="3" s="1"/>
  <c r="J227" i="1"/>
  <c r="D11" i="3" s="1"/>
  <c r="I227" i="1"/>
  <c r="C11" i="3" s="1"/>
  <c r="Q221" i="1"/>
  <c r="K10" i="3" s="1"/>
  <c r="K221" i="1"/>
  <c r="E10" i="3" s="1"/>
  <c r="J221" i="1"/>
  <c r="D10" i="3" s="1"/>
  <c r="I221" i="1"/>
  <c r="C10" i="3" s="1"/>
  <c r="Q209" i="1"/>
  <c r="K9" i="3" s="1"/>
  <c r="N209" i="1"/>
  <c r="H9" i="3" s="1"/>
  <c r="K209" i="1"/>
  <c r="E9" i="3" s="1"/>
  <c r="J209" i="1"/>
  <c r="D9" i="3" s="1"/>
  <c r="I209" i="1"/>
  <c r="C9" i="3" s="1"/>
  <c r="Q192" i="1"/>
  <c r="K8" i="3" s="1"/>
  <c r="N192" i="1"/>
  <c r="H8" i="3" s="1"/>
  <c r="K192" i="1"/>
  <c r="E8" i="3" s="1"/>
  <c r="J192" i="1"/>
  <c r="D8" i="3" s="1"/>
  <c r="I192" i="1"/>
  <c r="C8" i="3" s="1"/>
  <c r="K7" i="3"/>
  <c r="E7" i="3"/>
  <c r="D7" i="3"/>
  <c r="C7" i="3"/>
  <c r="H39" i="6" l="1"/>
  <c r="F27" i="3"/>
  <c r="H37" i="3"/>
  <c r="H5" i="6"/>
  <c r="H37" i="6" s="1"/>
  <c r="C42" i="3"/>
  <c r="C10" i="6"/>
  <c r="C42" i="6" s="1"/>
  <c r="C46" i="3"/>
  <c r="C14" i="6"/>
  <c r="C46" i="6" s="1"/>
  <c r="K46" i="3"/>
  <c r="K14" i="6"/>
  <c r="K46" i="6" s="1"/>
  <c r="K38" i="3"/>
  <c r="K6" i="6"/>
  <c r="K38" i="6" s="1"/>
  <c r="E41" i="3"/>
  <c r="E9" i="6"/>
  <c r="E45" i="3"/>
  <c r="E13" i="6"/>
  <c r="D39" i="3"/>
  <c r="D7" i="6"/>
  <c r="D39" i="6" s="1"/>
  <c r="K40" i="3"/>
  <c r="K8" i="6"/>
  <c r="K40" i="6" s="1"/>
  <c r="C44" i="3"/>
  <c r="C12" i="6"/>
  <c r="C44" i="6" s="1"/>
  <c r="H45" i="3"/>
  <c r="H13" i="6"/>
  <c r="H45" i="6" s="1"/>
  <c r="D36" i="6"/>
  <c r="F28" i="3"/>
  <c r="E28" i="6"/>
  <c r="E39" i="3"/>
  <c r="E7" i="6"/>
  <c r="E39" i="6" s="1"/>
  <c r="D40" i="3"/>
  <c r="D8" i="6"/>
  <c r="D40" i="6" s="1"/>
  <c r="C41" i="3"/>
  <c r="C9" i="6"/>
  <c r="C41" i="6" s="1"/>
  <c r="K41" i="3"/>
  <c r="K9" i="6"/>
  <c r="K41" i="6" s="1"/>
  <c r="H42" i="3"/>
  <c r="H10" i="6"/>
  <c r="H42" i="6" s="1"/>
  <c r="D44" i="3"/>
  <c r="D12" i="6"/>
  <c r="D44" i="6" s="1"/>
  <c r="C45" i="3"/>
  <c r="C13" i="6"/>
  <c r="C45" i="6" s="1"/>
  <c r="K45" i="3"/>
  <c r="K13" i="6"/>
  <c r="K45" i="6" s="1"/>
  <c r="H46" i="3"/>
  <c r="H14" i="6"/>
  <c r="H46" i="6" s="1"/>
  <c r="E36" i="3"/>
  <c r="E4" i="6"/>
  <c r="F21" i="3"/>
  <c r="E21" i="6"/>
  <c r="F25" i="3"/>
  <c r="F25" i="6" s="1"/>
  <c r="E25" i="6"/>
  <c r="F29" i="3"/>
  <c r="E29" i="6"/>
  <c r="C40" i="3"/>
  <c r="C8" i="6"/>
  <c r="C40" i="6" s="1"/>
  <c r="H41" i="3"/>
  <c r="H9" i="6"/>
  <c r="H41" i="6" s="1"/>
  <c r="E42" i="3"/>
  <c r="E10" i="6"/>
  <c r="D43" i="3"/>
  <c r="D11" i="6"/>
  <c r="D43" i="6" s="1"/>
  <c r="K44" i="3"/>
  <c r="K12" i="6"/>
  <c r="K44" i="6" s="1"/>
  <c r="E46" i="3"/>
  <c r="E14" i="6"/>
  <c r="E37" i="3"/>
  <c r="E5" i="6"/>
  <c r="E43" i="3"/>
  <c r="E11" i="6"/>
  <c r="E43" i="6" s="1"/>
  <c r="E40" i="3"/>
  <c r="E8" i="6"/>
  <c r="D41" i="3"/>
  <c r="D9" i="6"/>
  <c r="D41" i="6" s="1"/>
  <c r="K42" i="3"/>
  <c r="K10" i="6"/>
  <c r="K42" i="6" s="1"/>
  <c r="H43" i="3"/>
  <c r="H11" i="6"/>
  <c r="H43" i="6" s="1"/>
  <c r="E44" i="3"/>
  <c r="E12" i="6"/>
  <c r="E44" i="6" s="1"/>
  <c r="D45" i="3"/>
  <c r="D13" i="6"/>
  <c r="D45" i="6" s="1"/>
  <c r="K37" i="3"/>
  <c r="K5" i="6"/>
  <c r="K37" i="6" s="1"/>
  <c r="H36" i="3"/>
  <c r="H4" i="6"/>
  <c r="F20" i="3"/>
  <c r="E20" i="6"/>
  <c r="F22" i="3"/>
  <c r="E22" i="6"/>
  <c r="F26" i="3"/>
  <c r="E26" i="6"/>
  <c r="F30" i="3"/>
  <c r="E30" i="6"/>
  <c r="D38" i="3"/>
  <c r="D6" i="6"/>
  <c r="D38" i="6" s="1"/>
  <c r="E38" i="3"/>
  <c r="E6" i="6"/>
  <c r="E38" i="6" s="1"/>
  <c r="F24" i="3"/>
  <c r="E24" i="6"/>
  <c r="C39" i="3"/>
  <c r="C7" i="6"/>
  <c r="C39" i="6" s="1"/>
  <c r="K39" i="3"/>
  <c r="K7" i="6"/>
  <c r="K39" i="6" s="1"/>
  <c r="H40" i="3"/>
  <c r="H8" i="6"/>
  <c r="H40" i="6" s="1"/>
  <c r="D42" i="3"/>
  <c r="D10" i="6"/>
  <c r="D42" i="6" s="1"/>
  <c r="C43" i="3"/>
  <c r="C11" i="6"/>
  <c r="C43" i="6" s="1"/>
  <c r="K43" i="3"/>
  <c r="K11" i="6"/>
  <c r="K43" i="6" s="1"/>
  <c r="H44" i="3"/>
  <c r="H12" i="6"/>
  <c r="H44" i="6" s="1"/>
  <c r="D46" i="3"/>
  <c r="D14" i="6"/>
  <c r="D46" i="6" s="1"/>
  <c r="C38" i="3"/>
  <c r="C6" i="6"/>
  <c r="C38" i="6" s="1"/>
  <c r="D37" i="3"/>
  <c r="D5" i="6"/>
  <c r="D37" i="6" s="1"/>
  <c r="C36" i="6"/>
  <c r="K36" i="6"/>
  <c r="F23" i="3"/>
  <c r="P4" i="4"/>
  <c r="O9" i="4"/>
  <c r="C36" i="3"/>
  <c r="K15" i="3"/>
  <c r="K36" i="3"/>
  <c r="D15" i="3"/>
  <c r="D36" i="3"/>
  <c r="E31" i="3"/>
  <c r="H39" i="3"/>
  <c r="H31" i="3"/>
  <c r="N267" i="1"/>
  <c r="H6" i="3" s="1"/>
  <c r="E15" i="3"/>
  <c r="I32" i="3" l="1"/>
  <c r="F24" i="6"/>
  <c r="F30" i="6"/>
  <c r="F22" i="6"/>
  <c r="F21" i="6"/>
  <c r="F26" i="6"/>
  <c r="F20" i="6"/>
  <c r="F28" i="6"/>
  <c r="F27" i="6"/>
  <c r="F29" i="6"/>
  <c r="F23" i="6"/>
  <c r="E47" i="3"/>
  <c r="E41" i="6"/>
  <c r="D47" i="3"/>
  <c r="K47" i="3"/>
  <c r="D47" i="6"/>
  <c r="H38" i="3"/>
  <c r="H47" i="3" s="1"/>
  <c r="H6" i="6"/>
  <c r="H38" i="6" s="1"/>
  <c r="E46" i="6"/>
  <c r="D15" i="6"/>
  <c r="K15" i="6"/>
  <c r="E31" i="6"/>
  <c r="E40" i="6"/>
  <c r="E37" i="6"/>
  <c r="E42" i="6"/>
  <c r="E36" i="6"/>
  <c r="E15" i="6"/>
  <c r="E45" i="6"/>
  <c r="H36" i="6"/>
  <c r="F31" i="3"/>
  <c r="K47" i="6"/>
  <c r="P9" i="4"/>
  <c r="R4" i="4"/>
  <c r="R9" i="4" s="1"/>
  <c r="H15" i="3"/>
  <c r="F31" i="6" l="1"/>
  <c r="H15" i="6"/>
  <c r="H47" i="6"/>
  <c r="E47" i="6"/>
  <c r="L239" i="1"/>
  <c r="L238" i="1"/>
  <c r="L237" i="1"/>
  <c r="L236" i="1"/>
  <c r="L235" i="1"/>
  <c r="G239" i="1"/>
  <c r="H239" i="1" s="1"/>
  <c r="G238" i="1"/>
  <c r="H238" i="1" s="1"/>
  <c r="G237" i="1"/>
  <c r="H237" i="1" s="1"/>
  <c r="G236" i="1"/>
  <c r="H236" i="1" s="1"/>
  <c r="G235" i="1"/>
  <c r="H235" i="1" s="1"/>
  <c r="L241" i="1" l="1"/>
  <c r="M236" i="1"/>
  <c r="M239" i="1"/>
  <c r="O239" i="1" s="1"/>
  <c r="M237" i="1"/>
  <c r="M238" i="1"/>
  <c r="O238" i="1" s="1"/>
  <c r="P238" i="1" s="1"/>
  <c r="S238" i="1" s="1"/>
  <c r="M235" i="1"/>
  <c r="P236" i="1"/>
  <c r="S236" i="1" s="1"/>
  <c r="O235" i="1" l="1"/>
  <c r="P235" i="1" s="1"/>
  <c r="S235" i="1" s="1"/>
  <c r="M241" i="1"/>
  <c r="P239" i="1"/>
  <c r="F13" i="3"/>
  <c r="R238" i="1"/>
  <c r="T238" i="1" s="1"/>
  <c r="O237" i="1"/>
  <c r="R236" i="1"/>
  <c r="T236" i="1" s="1"/>
  <c r="F45" i="3" l="1"/>
  <c r="R239" i="1"/>
  <c r="S239" i="1"/>
  <c r="O241" i="1"/>
  <c r="I13" i="3" s="1"/>
  <c r="F13" i="6"/>
  <c r="P237" i="1"/>
  <c r="G13" i="3"/>
  <c r="G29" i="3" s="1"/>
  <c r="G29" i="6" s="1"/>
  <c r="R235" i="1"/>
  <c r="T235" i="1" s="1"/>
  <c r="T239" i="1" l="1"/>
  <c r="R237" i="1"/>
  <c r="R241" i="1" s="1"/>
  <c r="S237" i="1"/>
  <c r="I13" i="6"/>
  <c r="P241" i="1"/>
  <c r="F45" i="6"/>
  <c r="G45" i="3"/>
  <c r="G13" i="6"/>
  <c r="G45" i="6" s="1"/>
  <c r="J29" i="3"/>
  <c r="I29" i="6"/>
  <c r="I45" i="3"/>
  <c r="L13" i="3" l="1"/>
  <c r="J13" i="3"/>
  <c r="S241" i="1"/>
  <c r="T241" i="1" s="1"/>
  <c r="T237" i="1"/>
  <c r="I45" i="6"/>
  <c r="J29" i="6"/>
  <c r="L223" i="1"/>
  <c r="L224" i="1"/>
  <c r="L225" i="1"/>
  <c r="L226" i="1"/>
  <c r="L229" i="1"/>
  <c r="L230" i="1"/>
  <c r="L231" i="1"/>
  <c r="L23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9" i="1"/>
  <c r="L262" i="1"/>
  <c r="L263" i="1"/>
  <c r="L264" i="1"/>
  <c r="L265" i="1"/>
  <c r="L266" i="1"/>
  <c r="L19" i="1"/>
  <c r="L5" i="1"/>
  <c r="G223" i="1"/>
  <c r="H223" i="1" s="1"/>
  <c r="G224" i="1"/>
  <c r="H224" i="1" s="1"/>
  <c r="G225" i="1"/>
  <c r="H225" i="1" s="1"/>
  <c r="G226" i="1"/>
  <c r="H226" i="1" s="1"/>
  <c r="G229" i="1"/>
  <c r="H229" i="1" s="1"/>
  <c r="G230" i="1"/>
  <c r="H230" i="1" s="1"/>
  <c r="G231" i="1"/>
  <c r="H231" i="1" s="1"/>
  <c r="G232" i="1"/>
  <c r="H23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54" i="1"/>
  <c r="H254" i="1" s="1"/>
  <c r="G255" i="1"/>
  <c r="H255" i="1" s="1"/>
  <c r="G256" i="1"/>
  <c r="H256" i="1" s="1"/>
  <c r="G257" i="1"/>
  <c r="H257" i="1" s="1"/>
  <c r="G259" i="1"/>
  <c r="H259" i="1" s="1"/>
  <c r="G262" i="1"/>
  <c r="H262" i="1" s="1"/>
  <c r="G263" i="1"/>
  <c r="H263" i="1" s="1"/>
  <c r="G264" i="1"/>
  <c r="H264" i="1" s="1"/>
  <c r="G265" i="1"/>
  <c r="H265" i="1" s="1"/>
  <c r="O265" i="1" s="1"/>
  <c r="P265" i="1" s="1"/>
  <c r="G266" i="1"/>
  <c r="H266" i="1" s="1"/>
  <c r="G19" i="1"/>
  <c r="H19" i="1" s="1"/>
  <c r="L211" i="1"/>
  <c r="L212" i="1"/>
  <c r="L213" i="1"/>
  <c r="L214" i="1"/>
  <c r="L215" i="1"/>
  <c r="L216" i="1"/>
  <c r="L217" i="1"/>
  <c r="L218" i="1"/>
  <c r="L219" i="1"/>
  <c r="L220" i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G208" i="1"/>
  <c r="H208" i="1" s="1"/>
  <c r="G207" i="1"/>
  <c r="H207" i="1" s="1"/>
  <c r="G206" i="1"/>
  <c r="H206" i="1" s="1"/>
  <c r="G205" i="1"/>
  <c r="H205" i="1" s="1"/>
  <c r="G204" i="1"/>
  <c r="H204" i="1" s="1"/>
  <c r="G203" i="1"/>
  <c r="H203" i="1" s="1"/>
  <c r="G202" i="1"/>
  <c r="H202" i="1" s="1"/>
  <c r="G201" i="1"/>
  <c r="H201" i="1" s="1"/>
  <c r="G200" i="1"/>
  <c r="H200" i="1" s="1"/>
  <c r="G199" i="1"/>
  <c r="H199" i="1" s="1"/>
  <c r="G198" i="1"/>
  <c r="H198" i="1" s="1"/>
  <c r="G197" i="1"/>
  <c r="H197" i="1" s="1"/>
  <c r="G196" i="1"/>
  <c r="H196" i="1" s="1"/>
  <c r="G195" i="1"/>
  <c r="H195" i="1" s="1"/>
  <c r="G194" i="1"/>
  <c r="H194" i="1" s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G22" i="1"/>
  <c r="H22" i="1" s="1"/>
  <c r="G23" i="1"/>
  <c r="H23" i="1" s="1"/>
  <c r="G24" i="1"/>
  <c r="H24" i="1" s="1"/>
  <c r="G25" i="1"/>
  <c r="H25" i="1" s="1"/>
  <c r="G26" i="1"/>
  <c r="H26" i="1" s="1"/>
  <c r="O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P87" i="1" s="1"/>
  <c r="G88" i="1"/>
  <c r="H88" i="1" s="1"/>
  <c r="O88" i="1" s="1"/>
  <c r="P88" i="1" s="1"/>
  <c r="Z88" i="1" s="1"/>
  <c r="G89" i="1"/>
  <c r="H89" i="1" s="1"/>
  <c r="P89" i="1" s="1"/>
  <c r="G90" i="1"/>
  <c r="H90" i="1" s="1"/>
  <c r="O90" i="1" s="1"/>
  <c r="P90" i="1" s="1"/>
  <c r="G91" i="1"/>
  <c r="H91" i="1" s="1"/>
  <c r="G92" i="1"/>
  <c r="H92" i="1" s="1"/>
  <c r="P92" i="1" s="1"/>
  <c r="G93" i="1"/>
  <c r="H93" i="1" s="1"/>
  <c r="O93" i="1" s="1"/>
  <c r="P93" i="1" s="1"/>
  <c r="Z93" i="1" s="1"/>
  <c r="AA93" i="1" s="1"/>
  <c r="AB93" i="1" s="1"/>
  <c r="G94" i="1"/>
  <c r="H94" i="1" s="1"/>
  <c r="O94" i="1" s="1"/>
  <c r="P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8" i="1"/>
  <c r="H8" i="1" s="1"/>
  <c r="L10" i="1"/>
  <c r="L11" i="1"/>
  <c r="L15" i="1"/>
  <c r="L18" i="1"/>
  <c r="L9" i="1"/>
  <c r="L12" i="1"/>
  <c r="L13" i="1"/>
  <c r="L14" i="1"/>
  <c r="L16" i="1"/>
  <c r="L17" i="1"/>
  <c r="J13" i="6" l="1"/>
  <c r="L13" i="6"/>
  <c r="J45" i="6"/>
  <c r="S265" i="1"/>
  <c r="J45" i="3"/>
  <c r="M76" i="1"/>
  <c r="M186" i="1"/>
  <c r="O186" i="1" s="1"/>
  <c r="M187" i="1"/>
  <c r="O187" i="1" s="1"/>
  <c r="M185" i="1"/>
  <c r="O185" i="1" s="1"/>
  <c r="M248" i="1"/>
  <c r="M230" i="1"/>
  <c r="M13" i="1"/>
  <c r="O13" i="1" s="1"/>
  <c r="P13" i="1" s="1"/>
  <c r="R13" i="1" s="1"/>
  <c r="M183" i="1"/>
  <c r="O183" i="1" s="1"/>
  <c r="P183" i="1" s="1"/>
  <c r="R183" i="1" s="1"/>
  <c r="M175" i="1"/>
  <c r="M167" i="1"/>
  <c r="O167" i="1" s="1"/>
  <c r="P167" i="1" s="1"/>
  <c r="R167" i="1" s="1"/>
  <c r="M163" i="1"/>
  <c r="O163" i="1" s="1"/>
  <c r="P163" i="1" s="1"/>
  <c r="S163" i="1" s="1"/>
  <c r="M155" i="1"/>
  <c r="O155" i="1" s="1"/>
  <c r="P155" i="1" s="1"/>
  <c r="M99" i="1"/>
  <c r="O99" i="1" s="1"/>
  <c r="P99" i="1" s="1"/>
  <c r="R99" i="1" s="1"/>
  <c r="M91" i="1"/>
  <c r="R91" i="1" s="1"/>
  <c r="M83" i="1"/>
  <c r="O83" i="1" s="1"/>
  <c r="P83" i="1" s="1"/>
  <c r="M75" i="1"/>
  <c r="O75" i="1" s="1"/>
  <c r="P75" i="1" s="1"/>
  <c r="R75" i="1" s="1"/>
  <c r="M67" i="1"/>
  <c r="M59" i="1"/>
  <c r="O59" i="1" s="1"/>
  <c r="P59" i="1" s="1"/>
  <c r="R59" i="1" s="1"/>
  <c r="M51" i="1"/>
  <c r="O51" i="1" s="1"/>
  <c r="P51" i="1" s="1"/>
  <c r="M43" i="1"/>
  <c r="O43" i="1" s="1"/>
  <c r="P43" i="1" s="1"/>
  <c r="R43" i="1" s="1"/>
  <c r="M35" i="1"/>
  <c r="M27" i="1"/>
  <c r="M23" i="1"/>
  <c r="P23" i="1" s="1"/>
  <c r="M201" i="1"/>
  <c r="O201" i="1" s="1"/>
  <c r="P201" i="1" s="1"/>
  <c r="S201" i="1" s="1"/>
  <c r="M197" i="1"/>
  <c r="O197" i="1" s="1"/>
  <c r="P197" i="1" s="1"/>
  <c r="S197" i="1" s="1"/>
  <c r="M218" i="1"/>
  <c r="M214" i="1"/>
  <c r="M251" i="1"/>
  <c r="M247" i="1"/>
  <c r="M17" i="1"/>
  <c r="O17" i="1" s="1"/>
  <c r="P17" i="1" s="1"/>
  <c r="S17" i="1" s="1"/>
  <c r="M12" i="1"/>
  <c r="O12" i="1" s="1"/>
  <c r="P12" i="1" s="1"/>
  <c r="R12" i="1" s="1"/>
  <c r="M190" i="1"/>
  <c r="M182" i="1"/>
  <c r="O182" i="1" s="1"/>
  <c r="P182" i="1" s="1"/>
  <c r="R182" i="1" s="1"/>
  <c r="M178" i="1"/>
  <c r="M174" i="1"/>
  <c r="O174" i="1" s="1"/>
  <c r="P174" i="1" s="1"/>
  <c r="S174" i="1" s="1"/>
  <c r="M170" i="1"/>
  <c r="M166" i="1"/>
  <c r="M162" i="1"/>
  <c r="M158" i="1"/>
  <c r="O158" i="1" s="1"/>
  <c r="M154" i="1"/>
  <c r="M102" i="1"/>
  <c r="O102" i="1" s="1"/>
  <c r="P102" i="1" s="1"/>
  <c r="M98" i="1"/>
  <c r="M94" i="1"/>
  <c r="R94" i="1" s="1"/>
  <c r="M90" i="1"/>
  <c r="M86" i="1"/>
  <c r="O86" i="1" s="1"/>
  <c r="P86" i="1" s="1"/>
  <c r="R86" i="1" s="1"/>
  <c r="M82" i="1"/>
  <c r="M78" i="1"/>
  <c r="O78" i="1" s="1"/>
  <c r="M74" i="1"/>
  <c r="M70" i="1"/>
  <c r="M66" i="1"/>
  <c r="M62" i="1"/>
  <c r="O62" i="1" s="1"/>
  <c r="P62" i="1" s="1"/>
  <c r="R62" i="1" s="1"/>
  <c r="M58" i="1"/>
  <c r="M54" i="1"/>
  <c r="M50" i="1"/>
  <c r="O50" i="1" s="1"/>
  <c r="P50" i="1" s="1"/>
  <c r="R50" i="1" s="1"/>
  <c r="M46" i="1"/>
  <c r="O46" i="1" s="1"/>
  <c r="P46" i="1" s="1"/>
  <c r="R46" i="1" s="1"/>
  <c r="M42" i="1"/>
  <c r="M38" i="1"/>
  <c r="M34" i="1"/>
  <c r="O34" i="1" s="1"/>
  <c r="P34" i="1" s="1"/>
  <c r="R34" i="1" s="1"/>
  <c r="M30" i="1"/>
  <c r="O30" i="1" s="1"/>
  <c r="M208" i="1"/>
  <c r="O208" i="1" s="1"/>
  <c r="P208" i="1" s="1"/>
  <c r="R208" i="1" s="1"/>
  <c r="M204" i="1"/>
  <c r="M200" i="1"/>
  <c r="O200" i="1" s="1"/>
  <c r="P200" i="1" s="1"/>
  <c r="R200" i="1" s="1"/>
  <c r="M196" i="1"/>
  <c r="M217" i="1"/>
  <c r="M213" i="1"/>
  <c r="M259" i="1"/>
  <c r="O259" i="1" s="1"/>
  <c r="P259" i="1" s="1"/>
  <c r="S259" i="1" s="1"/>
  <c r="M254" i="1"/>
  <c r="O254" i="1" s="1"/>
  <c r="P254" i="1" s="1"/>
  <c r="R254" i="1" s="1"/>
  <c r="M250" i="1"/>
  <c r="R250" i="1" s="1"/>
  <c r="M246" i="1"/>
  <c r="M232" i="1"/>
  <c r="O232" i="1" s="1"/>
  <c r="P232" i="1" s="1"/>
  <c r="S232" i="1" s="1"/>
  <c r="M226" i="1"/>
  <c r="M14" i="1"/>
  <c r="O14" i="1" s="1"/>
  <c r="P14" i="1" s="1"/>
  <c r="R14" i="1" s="1"/>
  <c r="P54" i="1"/>
  <c r="R54" i="1" s="1"/>
  <c r="M188" i="1"/>
  <c r="O188" i="1" s="1"/>
  <c r="P188" i="1" s="1"/>
  <c r="S188" i="1" s="1"/>
  <c r="M184" i="1"/>
  <c r="M180" i="1"/>
  <c r="O180" i="1" s="1"/>
  <c r="P180" i="1" s="1"/>
  <c r="S180" i="1" s="1"/>
  <c r="M176" i="1"/>
  <c r="O176" i="1" s="1"/>
  <c r="M172" i="1"/>
  <c r="O172" i="1" s="1"/>
  <c r="P172" i="1" s="1"/>
  <c r="R172" i="1" s="1"/>
  <c r="M168" i="1"/>
  <c r="O168" i="1" s="1"/>
  <c r="M164" i="1"/>
  <c r="O164" i="1" s="1"/>
  <c r="M160" i="1"/>
  <c r="O160" i="1" s="1"/>
  <c r="P160" i="1" s="1"/>
  <c r="R160" i="1" s="1"/>
  <c r="M156" i="1"/>
  <c r="O156" i="1" s="1"/>
  <c r="P156" i="1" s="1"/>
  <c r="S156" i="1" s="1"/>
  <c r="M104" i="1"/>
  <c r="O104" i="1" s="1"/>
  <c r="P104" i="1" s="1"/>
  <c r="M100" i="1"/>
  <c r="O100" i="1" s="1"/>
  <c r="P100" i="1" s="1"/>
  <c r="M96" i="1"/>
  <c r="O96" i="1" s="1"/>
  <c r="P96" i="1" s="1"/>
  <c r="R96" i="1" s="1"/>
  <c r="M92" i="1"/>
  <c r="R92" i="1" s="1"/>
  <c r="M88" i="1"/>
  <c r="R88" i="1" s="1"/>
  <c r="M84" i="1"/>
  <c r="P84" i="1" s="1"/>
  <c r="M80" i="1"/>
  <c r="O80" i="1" s="1"/>
  <c r="P80" i="1" s="1"/>
  <c r="R80" i="1" s="1"/>
  <c r="M72" i="1"/>
  <c r="O72" i="1" s="1"/>
  <c r="P72" i="1" s="1"/>
  <c r="R72" i="1" s="1"/>
  <c r="M68" i="1"/>
  <c r="M64" i="1"/>
  <c r="O64" i="1" s="1"/>
  <c r="P64" i="1" s="1"/>
  <c r="Z64" i="1" s="1"/>
  <c r="AA64" i="1" s="1"/>
  <c r="AB64" i="1" s="1"/>
  <c r="M60" i="1"/>
  <c r="O60" i="1" s="1"/>
  <c r="P60" i="1" s="1"/>
  <c r="R60" i="1" s="1"/>
  <c r="M56" i="1"/>
  <c r="O56" i="1" s="1"/>
  <c r="P56" i="1" s="1"/>
  <c r="R56" i="1" s="1"/>
  <c r="M52" i="1"/>
  <c r="O52" i="1" s="1"/>
  <c r="P52" i="1" s="1"/>
  <c r="R52" i="1" s="1"/>
  <c r="M48" i="1"/>
  <c r="O48" i="1" s="1"/>
  <c r="P48" i="1" s="1"/>
  <c r="R48" i="1" s="1"/>
  <c r="M44" i="1"/>
  <c r="O44" i="1" s="1"/>
  <c r="P44" i="1" s="1"/>
  <c r="R44" i="1" s="1"/>
  <c r="M40" i="1"/>
  <c r="O40" i="1" s="1"/>
  <c r="P40" i="1" s="1"/>
  <c r="R40" i="1" s="1"/>
  <c r="M36" i="1"/>
  <c r="M32" i="1"/>
  <c r="O32" i="1" s="1"/>
  <c r="P32" i="1" s="1"/>
  <c r="R32" i="1" s="1"/>
  <c r="M28" i="1"/>
  <c r="M24" i="1"/>
  <c r="P24" i="1" s="1"/>
  <c r="R24" i="1" s="1"/>
  <c r="M206" i="1"/>
  <c r="O206" i="1" s="1"/>
  <c r="P206" i="1" s="1"/>
  <c r="R206" i="1" s="1"/>
  <c r="M202" i="1"/>
  <c r="M198" i="1"/>
  <c r="O198" i="1" s="1"/>
  <c r="P198" i="1" s="1"/>
  <c r="R198" i="1" s="1"/>
  <c r="M219" i="1"/>
  <c r="M215" i="1"/>
  <c r="M19" i="1"/>
  <c r="O19" i="1" s="1"/>
  <c r="P19" i="1" s="1"/>
  <c r="R19" i="1" s="1"/>
  <c r="M256" i="1"/>
  <c r="M252" i="1"/>
  <c r="M244" i="1"/>
  <c r="M224" i="1"/>
  <c r="M179" i="1"/>
  <c r="O179" i="1" s="1"/>
  <c r="P179" i="1" s="1"/>
  <c r="S179" i="1" s="1"/>
  <c r="M171" i="1"/>
  <c r="M103" i="1"/>
  <c r="O103" i="1" s="1"/>
  <c r="P103" i="1" s="1"/>
  <c r="R103" i="1" s="1"/>
  <c r="M95" i="1"/>
  <c r="M87" i="1"/>
  <c r="T87" i="1" s="1"/>
  <c r="M79" i="1"/>
  <c r="O79" i="1" s="1"/>
  <c r="P79" i="1" s="1"/>
  <c r="R79" i="1" s="1"/>
  <c r="M71" i="1"/>
  <c r="P71" i="1" s="1"/>
  <c r="R71" i="1" s="1"/>
  <c r="M63" i="1"/>
  <c r="O63" i="1" s="1"/>
  <c r="P63" i="1" s="1"/>
  <c r="M55" i="1"/>
  <c r="O55" i="1" s="1"/>
  <c r="P55" i="1" s="1"/>
  <c r="R55" i="1" s="1"/>
  <c r="M47" i="1"/>
  <c r="M39" i="1"/>
  <c r="O39" i="1" s="1"/>
  <c r="P39" i="1" s="1"/>
  <c r="R39" i="1" s="1"/>
  <c r="M31" i="1"/>
  <c r="O31" i="1" s="1"/>
  <c r="P31" i="1" s="1"/>
  <c r="R31" i="1" s="1"/>
  <c r="M205" i="1"/>
  <c r="O205" i="1" s="1"/>
  <c r="P205" i="1" s="1"/>
  <c r="R205" i="1" s="1"/>
  <c r="M255" i="1"/>
  <c r="O255" i="1" s="1"/>
  <c r="P255" i="1" s="1"/>
  <c r="R255" i="1" s="1"/>
  <c r="M16" i="1"/>
  <c r="O16" i="1" s="1"/>
  <c r="P16" i="1" s="1"/>
  <c r="S16" i="1" s="1"/>
  <c r="M9" i="1"/>
  <c r="O9" i="1" s="1"/>
  <c r="P9" i="1" s="1"/>
  <c r="R9" i="1" s="1"/>
  <c r="M189" i="1"/>
  <c r="M181" i="1"/>
  <c r="O181" i="1" s="1"/>
  <c r="M177" i="1"/>
  <c r="M173" i="1"/>
  <c r="O173" i="1" s="1"/>
  <c r="M169" i="1"/>
  <c r="M165" i="1"/>
  <c r="O165" i="1" s="1"/>
  <c r="P165" i="1" s="1"/>
  <c r="S165" i="1" s="1"/>
  <c r="M161" i="1"/>
  <c r="M157" i="1"/>
  <c r="O157" i="1" s="1"/>
  <c r="P157" i="1" s="1"/>
  <c r="M93" i="1"/>
  <c r="R93" i="1" s="1"/>
  <c r="M89" i="1"/>
  <c r="R89" i="1" s="1"/>
  <c r="M207" i="1"/>
  <c r="O207" i="1" s="1"/>
  <c r="P207" i="1" s="1"/>
  <c r="M203" i="1"/>
  <c r="M199" i="1"/>
  <c r="O199" i="1" s="1"/>
  <c r="P199" i="1" s="1"/>
  <c r="S199" i="1" s="1"/>
  <c r="M195" i="1"/>
  <c r="M220" i="1"/>
  <c r="M216" i="1"/>
  <c r="M212" i="1"/>
  <c r="M257" i="1"/>
  <c r="M253" i="1"/>
  <c r="O253" i="1" s="1"/>
  <c r="P253" i="1" s="1"/>
  <c r="R253" i="1" s="1"/>
  <c r="M249" i="1"/>
  <c r="M231" i="1"/>
  <c r="O231" i="1" s="1"/>
  <c r="P231" i="1" s="1"/>
  <c r="R231" i="1" s="1"/>
  <c r="M225" i="1"/>
  <c r="M26" i="1"/>
  <c r="AA88" i="1"/>
  <c r="L151" i="1"/>
  <c r="P91" i="1"/>
  <c r="L29" i="6"/>
  <c r="L45" i="6" s="1"/>
  <c r="L45" i="3"/>
  <c r="M266" i="1"/>
  <c r="M265" i="1"/>
  <c r="M263" i="1"/>
  <c r="O5" i="1"/>
  <c r="M262" i="1"/>
  <c r="L267" i="1"/>
  <c r="M243" i="1"/>
  <c r="L260" i="1"/>
  <c r="M229" i="1"/>
  <c r="L233" i="1"/>
  <c r="M223" i="1"/>
  <c r="L227" i="1"/>
  <c r="M211" i="1"/>
  <c r="L221" i="1"/>
  <c r="M194" i="1"/>
  <c r="L209" i="1"/>
  <c r="M153" i="1"/>
  <c r="L192" i="1"/>
  <c r="M22" i="1"/>
  <c r="P213" i="1"/>
  <c r="R213" i="1" s="1"/>
  <c r="M5" i="1"/>
  <c r="P67" i="1"/>
  <c r="O35" i="1"/>
  <c r="P35" i="1" s="1"/>
  <c r="P27" i="1"/>
  <c r="S27" i="1" s="1"/>
  <c r="P224" i="1"/>
  <c r="R224" i="1" s="1"/>
  <c r="P226" i="1"/>
  <c r="R226" i="1" s="1"/>
  <c r="P218" i="1"/>
  <c r="S218" i="1" s="1"/>
  <c r="P225" i="1"/>
  <c r="R225" i="1" s="1"/>
  <c r="O249" i="1"/>
  <c r="P249" i="1" s="1"/>
  <c r="S249" i="1" s="1"/>
  <c r="M264" i="1"/>
  <c r="O263" i="1"/>
  <c r="P263" i="1" s="1"/>
  <c r="S263" i="1" s="1"/>
  <c r="O251" i="1"/>
  <c r="P251" i="1" s="1"/>
  <c r="S251" i="1" s="1"/>
  <c r="O246" i="1"/>
  <c r="P246" i="1" s="1"/>
  <c r="R246" i="1" s="1"/>
  <c r="O250" i="1"/>
  <c r="P250" i="1" s="1"/>
  <c r="S250" i="1" s="1"/>
  <c r="M245" i="1"/>
  <c r="O229" i="1"/>
  <c r="P214" i="1"/>
  <c r="S214" i="1" s="1"/>
  <c r="P220" i="1"/>
  <c r="R220" i="1" s="1"/>
  <c r="P202" i="1"/>
  <c r="Z202" i="1" s="1"/>
  <c r="P215" i="1"/>
  <c r="R215" i="1" s="1"/>
  <c r="P212" i="1"/>
  <c r="R212" i="1" s="1"/>
  <c r="O243" i="1"/>
  <c r="P217" i="1"/>
  <c r="R217" i="1" s="1"/>
  <c r="P219" i="1"/>
  <c r="R219" i="1" s="1"/>
  <c r="P216" i="1"/>
  <c r="R216" i="1" s="1"/>
  <c r="O252" i="1"/>
  <c r="P252" i="1" s="1"/>
  <c r="S252" i="1" s="1"/>
  <c r="O247" i="1"/>
  <c r="P247" i="1" s="1"/>
  <c r="S247" i="1" s="1"/>
  <c r="O266" i="1"/>
  <c r="P266" i="1" s="1"/>
  <c r="S266" i="1" s="1"/>
  <c r="O262" i="1"/>
  <c r="O248" i="1"/>
  <c r="P248" i="1" s="1"/>
  <c r="O244" i="1"/>
  <c r="P244" i="1" s="1"/>
  <c r="S244" i="1" s="1"/>
  <c r="O28" i="1"/>
  <c r="P28" i="1" s="1"/>
  <c r="O36" i="1"/>
  <c r="P36" i="1" s="1"/>
  <c r="P68" i="1"/>
  <c r="R68" i="1" s="1"/>
  <c r="P76" i="1"/>
  <c r="O175" i="1"/>
  <c r="M191" i="1"/>
  <c r="M159" i="1"/>
  <c r="M85" i="1"/>
  <c r="M81" i="1"/>
  <c r="M77" i="1"/>
  <c r="M73" i="1"/>
  <c r="M69" i="1"/>
  <c r="M65" i="1"/>
  <c r="M61" i="1"/>
  <c r="M57" i="1"/>
  <c r="M53" i="1"/>
  <c r="M49" i="1"/>
  <c r="M45" i="1"/>
  <c r="M41" i="1"/>
  <c r="M37" i="1"/>
  <c r="M33" i="1"/>
  <c r="M29" i="1"/>
  <c r="M25" i="1"/>
  <c r="O166" i="1"/>
  <c r="P166" i="1" s="1"/>
  <c r="R166" i="1" s="1"/>
  <c r="M101" i="1"/>
  <c r="M97" i="1"/>
  <c r="P82" i="1"/>
  <c r="R82" i="1" s="1"/>
  <c r="P70" i="1"/>
  <c r="R70" i="1" s="1"/>
  <c r="P38" i="1"/>
  <c r="S38" i="1" s="1"/>
  <c r="T38" i="1" s="1"/>
  <c r="P26" i="1"/>
  <c r="M15" i="1"/>
  <c r="M10" i="1"/>
  <c r="M11" i="1"/>
  <c r="M18" i="1"/>
  <c r="T27" i="1" l="1"/>
  <c r="S151" i="1"/>
  <c r="S246" i="1"/>
  <c r="S207" i="1"/>
  <c r="R248" i="1"/>
  <c r="S198" i="1"/>
  <c r="S160" i="1"/>
  <c r="S205" i="1"/>
  <c r="T205" i="1" s="1"/>
  <c r="S231" i="1"/>
  <c r="S182" i="1"/>
  <c r="T182" i="1" s="1"/>
  <c r="S172" i="1"/>
  <c r="T172" i="1" s="1"/>
  <c r="T250" i="1"/>
  <c r="S255" i="1"/>
  <c r="S167" i="1"/>
  <c r="T167" i="1" s="1"/>
  <c r="S216" i="1"/>
  <c r="S224" i="1"/>
  <c r="S212" i="1"/>
  <c r="T212" i="1" s="1"/>
  <c r="S183" i="1"/>
  <c r="T183" i="1" s="1"/>
  <c r="S215" i="1"/>
  <c r="T215" i="1" s="1"/>
  <c r="T160" i="1"/>
  <c r="T255" i="1"/>
  <c r="S155" i="1"/>
  <c r="T155" i="1" s="1"/>
  <c r="S157" i="1"/>
  <c r="T157" i="1" s="1"/>
  <c r="S226" i="1"/>
  <c r="T226" i="1" s="1"/>
  <c r="S254" i="1"/>
  <c r="T254" i="1" s="1"/>
  <c r="S166" i="1"/>
  <c r="T166" i="1" s="1"/>
  <c r="S219" i="1"/>
  <c r="T219" i="1" s="1"/>
  <c r="S206" i="1"/>
  <c r="S14" i="1"/>
  <c r="S220" i="1"/>
  <c r="T220" i="1" s="1"/>
  <c r="T14" i="1"/>
  <c r="S9" i="1"/>
  <c r="T9" i="1" s="1"/>
  <c r="S213" i="1"/>
  <c r="T213" i="1" s="1"/>
  <c r="T207" i="1"/>
  <c r="T206" i="1"/>
  <c r="S13" i="1"/>
  <c r="T13" i="1" s="1"/>
  <c r="S217" i="1"/>
  <c r="T217" i="1" s="1"/>
  <c r="S208" i="1"/>
  <c r="T208" i="1" s="1"/>
  <c r="S202" i="1"/>
  <c r="T202" i="1" s="1"/>
  <c r="T216" i="1"/>
  <c r="T246" i="1"/>
  <c r="T224" i="1"/>
  <c r="T231" i="1"/>
  <c r="T198" i="1"/>
  <c r="S225" i="1"/>
  <c r="T225" i="1" s="1"/>
  <c r="S200" i="1"/>
  <c r="T200" i="1" s="1"/>
  <c r="S12" i="1"/>
  <c r="T12" i="1" s="1"/>
  <c r="S248" i="1"/>
  <c r="S19" i="1"/>
  <c r="T19" i="1" s="1"/>
  <c r="S253" i="1"/>
  <c r="T253" i="1" s="1"/>
  <c r="U87" i="1"/>
  <c r="U88" i="1" s="1"/>
  <c r="O257" i="1"/>
  <c r="P257" i="1" s="1"/>
  <c r="P176" i="1"/>
  <c r="P187" i="1"/>
  <c r="P175" i="1"/>
  <c r="P186" i="1"/>
  <c r="P173" i="1"/>
  <c r="Z27" i="1"/>
  <c r="AA27" i="1" s="1"/>
  <c r="AB27" i="1" s="1"/>
  <c r="R249" i="1"/>
  <c r="T249" i="1" s="1"/>
  <c r="R252" i="1"/>
  <c r="T252" i="1" s="1"/>
  <c r="R28" i="1"/>
  <c r="P181" i="1"/>
  <c r="P168" i="1"/>
  <c r="P30" i="1"/>
  <c r="P78" i="1"/>
  <c r="P158" i="1"/>
  <c r="P185" i="1"/>
  <c r="P164" i="1"/>
  <c r="F8" i="3"/>
  <c r="F7" i="3"/>
  <c r="F6" i="3"/>
  <c r="R266" i="1"/>
  <c r="T266" i="1" s="1"/>
  <c r="O184" i="1"/>
  <c r="O190" i="1"/>
  <c r="R35" i="1"/>
  <c r="O95" i="1"/>
  <c r="R36" i="1"/>
  <c r="O47" i="1"/>
  <c r="O204" i="1"/>
  <c r="R104" i="1"/>
  <c r="R51" i="1"/>
  <c r="O203" i="1"/>
  <c r="O256" i="1"/>
  <c r="R165" i="1"/>
  <c r="T165" i="1" s="1"/>
  <c r="O161" i="1"/>
  <c r="F9" i="3"/>
  <c r="F9" i="6" s="1"/>
  <c r="O195" i="1"/>
  <c r="R232" i="1"/>
  <c r="T232" i="1" s="1"/>
  <c r="R17" i="1"/>
  <c r="T17" i="1" s="1"/>
  <c r="R83" i="1"/>
  <c r="R188" i="1"/>
  <c r="T188" i="1" s="1"/>
  <c r="R199" i="1"/>
  <c r="T199" i="1" s="1"/>
  <c r="R251" i="1"/>
  <c r="T251" i="1" s="1"/>
  <c r="R67" i="1"/>
  <c r="O189" i="1"/>
  <c r="O171" i="1"/>
  <c r="R16" i="1"/>
  <c r="T16" i="1" s="1"/>
  <c r="R179" i="1"/>
  <c r="T179" i="1" s="1"/>
  <c r="R218" i="1"/>
  <c r="T218" i="1" s="1"/>
  <c r="O177" i="1"/>
  <c r="R244" i="1"/>
  <c r="T244" i="1" s="1"/>
  <c r="R100" i="1"/>
  <c r="R23" i="1"/>
  <c r="R163" i="1"/>
  <c r="T163" i="1" s="1"/>
  <c r="R214" i="1"/>
  <c r="T214" i="1" s="1"/>
  <c r="R201" i="1"/>
  <c r="T201" i="1" s="1"/>
  <c r="F11" i="3"/>
  <c r="R174" i="1"/>
  <c r="T174" i="1" s="1"/>
  <c r="R102" i="1"/>
  <c r="R259" i="1"/>
  <c r="T259" i="1" s="1"/>
  <c r="O169" i="1"/>
  <c r="R84" i="1"/>
  <c r="R156" i="1"/>
  <c r="T156" i="1" s="1"/>
  <c r="R180" i="1"/>
  <c r="T180" i="1" s="1"/>
  <c r="R197" i="1"/>
  <c r="T197" i="1" s="1"/>
  <c r="O162" i="1"/>
  <c r="O178" i="1"/>
  <c r="O98" i="1"/>
  <c r="R26" i="1"/>
  <c r="O58" i="1"/>
  <c r="O74" i="1"/>
  <c r="R247" i="1"/>
  <c r="T247" i="1" s="1"/>
  <c r="O230" i="1"/>
  <c r="O233" i="1" s="1"/>
  <c r="I12" i="3" s="1"/>
  <c r="O196" i="1"/>
  <c r="F10" i="3"/>
  <c r="F12" i="3"/>
  <c r="O42" i="1"/>
  <c r="O170" i="1"/>
  <c r="R90" i="1"/>
  <c r="P66" i="1"/>
  <c r="R76" i="1"/>
  <c r="O10" i="1"/>
  <c r="O101" i="1"/>
  <c r="O33" i="1"/>
  <c r="O49" i="1"/>
  <c r="O65" i="1"/>
  <c r="P81" i="1"/>
  <c r="O159" i="1"/>
  <c r="M209" i="1"/>
  <c r="M227" i="1"/>
  <c r="R243" i="1"/>
  <c r="O11" i="1"/>
  <c r="O45" i="1"/>
  <c r="O77" i="1"/>
  <c r="P69" i="1"/>
  <c r="O191" i="1"/>
  <c r="R265" i="1"/>
  <c r="T265" i="1" s="1"/>
  <c r="O97" i="1"/>
  <c r="O29" i="1"/>
  <c r="O61" i="1"/>
  <c r="O15" i="1"/>
  <c r="O37" i="1"/>
  <c r="O53" i="1"/>
  <c r="O85" i="1"/>
  <c r="O18" i="1"/>
  <c r="P25" i="1"/>
  <c r="O41" i="1"/>
  <c r="O57" i="1"/>
  <c r="P73" i="1"/>
  <c r="O245" i="1"/>
  <c r="O264" i="1"/>
  <c r="O153" i="1"/>
  <c r="M221" i="1"/>
  <c r="M233" i="1"/>
  <c r="AB88" i="1"/>
  <c r="Z38" i="1"/>
  <c r="AA38" i="1" s="1"/>
  <c r="AB38" i="1" s="1"/>
  <c r="Y209" i="1"/>
  <c r="AA202" i="1"/>
  <c r="R64" i="1"/>
  <c r="R63" i="1"/>
  <c r="M151" i="1"/>
  <c r="R229" i="1"/>
  <c r="R263" i="1"/>
  <c r="T263" i="1" s="1"/>
  <c r="P5" i="1"/>
  <c r="O6" i="1"/>
  <c r="I4" i="3" s="1"/>
  <c r="I4" i="6" s="1"/>
  <c r="F14" i="3"/>
  <c r="P262" i="1"/>
  <c r="S262" i="1" s="1"/>
  <c r="M267" i="1"/>
  <c r="P243" i="1"/>
  <c r="S243" i="1" s="1"/>
  <c r="M260" i="1"/>
  <c r="O221" i="1"/>
  <c r="I10" i="3" s="1"/>
  <c r="I10" i="6" s="1"/>
  <c r="P229" i="1"/>
  <c r="S229" i="1" s="1"/>
  <c r="P223" i="1"/>
  <c r="S223" i="1" s="1"/>
  <c r="O227" i="1"/>
  <c r="I11" i="3" s="1"/>
  <c r="O194" i="1"/>
  <c r="P211" i="1"/>
  <c r="S211" i="1" s="1"/>
  <c r="M192" i="1"/>
  <c r="I8" i="1"/>
  <c r="I20" i="1" s="1"/>
  <c r="C5" i="3" s="1"/>
  <c r="C5" i="6" s="1"/>
  <c r="L4" i="1"/>
  <c r="F12" i="6" l="1"/>
  <c r="F39" i="3"/>
  <c r="F10" i="6"/>
  <c r="F42" i="6" s="1"/>
  <c r="F40" i="3"/>
  <c r="F11" i="6"/>
  <c r="F43" i="6" s="1"/>
  <c r="F6" i="6"/>
  <c r="T243" i="1"/>
  <c r="T248" i="1"/>
  <c r="R66" i="1"/>
  <c r="R164" i="1"/>
  <c r="S164" i="1"/>
  <c r="R30" i="1"/>
  <c r="R186" i="1"/>
  <c r="S186" i="1"/>
  <c r="R257" i="1"/>
  <c r="S257" i="1"/>
  <c r="R5" i="1"/>
  <c r="S5" i="1"/>
  <c r="R158" i="1"/>
  <c r="S158" i="1"/>
  <c r="R181" i="1"/>
  <c r="S181" i="1"/>
  <c r="R187" i="1"/>
  <c r="S187" i="1"/>
  <c r="R69" i="1"/>
  <c r="R78" i="1"/>
  <c r="R173" i="1"/>
  <c r="S173" i="1"/>
  <c r="R176" i="1"/>
  <c r="S176" i="1"/>
  <c r="T229" i="1"/>
  <c r="R25" i="1"/>
  <c r="R73" i="1"/>
  <c r="R185" i="1"/>
  <c r="S185" i="1"/>
  <c r="R168" i="1"/>
  <c r="S168" i="1"/>
  <c r="R175" i="1"/>
  <c r="S175" i="1"/>
  <c r="L6" i="1"/>
  <c r="AB154" i="1"/>
  <c r="Z154" i="1"/>
  <c r="AA154" i="1"/>
  <c r="I12" i="6"/>
  <c r="F38" i="6"/>
  <c r="F44" i="6"/>
  <c r="F41" i="6"/>
  <c r="F7" i="6"/>
  <c r="F8" i="6"/>
  <c r="F38" i="3"/>
  <c r="P191" i="1"/>
  <c r="P98" i="1"/>
  <c r="P256" i="1"/>
  <c r="P204" i="1"/>
  <c r="P29" i="1"/>
  <c r="P178" i="1"/>
  <c r="P161" i="1"/>
  <c r="P47" i="1"/>
  <c r="P190" i="1"/>
  <c r="P245" i="1"/>
  <c r="S245" i="1" s="1"/>
  <c r="P37" i="1"/>
  <c r="P97" i="1"/>
  <c r="P77" i="1"/>
  <c r="P65" i="1"/>
  <c r="P10" i="1"/>
  <c r="P42" i="1"/>
  <c r="P196" i="1"/>
  <c r="P58" i="1"/>
  <c r="P162" i="1"/>
  <c r="P177" i="1"/>
  <c r="P171" i="1"/>
  <c r="P184" i="1"/>
  <c r="P194" i="1"/>
  <c r="P57" i="1"/>
  <c r="P85" i="1"/>
  <c r="P61" i="1"/>
  <c r="P11" i="1"/>
  <c r="S11" i="1" s="1"/>
  <c r="P159" i="1"/>
  <c r="P33" i="1"/>
  <c r="P264" i="1"/>
  <c r="P41" i="1"/>
  <c r="P53" i="1"/>
  <c r="P101" i="1"/>
  <c r="P170" i="1"/>
  <c r="P74" i="1"/>
  <c r="P203" i="1"/>
  <c r="P18" i="1"/>
  <c r="P15" i="1"/>
  <c r="P45" i="1"/>
  <c r="P49" i="1"/>
  <c r="P154" i="1"/>
  <c r="P230" i="1"/>
  <c r="P169" i="1"/>
  <c r="P189" i="1"/>
  <c r="P195" i="1"/>
  <c r="P95" i="1"/>
  <c r="F44" i="3"/>
  <c r="F41" i="3"/>
  <c r="F42" i="3"/>
  <c r="O260" i="1"/>
  <c r="F43" i="3"/>
  <c r="R264" i="1"/>
  <c r="R29" i="1"/>
  <c r="R61" i="1"/>
  <c r="R11" i="1"/>
  <c r="T11" i="1" s="1"/>
  <c r="R245" i="1"/>
  <c r="R77" i="1"/>
  <c r="R65" i="1"/>
  <c r="R81" i="1"/>
  <c r="O267" i="1"/>
  <c r="P153" i="1"/>
  <c r="S153" i="1" s="1"/>
  <c r="G7" i="3"/>
  <c r="G11" i="3"/>
  <c r="G27" i="3" s="1"/>
  <c r="G27" i="6" s="1"/>
  <c r="G10" i="3"/>
  <c r="G26" i="3" s="1"/>
  <c r="G26" i="6" s="1"/>
  <c r="G8" i="3"/>
  <c r="O192" i="1"/>
  <c r="O151" i="1"/>
  <c r="I7" i="3" s="1"/>
  <c r="G12" i="3"/>
  <c r="G28" i="3" s="1"/>
  <c r="G28" i="6" s="1"/>
  <c r="G14" i="3"/>
  <c r="G6" i="3"/>
  <c r="G9" i="3"/>
  <c r="G25" i="3" s="1"/>
  <c r="G25" i="6" s="1"/>
  <c r="Z209" i="1"/>
  <c r="AB202" i="1"/>
  <c r="AA209" i="1" s="1"/>
  <c r="P22" i="1"/>
  <c r="C37" i="6"/>
  <c r="C47" i="6" s="1"/>
  <c r="C15" i="6"/>
  <c r="I27" i="3"/>
  <c r="I27" i="6" s="1"/>
  <c r="I11" i="6"/>
  <c r="F46" i="3"/>
  <c r="F14" i="6"/>
  <c r="I20" i="3"/>
  <c r="C37" i="3"/>
  <c r="C47" i="3" s="1"/>
  <c r="C15" i="3"/>
  <c r="I26" i="3"/>
  <c r="I26" i="6" s="1"/>
  <c r="I42" i="6" s="1"/>
  <c r="R262" i="1"/>
  <c r="T262" i="1" s="1"/>
  <c r="O209" i="1"/>
  <c r="R223" i="1"/>
  <c r="P227" i="1"/>
  <c r="R211" i="1"/>
  <c r="P221" i="1"/>
  <c r="L8" i="1"/>
  <c r="M4" i="1"/>
  <c r="T175" i="1" l="1"/>
  <c r="T185" i="1"/>
  <c r="J11" i="3"/>
  <c r="S227" i="1"/>
  <c r="R230" i="1"/>
  <c r="S230" i="1"/>
  <c r="T173" i="1"/>
  <c r="T181" i="1"/>
  <c r="T5" i="1"/>
  <c r="T164" i="1"/>
  <c r="J10" i="3"/>
  <c r="S221" i="1"/>
  <c r="T245" i="1"/>
  <c r="R189" i="1"/>
  <c r="S189" i="1"/>
  <c r="R49" i="1"/>
  <c r="R203" i="1"/>
  <c r="S203" i="1"/>
  <c r="R53" i="1"/>
  <c r="R159" i="1"/>
  <c r="S159" i="1"/>
  <c r="R57" i="1"/>
  <c r="R177" i="1"/>
  <c r="S177" i="1"/>
  <c r="R42" i="1"/>
  <c r="R97" i="1"/>
  <c r="R47" i="1"/>
  <c r="R204" i="1"/>
  <c r="S204" i="1"/>
  <c r="F4" i="3"/>
  <c r="T168" i="1"/>
  <c r="R95" i="1"/>
  <c r="R15" i="1"/>
  <c r="T15" i="1" s="1"/>
  <c r="S15" i="1"/>
  <c r="R170" i="1"/>
  <c r="S170" i="1"/>
  <c r="P267" i="1"/>
  <c r="J6" i="3" s="1"/>
  <c r="S264" i="1"/>
  <c r="T264" i="1" s="1"/>
  <c r="R184" i="1"/>
  <c r="S184" i="1"/>
  <c r="R58" i="1"/>
  <c r="R178" i="1"/>
  <c r="S178" i="1"/>
  <c r="R98" i="1"/>
  <c r="R227" i="1"/>
  <c r="T223" i="1"/>
  <c r="R195" i="1"/>
  <c r="S195" i="1"/>
  <c r="R154" i="1"/>
  <c r="S154" i="1"/>
  <c r="R18" i="1"/>
  <c r="S18" i="1"/>
  <c r="R101" i="1"/>
  <c r="R33" i="1"/>
  <c r="R85" i="1"/>
  <c r="R171" i="1"/>
  <c r="S171" i="1"/>
  <c r="R196" i="1"/>
  <c r="S196" i="1"/>
  <c r="R190" i="1"/>
  <c r="S190" i="1"/>
  <c r="R191" i="1"/>
  <c r="S191" i="1"/>
  <c r="T186" i="1"/>
  <c r="R221" i="1"/>
  <c r="T211" i="1"/>
  <c r="R169" i="1"/>
  <c r="S169" i="1"/>
  <c r="R45" i="1"/>
  <c r="R74" i="1"/>
  <c r="R41" i="1"/>
  <c r="R194" i="1"/>
  <c r="S194" i="1"/>
  <c r="R162" i="1"/>
  <c r="S162" i="1"/>
  <c r="R10" i="1"/>
  <c r="S10" i="1"/>
  <c r="R37" i="1"/>
  <c r="R161" i="1"/>
  <c r="S161" i="1"/>
  <c r="R256" i="1"/>
  <c r="S256" i="1"/>
  <c r="T176" i="1"/>
  <c r="T187" i="1"/>
  <c r="T158" i="1"/>
  <c r="T257" i="1"/>
  <c r="G23" i="3"/>
  <c r="G23" i="6" s="1"/>
  <c r="G22" i="3"/>
  <c r="G22" i="6" s="1"/>
  <c r="G30" i="3"/>
  <c r="G30" i="6" s="1"/>
  <c r="G24" i="3"/>
  <c r="G24" i="6" s="1"/>
  <c r="F40" i="6"/>
  <c r="F46" i="6"/>
  <c r="F39" i="6"/>
  <c r="R260" i="1"/>
  <c r="P260" i="1"/>
  <c r="P233" i="1"/>
  <c r="I23" i="6"/>
  <c r="P209" i="1"/>
  <c r="I8" i="3"/>
  <c r="I9" i="3"/>
  <c r="I6" i="3"/>
  <c r="I6" i="6" s="1"/>
  <c r="I14" i="3"/>
  <c r="R267" i="1"/>
  <c r="L6" i="3" s="1"/>
  <c r="L20" i="1"/>
  <c r="R153" i="1"/>
  <c r="P151" i="1"/>
  <c r="G7" i="6"/>
  <c r="P192" i="1"/>
  <c r="S192" i="1" s="1"/>
  <c r="G14" i="6"/>
  <c r="G46" i="6" s="1"/>
  <c r="G6" i="6"/>
  <c r="G44" i="3"/>
  <c r="G12" i="6"/>
  <c r="G44" i="6" s="1"/>
  <c r="G9" i="6"/>
  <c r="G41" i="6" s="1"/>
  <c r="G41" i="3"/>
  <c r="G8" i="6"/>
  <c r="G10" i="6"/>
  <c r="G42" i="6" s="1"/>
  <c r="G42" i="3"/>
  <c r="M6" i="1"/>
  <c r="G43" i="3"/>
  <c r="G11" i="6"/>
  <c r="G43" i="6" s="1"/>
  <c r="R22" i="1"/>
  <c r="J27" i="3"/>
  <c r="I43" i="3"/>
  <c r="J20" i="3"/>
  <c r="I20" i="6"/>
  <c r="I43" i="6"/>
  <c r="J28" i="3"/>
  <c r="I28" i="6"/>
  <c r="I44" i="6" s="1"/>
  <c r="I36" i="3"/>
  <c r="I44" i="3"/>
  <c r="J26" i="3"/>
  <c r="I42" i="3"/>
  <c r="M8" i="1"/>
  <c r="P4" i="1"/>
  <c r="L6" i="6" l="1"/>
  <c r="J10" i="6"/>
  <c r="J11" i="6"/>
  <c r="J6" i="6"/>
  <c r="T256" i="1"/>
  <c r="T162" i="1"/>
  <c r="T191" i="1"/>
  <c r="T196" i="1"/>
  <c r="T154" i="1"/>
  <c r="T204" i="1"/>
  <c r="T177" i="1"/>
  <c r="T159" i="1"/>
  <c r="T203" i="1"/>
  <c r="T189" i="1"/>
  <c r="R151" i="1"/>
  <c r="J9" i="3"/>
  <c r="S209" i="1"/>
  <c r="L14" i="3"/>
  <c r="L11" i="3"/>
  <c r="T227" i="1"/>
  <c r="T178" i="1"/>
  <c r="T184" i="1"/>
  <c r="T170" i="1"/>
  <c r="F36" i="3"/>
  <c r="F4" i="6"/>
  <c r="F36" i="6" s="1"/>
  <c r="R233" i="1"/>
  <c r="T230" i="1"/>
  <c r="G39" i="6"/>
  <c r="J12" i="3"/>
  <c r="S233" i="1"/>
  <c r="T161" i="1"/>
  <c r="T10" i="1"/>
  <c r="T194" i="1"/>
  <c r="T169" i="1"/>
  <c r="T190" i="1"/>
  <c r="T171" i="1"/>
  <c r="T18" i="1"/>
  <c r="T195" i="1"/>
  <c r="R192" i="1"/>
  <c r="T153" i="1"/>
  <c r="L10" i="3"/>
  <c r="T221" i="1"/>
  <c r="R209" i="1"/>
  <c r="J14" i="3"/>
  <c r="S260" i="1"/>
  <c r="T260" i="1" s="1"/>
  <c r="P6" i="1"/>
  <c r="S4" i="1"/>
  <c r="G38" i="3"/>
  <c r="J28" i="6"/>
  <c r="L28" i="6"/>
  <c r="G40" i="3"/>
  <c r="G40" i="6"/>
  <c r="G38" i="6"/>
  <c r="G46" i="3"/>
  <c r="G39" i="3"/>
  <c r="I9" i="6"/>
  <c r="I41" i="3"/>
  <c r="J27" i="6"/>
  <c r="J43" i="6" s="1"/>
  <c r="L27" i="6"/>
  <c r="J26" i="6"/>
  <c r="J42" i="6" s="1"/>
  <c r="L26" i="6"/>
  <c r="J24" i="3"/>
  <c r="I14" i="6"/>
  <c r="I8" i="6"/>
  <c r="J23" i="3"/>
  <c r="I39" i="3"/>
  <c r="I22" i="3"/>
  <c r="I22" i="6" s="1"/>
  <c r="I38" i="6" s="1"/>
  <c r="I7" i="6"/>
  <c r="I39" i="6" s="1"/>
  <c r="I30" i="6"/>
  <c r="J7" i="3"/>
  <c r="F5" i="3"/>
  <c r="J8" i="3"/>
  <c r="J43" i="3"/>
  <c r="I36" i="6"/>
  <c r="J44" i="3"/>
  <c r="L20" i="6"/>
  <c r="J20" i="6"/>
  <c r="O8" i="1"/>
  <c r="M20" i="1"/>
  <c r="J42" i="3"/>
  <c r="R4" i="1"/>
  <c r="L14" i="6" l="1"/>
  <c r="L23" i="3"/>
  <c r="L42" i="6"/>
  <c r="L10" i="6"/>
  <c r="J12" i="6"/>
  <c r="L11" i="6"/>
  <c r="J8" i="6"/>
  <c r="J14" i="6"/>
  <c r="J9" i="6"/>
  <c r="J7" i="6"/>
  <c r="T151" i="1"/>
  <c r="L8" i="3"/>
  <c r="T192" i="1"/>
  <c r="J44" i="6"/>
  <c r="L9" i="3"/>
  <c r="T209" i="1"/>
  <c r="R6" i="1"/>
  <c r="T4" i="1"/>
  <c r="J4" i="3"/>
  <c r="S6" i="1"/>
  <c r="L12" i="3"/>
  <c r="T233" i="1"/>
  <c r="L7" i="3"/>
  <c r="L7" i="6" s="1"/>
  <c r="J24" i="6"/>
  <c r="J40" i="6" s="1"/>
  <c r="J23" i="6"/>
  <c r="L23" i="6"/>
  <c r="I40" i="3"/>
  <c r="L24" i="6"/>
  <c r="I25" i="6"/>
  <c r="I41" i="6" s="1"/>
  <c r="J25" i="3"/>
  <c r="I24" i="6"/>
  <c r="I40" i="6" s="1"/>
  <c r="I46" i="6"/>
  <c r="I38" i="3"/>
  <c r="J22" i="3"/>
  <c r="O20" i="1"/>
  <c r="I46" i="3"/>
  <c r="J30" i="3"/>
  <c r="J39" i="3"/>
  <c r="F5" i="6"/>
  <c r="F37" i="3"/>
  <c r="F47" i="3" s="1"/>
  <c r="F15" i="3"/>
  <c r="J40" i="3"/>
  <c r="G5" i="3"/>
  <c r="L43" i="3"/>
  <c r="P8" i="1"/>
  <c r="S8" i="1" s="1"/>
  <c r="L42" i="3"/>
  <c r="L12" i="6" l="1"/>
  <c r="L43" i="6"/>
  <c r="L8" i="6"/>
  <c r="L9" i="6"/>
  <c r="J39" i="6"/>
  <c r="L40" i="6"/>
  <c r="L40" i="3"/>
  <c r="L39" i="6"/>
  <c r="L44" i="3"/>
  <c r="L4" i="3"/>
  <c r="T6" i="1"/>
  <c r="J36" i="3"/>
  <c r="J4" i="6"/>
  <c r="J36" i="6" s="1"/>
  <c r="G5" i="6"/>
  <c r="G15" i="6" s="1"/>
  <c r="G21" i="3"/>
  <c r="G37" i="3" s="1"/>
  <c r="G47" i="3" s="1"/>
  <c r="J41" i="3"/>
  <c r="J38" i="3"/>
  <c r="L38" i="3"/>
  <c r="J25" i="6"/>
  <c r="J41" i="6" s="1"/>
  <c r="L41" i="3"/>
  <c r="J22" i="6"/>
  <c r="J38" i="6" s="1"/>
  <c r="L39" i="3"/>
  <c r="J46" i="3"/>
  <c r="J30" i="6"/>
  <c r="J46" i="6" s="1"/>
  <c r="I5" i="3"/>
  <c r="G15" i="3"/>
  <c r="P20" i="1"/>
  <c r="S20" i="1" s="1"/>
  <c r="F37" i="6"/>
  <c r="F47" i="6" s="1"/>
  <c r="F15" i="6"/>
  <c r="R8" i="1"/>
  <c r="L44" i="6" l="1"/>
  <c r="R20" i="1"/>
  <c r="T8" i="1"/>
  <c r="L36" i="3"/>
  <c r="L4" i="6"/>
  <c r="G21" i="6"/>
  <c r="G31" i="6" s="1"/>
  <c r="G31" i="3"/>
  <c r="L25" i="6"/>
  <c r="L41" i="6" s="1"/>
  <c r="L22" i="6"/>
  <c r="L38" i="6" s="1"/>
  <c r="I5" i="6"/>
  <c r="I37" i="3"/>
  <c r="I47" i="3" s="1"/>
  <c r="I15" i="3"/>
  <c r="J16" i="3" s="1"/>
  <c r="L30" i="6"/>
  <c r="L46" i="6" s="1"/>
  <c r="L46" i="3"/>
  <c r="J5" i="3"/>
  <c r="L36" i="6" l="1"/>
  <c r="L5" i="3"/>
  <c r="T20" i="1"/>
  <c r="G37" i="6"/>
  <c r="G47" i="6" s="1"/>
  <c r="I21" i="6"/>
  <c r="I31" i="6" s="1"/>
  <c r="J21" i="3"/>
  <c r="I31" i="3"/>
  <c r="I15" i="6"/>
  <c r="I37" i="6"/>
  <c r="I47" i="6" s="1"/>
  <c r="J5" i="6"/>
  <c r="J15" i="3"/>
  <c r="L5" i="6" l="1"/>
  <c r="L15" i="3"/>
  <c r="J21" i="6"/>
  <c r="J31" i="6" s="1"/>
  <c r="J31" i="3"/>
  <c r="J37" i="3"/>
  <c r="J47" i="3" s="1"/>
  <c r="J15" i="6"/>
  <c r="J37" i="6"/>
  <c r="J47" i="6" s="1"/>
  <c r="L15" i="6" l="1"/>
  <c r="L21" i="6"/>
  <c r="L31" i="3"/>
  <c r="L37" i="3"/>
  <c r="L47" i="3" s="1"/>
  <c r="L37" i="6" l="1"/>
  <c r="L47" i="6" s="1"/>
  <c r="L3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D82" authorId="0" shapeId="0" xr:uid="{FEA28BF5-EC85-4207-8BBA-2FFFF1F39A8D}">
      <text>
        <r>
          <rPr>
            <b/>
            <sz val="9"/>
            <rFont val="Tahoma"/>
            <family val="2"/>
          </rPr>
          <t>Dell:</t>
        </r>
        <r>
          <rPr>
            <sz val="9"/>
            <rFont val="Tahoma"/>
            <family val="2"/>
          </rPr>
          <t xml:space="preserve">
TRF FROM P&amp;M</t>
        </r>
      </text>
    </comment>
  </commentList>
</comments>
</file>

<file path=xl/sharedStrings.xml><?xml version="1.0" encoding="utf-8"?>
<sst xmlns="http://schemas.openxmlformats.org/spreadsheetml/2006/main" count="1399" uniqueCount="491">
  <si>
    <t>Year of Purchase</t>
  </si>
  <si>
    <t>Useful Life</t>
  </si>
  <si>
    <t>Remaining Useful life</t>
  </si>
  <si>
    <t>Cost of Acquisition</t>
  </si>
  <si>
    <t>Disposal/ Impairment</t>
  </si>
  <si>
    <t>Net cost of Acquisition</t>
  </si>
  <si>
    <t>Residual Value</t>
  </si>
  <si>
    <t>BF Depreciation</t>
  </si>
  <si>
    <t>CY Depreciation</t>
  </si>
  <si>
    <t>Total Depreciation</t>
  </si>
  <si>
    <t>Net Block of Asset</t>
  </si>
  <si>
    <t>Physical Location</t>
  </si>
  <si>
    <t>Block of Asset</t>
  </si>
  <si>
    <t>Asset Code</t>
  </si>
  <si>
    <t>Particulars</t>
  </si>
  <si>
    <t>L- 0%</t>
  </si>
  <si>
    <t>L001</t>
  </si>
  <si>
    <t>Haridwar</t>
  </si>
  <si>
    <t>FREEHOLD LAND</t>
  </si>
  <si>
    <t>Addition to the Asset</t>
  </si>
  <si>
    <t>Impairement Testing</t>
  </si>
  <si>
    <t>B-10%</t>
  </si>
  <si>
    <t>FACTORY BUILDING</t>
  </si>
  <si>
    <t>FIRE FIGHTING EQUIPMENTS</t>
  </si>
  <si>
    <t>B001</t>
  </si>
  <si>
    <t>B002</t>
  </si>
  <si>
    <t>B003</t>
  </si>
  <si>
    <t>B004</t>
  </si>
  <si>
    <t>B005</t>
  </si>
  <si>
    <t>B006</t>
  </si>
  <si>
    <t>B007</t>
  </si>
  <si>
    <t>B008</t>
  </si>
  <si>
    <t>B009</t>
  </si>
  <si>
    <t>B010</t>
  </si>
  <si>
    <t>B011</t>
  </si>
  <si>
    <t>PM - 15%</t>
  </si>
  <si>
    <t>CHAIN PULLY</t>
  </si>
  <si>
    <t>WATER TANK</t>
  </si>
  <si>
    <t>CHILLER</t>
  </si>
  <si>
    <t>COMPRESSURE</t>
  </si>
  <si>
    <t>LABELLING MACHINE</t>
  </si>
  <si>
    <t>MOULDING MACHINE</t>
  </si>
  <si>
    <t>PHOTOPOLYMER PRINTING PLATE</t>
  </si>
  <si>
    <t>TRANSFORMER</t>
  </si>
  <si>
    <t>STABLIZER</t>
  </si>
  <si>
    <t>UPS</t>
  </si>
  <si>
    <t>STACKER</t>
  </si>
  <si>
    <t>WEIGHING SCALE</t>
  </si>
  <si>
    <t>OTHER MACHINERIES</t>
  </si>
  <si>
    <t>GENERATORS SETS</t>
  </si>
  <si>
    <t>AIR CONDITIONERS</t>
  </si>
  <si>
    <t>CHAKKAR PALLET</t>
  </si>
  <si>
    <t>RACKS</t>
  </si>
  <si>
    <t>RO SYSTEMS</t>
  </si>
  <si>
    <t>STRAPPING MACHINE</t>
  </si>
  <si>
    <t>SCRUBER,VACCUM CLEANER, MAIN LEAD WIRE</t>
  </si>
  <si>
    <t>TOOLING MACHINES</t>
  </si>
  <si>
    <t>OPACITY METER</t>
  </si>
  <si>
    <t>MELT FLOW TESTER</t>
  </si>
  <si>
    <t>MOULD TEMPREATURE CONTROLLLER</t>
  </si>
  <si>
    <t>HYDRAULIC LIFT</t>
  </si>
  <si>
    <t>INSECT KILLER</t>
  </si>
  <si>
    <t>WEIGHT MACHINE</t>
  </si>
  <si>
    <t>CHILLER COOLING TOWER-2</t>
  </si>
  <si>
    <t>LABELLING PANEL AND MOTOR</t>
  </si>
  <si>
    <t>MOISTURE TESTING MACHINE</t>
  </si>
  <si>
    <t>EPOXY</t>
  </si>
  <si>
    <t>BLUE STAR AC</t>
  </si>
  <si>
    <t>LABEL INSPECTION MACHINER</t>
  </si>
  <si>
    <t>SEALING MACHINE</t>
  </si>
  <si>
    <t>GRANULATORS MACHINE</t>
  </si>
  <si>
    <t>FREIGHT OF GRANULATOR MACHINE</t>
  </si>
  <si>
    <t>LADDER</t>
  </si>
  <si>
    <t>SUPER CHILLER PVT LTD</t>
  </si>
  <si>
    <t>AUTOMATIC VOLTAGE CONTROLLER</t>
  </si>
  <si>
    <t>HOT FOIL STAMPING MACHINE</t>
  </si>
  <si>
    <t>CHILLER PLANT</t>
  </si>
  <si>
    <t>MALIK AIRCONDITIONING</t>
  </si>
  <si>
    <t>JOGINDERA ENGINEERING</t>
  </si>
  <si>
    <t>GAURAV FREIGHT CARRIERS</t>
  </si>
  <si>
    <t>HOT STAMPING MACHINE</t>
  </si>
  <si>
    <t>KENN AUTOMATION PVT LTD</t>
  </si>
  <si>
    <t>LACQUER AND LABEL MACHINE TECHNOSHELL</t>
  </si>
  <si>
    <t>TECHNOSHELL MACHINE</t>
  </si>
  <si>
    <t>SHRINK SLEEVE MACHINE</t>
  </si>
  <si>
    <t>POLYTYPE TRF FROM ABAD</t>
  </si>
  <si>
    <t>INJECTION HEADING MACHINE MODEL GCH 2000 - GCM</t>
  </si>
  <si>
    <t>COMPRESSER "CHICAGO PNEUMATIC)</t>
  </si>
  <si>
    <t>GCM HEADER</t>
  </si>
  <si>
    <t>INJECTION MOULDING MACHINE MODEL STS 150/510-600 IU TOSIBA ( DOMESTIC)</t>
  </si>
  <si>
    <t>AIR COOLED CHILLER 10 TR, OUTLET 10 C, INLET 15 C</t>
  </si>
  <si>
    <t>BREYER</t>
  </si>
  <si>
    <t>INJECTION MOULDING MACHINE</t>
  </si>
  <si>
    <t>SCREEN PRINTING MACHINE</t>
  </si>
  <si>
    <t>TOOLS &amp; DIES</t>
  </si>
  <si>
    <t>DIA 50 MM SNAP HEADING MOULD - BONMART</t>
  </si>
  <si>
    <t>TOOLS &amp; MOULDS - 'DIA 40 MM SNAP HEADING MOULD</t>
  </si>
  <si>
    <t>Shuttle Injection Heading, Drilling, Caping M/C[ Bonamart]</t>
  </si>
  <si>
    <t>HEADER MOULD FOR MACHINING AS PER DRAWING - INDO GERMAN TOOL</t>
  </si>
  <si>
    <t>HEADING MACHINE -BONMART MADE</t>
  </si>
  <si>
    <t>POWER FACTOR PANEL</t>
  </si>
  <si>
    <t>COOLING TOWER 50 TR</t>
  </si>
  <si>
    <t>RO SYSTEMS 50 LTR</t>
  </si>
  <si>
    <t>GYZER</t>
  </si>
  <si>
    <t>HAND PALLET</t>
  </si>
  <si>
    <t>ACE SEMI ELECTRICAL STACKER</t>
  </si>
  <si>
    <t>MOULDS &amp; PLATES</t>
  </si>
  <si>
    <t>SHUTTLE INJECTION MOULDING MACHINE</t>
  </si>
  <si>
    <t>PRINTING MACHINE-BONMART</t>
  </si>
  <si>
    <t>POLYTYPE MACHINE</t>
  </si>
  <si>
    <t>COMBITOOL MACHINE</t>
  </si>
  <si>
    <t>BERYER MACHINE</t>
  </si>
  <si>
    <t xml:space="preserve">COMBITOOL TOOLING </t>
  </si>
  <si>
    <t>POLYTYPE REINSTATEMENT &amp; CAPITAL SPARES</t>
  </si>
  <si>
    <t>COMBITOOL LTD-2</t>
  </si>
  <si>
    <t>OLD COMBITOOL LTD PAYMENT EXCHANE GAIN</t>
  </si>
  <si>
    <t>REINSTATEMENT OF COMBITOOL LTD-1</t>
  </si>
  <si>
    <t>REINSTATEMENT OF COMBITOOL LTD-2</t>
  </si>
  <si>
    <t>BREYER PAYMENT EXCHANGE GAIN LOSS</t>
  </si>
  <si>
    <t>POLYTYPE MODIFICATION CHARGES</t>
  </si>
  <si>
    <t>POLYTYPE PAYMENT EXCHANGE GAIN LOSS</t>
  </si>
  <si>
    <t xml:space="preserve">POLYTYPE REINSTATEMENT </t>
  </si>
  <si>
    <t>BONMART MACHINE</t>
  </si>
  <si>
    <t>COMBITOOL LTD TOOLING</t>
  </si>
  <si>
    <t>NEW COMBITOOL LTD PAYMENT EXCHANGE GAIN</t>
  </si>
  <si>
    <t>OLD COMBITOOL LTD REINSTATEMENT</t>
  </si>
  <si>
    <t>NEW COMBITOOL LTD REINSTATEMENT</t>
  </si>
  <si>
    <t>BONMART GAIN/LOSS ON TRANSFER</t>
  </si>
  <si>
    <t>BONMART REINSTATEMENT</t>
  </si>
  <si>
    <t>POLYTYPE REINSTATEMENT</t>
  </si>
  <si>
    <t>NEWCOMBITOOL LTD PAYMENT EXCHANE GAIN</t>
  </si>
  <si>
    <t>BONMART PAYMENT FLUCTUATION</t>
  </si>
  <si>
    <t>POYTYPE PAYMENT FLUCTUATION</t>
  </si>
  <si>
    <t>COMBITOOL MACHINE PAYMENT FLUCTUATIN</t>
  </si>
  <si>
    <t>COMBITOOL LTD REM</t>
  </si>
  <si>
    <t>COMBITOOL LTD</t>
  </si>
  <si>
    <t>POLYEYPE SA</t>
  </si>
  <si>
    <t>PM001</t>
  </si>
  <si>
    <t>PM002</t>
  </si>
  <si>
    <t>PM003</t>
  </si>
  <si>
    <t>PM004</t>
  </si>
  <si>
    <t>PM005</t>
  </si>
  <si>
    <t>PM006</t>
  </si>
  <si>
    <t>PM007</t>
  </si>
  <si>
    <t>PM008</t>
  </si>
  <si>
    <t>PM009</t>
  </si>
  <si>
    <t>PM010</t>
  </si>
  <si>
    <t>PM011</t>
  </si>
  <si>
    <t>PM012</t>
  </si>
  <si>
    <t>PM013</t>
  </si>
  <si>
    <t>PM014</t>
  </si>
  <si>
    <t>PM015</t>
  </si>
  <si>
    <t>PM016</t>
  </si>
  <si>
    <t>PM017</t>
  </si>
  <si>
    <t>PM018</t>
  </si>
  <si>
    <t>PM019</t>
  </si>
  <si>
    <t>PM020</t>
  </si>
  <si>
    <t>PM021</t>
  </si>
  <si>
    <t>PM022</t>
  </si>
  <si>
    <t>PM023</t>
  </si>
  <si>
    <t>PM024</t>
  </si>
  <si>
    <t>PM025</t>
  </si>
  <si>
    <t>PM026</t>
  </si>
  <si>
    <t>PM027</t>
  </si>
  <si>
    <t>PM028</t>
  </si>
  <si>
    <t>PM029</t>
  </si>
  <si>
    <t>PM030</t>
  </si>
  <si>
    <t>PM031</t>
  </si>
  <si>
    <t>PM032</t>
  </si>
  <si>
    <t>PM033</t>
  </si>
  <si>
    <t>PM034</t>
  </si>
  <si>
    <t>PM035</t>
  </si>
  <si>
    <t>PM036</t>
  </si>
  <si>
    <t>PM037</t>
  </si>
  <si>
    <t>PM038</t>
  </si>
  <si>
    <t>PM039</t>
  </si>
  <si>
    <t>PM040</t>
  </si>
  <si>
    <t>PM041</t>
  </si>
  <si>
    <t>PM042</t>
  </si>
  <si>
    <t>PM043</t>
  </si>
  <si>
    <t>PM044</t>
  </si>
  <si>
    <t>PM045</t>
  </si>
  <si>
    <t>PM046</t>
  </si>
  <si>
    <t>PM047</t>
  </si>
  <si>
    <t>PM048</t>
  </si>
  <si>
    <t>PM049</t>
  </si>
  <si>
    <t>PM050</t>
  </si>
  <si>
    <t>PM051</t>
  </si>
  <si>
    <t>PM052</t>
  </si>
  <si>
    <t>PM053</t>
  </si>
  <si>
    <t>PM054</t>
  </si>
  <si>
    <t>PM055</t>
  </si>
  <si>
    <t>PM056</t>
  </si>
  <si>
    <t>PM057</t>
  </si>
  <si>
    <t>PM058</t>
  </si>
  <si>
    <t>PM059</t>
  </si>
  <si>
    <t>PM060</t>
  </si>
  <si>
    <t>PM061</t>
  </si>
  <si>
    <t>PM062</t>
  </si>
  <si>
    <t>PM063</t>
  </si>
  <si>
    <t>PM064</t>
  </si>
  <si>
    <t>PM065</t>
  </si>
  <si>
    <t>PM066</t>
  </si>
  <si>
    <t>PM067</t>
  </si>
  <si>
    <t>PM068</t>
  </si>
  <si>
    <t>PM069</t>
  </si>
  <si>
    <t>PM070</t>
  </si>
  <si>
    <t>PM071</t>
  </si>
  <si>
    <t>PM072</t>
  </si>
  <si>
    <t>PM073</t>
  </si>
  <si>
    <t>PM074</t>
  </si>
  <si>
    <t>PM075</t>
  </si>
  <si>
    <t>PM076</t>
  </si>
  <si>
    <t>PM077</t>
  </si>
  <si>
    <t>PM078</t>
  </si>
  <si>
    <t>PM079</t>
  </si>
  <si>
    <t>PM080</t>
  </si>
  <si>
    <t>PM081</t>
  </si>
  <si>
    <t>PM082</t>
  </si>
  <si>
    <t>PM083</t>
  </si>
  <si>
    <t>IPM - 15%</t>
  </si>
  <si>
    <t>IPM001</t>
  </si>
  <si>
    <t>IPM002</t>
  </si>
  <si>
    <t>IPM003</t>
  </si>
  <si>
    <t>IPM004</t>
  </si>
  <si>
    <t>IPM005</t>
  </si>
  <si>
    <t>IPM006</t>
  </si>
  <si>
    <t>IPM007</t>
  </si>
  <si>
    <t>IPM008</t>
  </si>
  <si>
    <t>IPM009</t>
  </si>
  <si>
    <t>IPM010</t>
  </si>
  <si>
    <t>IPM011</t>
  </si>
  <si>
    <t>IPM012</t>
  </si>
  <si>
    <t>IPM013</t>
  </si>
  <si>
    <t>IPM014</t>
  </si>
  <si>
    <t>IPM015</t>
  </si>
  <si>
    <t>IPM016</t>
  </si>
  <si>
    <t>IPM017</t>
  </si>
  <si>
    <t>IPM018</t>
  </si>
  <si>
    <t>IPM019</t>
  </si>
  <si>
    <t>IPM020</t>
  </si>
  <si>
    <t>IPM021</t>
  </si>
  <si>
    <t>IPM022</t>
  </si>
  <si>
    <t>IPM023</t>
  </si>
  <si>
    <t>IPM024</t>
  </si>
  <si>
    <t>IPM025</t>
  </si>
  <si>
    <t>IPM026</t>
  </si>
  <si>
    <t>IPM027</t>
  </si>
  <si>
    <t>IPM028</t>
  </si>
  <si>
    <t>IPM029</t>
  </si>
  <si>
    <t>IPM030</t>
  </si>
  <si>
    <t>IPM031</t>
  </si>
  <si>
    <t>IPM032</t>
  </si>
  <si>
    <t>IPM033</t>
  </si>
  <si>
    <t>IPM034</t>
  </si>
  <si>
    <t>IPM035</t>
  </si>
  <si>
    <t>IPM036</t>
  </si>
  <si>
    <t>IPM037</t>
  </si>
  <si>
    <t>IPM038</t>
  </si>
  <si>
    <t>IPM039</t>
  </si>
  <si>
    <t>Age of Asset as on 31/03/2024</t>
  </si>
  <si>
    <t>DIGIMETIC  VERNIER CALIPER</t>
  </si>
  <si>
    <t>OTHER TOOLS</t>
  </si>
  <si>
    <t>TOOLS AND HOTRUNNER</t>
  </si>
  <si>
    <t>CHINA MOULD-MACROVISION</t>
  </si>
  <si>
    <t>WEIGHING MACHINE</t>
  </si>
  <si>
    <t>VASANTHA TOOL CRAFT MODIFICATIN CHARGES</t>
  </si>
  <si>
    <t>WITMENT BATTEN FIELD</t>
  </si>
  <si>
    <t>FUYANG CHINA MOULD</t>
  </si>
  <si>
    <t xml:space="preserve">NEEL KAMAL </t>
  </si>
  <si>
    <t>PALLETS</t>
  </si>
  <si>
    <t>25 AND 40 DIA MOULD</t>
  </si>
  <si>
    <t>PMT- 15%</t>
  </si>
  <si>
    <t>PMT001</t>
  </si>
  <si>
    <t>PMT002</t>
  </si>
  <si>
    <t>PMT003</t>
  </si>
  <si>
    <t>PMT004</t>
  </si>
  <si>
    <t>PMT005</t>
  </si>
  <si>
    <t>PMT006</t>
  </si>
  <si>
    <t>PMT007</t>
  </si>
  <si>
    <t>PMT008</t>
  </si>
  <si>
    <t>PMT009</t>
  </si>
  <si>
    <t>PMT010</t>
  </si>
  <si>
    <t>PMT011</t>
  </si>
  <si>
    <t>PMT012</t>
  </si>
  <si>
    <t>PMT013</t>
  </si>
  <si>
    <t>PMT014</t>
  </si>
  <si>
    <t>PMT015</t>
  </si>
  <si>
    <t>PME- 15%</t>
  </si>
  <si>
    <t>OFFICE EQUIPMENT</t>
  </si>
  <si>
    <t>COOLER FAN</t>
  </si>
  <si>
    <t>OFFICE ALMIRAH</t>
  </si>
  <si>
    <t>PME001</t>
  </si>
  <si>
    <t>PME002</t>
  </si>
  <si>
    <t>PME003</t>
  </si>
  <si>
    <t>PME004</t>
  </si>
  <si>
    <t>PME005</t>
  </si>
  <si>
    <t>PME006</t>
  </si>
  <si>
    <t>PME007</t>
  </si>
  <si>
    <t>PME008</t>
  </si>
  <si>
    <t>PME009</t>
  </si>
  <si>
    <t>PME010</t>
  </si>
  <si>
    <t>PMM-15%</t>
  </si>
  <si>
    <t>PMM001</t>
  </si>
  <si>
    <t>MOBILE PHONE</t>
  </si>
  <si>
    <t>PMM002</t>
  </si>
  <si>
    <t>PMM003</t>
  </si>
  <si>
    <t>PMM004</t>
  </si>
  <si>
    <t>COMPUTER</t>
  </si>
  <si>
    <t>PRINTER CANON</t>
  </si>
  <si>
    <t>SECURITY CAMERAS</t>
  </si>
  <si>
    <t>FURNITURE &amp; FIXTURES</t>
  </si>
  <si>
    <t>Remeasurement- Building</t>
  </si>
  <si>
    <t>Remeasurement- Land</t>
  </si>
  <si>
    <t>RITZ 4886</t>
  </si>
  <si>
    <t>MAHINDRA SUPRO</t>
  </si>
  <si>
    <t>DZIRE 9863</t>
  </si>
  <si>
    <t>CIAZ</t>
  </si>
  <si>
    <t>PMV- 15%</t>
  </si>
  <si>
    <t>PMC- 40%</t>
  </si>
  <si>
    <t>PMV001</t>
  </si>
  <si>
    <t>PMC004</t>
  </si>
  <si>
    <t>PMV002</t>
  </si>
  <si>
    <t>PMV003</t>
  </si>
  <si>
    <t>PMV004</t>
  </si>
  <si>
    <t>PMC001</t>
  </si>
  <si>
    <t>PMC002</t>
  </si>
  <si>
    <t>PMC003</t>
  </si>
  <si>
    <t>PMC005</t>
  </si>
  <si>
    <t>PMC006</t>
  </si>
  <si>
    <t>PMC007</t>
  </si>
  <si>
    <t>PMC008</t>
  </si>
  <si>
    <t>PMC009</t>
  </si>
  <si>
    <t>PMC010</t>
  </si>
  <si>
    <t>PMC011</t>
  </si>
  <si>
    <t>PMC012</t>
  </si>
  <si>
    <t>PMC013</t>
  </si>
  <si>
    <t>PMC014</t>
  </si>
  <si>
    <t>PMC015</t>
  </si>
  <si>
    <t>PMC016</t>
  </si>
  <si>
    <t>FNF- 10%</t>
  </si>
  <si>
    <t>FNF001</t>
  </si>
  <si>
    <t>FNF002</t>
  </si>
  <si>
    <t>FNF003</t>
  </si>
  <si>
    <t>FNF004</t>
  </si>
  <si>
    <t>FNF005</t>
  </si>
  <si>
    <t>RMB- 10%</t>
  </si>
  <si>
    <t>RML- 0%</t>
  </si>
  <si>
    <t>RMB001</t>
  </si>
  <si>
    <t>RML001</t>
  </si>
  <si>
    <t>ELECTRICAL INSTALLATION</t>
  </si>
  <si>
    <t>PMEL001</t>
  </si>
  <si>
    <t>PMEL002</t>
  </si>
  <si>
    <t>PMEL003</t>
  </si>
  <si>
    <t>PMEL004</t>
  </si>
  <si>
    <t>PMEL- 15%</t>
  </si>
  <si>
    <t>Gross Block As on 01/04/2023</t>
  </si>
  <si>
    <t>Addition</t>
  </si>
  <si>
    <t>Deletion</t>
  </si>
  <si>
    <t>Gross Block as on 31/03/2024</t>
  </si>
  <si>
    <t>TOTAL</t>
  </si>
  <si>
    <t>Description</t>
  </si>
  <si>
    <t>Land</t>
  </si>
  <si>
    <t>Building</t>
  </si>
  <si>
    <t>Furniture and Fixtures</t>
  </si>
  <si>
    <t>Plant &amp; Machinery</t>
  </si>
  <si>
    <t>Plant &amp; Machinery Imported</t>
  </si>
  <si>
    <t>Plant &amp; Machinery- Tools</t>
  </si>
  <si>
    <t>Plant &amp; Machinery- Equipment</t>
  </si>
  <si>
    <t>Plant &amp; Machinery- Mobile</t>
  </si>
  <si>
    <t>Plant &amp; Machinery - Vehicle</t>
  </si>
  <si>
    <t>Plant &amp; Machinery - Electrical</t>
  </si>
  <si>
    <t>Plant &amp; Machinery - Computer</t>
  </si>
  <si>
    <t>Summarised FAR- Haridwar</t>
  </si>
  <si>
    <t>Summarised FAR- Haridwar- As per Books</t>
  </si>
  <si>
    <t>Difference in FAR and Books</t>
  </si>
  <si>
    <t>Fixed Asset Register- Haridwar Unit</t>
  </si>
  <si>
    <t>Excess/Short Depreciation Charged</t>
  </si>
  <si>
    <t>Fixed Asset Register- Aurangabad Unit</t>
  </si>
  <si>
    <t>MH20-6730</t>
  </si>
  <si>
    <t>MH-20-9222</t>
  </si>
  <si>
    <t>MERCEDES BENZ E 250 CDI</t>
  </si>
  <si>
    <t>ARPITJI CAR NO 4488</t>
  </si>
  <si>
    <t>Ford Escord</t>
  </si>
  <si>
    <t>MARUTI BALENO PETROL MH20EJ1368</t>
  </si>
  <si>
    <t>2005</t>
  </si>
  <si>
    <t>2008</t>
  </si>
  <si>
    <t>2011</t>
  </si>
  <si>
    <t>2015</t>
  </si>
  <si>
    <t>2018</t>
  </si>
  <si>
    <t>PMV005</t>
  </si>
  <si>
    <t>PMV006</t>
  </si>
  <si>
    <t>Computer</t>
  </si>
  <si>
    <t>Summarised FAR- CONSO</t>
  </si>
  <si>
    <t>Summarised FAR- CONSO- As per Books</t>
  </si>
  <si>
    <t>POLYTYPE</t>
  </si>
  <si>
    <t>LATHE MACHINE</t>
  </si>
  <si>
    <t>CHILLER MACHINE</t>
  </si>
  <si>
    <t>UTILITY</t>
  </si>
  <si>
    <t>Die Mould of 50 Cavity for Cap</t>
  </si>
  <si>
    <t>AIRCONDITIONER 8.5 MT CARRIER AIRCON</t>
  </si>
  <si>
    <t>6 DROP HOT RUNNER SYSTEM FOR 35 MM FLIP TOP CAP MOULD - MASTIP</t>
  </si>
  <si>
    <t>Moulds</t>
  </si>
  <si>
    <t>CHILLING UNIT - HERAMB AIRCONDITIONING</t>
  </si>
  <si>
    <t>ONLINE DIAMETER MEASURING SYSTEMS MODEL- ODAC 64 XY/USYS 10 - ZUMBACH</t>
  </si>
  <si>
    <t>CUTTING UNIT - BREYER GMBH</t>
  </si>
  <si>
    <t>TWELVE CAVITY INJ.MOULD FOR DIA-35mm FLIP TOP IN SNAP ON - VASANTHA TOOL CRAFT</t>
  </si>
  <si>
    <t>TOOLS &amp; DIES - BONMART</t>
  </si>
  <si>
    <t>TOOLS &amp; DIES - OTHERS</t>
  </si>
  <si>
    <t>Precoated Duble Skin Puf Panal - For polytype Machine - SHRREYA SYSTEMS</t>
  </si>
  <si>
    <t>Drilling Machine - SHRI SAI TOOLS &amp; EQUIPMENTS</t>
  </si>
  <si>
    <t>Hot Runner System Dia 40 - MASTIP TECHNOLOGY</t>
  </si>
  <si>
    <t>MOULDS TOOLS &amp; DIES - BONMART MADE</t>
  </si>
  <si>
    <t>MOULDS TOOLS &amp; DIES - FUYANG MADE</t>
  </si>
  <si>
    <t>Tools &amp; Dies</t>
  </si>
  <si>
    <t>STATOR LINMOT ART NO 0150-1213 FROM MADAG PRINTING SYSTEMS</t>
  </si>
  <si>
    <t>TOOLING FOR DIA 19MM TWIST OFF TUBE- FORM GCM CO LTD</t>
  </si>
  <si>
    <t>SCREW ON THREAD PLATE WITH 3MM ORIFICE</t>
  </si>
  <si>
    <t>COOLING TOWER 30 TR MODEL-2007, TYPE FRP</t>
  </si>
  <si>
    <t>SCROLL COMPRESSOR MODEL-SM-161-4VAG</t>
  </si>
  <si>
    <t>WATR RING VACUUM PUMP MODEL E-45 WITH ELE MOTOR</t>
  </si>
  <si>
    <t>NEW CORE PLATE MATT FINISH FOR T-602[35 FTC SNAPON</t>
  </si>
  <si>
    <t>MOLD 16 CAVITY 35MM SANP ON FLIP TOP 5MM ORIFICE</t>
  </si>
  <si>
    <t>INJECTION MOULD 8 CAVITY FOR DIA 50 F/T SNAP ON CAP</t>
  </si>
  <si>
    <t>COMPRESOR - SR185-4RG</t>
  </si>
  <si>
    <t>PM084</t>
  </si>
  <si>
    <t>PM085</t>
  </si>
  <si>
    <t>PM086</t>
  </si>
  <si>
    <t>PM087</t>
  </si>
  <si>
    <t>PM088</t>
  </si>
  <si>
    <t>PM089</t>
  </si>
  <si>
    <t>PM090</t>
  </si>
  <si>
    <t>PM091</t>
  </si>
  <si>
    <t>PM092</t>
  </si>
  <si>
    <t>PM093</t>
  </si>
  <si>
    <t>PM094</t>
  </si>
  <si>
    <t>PM095</t>
  </si>
  <si>
    <t>PM096</t>
  </si>
  <si>
    <t>PM097</t>
  </si>
  <si>
    <t>PM098</t>
  </si>
  <si>
    <t>PM099</t>
  </si>
  <si>
    <t>PM100</t>
  </si>
  <si>
    <t>PM101</t>
  </si>
  <si>
    <t>PM102</t>
  </si>
  <si>
    <t>PM104</t>
  </si>
  <si>
    <t>PM105</t>
  </si>
  <si>
    <t>PM106</t>
  </si>
  <si>
    <t>PM108</t>
  </si>
  <si>
    <t>PM110</t>
  </si>
  <si>
    <t>PM111</t>
  </si>
  <si>
    <t>PM112</t>
  </si>
  <si>
    <t>PM113</t>
  </si>
  <si>
    <t>PM115</t>
  </si>
  <si>
    <t>PM117</t>
  </si>
  <si>
    <t>PM118</t>
  </si>
  <si>
    <t>PM119</t>
  </si>
  <si>
    <t>PM120</t>
  </si>
  <si>
    <t>PM122</t>
  </si>
  <si>
    <t>PM123</t>
  </si>
  <si>
    <t>PM124</t>
  </si>
  <si>
    <t>PM125</t>
  </si>
  <si>
    <t>PM126</t>
  </si>
  <si>
    <t>PM127</t>
  </si>
  <si>
    <t>Date of Sale</t>
  </si>
  <si>
    <t>Sale Consideration</t>
  </si>
  <si>
    <t>COA</t>
  </si>
  <si>
    <t>ACC DEP</t>
  </si>
  <si>
    <t>WDV</t>
  </si>
  <si>
    <t>PROFIT</t>
  </si>
  <si>
    <t>.</t>
  </si>
  <si>
    <t>Already Depreciated in PY years</t>
  </si>
  <si>
    <t>Dep Reversed</t>
  </si>
  <si>
    <t>SEMI AUTOMATIC TUBE LABELLING MACHINE - MAHARSHI MADE</t>
  </si>
  <si>
    <t>INJUCTION MOLDING M/C</t>
  </si>
  <si>
    <t>35 DIA OLD MOULD SANPON</t>
  </si>
  <si>
    <t>1997</t>
  </si>
  <si>
    <t>1998</t>
  </si>
  <si>
    <t>1999</t>
  </si>
  <si>
    <t>2000</t>
  </si>
  <si>
    <t>2001</t>
  </si>
  <si>
    <t>2003</t>
  </si>
  <si>
    <t>2004</t>
  </si>
  <si>
    <t>2006</t>
  </si>
  <si>
    <t>2007</t>
  </si>
  <si>
    <t>2020</t>
  </si>
  <si>
    <t>2009</t>
  </si>
  <si>
    <t>2010</t>
  </si>
  <si>
    <t>2012</t>
  </si>
  <si>
    <t>2013</t>
  </si>
  <si>
    <t>2017</t>
  </si>
  <si>
    <t>Machinery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</si>
</sst>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sz val="11"/>
      <color theme="1"/>
      <name val="Bookman Old Style"/>
      <family val="1"/>
    </font>
    <font>
      <b/>
      <sz val="11"/>
      <name val="Bookman Old Style"/>
      <family val="1"/>
    </font>
    <font>
      <sz val="11"/>
      <name val="Bookman Old Style"/>
      <family val="1"/>
    </font>
    <font>
      <b/>
      <sz val="11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sz val="11"/>
      <color rgb="FFFF0000"/>
      <name val="Bookman Old Style"/>
      <family val="1"/>
    </font>
    <font>
      <b/>
      <sz val="11"/>
      <color rgb="FFFF0000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" xfId="2" applyFont="1" applyBorder="1" applyAlignment="1">
      <alignment horizontal="left"/>
    </xf>
    <xf numFmtId="0" fontId="7" fillId="0" borderId="1" xfId="2" applyFont="1" applyBorder="1" applyAlignment="1">
      <alignment horizontal="center"/>
    </xf>
    <xf numFmtId="0" fontId="7" fillId="0" borderId="1" xfId="2" applyFont="1" applyBorder="1" applyAlignment="1">
      <alignment horizontal="left" wrapText="1"/>
    </xf>
    <xf numFmtId="0" fontId="7" fillId="0" borderId="1" xfId="2" applyFont="1" applyBorder="1"/>
    <xf numFmtId="0" fontId="5" fillId="0" borderId="1" xfId="0" applyFont="1" applyBorder="1"/>
    <xf numFmtId="164" fontId="5" fillId="0" borderId="0" xfId="1" applyNumberFormat="1" applyFont="1" applyAlignment="1">
      <alignment horizontal="center"/>
    </xf>
    <xf numFmtId="164" fontId="7" fillId="0" borderId="1" xfId="1" applyNumberFormat="1" applyFont="1" applyFill="1" applyBorder="1" applyAlignment="1"/>
    <xf numFmtId="164" fontId="7" fillId="0" borderId="1" xfId="1" applyNumberFormat="1" applyFont="1" applyFill="1" applyBorder="1" applyAlignment="1">
      <alignment horizontal="center"/>
    </xf>
    <xf numFmtId="164" fontId="7" fillId="0" borderId="1" xfId="1" applyNumberFormat="1" applyFont="1" applyFill="1" applyBorder="1"/>
    <xf numFmtId="164" fontId="7" fillId="0" borderId="1" xfId="1" applyNumberFormat="1" applyFont="1" applyBorder="1"/>
    <xf numFmtId="164" fontId="5" fillId="0" borderId="1" xfId="1" applyNumberFormat="1" applyFont="1" applyBorder="1"/>
    <xf numFmtId="164" fontId="5" fillId="0" borderId="0" xfId="1" applyNumberFormat="1" applyFont="1"/>
    <xf numFmtId="164" fontId="6" fillId="0" borderId="1" xfId="1" applyNumberFormat="1" applyFont="1" applyFill="1" applyBorder="1" applyAlignment="1"/>
    <xf numFmtId="164" fontId="5" fillId="0" borderId="1" xfId="1" applyNumberFormat="1" applyFont="1" applyFill="1" applyBorder="1"/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164" fontId="6" fillId="2" borderId="1" xfId="1" applyNumberFormat="1" applyFont="1" applyFill="1" applyBorder="1" applyAlignment="1">
      <alignment vertical="top"/>
    </xf>
    <xf numFmtId="164" fontId="6" fillId="2" borderId="1" xfId="1" applyNumberFormat="1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0" fontId="7" fillId="0" borderId="1" xfId="2" applyFont="1" applyBorder="1" applyAlignment="1">
      <alignment wrapText="1"/>
    </xf>
    <xf numFmtId="0" fontId="7" fillId="3" borderId="1" xfId="2" applyFont="1" applyFill="1" applyBorder="1"/>
    <xf numFmtId="0" fontId="5" fillId="3" borderId="1" xfId="0" applyFont="1" applyFill="1" applyBorder="1"/>
    <xf numFmtId="0" fontId="7" fillId="3" borderId="1" xfId="2" applyFont="1" applyFill="1" applyBorder="1" applyAlignment="1">
      <alignment horizontal="center"/>
    </xf>
    <xf numFmtId="164" fontId="7" fillId="3" borderId="1" xfId="1" applyNumberFormat="1" applyFont="1" applyFill="1" applyBorder="1" applyAlignment="1"/>
    <xf numFmtId="0" fontId="7" fillId="3" borderId="1" xfId="2" applyFont="1" applyFill="1" applyBorder="1" applyAlignment="1">
      <alignment horizontal="left" wrapText="1"/>
    </xf>
    <xf numFmtId="164" fontId="7" fillId="3" borderId="1" xfId="1" applyNumberFormat="1" applyFont="1" applyFill="1" applyBorder="1"/>
    <xf numFmtId="164" fontId="5" fillId="3" borderId="1" xfId="1" applyNumberFormat="1" applyFont="1" applyFill="1" applyBorder="1"/>
    <xf numFmtId="0" fontId="7" fillId="3" borderId="1" xfId="2" applyFont="1" applyFill="1" applyBorder="1" applyAlignment="1">
      <alignment wrapText="1"/>
    </xf>
    <xf numFmtId="0" fontId="0" fillId="0" borderId="1" xfId="0" applyBorder="1"/>
    <xf numFmtId="0" fontId="9" fillId="0" borderId="2" xfId="0" applyFont="1" applyBorder="1" applyAlignment="1">
      <alignment horizontal="center"/>
    </xf>
    <xf numFmtId="164" fontId="0" fillId="0" borderId="1" xfId="1" applyNumberFormat="1" applyFont="1" applyBorder="1"/>
    <xf numFmtId="0" fontId="9" fillId="3" borderId="1" xfId="0" applyFont="1" applyFill="1" applyBorder="1"/>
    <xf numFmtId="0" fontId="9" fillId="5" borderId="3" xfId="0" applyFont="1" applyFill="1" applyBorder="1"/>
    <xf numFmtId="164" fontId="9" fillId="5" borderId="3" xfId="1" applyNumberFormat="1" applyFont="1" applyFill="1" applyBorder="1"/>
    <xf numFmtId="164" fontId="0" fillId="0" borderId="0" xfId="0" applyNumberFormat="1"/>
    <xf numFmtId="164" fontId="5" fillId="0" borderId="0" xfId="0" applyNumberFormat="1" applyFont="1"/>
    <xf numFmtId="164" fontId="10" fillId="0" borderId="1" xfId="1" applyNumberFormat="1" applyFont="1" applyFill="1" applyBorder="1"/>
    <xf numFmtId="0" fontId="8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7" fillId="0" borderId="1" xfId="4" applyFont="1" applyBorder="1"/>
    <xf numFmtId="0" fontId="7" fillId="0" borderId="1" xfId="4" applyFont="1" applyBorder="1" applyAlignment="1">
      <alignment horizontal="center"/>
    </xf>
    <xf numFmtId="0" fontId="7" fillId="6" borderId="1" xfId="2" applyFont="1" applyFill="1" applyBorder="1" applyAlignment="1">
      <alignment horizontal="left" wrapText="1"/>
    </xf>
    <xf numFmtId="14" fontId="5" fillId="0" borderId="0" xfId="0" applyNumberFormat="1" applyFont="1"/>
    <xf numFmtId="0" fontId="8" fillId="0" borderId="0" xfId="0" applyFont="1" applyAlignment="1">
      <alignment horizontal="center"/>
    </xf>
    <xf numFmtId="0" fontId="10" fillId="6" borderId="1" xfId="2" applyFont="1" applyFill="1" applyBorder="1" applyAlignment="1">
      <alignment horizontal="left" wrapText="1"/>
    </xf>
    <xf numFmtId="0" fontId="7" fillId="6" borderId="1" xfId="2" applyFont="1" applyFill="1" applyBorder="1" applyAlignment="1">
      <alignment wrapText="1"/>
    </xf>
    <xf numFmtId="0" fontId="5" fillId="6" borderId="1" xfId="0" applyFont="1" applyFill="1" applyBorder="1"/>
    <xf numFmtId="164" fontId="5" fillId="6" borderId="1" xfId="1" applyNumberFormat="1" applyFont="1" applyFill="1" applyBorder="1"/>
    <xf numFmtId="164" fontId="7" fillId="6" borderId="1" xfId="1" applyNumberFormat="1" applyFont="1" applyFill="1" applyBorder="1"/>
    <xf numFmtId="0" fontId="7" fillId="6" borderId="1" xfId="2" applyFont="1" applyFill="1" applyBorder="1" applyAlignment="1">
      <alignment horizontal="center"/>
    </xf>
    <xf numFmtId="164" fontId="6" fillId="6" borderId="1" xfId="1" applyNumberFormat="1" applyFont="1" applyFill="1" applyBorder="1" applyAlignment="1"/>
    <xf numFmtId="164" fontId="5" fillId="0" borderId="0" xfId="1" applyNumberFormat="1" applyFont="1" applyBorder="1"/>
    <xf numFmtId="164" fontId="6" fillId="2" borderId="0" xfId="1" applyNumberFormat="1" applyFont="1" applyFill="1" applyBorder="1" applyAlignment="1">
      <alignment vertical="top" wrapText="1"/>
    </xf>
    <xf numFmtId="164" fontId="7" fillId="3" borderId="0" xfId="1" applyNumberFormat="1" applyFont="1" applyFill="1" applyBorder="1" applyAlignment="1"/>
    <xf numFmtId="164" fontId="7" fillId="0" borderId="0" xfId="1" applyNumberFormat="1" applyFont="1" applyFill="1" applyBorder="1" applyAlignment="1"/>
    <xf numFmtId="164" fontId="10" fillId="3" borderId="0" xfId="1" applyNumberFormat="1" applyFont="1" applyFill="1" applyBorder="1"/>
    <xf numFmtId="164" fontId="5" fillId="6" borderId="0" xfId="1" applyNumberFormat="1" applyFont="1" applyFill="1" applyBorder="1"/>
    <xf numFmtId="0" fontId="7" fillId="7" borderId="1" xfId="2" applyFont="1" applyFill="1" applyBorder="1"/>
    <xf numFmtId="0" fontId="5" fillId="7" borderId="1" xfId="0" applyFont="1" applyFill="1" applyBorder="1"/>
    <xf numFmtId="0" fontId="7" fillId="7" borderId="1" xfId="2" applyFont="1" applyFill="1" applyBorder="1" applyAlignment="1">
      <alignment horizontal="left" wrapText="1"/>
    </xf>
    <xf numFmtId="0" fontId="7" fillId="7" borderId="1" xfId="2" applyFont="1" applyFill="1" applyBorder="1" applyAlignment="1">
      <alignment horizontal="center"/>
    </xf>
    <xf numFmtId="164" fontId="7" fillId="7" borderId="1" xfId="1" applyNumberFormat="1" applyFont="1" applyFill="1" applyBorder="1"/>
    <xf numFmtId="164" fontId="6" fillId="7" borderId="1" xfId="1" applyNumberFormat="1" applyFont="1" applyFill="1" applyBorder="1" applyAlignment="1"/>
    <xf numFmtId="164" fontId="5" fillId="7" borderId="1" xfId="1" applyNumberFormat="1" applyFont="1" applyFill="1" applyBorder="1"/>
    <xf numFmtId="164" fontId="5" fillId="7" borderId="0" xfId="0" applyNumberFormat="1" applyFont="1" applyFill="1"/>
    <xf numFmtId="164" fontId="5" fillId="7" borderId="0" xfId="1" applyNumberFormat="1" applyFont="1" applyFill="1" applyBorder="1"/>
    <xf numFmtId="0" fontId="7" fillId="6" borderId="1" xfId="2" applyFont="1" applyFill="1" applyBorder="1"/>
    <xf numFmtId="164" fontId="10" fillId="6" borderId="1" xfId="1" applyNumberFormat="1" applyFont="1" applyFill="1" applyBorder="1"/>
    <xf numFmtId="14" fontId="5" fillId="6" borderId="0" xfId="0" applyNumberFormat="1" applyFont="1" applyFill="1"/>
    <xf numFmtId="164" fontId="5" fillId="6" borderId="0" xfId="0" applyNumberFormat="1" applyFont="1" applyFill="1"/>
    <xf numFmtId="0" fontId="5" fillId="6" borderId="0" xfId="0" applyFont="1" applyFill="1"/>
    <xf numFmtId="0" fontId="10" fillId="6" borderId="1" xfId="2" applyFont="1" applyFill="1" applyBorder="1"/>
    <xf numFmtId="0" fontId="10" fillId="6" borderId="1" xfId="0" applyFont="1" applyFill="1" applyBorder="1"/>
    <xf numFmtId="0" fontId="10" fillId="6" borderId="1" xfId="2" applyFont="1" applyFill="1" applyBorder="1" applyAlignment="1">
      <alignment horizontal="center"/>
    </xf>
    <xf numFmtId="164" fontId="11" fillId="6" borderId="1" xfId="1" applyNumberFormat="1" applyFont="1" applyFill="1" applyBorder="1" applyAlignment="1"/>
    <xf numFmtId="164" fontId="10" fillId="6" borderId="0" xfId="1" applyNumberFormat="1" applyFont="1" applyFill="1" applyBorder="1"/>
    <xf numFmtId="14" fontId="10" fillId="6" borderId="0" xfId="0" applyNumberFormat="1" applyFont="1" applyFill="1"/>
    <xf numFmtId="164" fontId="10" fillId="6" borderId="0" xfId="0" applyNumberFormat="1" applyFont="1" applyFill="1"/>
    <xf numFmtId="0" fontId="10" fillId="6" borderId="0" xfId="0" applyFont="1" applyFill="1"/>
    <xf numFmtId="0" fontId="7" fillId="6" borderId="1" xfId="0" applyFont="1" applyFill="1" applyBorder="1"/>
    <xf numFmtId="164" fontId="7" fillId="6" borderId="0" xfId="1" applyNumberFormat="1" applyFont="1" applyFill="1" applyBorder="1"/>
    <xf numFmtId="164" fontId="7" fillId="6" borderId="0" xfId="0" applyNumberFormat="1" applyFont="1" applyFill="1"/>
    <xf numFmtId="14" fontId="7" fillId="6" borderId="0" xfId="0" applyNumberFormat="1" applyFont="1" applyFill="1"/>
    <xf numFmtId="0" fontId="7" fillId="6" borderId="0" xfId="0" applyFont="1" applyFill="1"/>
    <xf numFmtId="0" fontId="7" fillId="6" borderId="1" xfId="2" applyFont="1" applyFill="1" applyBorder="1" applyAlignment="1">
      <alignment vertical="top"/>
    </xf>
    <xf numFmtId="0" fontId="7" fillId="6" borderId="1" xfId="0" applyFont="1" applyFill="1" applyBorder="1" applyAlignment="1">
      <alignment vertical="top"/>
    </xf>
    <xf numFmtId="0" fontId="7" fillId="6" borderId="1" xfId="2" applyFont="1" applyFill="1" applyBorder="1" applyAlignment="1">
      <alignment horizontal="left" vertical="top" wrapText="1"/>
    </xf>
    <xf numFmtId="0" fontId="7" fillId="6" borderId="1" xfId="2" applyFont="1" applyFill="1" applyBorder="1" applyAlignment="1">
      <alignment horizontal="center" vertical="top"/>
    </xf>
    <xf numFmtId="164" fontId="7" fillId="6" borderId="1" xfId="1" applyNumberFormat="1" applyFont="1" applyFill="1" applyBorder="1" applyAlignment="1">
      <alignment vertical="top"/>
    </xf>
    <xf numFmtId="164" fontId="6" fillId="6" borderId="1" xfId="1" applyNumberFormat="1" applyFont="1" applyFill="1" applyBorder="1" applyAlignment="1">
      <alignment vertical="top"/>
    </xf>
    <xf numFmtId="0" fontId="7" fillId="6" borderId="0" xfId="0" applyFont="1" applyFill="1" applyAlignment="1">
      <alignment vertical="top"/>
    </xf>
    <xf numFmtId="14" fontId="7" fillId="6" borderId="0" xfId="0" applyNumberFormat="1" applyFont="1" applyFill="1" applyAlignment="1">
      <alignment vertical="top"/>
    </xf>
    <xf numFmtId="164" fontId="7" fillId="6" borderId="0" xfId="0" applyNumberFormat="1" applyFont="1" applyFill="1" applyAlignment="1">
      <alignment vertical="top"/>
    </xf>
    <xf numFmtId="0" fontId="7" fillId="0" borderId="1" xfId="0" applyFont="1" applyBorder="1"/>
    <xf numFmtId="164" fontId="7" fillId="0" borderId="0" xfId="0" applyNumberFormat="1" applyFont="1"/>
    <xf numFmtId="0" fontId="7" fillId="0" borderId="0" xfId="0" applyFont="1"/>
    <xf numFmtId="164" fontId="7" fillId="3" borderId="0" xfId="0" applyNumberFormat="1" applyFont="1" applyFill="1" applyAlignment="1">
      <alignment vertical="top"/>
    </xf>
    <xf numFmtId="164" fontId="5" fillId="3" borderId="0" xfId="0" applyNumberFormat="1" applyFont="1" applyFill="1"/>
    <xf numFmtId="164" fontId="7" fillId="3" borderId="0" xfId="0" applyNumberFormat="1" applyFont="1" applyFill="1"/>
    <xf numFmtId="164" fontId="5" fillId="3" borderId="0" xfId="1" applyNumberFormat="1" applyFont="1" applyFill="1" applyBorder="1"/>
    <xf numFmtId="164" fontId="0" fillId="0" borderId="4" xfId="1" applyNumberFormat="1" applyFont="1" applyFill="1" applyBorder="1"/>
    <xf numFmtId="164" fontId="0" fillId="0" borderId="1" xfId="1" applyNumberFormat="1" applyFont="1" applyFill="1" applyBorder="1"/>
    <xf numFmtId="0" fontId="8" fillId="0" borderId="0" xfId="0" applyFont="1" applyAlignment="1">
      <alignment horizontal="center"/>
    </xf>
    <xf numFmtId="0" fontId="9" fillId="4" borderId="2" xfId="0" applyFont="1" applyFill="1" applyBorder="1" applyAlignment="1">
      <alignment horizontal="center"/>
    </xf>
  </cellXfs>
  <cellStyles count="5">
    <cellStyle name="Comma" xfId="1" builtinId="3"/>
    <cellStyle name="Comma 6 2 8" xfId="3" xr:uid="{07172E09-D31F-48D3-BAF8-305F3F0B5C6C}"/>
    <cellStyle name="Normal" xfId="0" builtinId="0"/>
    <cellStyle name="Normal 33" xfId="4" xr:uid="{1F724D77-DDBB-4C16-A424-563537870242}"/>
    <cellStyle name="Normal 38 2 8" xfId="2" xr:uid="{E5657E7A-37FC-4644-BF65-5C712B2337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6C28B-F269-4CC7-A54C-1E55E23023AD}">
  <sheetPr codeName="Sheet1"/>
  <dimension ref="A1:AB269"/>
  <sheetViews>
    <sheetView topLeftCell="A86" zoomScale="66" zoomScaleNormal="66" workbookViewId="0">
      <selection activeCell="Q27" sqref="Q27"/>
    </sheetView>
  </sheetViews>
  <sheetFormatPr defaultRowHeight="13.8" x14ac:dyDescent="0.25"/>
  <cols>
    <col min="1" max="1" width="12.6640625" style="1" bestFit="1" customWidth="1"/>
    <col min="2" max="2" width="10.33203125" style="1" bestFit="1" customWidth="1"/>
    <col min="3" max="3" width="21" style="1" bestFit="1" customWidth="1"/>
    <col min="4" max="4" width="33.109375" style="1" bestFit="1" customWidth="1"/>
    <col min="5" max="5" width="19.77734375" style="1" bestFit="1" customWidth="1"/>
    <col min="6" max="6" width="13.21875" style="1" bestFit="1" customWidth="1"/>
    <col min="7" max="7" width="18.109375" style="1" bestFit="1" customWidth="1"/>
    <col min="8" max="8" width="25.6640625" style="1" bestFit="1" customWidth="1"/>
    <col min="9" max="9" width="24.6640625" style="14" bestFit="1" customWidth="1"/>
    <col min="10" max="10" width="26.88671875" style="14" bestFit="1" customWidth="1"/>
    <col min="11" max="11" width="27.6640625" style="14" bestFit="1" customWidth="1"/>
    <col min="12" max="12" width="15.33203125" style="14" bestFit="1" customWidth="1"/>
    <col min="13" max="13" width="12.21875" style="14" bestFit="1" customWidth="1"/>
    <col min="14" max="16" width="15.6640625" style="14" bestFit="1" customWidth="1"/>
    <col min="17" max="17" width="14.77734375" style="14" bestFit="1" customWidth="1"/>
    <col min="18" max="18" width="15.5546875" style="14" bestFit="1" customWidth="1"/>
    <col min="19" max="20" width="15.5546875" style="14" customWidth="1"/>
    <col min="21" max="21" width="15.44140625" style="14" customWidth="1"/>
    <col min="22" max="22" width="16.109375" style="1" bestFit="1" customWidth="1"/>
    <col min="23" max="23" width="12.33203125" style="1" bestFit="1" customWidth="1"/>
    <col min="24" max="26" width="14.109375" style="1" bestFit="1" customWidth="1"/>
    <col min="27" max="27" width="12.21875" style="1" bestFit="1" customWidth="1"/>
    <col min="28" max="28" width="11.6640625" style="1" bestFit="1" customWidth="1"/>
    <col min="29" max="16384" width="8.88671875" style="1"/>
  </cols>
  <sheetData>
    <row r="1" spans="1:28" x14ac:dyDescent="0.25">
      <c r="A1" s="105" t="s">
        <v>376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46"/>
      <c r="T1" s="46"/>
      <c r="U1" s="46"/>
    </row>
    <row r="2" spans="1:28" x14ac:dyDescent="0.25">
      <c r="A2" s="2"/>
      <c r="B2" s="2"/>
      <c r="C2" s="2"/>
      <c r="D2" s="2"/>
      <c r="E2" s="2"/>
      <c r="F2" s="2"/>
      <c r="G2" s="2"/>
      <c r="H2" s="2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8" s="21" customFormat="1" ht="41.4" x14ac:dyDescent="0.3">
      <c r="A3" s="17" t="s">
        <v>12</v>
      </c>
      <c r="B3" s="17" t="s">
        <v>13</v>
      </c>
      <c r="C3" s="18" t="s">
        <v>11</v>
      </c>
      <c r="D3" s="18" t="s">
        <v>14</v>
      </c>
      <c r="E3" s="18" t="s">
        <v>0</v>
      </c>
      <c r="F3" s="18" t="s">
        <v>1</v>
      </c>
      <c r="G3" s="17" t="s">
        <v>260</v>
      </c>
      <c r="H3" s="18" t="s">
        <v>2</v>
      </c>
      <c r="I3" s="19" t="s">
        <v>3</v>
      </c>
      <c r="J3" s="19" t="s">
        <v>19</v>
      </c>
      <c r="K3" s="19" t="s">
        <v>4</v>
      </c>
      <c r="L3" s="20" t="s">
        <v>5</v>
      </c>
      <c r="M3" s="20" t="s">
        <v>6</v>
      </c>
      <c r="N3" s="20" t="s">
        <v>7</v>
      </c>
      <c r="O3" s="20" t="s">
        <v>8</v>
      </c>
      <c r="P3" s="20" t="s">
        <v>9</v>
      </c>
      <c r="Q3" s="20" t="s">
        <v>20</v>
      </c>
      <c r="R3" s="20" t="s">
        <v>10</v>
      </c>
      <c r="S3" s="55"/>
      <c r="T3" s="55"/>
      <c r="U3" s="55"/>
      <c r="V3" s="40" t="s">
        <v>377</v>
      </c>
      <c r="W3" s="21" t="s">
        <v>463</v>
      </c>
      <c r="X3" s="21" t="s">
        <v>464</v>
      </c>
      <c r="Y3" s="21" t="s">
        <v>465</v>
      </c>
      <c r="Z3" s="21" t="s">
        <v>466</v>
      </c>
      <c r="AA3" s="21" t="s">
        <v>467</v>
      </c>
      <c r="AB3" s="21" t="s">
        <v>468</v>
      </c>
    </row>
    <row r="4" spans="1:28" x14ac:dyDescent="0.25">
      <c r="A4" s="6" t="s">
        <v>15</v>
      </c>
      <c r="B4" s="7" t="s">
        <v>16</v>
      </c>
      <c r="C4" s="7" t="s">
        <v>17</v>
      </c>
      <c r="D4" s="6" t="s">
        <v>18</v>
      </c>
      <c r="E4" s="4">
        <v>2010</v>
      </c>
      <c r="F4" s="7"/>
      <c r="G4" s="7"/>
      <c r="H4" s="7"/>
      <c r="I4" s="9">
        <v>12256100</v>
      </c>
      <c r="J4" s="9"/>
      <c r="K4" s="16"/>
      <c r="L4" s="13">
        <f>+I4+J4-K4</f>
        <v>12256100</v>
      </c>
      <c r="M4" s="13">
        <f>+L4*0.05</f>
        <v>612805</v>
      </c>
      <c r="N4" s="13">
        <v>0</v>
      </c>
      <c r="O4" s="13">
        <v>0</v>
      </c>
      <c r="P4" s="13">
        <f>+N4+O4</f>
        <v>0</v>
      </c>
      <c r="Q4" s="13">
        <v>0</v>
      </c>
      <c r="R4" s="13">
        <f>+L4-P4-Q4</f>
        <v>12256100</v>
      </c>
      <c r="S4" s="54">
        <f>+L4-P4+Q4</f>
        <v>12256100</v>
      </c>
      <c r="T4" s="54">
        <f>+R4-S4</f>
        <v>0</v>
      </c>
      <c r="U4" s="54"/>
    </row>
    <row r="5" spans="1:28" x14ac:dyDescent="0.25">
      <c r="A5" s="7" t="s">
        <v>347</v>
      </c>
      <c r="B5" s="7" t="s">
        <v>349</v>
      </c>
      <c r="C5" s="7"/>
      <c r="D5" s="5" t="s">
        <v>313</v>
      </c>
      <c r="E5" s="4">
        <v>2023</v>
      </c>
      <c r="F5" s="7"/>
      <c r="G5" s="7"/>
      <c r="H5" s="7"/>
      <c r="I5" s="13">
        <v>15490775</v>
      </c>
      <c r="J5" s="13"/>
      <c r="K5" s="13"/>
      <c r="L5" s="13">
        <f>+I5+J5-K5</f>
        <v>15490775</v>
      </c>
      <c r="M5" s="13">
        <f>+L5*0.05</f>
        <v>774538.75</v>
      </c>
      <c r="N5" s="13">
        <v>0</v>
      </c>
      <c r="O5" s="13">
        <f>+IF(H5&gt;0,((L5-M5)/F5),0)</f>
        <v>0</v>
      </c>
      <c r="P5" s="13">
        <f>+N5+O5</f>
        <v>0</v>
      </c>
      <c r="Q5" s="13"/>
      <c r="R5" s="13">
        <f>+L5-P5-Q5</f>
        <v>15490775</v>
      </c>
      <c r="S5" s="54">
        <f t="shared" ref="S5:S20" si="0">+L5-P5+Q5</f>
        <v>15490775</v>
      </c>
      <c r="T5" s="54">
        <f t="shared" ref="T5:T20" si="1">+R5-S5</f>
        <v>0</v>
      </c>
      <c r="U5" s="54"/>
    </row>
    <row r="6" spans="1:28" x14ac:dyDescent="0.25">
      <c r="A6" s="23" t="s">
        <v>360</v>
      </c>
      <c r="B6" s="24"/>
      <c r="C6" s="24"/>
      <c r="D6" s="23"/>
      <c r="E6" s="25"/>
      <c r="F6" s="24"/>
      <c r="G6" s="24"/>
      <c r="H6" s="24"/>
      <c r="I6" s="26">
        <f>SUM(I4:I5)</f>
        <v>27746875</v>
      </c>
      <c r="J6" s="26">
        <f t="shared" ref="J6:R6" si="2">SUM(J4:J5)</f>
        <v>0</v>
      </c>
      <c r="K6" s="26">
        <f t="shared" si="2"/>
        <v>0</v>
      </c>
      <c r="L6" s="26">
        <f t="shared" si="2"/>
        <v>27746875</v>
      </c>
      <c r="M6" s="26">
        <f t="shared" si="2"/>
        <v>1387343.75</v>
      </c>
      <c r="N6" s="26">
        <f t="shared" si="2"/>
        <v>0</v>
      </c>
      <c r="O6" s="26">
        <f t="shared" si="2"/>
        <v>0</v>
      </c>
      <c r="P6" s="26">
        <f t="shared" si="2"/>
        <v>0</v>
      </c>
      <c r="Q6" s="26">
        <f t="shared" si="2"/>
        <v>0</v>
      </c>
      <c r="R6" s="26">
        <f t="shared" si="2"/>
        <v>27746875</v>
      </c>
      <c r="S6" s="54">
        <f t="shared" si="0"/>
        <v>27746875</v>
      </c>
      <c r="T6" s="54">
        <f t="shared" si="1"/>
        <v>0</v>
      </c>
      <c r="U6" s="56"/>
    </row>
    <row r="7" spans="1:28" x14ac:dyDescent="0.25">
      <c r="A7" s="6"/>
      <c r="B7" s="7"/>
      <c r="C7" s="7"/>
      <c r="D7" s="6"/>
      <c r="E7" s="4"/>
      <c r="F7" s="7"/>
      <c r="G7" s="7"/>
      <c r="H7" s="7"/>
      <c r="I7" s="9"/>
      <c r="J7" s="9"/>
      <c r="K7" s="9"/>
      <c r="L7" s="9"/>
      <c r="M7" s="9"/>
      <c r="N7" s="9"/>
      <c r="O7" s="9"/>
      <c r="P7" s="9"/>
      <c r="Q7" s="9"/>
      <c r="R7" s="9" t="s">
        <v>469</v>
      </c>
      <c r="S7" s="54">
        <f t="shared" si="0"/>
        <v>0</v>
      </c>
      <c r="T7" s="54" t="e">
        <f t="shared" si="1"/>
        <v>#VALUE!</v>
      </c>
      <c r="U7" s="57"/>
    </row>
    <row r="8" spans="1:28" x14ac:dyDescent="0.25">
      <c r="A8" s="6" t="s">
        <v>21</v>
      </c>
      <c r="B8" s="7" t="s">
        <v>24</v>
      </c>
      <c r="C8" s="7" t="s">
        <v>17</v>
      </c>
      <c r="D8" s="3" t="s">
        <v>22</v>
      </c>
      <c r="E8" s="4">
        <v>2010</v>
      </c>
      <c r="F8" s="7">
        <v>30</v>
      </c>
      <c r="G8" s="7">
        <f>2024-E8</f>
        <v>14</v>
      </c>
      <c r="H8" s="7">
        <f t="shared" ref="H8:H74" si="3">+IF(G8&lt;=F8,(F8-G8),0)</f>
        <v>16</v>
      </c>
      <c r="I8" s="10">
        <f>20669423.94-366308.43</f>
        <v>20303115.510000002</v>
      </c>
      <c r="J8" s="15"/>
      <c r="K8" s="13"/>
      <c r="L8" s="13">
        <f t="shared" ref="L8:L19" si="4">+I8+J8-K8</f>
        <v>20303115.510000002</v>
      </c>
      <c r="M8" s="13">
        <f t="shared" ref="M8:M74" si="5">+L8*0.05</f>
        <v>1015155.7755000001</v>
      </c>
      <c r="N8" s="11">
        <f>8487864.45699718+63798.01654</f>
        <v>8551662.4735371806</v>
      </c>
      <c r="O8" s="13">
        <f t="shared" ref="O8:O19" si="6">+IF(H8&gt;0,((L8-M8)/F8),0)</f>
        <v>642931.99115000002</v>
      </c>
      <c r="P8" s="13">
        <f t="shared" ref="P8:P18" si="7">+N8+O8</f>
        <v>9194594.4646871798</v>
      </c>
      <c r="Q8" s="13"/>
      <c r="R8" s="13">
        <f t="shared" ref="R8:R19" si="8">+IF(H8&gt;0,(L8-P8-Q8),M8)</f>
        <v>11108521.045312822</v>
      </c>
      <c r="S8" s="54">
        <f t="shared" si="0"/>
        <v>11108521.045312822</v>
      </c>
      <c r="T8" s="54">
        <f t="shared" si="1"/>
        <v>0</v>
      </c>
      <c r="U8" s="54"/>
      <c r="V8" s="38"/>
    </row>
    <row r="9" spans="1:28" x14ac:dyDescent="0.25">
      <c r="A9" s="6" t="s">
        <v>21</v>
      </c>
      <c r="B9" s="7" t="s">
        <v>25</v>
      </c>
      <c r="C9" s="7" t="s">
        <v>17</v>
      </c>
      <c r="D9" s="3" t="s">
        <v>22</v>
      </c>
      <c r="E9" s="4">
        <v>2011</v>
      </c>
      <c r="F9" s="7">
        <v>30</v>
      </c>
      <c r="G9" s="7">
        <f t="shared" ref="G9:G75" si="9">2024-E9</f>
        <v>13</v>
      </c>
      <c r="H9" s="7">
        <f t="shared" si="3"/>
        <v>17</v>
      </c>
      <c r="I9" s="10">
        <v>6258605.5999999996</v>
      </c>
      <c r="J9" s="15"/>
      <c r="K9" s="13"/>
      <c r="L9" s="13">
        <f t="shared" si="4"/>
        <v>6258605.5999999996</v>
      </c>
      <c r="M9" s="13">
        <f t="shared" si="5"/>
        <v>312930.27999999997</v>
      </c>
      <c r="N9" s="11">
        <v>2563775.06380923</v>
      </c>
      <c r="O9" s="13">
        <f t="shared" si="6"/>
        <v>198189.17733333333</v>
      </c>
      <c r="P9" s="13">
        <f t="shared" si="7"/>
        <v>2761964.2411425635</v>
      </c>
      <c r="Q9" s="13"/>
      <c r="R9" s="13">
        <f t="shared" si="8"/>
        <v>3496641.3588574361</v>
      </c>
      <c r="S9" s="54">
        <f t="shared" si="0"/>
        <v>3496641.3588574361</v>
      </c>
      <c r="T9" s="54">
        <f t="shared" si="1"/>
        <v>0</v>
      </c>
      <c r="U9" s="54"/>
    </row>
    <row r="10" spans="1:28" x14ac:dyDescent="0.25">
      <c r="A10" s="6" t="s">
        <v>21</v>
      </c>
      <c r="B10" s="7" t="s">
        <v>26</v>
      </c>
      <c r="C10" s="7" t="s">
        <v>17</v>
      </c>
      <c r="D10" s="3" t="s">
        <v>22</v>
      </c>
      <c r="E10" s="4">
        <v>2012</v>
      </c>
      <c r="F10" s="7">
        <v>30</v>
      </c>
      <c r="G10" s="7">
        <f t="shared" si="9"/>
        <v>12</v>
      </c>
      <c r="H10" s="7">
        <f t="shared" si="3"/>
        <v>18</v>
      </c>
      <c r="I10" s="10">
        <v>115878.01</v>
      </c>
      <c r="J10" s="15"/>
      <c r="K10" s="13"/>
      <c r="L10" s="13">
        <f t="shared" si="4"/>
        <v>115878.01</v>
      </c>
      <c r="M10" s="13">
        <f t="shared" si="5"/>
        <v>5793.9004999999997</v>
      </c>
      <c r="N10" s="11">
        <v>44215.803878666702</v>
      </c>
      <c r="O10" s="13">
        <f t="shared" si="6"/>
        <v>3669.4703166666663</v>
      </c>
      <c r="P10" s="13">
        <f t="shared" si="7"/>
        <v>47885.274195333368</v>
      </c>
      <c r="Q10" s="13"/>
      <c r="R10" s="13">
        <f t="shared" si="8"/>
        <v>67992.73580466662</v>
      </c>
      <c r="S10" s="54">
        <f t="shared" si="0"/>
        <v>67992.73580466662</v>
      </c>
      <c r="T10" s="54">
        <f t="shared" si="1"/>
        <v>0</v>
      </c>
      <c r="U10" s="54"/>
    </row>
    <row r="11" spans="1:28" x14ac:dyDescent="0.25">
      <c r="A11" s="6" t="s">
        <v>21</v>
      </c>
      <c r="B11" s="7" t="s">
        <v>27</v>
      </c>
      <c r="C11" s="7" t="s">
        <v>17</v>
      </c>
      <c r="D11" s="3" t="s">
        <v>22</v>
      </c>
      <c r="E11" s="4">
        <v>2013</v>
      </c>
      <c r="F11" s="7">
        <v>30</v>
      </c>
      <c r="G11" s="7">
        <f t="shared" si="9"/>
        <v>11</v>
      </c>
      <c r="H11" s="7">
        <f t="shared" si="3"/>
        <v>19</v>
      </c>
      <c r="I11" s="10">
        <v>803165.85</v>
      </c>
      <c r="J11" s="15"/>
      <c r="K11" s="13"/>
      <c r="L11" s="13">
        <f t="shared" si="4"/>
        <v>803165.85</v>
      </c>
      <c r="M11" s="13">
        <f t="shared" si="5"/>
        <v>40158.292500000003</v>
      </c>
      <c r="N11" s="11">
        <v>280333.71663964301</v>
      </c>
      <c r="O11" s="13">
        <f t="shared" si="6"/>
        <v>25433.58525</v>
      </c>
      <c r="P11" s="13">
        <f t="shared" si="7"/>
        <v>305767.30188964301</v>
      </c>
      <c r="Q11" s="13"/>
      <c r="R11" s="13">
        <f t="shared" si="8"/>
        <v>497398.54811035696</v>
      </c>
      <c r="S11" s="54">
        <f t="shared" si="0"/>
        <v>497398.54811035696</v>
      </c>
      <c r="T11" s="54">
        <f t="shared" si="1"/>
        <v>0</v>
      </c>
      <c r="U11" s="54"/>
    </row>
    <row r="12" spans="1:28" x14ac:dyDescent="0.25">
      <c r="A12" s="6" t="s">
        <v>21</v>
      </c>
      <c r="B12" s="7" t="s">
        <v>28</v>
      </c>
      <c r="C12" s="7" t="s">
        <v>17</v>
      </c>
      <c r="D12" s="3" t="s">
        <v>23</v>
      </c>
      <c r="E12" s="4">
        <v>2013</v>
      </c>
      <c r="F12" s="7">
        <v>30</v>
      </c>
      <c r="G12" s="7">
        <f t="shared" si="9"/>
        <v>11</v>
      </c>
      <c r="H12" s="7">
        <f t="shared" si="3"/>
        <v>19</v>
      </c>
      <c r="I12" s="10">
        <v>297183</v>
      </c>
      <c r="J12" s="15"/>
      <c r="K12" s="13"/>
      <c r="L12" s="13">
        <f t="shared" si="4"/>
        <v>297183</v>
      </c>
      <c r="M12" s="13">
        <f t="shared" si="5"/>
        <v>14859.150000000001</v>
      </c>
      <c r="N12" s="11">
        <v>97482.392207142897</v>
      </c>
      <c r="O12" s="13">
        <f t="shared" si="6"/>
        <v>9410.7950000000001</v>
      </c>
      <c r="P12" s="13">
        <f t="shared" si="7"/>
        <v>106893.1872071429</v>
      </c>
      <c r="Q12" s="13"/>
      <c r="R12" s="13">
        <f t="shared" si="8"/>
        <v>190289.81279285712</v>
      </c>
      <c r="S12" s="54">
        <f t="shared" si="0"/>
        <v>190289.81279285712</v>
      </c>
      <c r="T12" s="54">
        <f t="shared" si="1"/>
        <v>0</v>
      </c>
      <c r="U12" s="54"/>
    </row>
    <row r="13" spans="1:28" x14ac:dyDescent="0.25">
      <c r="A13" s="6" t="s">
        <v>21</v>
      </c>
      <c r="B13" s="7" t="s">
        <v>29</v>
      </c>
      <c r="C13" s="7" t="s">
        <v>17</v>
      </c>
      <c r="D13" s="3" t="s">
        <v>23</v>
      </c>
      <c r="E13" s="4">
        <v>2014</v>
      </c>
      <c r="F13" s="7">
        <v>30</v>
      </c>
      <c r="G13" s="7">
        <f t="shared" si="9"/>
        <v>10</v>
      </c>
      <c r="H13" s="7">
        <f t="shared" si="3"/>
        <v>20</v>
      </c>
      <c r="I13" s="10">
        <v>69125</v>
      </c>
      <c r="J13" s="15"/>
      <c r="K13" s="13"/>
      <c r="L13" s="13">
        <f t="shared" si="4"/>
        <v>69125</v>
      </c>
      <c r="M13" s="13">
        <f t="shared" si="5"/>
        <v>3456.25</v>
      </c>
      <c r="N13" s="11">
        <v>21972.370689655199</v>
      </c>
      <c r="O13" s="13">
        <f t="shared" si="6"/>
        <v>2188.9583333333335</v>
      </c>
      <c r="P13" s="13">
        <f t="shared" si="7"/>
        <v>24161.329022988532</v>
      </c>
      <c r="Q13" s="13"/>
      <c r="R13" s="13">
        <f t="shared" si="8"/>
        <v>44963.670977011468</v>
      </c>
      <c r="S13" s="54">
        <f t="shared" si="0"/>
        <v>44963.670977011468</v>
      </c>
      <c r="T13" s="54">
        <f t="shared" si="1"/>
        <v>0</v>
      </c>
      <c r="U13" s="54"/>
    </row>
    <row r="14" spans="1:28" x14ac:dyDescent="0.25">
      <c r="A14" s="6" t="s">
        <v>21</v>
      </c>
      <c r="B14" s="7" t="s">
        <v>30</v>
      </c>
      <c r="C14" s="7" t="s">
        <v>17</v>
      </c>
      <c r="D14" s="3" t="s">
        <v>22</v>
      </c>
      <c r="E14" s="4">
        <v>2014</v>
      </c>
      <c r="F14" s="7">
        <v>30</v>
      </c>
      <c r="G14" s="7">
        <f t="shared" si="9"/>
        <v>10</v>
      </c>
      <c r="H14" s="7">
        <f t="shared" si="3"/>
        <v>20</v>
      </c>
      <c r="I14" s="10">
        <v>387642.39</v>
      </c>
      <c r="J14" s="15"/>
      <c r="K14" s="13"/>
      <c r="L14" s="13">
        <f t="shared" si="4"/>
        <v>387642.39</v>
      </c>
      <c r="M14" s="13">
        <f t="shared" si="5"/>
        <v>19382.119500000001</v>
      </c>
      <c r="N14" s="11">
        <v>118731.118431034</v>
      </c>
      <c r="O14" s="13">
        <f t="shared" si="6"/>
        <v>12275.342349999999</v>
      </c>
      <c r="P14" s="13">
        <f t="shared" si="7"/>
        <v>131006.46078103399</v>
      </c>
      <c r="Q14" s="13"/>
      <c r="R14" s="13">
        <f t="shared" si="8"/>
        <v>256635.92921896602</v>
      </c>
      <c r="S14" s="54">
        <f t="shared" si="0"/>
        <v>256635.92921896602</v>
      </c>
      <c r="T14" s="54">
        <f t="shared" si="1"/>
        <v>0</v>
      </c>
      <c r="U14" s="54"/>
    </row>
    <row r="15" spans="1:28" x14ac:dyDescent="0.25">
      <c r="A15" s="6" t="s">
        <v>21</v>
      </c>
      <c r="B15" s="7" t="s">
        <v>31</v>
      </c>
      <c r="C15" s="7" t="s">
        <v>17</v>
      </c>
      <c r="D15" s="3" t="s">
        <v>22</v>
      </c>
      <c r="E15" s="4">
        <v>2015</v>
      </c>
      <c r="F15" s="7">
        <v>30</v>
      </c>
      <c r="G15" s="7">
        <f t="shared" si="9"/>
        <v>9</v>
      </c>
      <c r="H15" s="7">
        <f t="shared" si="3"/>
        <v>21</v>
      </c>
      <c r="I15" s="11">
        <v>5563</v>
      </c>
      <c r="J15" s="15"/>
      <c r="K15" s="13"/>
      <c r="L15" s="13">
        <f t="shared" si="4"/>
        <v>5563</v>
      </c>
      <c r="M15" s="13">
        <f t="shared" si="5"/>
        <v>278.15000000000003</v>
      </c>
      <c r="N15" s="11">
        <v>1640.12586206897</v>
      </c>
      <c r="O15" s="13">
        <f t="shared" si="6"/>
        <v>176.16166666666669</v>
      </c>
      <c r="P15" s="13">
        <f t="shared" si="7"/>
        <v>1816.2875287356367</v>
      </c>
      <c r="Q15" s="13"/>
      <c r="R15" s="13">
        <f t="shared" si="8"/>
        <v>3746.7124712643636</v>
      </c>
      <c r="S15" s="54">
        <f t="shared" si="0"/>
        <v>3746.7124712643636</v>
      </c>
      <c r="T15" s="54">
        <f t="shared" si="1"/>
        <v>0</v>
      </c>
      <c r="U15" s="54"/>
    </row>
    <row r="16" spans="1:28" x14ac:dyDescent="0.25">
      <c r="A16" s="6" t="s">
        <v>21</v>
      </c>
      <c r="B16" s="7" t="s">
        <v>32</v>
      </c>
      <c r="C16" s="7" t="s">
        <v>17</v>
      </c>
      <c r="D16" s="3" t="s">
        <v>22</v>
      </c>
      <c r="E16" s="4">
        <v>2016</v>
      </c>
      <c r="F16" s="7">
        <v>30</v>
      </c>
      <c r="G16" s="7">
        <f t="shared" si="9"/>
        <v>8</v>
      </c>
      <c r="H16" s="7">
        <f t="shared" si="3"/>
        <v>22</v>
      </c>
      <c r="I16" s="11">
        <v>44039</v>
      </c>
      <c r="J16" s="15"/>
      <c r="K16" s="13"/>
      <c r="L16" s="13">
        <f t="shared" si="4"/>
        <v>44039</v>
      </c>
      <c r="M16" s="13">
        <f t="shared" si="5"/>
        <v>2201.9500000000003</v>
      </c>
      <c r="N16" s="11">
        <v>11541.255172413799</v>
      </c>
      <c r="O16" s="13">
        <f t="shared" si="6"/>
        <v>1394.5683333333334</v>
      </c>
      <c r="P16" s="13">
        <f t="shared" si="7"/>
        <v>12935.823505747132</v>
      </c>
      <c r="Q16" s="13"/>
      <c r="R16" s="13">
        <f t="shared" si="8"/>
        <v>31103.176494252868</v>
      </c>
      <c r="S16" s="54">
        <f t="shared" si="0"/>
        <v>31103.176494252868</v>
      </c>
      <c r="T16" s="54">
        <f t="shared" si="1"/>
        <v>0</v>
      </c>
      <c r="U16" s="54"/>
    </row>
    <row r="17" spans="1:28" x14ac:dyDescent="0.25">
      <c r="A17" s="6" t="s">
        <v>21</v>
      </c>
      <c r="B17" s="7" t="s">
        <v>33</v>
      </c>
      <c r="C17" s="7" t="s">
        <v>17</v>
      </c>
      <c r="D17" s="3" t="s">
        <v>22</v>
      </c>
      <c r="E17" s="4">
        <v>2017</v>
      </c>
      <c r="F17" s="7">
        <v>30</v>
      </c>
      <c r="G17" s="7">
        <f t="shared" si="9"/>
        <v>7</v>
      </c>
      <c r="H17" s="7">
        <f t="shared" si="3"/>
        <v>23</v>
      </c>
      <c r="I17" s="11">
        <v>285360.74</v>
      </c>
      <c r="J17" s="15"/>
      <c r="K17" s="13"/>
      <c r="L17" s="13">
        <f t="shared" si="4"/>
        <v>285360.74</v>
      </c>
      <c r="M17" s="13">
        <f t="shared" si="5"/>
        <v>14268.037</v>
      </c>
      <c r="N17" s="11">
        <v>65436.169689655202</v>
      </c>
      <c r="O17" s="13">
        <f t="shared" si="6"/>
        <v>9036.4234333333334</v>
      </c>
      <c r="P17" s="13">
        <f t="shared" si="7"/>
        <v>74472.593122988532</v>
      </c>
      <c r="Q17" s="13"/>
      <c r="R17" s="13">
        <f t="shared" si="8"/>
        <v>210888.14687701146</v>
      </c>
      <c r="S17" s="54">
        <f t="shared" si="0"/>
        <v>210888.14687701146</v>
      </c>
      <c r="T17" s="54">
        <f t="shared" si="1"/>
        <v>0</v>
      </c>
      <c r="U17" s="54"/>
    </row>
    <row r="18" spans="1:28" x14ac:dyDescent="0.25">
      <c r="A18" s="6" t="s">
        <v>21</v>
      </c>
      <c r="B18" s="7" t="s">
        <v>34</v>
      </c>
      <c r="C18" s="7" t="s">
        <v>17</v>
      </c>
      <c r="D18" s="3" t="s">
        <v>22</v>
      </c>
      <c r="E18" s="4">
        <v>2017</v>
      </c>
      <c r="F18" s="7">
        <v>30</v>
      </c>
      <c r="G18" s="7">
        <f t="shared" si="9"/>
        <v>7</v>
      </c>
      <c r="H18" s="7">
        <f t="shared" si="3"/>
        <v>23</v>
      </c>
      <c r="I18" s="11">
        <v>295011</v>
      </c>
      <c r="J18" s="15"/>
      <c r="K18" s="13"/>
      <c r="L18" s="13">
        <f t="shared" si="4"/>
        <v>295011</v>
      </c>
      <c r="M18" s="13">
        <f t="shared" si="5"/>
        <v>14750.550000000001</v>
      </c>
      <c r="N18" s="11">
        <v>3851.5800821917801</v>
      </c>
      <c r="O18" s="13">
        <f t="shared" si="6"/>
        <v>9342.0150000000012</v>
      </c>
      <c r="P18" s="13">
        <f t="shared" si="7"/>
        <v>13193.595082191781</v>
      </c>
      <c r="Q18" s="13"/>
      <c r="R18" s="13">
        <f t="shared" si="8"/>
        <v>281817.40491780819</v>
      </c>
      <c r="S18" s="54">
        <f t="shared" si="0"/>
        <v>281817.40491780819</v>
      </c>
      <c r="T18" s="54">
        <f t="shared" si="1"/>
        <v>0</v>
      </c>
      <c r="U18" s="54"/>
    </row>
    <row r="19" spans="1:28" x14ac:dyDescent="0.25">
      <c r="A19" s="7" t="s">
        <v>346</v>
      </c>
      <c r="B19" s="7" t="s">
        <v>348</v>
      </c>
      <c r="C19" s="7"/>
      <c r="D19" s="5" t="s">
        <v>312</v>
      </c>
      <c r="E19" s="7">
        <v>2023</v>
      </c>
      <c r="F19" s="7">
        <v>30</v>
      </c>
      <c r="G19" s="7">
        <f>2024-E19</f>
        <v>1</v>
      </c>
      <c r="H19" s="7">
        <f>+IF(G19&lt;=F19,(F19-G19),0)</f>
        <v>29</v>
      </c>
      <c r="I19" s="13">
        <v>2502213</v>
      </c>
      <c r="J19" s="13"/>
      <c r="K19" s="13"/>
      <c r="L19" s="13">
        <f t="shared" si="4"/>
        <v>2502213</v>
      </c>
      <c r="M19" s="13">
        <f>+L19*0.05</f>
        <v>125110.65000000001</v>
      </c>
      <c r="N19" s="13">
        <v>0</v>
      </c>
      <c r="O19" s="13">
        <f t="shared" si="6"/>
        <v>79236.74500000001</v>
      </c>
      <c r="P19" s="13">
        <f>+N19+O19</f>
        <v>79236.74500000001</v>
      </c>
      <c r="Q19" s="13"/>
      <c r="R19" s="13">
        <f t="shared" si="8"/>
        <v>2422976.2549999999</v>
      </c>
      <c r="S19" s="54">
        <f t="shared" si="0"/>
        <v>2422976.2549999999</v>
      </c>
      <c r="T19" s="54">
        <f t="shared" si="1"/>
        <v>0</v>
      </c>
      <c r="U19" s="54"/>
    </row>
    <row r="20" spans="1:28" x14ac:dyDescent="0.25">
      <c r="A20" s="23" t="s">
        <v>360</v>
      </c>
      <c r="B20" s="24"/>
      <c r="C20" s="24"/>
      <c r="D20" s="23"/>
      <c r="E20" s="25"/>
      <c r="F20" s="24"/>
      <c r="G20" s="24"/>
      <c r="H20" s="24"/>
      <c r="I20" s="26">
        <f>SUM(I8:I19)</f>
        <v>31366902.100000001</v>
      </c>
      <c r="J20" s="26">
        <f t="shared" ref="J20:R20" si="10">SUM(J8:J19)</f>
        <v>0</v>
      </c>
      <c r="K20" s="26">
        <f t="shared" si="10"/>
        <v>0</v>
      </c>
      <c r="L20" s="26">
        <f t="shared" si="10"/>
        <v>31366902.100000001</v>
      </c>
      <c r="M20" s="26">
        <f t="shared" si="10"/>
        <v>1568345.1049999997</v>
      </c>
      <c r="N20" s="26">
        <f t="shared" si="10"/>
        <v>11760642.069998883</v>
      </c>
      <c r="O20" s="26">
        <f t="shared" si="10"/>
        <v>993285.2331666667</v>
      </c>
      <c r="P20" s="26">
        <f t="shared" si="10"/>
        <v>12753927.303165551</v>
      </c>
      <c r="Q20" s="26">
        <f t="shared" si="10"/>
        <v>0</v>
      </c>
      <c r="R20" s="26">
        <f t="shared" si="10"/>
        <v>18612974.79683445</v>
      </c>
      <c r="S20" s="54">
        <f t="shared" si="0"/>
        <v>18612974.79683445</v>
      </c>
      <c r="T20" s="54">
        <f t="shared" si="1"/>
        <v>0</v>
      </c>
      <c r="U20" s="56"/>
    </row>
    <row r="21" spans="1:28" x14ac:dyDescent="0.25">
      <c r="A21" s="6"/>
      <c r="B21" s="7"/>
      <c r="C21" s="7"/>
      <c r="D21" s="3"/>
      <c r="E21" s="4"/>
      <c r="F21" s="7"/>
      <c r="G21" s="7"/>
      <c r="H21" s="7"/>
      <c r="I21" s="11"/>
      <c r="J21" s="15"/>
      <c r="K21" s="13"/>
      <c r="L21" s="13"/>
      <c r="M21" s="13"/>
      <c r="N21" s="11"/>
      <c r="O21" s="13"/>
      <c r="P21" s="13"/>
      <c r="Q21" s="13"/>
      <c r="R21" s="13" t="s">
        <v>469</v>
      </c>
      <c r="S21" s="54"/>
      <c r="T21" s="54"/>
      <c r="U21" s="54"/>
    </row>
    <row r="22" spans="1:28" x14ac:dyDescent="0.25">
      <c r="A22" s="6" t="s">
        <v>35</v>
      </c>
      <c r="B22" s="7" t="s">
        <v>137</v>
      </c>
      <c r="C22" s="7" t="s">
        <v>17</v>
      </c>
      <c r="D22" s="5" t="s">
        <v>36</v>
      </c>
      <c r="E22" s="4">
        <v>2009</v>
      </c>
      <c r="F22" s="7">
        <v>15</v>
      </c>
      <c r="G22" s="7">
        <f t="shared" si="9"/>
        <v>15</v>
      </c>
      <c r="H22" s="7">
        <f t="shared" si="3"/>
        <v>0</v>
      </c>
      <c r="I22" s="11">
        <v>5610</v>
      </c>
      <c r="J22" s="15"/>
      <c r="K22" s="13"/>
      <c r="L22" s="13">
        <f t="shared" ref="L22:L53" si="11">+I22+J22-K22</f>
        <v>5610</v>
      </c>
      <c r="M22" s="13">
        <f t="shared" si="5"/>
        <v>280.5</v>
      </c>
      <c r="N22" s="11">
        <v>3851.5800821917801</v>
      </c>
      <c r="O22" s="13">
        <v>1478</v>
      </c>
      <c r="P22" s="13">
        <f t="shared" ref="P22:P85" si="12">+N22+O22</f>
        <v>5329.5800821917801</v>
      </c>
      <c r="Q22" s="13"/>
      <c r="R22" s="13">
        <f t="shared" ref="R22:R53" si="13">+IF(H22&gt;0,(L22-P22-Q22),M22)</f>
        <v>280.5</v>
      </c>
      <c r="S22" s="54">
        <f>+L22-P22-Q22</f>
        <v>280.41991780821991</v>
      </c>
      <c r="T22" s="54">
        <f>+R22-S22</f>
        <v>8.0082191780093126E-2</v>
      </c>
      <c r="U22" s="54"/>
      <c r="V22" s="38"/>
      <c r="W22" s="38"/>
      <c r="X22" s="38"/>
    </row>
    <row r="23" spans="1:28" x14ac:dyDescent="0.25">
      <c r="A23" s="6" t="s">
        <v>35</v>
      </c>
      <c r="B23" s="7" t="s">
        <v>138</v>
      </c>
      <c r="C23" s="7" t="s">
        <v>17</v>
      </c>
      <c r="D23" s="5" t="s">
        <v>37</v>
      </c>
      <c r="E23" s="4">
        <v>2009</v>
      </c>
      <c r="F23" s="7">
        <v>15</v>
      </c>
      <c r="G23" s="7">
        <f t="shared" si="9"/>
        <v>15</v>
      </c>
      <c r="H23" s="7">
        <f t="shared" si="3"/>
        <v>0</v>
      </c>
      <c r="I23" s="11">
        <v>6170</v>
      </c>
      <c r="J23" s="15"/>
      <c r="K23" s="13"/>
      <c r="L23" s="13">
        <f t="shared" si="11"/>
        <v>6170</v>
      </c>
      <c r="M23" s="13">
        <f t="shared" si="5"/>
        <v>308.5</v>
      </c>
      <c r="N23" s="11">
        <v>4236.0515342465796</v>
      </c>
      <c r="O23" s="13">
        <v>1625</v>
      </c>
      <c r="P23" s="13">
        <f t="shared" si="12"/>
        <v>5861.0515342465796</v>
      </c>
      <c r="Q23" s="13"/>
      <c r="R23" s="13">
        <f t="shared" si="13"/>
        <v>308.5</v>
      </c>
      <c r="S23" s="54">
        <f t="shared" ref="S23:S86" si="14">+L23-P23-Q23</f>
        <v>308.94846575342035</v>
      </c>
      <c r="T23" s="54">
        <f t="shared" ref="T23:T86" si="15">+R23-S23</f>
        <v>-0.44846575342035067</v>
      </c>
      <c r="U23" s="54"/>
      <c r="V23" s="38"/>
      <c r="W23" s="38"/>
      <c r="X23" s="38"/>
    </row>
    <row r="24" spans="1:28" x14ac:dyDescent="0.25">
      <c r="A24" s="6" t="s">
        <v>35</v>
      </c>
      <c r="B24" s="7" t="s">
        <v>139</v>
      </c>
      <c r="C24" s="7" t="s">
        <v>17</v>
      </c>
      <c r="D24" s="5" t="s">
        <v>38</v>
      </c>
      <c r="E24" s="4">
        <v>2009</v>
      </c>
      <c r="F24" s="7">
        <v>15</v>
      </c>
      <c r="G24" s="7">
        <f t="shared" si="9"/>
        <v>15</v>
      </c>
      <c r="H24" s="7">
        <f t="shared" si="3"/>
        <v>0</v>
      </c>
      <c r="I24" s="11">
        <v>3000</v>
      </c>
      <c r="J24" s="15"/>
      <c r="K24" s="13"/>
      <c r="L24" s="13">
        <f t="shared" si="11"/>
        <v>3000</v>
      </c>
      <c r="M24" s="13">
        <f t="shared" si="5"/>
        <v>150</v>
      </c>
      <c r="N24" s="11">
        <v>2059.8386301369901</v>
      </c>
      <c r="O24" s="13">
        <v>790</v>
      </c>
      <c r="P24" s="13">
        <f t="shared" si="12"/>
        <v>2849.8386301369901</v>
      </c>
      <c r="Q24" s="13"/>
      <c r="R24" s="13">
        <f t="shared" si="13"/>
        <v>150</v>
      </c>
      <c r="S24" s="54">
        <f t="shared" si="14"/>
        <v>150.1613698630099</v>
      </c>
      <c r="T24" s="54">
        <f t="shared" si="15"/>
        <v>-0.1613698630098952</v>
      </c>
      <c r="U24" s="54"/>
      <c r="V24" s="38"/>
      <c r="W24" s="38"/>
      <c r="X24" s="38"/>
    </row>
    <row r="25" spans="1:28" x14ac:dyDescent="0.25">
      <c r="A25" s="6" t="s">
        <v>35</v>
      </c>
      <c r="B25" s="7" t="s">
        <v>140</v>
      </c>
      <c r="C25" s="7" t="s">
        <v>17</v>
      </c>
      <c r="D25" s="5" t="s">
        <v>39</v>
      </c>
      <c r="E25" s="4">
        <v>2009</v>
      </c>
      <c r="F25" s="7">
        <v>15</v>
      </c>
      <c r="G25" s="7">
        <f t="shared" si="9"/>
        <v>15</v>
      </c>
      <c r="H25" s="7">
        <f t="shared" si="3"/>
        <v>0</v>
      </c>
      <c r="I25" s="11">
        <v>192170.86</v>
      </c>
      <c r="J25" s="15"/>
      <c r="K25" s="13"/>
      <c r="L25" s="13">
        <f t="shared" si="11"/>
        <v>192170.86</v>
      </c>
      <c r="M25" s="13">
        <f t="shared" si="5"/>
        <v>9608.5429999999997</v>
      </c>
      <c r="N25" s="11">
        <v>131936.08854788999</v>
      </c>
      <c r="O25" s="13">
        <v>50626</v>
      </c>
      <c r="P25" s="13">
        <f t="shared" si="12"/>
        <v>182562.08854788999</v>
      </c>
      <c r="Q25" s="13"/>
      <c r="R25" s="13">
        <f t="shared" si="13"/>
        <v>9608.5429999999997</v>
      </c>
      <c r="S25" s="54">
        <f t="shared" si="14"/>
        <v>9608.7714521099988</v>
      </c>
      <c r="T25" s="54">
        <f t="shared" si="15"/>
        <v>-0.22845210999912524</v>
      </c>
      <c r="U25" s="54"/>
      <c r="V25" s="38"/>
      <c r="W25" s="38"/>
      <c r="X25" s="38"/>
    </row>
    <row r="26" spans="1:28" x14ac:dyDescent="0.25">
      <c r="A26" s="6" t="s">
        <v>35</v>
      </c>
      <c r="B26" s="7" t="s">
        <v>141</v>
      </c>
      <c r="C26" s="7" t="s">
        <v>17</v>
      </c>
      <c r="D26" s="5" t="s">
        <v>40</v>
      </c>
      <c r="E26" s="4">
        <v>2009</v>
      </c>
      <c r="F26" s="7">
        <v>15</v>
      </c>
      <c r="G26" s="7">
        <f t="shared" si="9"/>
        <v>15</v>
      </c>
      <c r="H26" s="7">
        <f t="shared" si="3"/>
        <v>0</v>
      </c>
      <c r="I26" s="11">
        <v>462675</v>
      </c>
      <c r="J26" s="15"/>
      <c r="K26" s="13"/>
      <c r="L26" s="13">
        <f t="shared" si="11"/>
        <v>462675</v>
      </c>
      <c r="M26" s="13">
        <f t="shared" si="5"/>
        <v>23133.75</v>
      </c>
      <c r="N26" s="11">
        <v>439541.25</v>
      </c>
      <c r="O26" s="13">
        <f t="shared" ref="O26:O53" si="16">+IF(H26&gt;0,((L26-M26)/F26),0)</f>
        <v>0</v>
      </c>
      <c r="P26" s="13">
        <f t="shared" si="12"/>
        <v>439541.25</v>
      </c>
      <c r="Q26" s="13"/>
      <c r="R26" s="13">
        <f t="shared" si="13"/>
        <v>23133.75</v>
      </c>
      <c r="S26" s="54">
        <f t="shared" si="14"/>
        <v>23133.75</v>
      </c>
      <c r="T26" s="54">
        <f t="shared" si="15"/>
        <v>0</v>
      </c>
      <c r="U26" s="54"/>
      <c r="V26" s="38"/>
      <c r="W26" s="38"/>
      <c r="X26" s="38"/>
    </row>
    <row r="27" spans="1:28" s="86" customFormat="1" x14ac:dyDescent="0.25">
      <c r="A27" s="69" t="s">
        <v>35</v>
      </c>
      <c r="B27" s="82" t="s">
        <v>142</v>
      </c>
      <c r="C27" s="82" t="s">
        <v>17</v>
      </c>
      <c r="D27" s="44" t="s">
        <v>41</v>
      </c>
      <c r="E27" s="52">
        <v>2010</v>
      </c>
      <c r="F27" s="82">
        <v>15</v>
      </c>
      <c r="G27" s="82">
        <f t="shared" si="9"/>
        <v>14</v>
      </c>
      <c r="H27" s="82">
        <f t="shared" si="3"/>
        <v>1</v>
      </c>
      <c r="I27" s="51">
        <v>2042990</v>
      </c>
      <c r="J27" s="53"/>
      <c r="K27" s="51">
        <v>2042990</v>
      </c>
      <c r="L27" s="51">
        <f t="shared" si="11"/>
        <v>0</v>
      </c>
      <c r="M27" s="51">
        <f t="shared" si="5"/>
        <v>0</v>
      </c>
      <c r="N27" s="51">
        <v>1706799.1711311201</v>
      </c>
      <c r="O27" s="51">
        <v>118607</v>
      </c>
      <c r="P27" s="51">
        <f t="shared" si="12"/>
        <v>1825406.1711311201</v>
      </c>
      <c r="Q27" s="51">
        <f>-1857004+31598</f>
        <v>-1825406</v>
      </c>
      <c r="R27" s="51">
        <v>0</v>
      </c>
      <c r="S27" s="54">
        <f t="shared" si="14"/>
        <v>-0.17113112006336451</v>
      </c>
      <c r="T27" s="54">
        <f t="shared" si="15"/>
        <v>0.17113112006336451</v>
      </c>
      <c r="U27" s="83"/>
      <c r="V27" s="84"/>
      <c r="W27" s="85">
        <v>45346</v>
      </c>
      <c r="X27" s="84"/>
      <c r="Y27" s="84">
        <f>+K27</f>
        <v>2042990</v>
      </c>
      <c r="Z27" s="101">
        <f>P27+31598</f>
        <v>1857004.1711311201</v>
      </c>
      <c r="AA27" s="84">
        <f>+Y27-Z27</f>
        <v>185985.82886887994</v>
      </c>
      <c r="AB27" s="84">
        <f>+X27-AA27</f>
        <v>-185985.82886887994</v>
      </c>
    </row>
    <row r="28" spans="1:28" ht="27.6" x14ac:dyDescent="0.25">
      <c r="A28" s="6" t="s">
        <v>35</v>
      </c>
      <c r="B28" s="7" t="s">
        <v>143</v>
      </c>
      <c r="C28" s="7" t="s">
        <v>17</v>
      </c>
      <c r="D28" s="5" t="s">
        <v>42</v>
      </c>
      <c r="E28" s="4">
        <v>2009</v>
      </c>
      <c r="F28" s="7">
        <v>15</v>
      </c>
      <c r="G28" s="7">
        <f t="shared" si="9"/>
        <v>15</v>
      </c>
      <c r="H28" s="7">
        <f t="shared" si="3"/>
        <v>0</v>
      </c>
      <c r="I28" s="11">
        <v>133875</v>
      </c>
      <c r="J28" s="15"/>
      <c r="K28" s="13"/>
      <c r="L28" s="13">
        <f t="shared" si="11"/>
        <v>133875</v>
      </c>
      <c r="M28" s="13">
        <f t="shared" si="5"/>
        <v>6693.75</v>
      </c>
      <c r="N28" s="11">
        <v>127181.25</v>
      </c>
      <c r="O28" s="13">
        <f t="shared" si="16"/>
        <v>0</v>
      </c>
      <c r="P28" s="13">
        <f t="shared" si="12"/>
        <v>127181.25</v>
      </c>
      <c r="Q28" s="13"/>
      <c r="R28" s="13">
        <f t="shared" si="13"/>
        <v>6693.75</v>
      </c>
      <c r="S28" s="54">
        <f t="shared" si="14"/>
        <v>6693.75</v>
      </c>
      <c r="T28" s="54">
        <f t="shared" si="15"/>
        <v>0</v>
      </c>
      <c r="U28" s="54"/>
      <c r="V28" s="38"/>
      <c r="W28" s="38"/>
      <c r="X28" s="38"/>
    </row>
    <row r="29" spans="1:28" x14ac:dyDescent="0.25">
      <c r="A29" s="6" t="s">
        <v>35</v>
      </c>
      <c r="B29" s="7" t="s">
        <v>144</v>
      </c>
      <c r="C29" s="7" t="s">
        <v>17</v>
      </c>
      <c r="D29" s="5" t="s">
        <v>43</v>
      </c>
      <c r="E29" s="4">
        <v>2010</v>
      </c>
      <c r="F29" s="7">
        <v>15</v>
      </c>
      <c r="G29" s="7">
        <f t="shared" si="9"/>
        <v>14</v>
      </c>
      <c r="H29" s="7">
        <f t="shared" si="3"/>
        <v>1</v>
      </c>
      <c r="I29" s="11">
        <v>502450</v>
      </c>
      <c r="J29" s="15"/>
      <c r="K29" s="13"/>
      <c r="L29" s="13">
        <f t="shared" si="11"/>
        <v>502450</v>
      </c>
      <c r="M29" s="13">
        <f t="shared" si="5"/>
        <v>25122.5</v>
      </c>
      <c r="N29" s="11">
        <v>344960.14479452098</v>
      </c>
      <c r="O29" s="13">
        <f t="shared" si="16"/>
        <v>31821.833333333332</v>
      </c>
      <c r="P29" s="13">
        <f t="shared" si="12"/>
        <v>376781.97812785429</v>
      </c>
      <c r="Q29" s="13"/>
      <c r="R29" s="13">
        <f t="shared" si="13"/>
        <v>125668.02187214571</v>
      </c>
      <c r="S29" s="54">
        <f t="shared" si="14"/>
        <v>125668.02187214571</v>
      </c>
      <c r="T29" s="54">
        <f t="shared" si="15"/>
        <v>0</v>
      </c>
      <c r="U29" s="54"/>
      <c r="V29" s="38"/>
      <c r="W29" s="38"/>
      <c r="X29" s="38"/>
    </row>
    <row r="30" spans="1:28" x14ac:dyDescent="0.25">
      <c r="A30" s="6" t="s">
        <v>35</v>
      </c>
      <c r="B30" s="7" t="s">
        <v>145</v>
      </c>
      <c r="C30" s="7" t="s">
        <v>17</v>
      </c>
      <c r="D30" s="5" t="s">
        <v>44</v>
      </c>
      <c r="E30" s="4">
        <v>2010</v>
      </c>
      <c r="F30" s="7">
        <v>15</v>
      </c>
      <c r="G30" s="7">
        <f t="shared" si="9"/>
        <v>14</v>
      </c>
      <c r="H30" s="7">
        <f t="shared" si="3"/>
        <v>1</v>
      </c>
      <c r="I30" s="11">
        <v>342039</v>
      </c>
      <c r="J30" s="15"/>
      <c r="K30" s="13"/>
      <c r="L30" s="13">
        <f t="shared" si="11"/>
        <v>342039</v>
      </c>
      <c r="M30" s="13">
        <f t="shared" si="5"/>
        <v>17101.95</v>
      </c>
      <c r="N30" s="11">
        <v>232573.669623875</v>
      </c>
      <c r="O30" s="13">
        <f t="shared" si="16"/>
        <v>21662.469999999998</v>
      </c>
      <c r="P30" s="13">
        <f t="shared" si="12"/>
        <v>254236.139623875</v>
      </c>
      <c r="Q30" s="13"/>
      <c r="R30" s="13">
        <f t="shared" si="13"/>
        <v>87802.860376124998</v>
      </c>
      <c r="S30" s="54">
        <f t="shared" si="14"/>
        <v>87802.860376124998</v>
      </c>
      <c r="T30" s="54">
        <f t="shared" si="15"/>
        <v>0</v>
      </c>
      <c r="U30" s="54"/>
      <c r="V30" s="38"/>
      <c r="W30" s="38"/>
      <c r="X30" s="38"/>
    </row>
    <row r="31" spans="1:28" x14ac:dyDescent="0.25">
      <c r="A31" s="6" t="s">
        <v>35</v>
      </c>
      <c r="B31" s="7" t="s">
        <v>146</v>
      </c>
      <c r="C31" s="7" t="s">
        <v>17</v>
      </c>
      <c r="D31" s="5" t="s">
        <v>45</v>
      </c>
      <c r="E31" s="4">
        <v>2010</v>
      </c>
      <c r="F31" s="7">
        <v>15</v>
      </c>
      <c r="G31" s="7">
        <f t="shared" si="9"/>
        <v>14</v>
      </c>
      <c r="H31" s="7">
        <f t="shared" si="3"/>
        <v>1</v>
      </c>
      <c r="I31" s="11">
        <v>35800</v>
      </c>
      <c r="J31" s="15"/>
      <c r="K31" s="13"/>
      <c r="L31" s="13">
        <f t="shared" si="11"/>
        <v>35800</v>
      </c>
      <c r="M31" s="13">
        <f t="shared" si="5"/>
        <v>1790</v>
      </c>
      <c r="N31" s="11">
        <v>26883.456516634102</v>
      </c>
      <c r="O31" s="13">
        <f t="shared" si="16"/>
        <v>2267.3333333333335</v>
      </c>
      <c r="P31" s="13">
        <f t="shared" si="12"/>
        <v>29150.789849967434</v>
      </c>
      <c r="Q31" s="13"/>
      <c r="R31" s="13">
        <f t="shared" si="13"/>
        <v>6649.2101500325662</v>
      </c>
      <c r="S31" s="54">
        <f t="shared" si="14"/>
        <v>6649.2101500325662</v>
      </c>
      <c r="T31" s="54">
        <f t="shared" si="15"/>
        <v>0</v>
      </c>
      <c r="U31" s="54"/>
      <c r="V31" s="38"/>
      <c r="W31" s="38"/>
      <c r="X31" s="38"/>
    </row>
    <row r="32" spans="1:28" x14ac:dyDescent="0.25">
      <c r="A32" s="6" t="s">
        <v>35</v>
      </c>
      <c r="B32" s="7" t="s">
        <v>147</v>
      </c>
      <c r="C32" s="7" t="s">
        <v>17</v>
      </c>
      <c r="D32" s="5" t="s">
        <v>46</v>
      </c>
      <c r="E32" s="4">
        <v>2010</v>
      </c>
      <c r="F32" s="7">
        <v>15</v>
      </c>
      <c r="G32" s="7">
        <f t="shared" si="9"/>
        <v>14</v>
      </c>
      <c r="H32" s="7">
        <f t="shared" si="3"/>
        <v>1</v>
      </c>
      <c r="I32" s="11">
        <v>472525</v>
      </c>
      <c r="J32" s="15"/>
      <c r="K32" s="13"/>
      <c r="L32" s="13">
        <f t="shared" si="11"/>
        <v>472525</v>
      </c>
      <c r="M32" s="13">
        <f t="shared" si="5"/>
        <v>23626.25</v>
      </c>
      <c r="N32" s="11">
        <v>324414.95157534198</v>
      </c>
      <c r="O32" s="13">
        <f t="shared" si="16"/>
        <v>29926.583333333332</v>
      </c>
      <c r="P32" s="13">
        <f t="shared" si="12"/>
        <v>354341.5349086753</v>
      </c>
      <c r="Q32" s="13"/>
      <c r="R32" s="13">
        <f t="shared" si="13"/>
        <v>118183.4650913247</v>
      </c>
      <c r="S32" s="54">
        <f t="shared" si="14"/>
        <v>118183.4650913247</v>
      </c>
      <c r="T32" s="54">
        <f t="shared" si="15"/>
        <v>0</v>
      </c>
      <c r="U32" s="54"/>
      <c r="V32" s="38"/>
      <c r="W32" s="38"/>
      <c r="X32" s="38"/>
    </row>
    <row r="33" spans="1:28" x14ac:dyDescent="0.25">
      <c r="A33" s="6" t="s">
        <v>35</v>
      </c>
      <c r="B33" s="7" t="s">
        <v>148</v>
      </c>
      <c r="C33" s="7" t="s">
        <v>17</v>
      </c>
      <c r="D33" s="5" t="s">
        <v>47</v>
      </c>
      <c r="E33" s="4">
        <v>2010</v>
      </c>
      <c r="F33" s="7">
        <v>15</v>
      </c>
      <c r="G33" s="7">
        <f t="shared" si="9"/>
        <v>14</v>
      </c>
      <c r="H33" s="7">
        <f t="shared" si="3"/>
        <v>1</v>
      </c>
      <c r="I33" s="11">
        <v>22421</v>
      </c>
      <c r="J33" s="15"/>
      <c r="K33" s="13"/>
      <c r="L33" s="13">
        <f t="shared" si="11"/>
        <v>22421</v>
      </c>
      <c r="M33" s="13">
        <f t="shared" si="5"/>
        <v>1121.05</v>
      </c>
      <c r="N33" s="11">
        <v>15393.275761643799</v>
      </c>
      <c r="O33" s="13">
        <f t="shared" si="16"/>
        <v>1419.9966666666667</v>
      </c>
      <c r="P33" s="13">
        <f t="shared" si="12"/>
        <v>16813.272428310465</v>
      </c>
      <c r="Q33" s="13"/>
      <c r="R33" s="13">
        <f t="shared" si="13"/>
        <v>5607.7275716895347</v>
      </c>
      <c r="S33" s="54">
        <f t="shared" si="14"/>
        <v>5607.7275716895347</v>
      </c>
      <c r="T33" s="54">
        <f t="shared" si="15"/>
        <v>0</v>
      </c>
      <c r="U33" s="54"/>
      <c r="V33" s="38"/>
      <c r="W33" s="38"/>
      <c r="X33" s="38"/>
    </row>
    <row r="34" spans="1:28" x14ac:dyDescent="0.25">
      <c r="A34" s="6" t="s">
        <v>35</v>
      </c>
      <c r="B34" s="7" t="s">
        <v>149</v>
      </c>
      <c r="C34" s="7" t="s">
        <v>17</v>
      </c>
      <c r="D34" s="5" t="s">
        <v>48</v>
      </c>
      <c r="E34" s="4">
        <v>2010</v>
      </c>
      <c r="F34" s="7">
        <v>15</v>
      </c>
      <c r="G34" s="7">
        <f t="shared" si="9"/>
        <v>14</v>
      </c>
      <c r="H34" s="7">
        <f t="shared" si="3"/>
        <v>1</v>
      </c>
      <c r="I34" s="11">
        <v>17810</v>
      </c>
      <c r="J34" s="15"/>
      <c r="K34" s="13"/>
      <c r="L34" s="13">
        <f t="shared" si="11"/>
        <v>17810</v>
      </c>
      <c r="M34" s="13">
        <f t="shared" si="5"/>
        <v>890.5</v>
      </c>
      <c r="N34" s="11">
        <v>12227.565287671199</v>
      </c>
      <c r="O34" s="13">
        <f t="shared" si="16"/>
        <v>1127.9666666666667</v>
      </c>
      <c r="P34" s="13">
        <f t="shared" si="12"/>
        <v>13355.531954337866</v>
      </c>
      <c r="Q34" s="13"/>
      <c r="R34" s="13">
        <f t="shared" si="13"/>
        <v>4454.4680456621336</v>
      </c>
      <c r="S34" s="54">
        <f t="shared" si="14"/>
        <v>4454.4680456621336</v>
      </c>
      <c r="T34" s="54">
        <f t="shared" si="15"/>
        <v>0</v>
      </c>
      <c r="U34" s="54"/>
      <c r="V34" s="38"/>
      <c r="W34" s="38"/>
      <c r="X34" s="38"/>
    </row>
    <row r="35" spans="1:28" x14ac:dyDescent="0.25">
      <c r="A35" s="6" t="s">
        <v>35</v>
      </c>
      <c r="B35" s="7" t="s">
        <v>150</v>
      </c>
      <c r="C35" s="7" t="s">
        <v>17</v>
      </c>
      <c r="D35" s="5" t="s">
        <v>49</v>
      </c>
      <c r="E35" s="4">
        <v>2009</v>
      </c>
      <c r="F35" s="7">
        <v>15</v>
      </c>
      <c r="G35" s="7">
        <f t="shared" si="9"/>
        <v>15</v>
      </c>
      <c r="H35" s="7">
        <f t="shared" si="3"/>
        <v>0</v>
      </c>
      <c r="I35" s="11">
        <v>1068092</v>
      </c>
      <c r="J35" s="15"/>
      <c r="K35" s="13"/>
      <c r="L35" s="13">
        <f t="shared" si="11"/>
        <v>1068092</v>
      </c>
      <c r="M35" s="13">
        <f t="shared" si="5"/>
        <v>53404.600000000006</v>
      </c>
      <c r="N35" s="11">
        <v>1014687.4</v>
      </c>
      <c r="O35" s="13">
        <f t="shared" si="16"/>
        <v>0</v>
      </c>
      <c r="P35" s="13">
        <f t="shared" si="12"/>
        <v>1014687.4</v>
      </c>
      <c r="Q35" s="13"/>
      <c r="R35" s="13">
        <f t="shared" si="13"/>
        <v>53404.600000000006</v>
      </c>
      <c r="S35" s="54">
        <f t="shared" si="14"/>
        <v>53404.599999999977</v>
      </c>
      <c r="T35" s="54">
        <f t="shared" si="15"/>
        <v>0</v>
      </c>
      <c r="U35" s="54"/>
      <c r="V35" s="38"/>
      <c r="W35" s="38"/>
      <c r="X35" s="38"/>
    </row>
    <row r="36" spans="1:28" x14ac:dyDescent="0.25">
      <c r="A36" s="6" t="s">
        <v>35</v>
      </c>
      <c r="B36" s="7" t="s">
        <v>151</v>
      </c>
      <c r="C36" s="7" t="s">
        <v>17</v>
      </c>
      <c r="D36" s="5" t="s">
        <v>50</v>
      </c>
      <c r="E36" s="4">
        <v>2009</v>
      </c>
      <c r="F36" s="7">
        <v>15</v>
      </c>
      <c r="G36" s="7">
        <f t="shared" si="9"/>
        <v>15</v>
      </c>
      <c r="H36" s="7">
        <f t="shared" si="3"/>
        <v>0</v>
      </c>
      <c r="I36" s="11">
        <v>1233975.06</v>
      </c>
      <c r="J36" s="15"/>
      <c r="K36" s="13"/>
      <c r="L36" s="13">
        <f t="shared" si="11"/>
        <v>1233975.06</v>
      </c>
      <c r="M36" s="13">
        <f t="shared" si="5"/>
        <v>61698.753000000004</v>
      </c>
      <c r="N36" s="11">
        <v>1172276.307</v>
      </c>
      <c r="O36" s="13">
        <f t="shared" si="16"/>
        <v>0</v>
      </c>
      <c r="P36" s="13">
        <f t="shared" si="12"/>
        <v>1172276.307</v>
      </c>
      <c r="Q36" s="13"/>
      <c r="R36" s="13">
        <f t="shared" si="13"/>
        <v>61698.753000000004</v>
      </c>
      <c r="S36" s="54">
        <f t="shared" si="14"/>
        <v>61698.753000000026</v>
      </c>
      <c r="T36" s="54">
        <f t="shared" si="15"/>
        <v>0</v>
      </c>
      <c r="U36" s="54"/>
      <c r="V36" s="38"/>
      <c r="W36" s="38"/>
      <c r="X36" s="38"/>
    </row>
    <row r="37" spans="1:28" x14ac:dyDescent="0.25">
      <c r="A37" s="6" t="s">
        <v>35</v>
      </c>
      <c r="B37" s="7" t="s">
        <v>152</v>
      </c>
      <c r="C37" s="7" t="s">
        <v>17</v>
      </c>
      <c r="D37" s="5" t="s">
        <v>47</v>
      </c>
      <c r="E37" s="4">
        <v>2011</v>
      </c>
      <c r="F37" s="7">
        <v>15</v>
      </c>
      <c r="G37" s="7">
        <f t="shared" si="9"/>
        <v>13</v>
      </c>
      <c r="H37" s="7">
        <f t="shared" si="3"/>
        <v>2</v>
      </c>
      <c r="I37" s="11">
        <v>10043</v>
      </c>
      <c r="J37" s="15"/>
      <c r="K37" s="13"/>
      <c r="L37" s="13">
        <f t="shared" si="11"/>
        <v>10043</v>
      </c>
      <c r="M37" s="13">
        <f t="shared" si="5"/>
        <v>502.15000000000003</v>
      </c>
      <c r="N37" s="11">
        <v>6520.0344800000003</v>
      </c>
      <c r="O37" s="13">
        <f t="shared" si="16"/>
        <v>636.05666666666673</v>
      </c>
      <c r="P37" s="13">
        <f t="shared" si="12"/>
        <v>7156.0911466666666</v>
      </c>
      <c r="Q37" s="13"/>
      <c r="R37" s="13">
        <f t="shared" si="13"/>
        <v>2886.9088533333334</v>
      </c>
      <c r="S37" s="54">
        <f t="shared" si="14"/>
        <v>2886.9088533333334</v>
      </c>
      <c r="T37" s="54">
        <f t="shared" si="15"/>
        <v>0</v>
      </c>
      <c r="U37" s="54"/>
      <c r="V37" s="38"/>
      <c r="W37" s="38"/>
      <c r="X37" s="38"/>
    </row>
    <row r="38" spans="1:28" s="86" customFormat="1" x14ac:dyDescent="0.25">
      <c r="A38" s="69" t="s">
        <v>35</v>
      </c>
      <c r="B38" s="82" t="s">
        <v>153</v>
      </c>
      <c r="C38" s="82" t="s">
        <v>17</v>
      </c>
      <c r="D38" s="44" t="s">
        <v>38</v>
      </c>
      <c r="E38" s="52">
        <v>2011</v>
      </c>
      <c r="F38" s="82">
        <v>15</v>
      </c>
      <c r="G38" s="82">
        <f t="shared" si="9"/>
        <v>13</v>
      </c>
      <c r="H38" s="82">
        <f t="shared" si="3"/>
        <v>2</v>
      </c>
      <c r="I38" s="51">
        <v>544266</v>
      </c>
      <c r="J38" s="53"/>
      <c r="K38" s="51">
        <v>544266</v>
      </c>
      <c r="L38" s="51">
        <f t="shared" si="11"/>
        <v>0</v>
      </c>
      <c r="M38" s="51">
        <f t="shared" si="5"/>
        <v>0</v>
      </c>
      <c r="N38" s="51">
        <v>354295.91376000002</v>
      </c>
      <c r="O38" s="51">
        <v>31598</v>
      </c>
      <c r="P38" s="51">
        <f t="shared" si="12"/>
        <v>385893.91376000002</v>
      </c>
      <c r="Q38" s="51">
        <f>-417492+31598</f>
        <v>-385894</v>
      </c>
      <c r="R38" s="51">
        <v>0</v>
      </c>
      <c r="S38" s="54">
        <f t="shared" si="14"/>
        <v>8.6239999975077808E-2</v>
      </c>
      <c r="T38" s="54">
        <f t="shared" si="15"/>
        <v>-8.6239999975077808E-2</v>
      </c>
      <c r="U38" s="83"/>
      <c r="V38" s="83"/>
      <c r="W38" s="85">
        <v>45346</v>
      </c>
      <c r="X38" s="84">
        <v>150000</v>
      </c>
      <c r="Y38" s="84">
        <f>+K38</f>
        <v>544266</v>
      </c>
      <c r="Z38" s="101">
        <f>P38+31598</f>
        <v>417491.91376000002</v>
      </c>
      <c r="AA38" s="84">
        <f>+Y38-Z38</f>
        <v>126774.08623999998</v>
      </c>
      <c r="AB38" s="84">
        <f>+X38-AA38</f>
        <v>23225.913760000025</v>
      </c>
    </row>
    <row r="39" spans="1:28" x14ac:dyDescent="0.25">
      <c r="A39" s="6" t="s">
        <v>35</v>
      </c>
      <c r="B39" s="7" t="s">
        <v>154</v>
      </c>
      <c r="C39" s="7" t="s">
        <v>17</v>
      </c>
      <c r="D39" s="5" t="s">
        <v>51</v>
      </c>
      <c r="E39" s="4">
        <v>2011</v>
      </c>
      <c r="F39" s="7">
        <v>15</v>
      </c>
      <c r="G39" s="7">
        <f t="shared" si="9"/>
        <v>13</v>
      </c>
      <c r="H39" s="7">
        <f t="shared" si="3"/>
        <v>2</v>
      </c>
      <c r="I39" s="11">
        <v>24135.53</v>
      </c>
      <c r="J39" s="15"/>
      <c r="K39" s="13"/>
      <c r="L39" s="13">
        <f t="shared" si="11"/>
        <v>24135.53</v>
      </c>
      <c r="M39" s="13">
        <f t="shared" si="5"/>
        <v>1206.7764999999999</v>
      </c>
      <c r="N39" s="11">
        <v>15753.679280799999</v>
      </c>
      <c r="O39" s="13">
        <f t="shared" si="16"/>
        <v>1528.5835666666667</v>
      </c>
      <c r="P39" s="13">
        <f t="shared" si="12"/>
        <v>17282.262847466667</v>
      </c>
      <c r="Q39" s="13"/>
      <c r="R39" s="13">
        <f t="shared" si="13"/>
        <v>6853.2671525333317</v>
      </c>
      <c r="S39" s="54">
        <f t="shared" si="14"/>
        <v>6853.2671525333317</v>
      </c>
      <c r="T39" s="54">
        <f t="shared" si="15"/>
        <v>0</v>
      </c>
      <c r="U39" s="54"/>
      <c r="V39" s="38"/>
      <c r="W39" s="38"/>
      <c r="X39" s="38"/>
    </row>
    <row r="40" spans="1:28" x14ac:dyDescent="0.25">
      <c r="A40" s="6" t="s">
        <v>35</v>
      </c>
      <c r="B40" s="7" t="s">
        <v>155</v>
      </c>
      <c r="C40" s="7" t="s">
        <v>17</v>
      </c>
      <c r="D40" s="5" t="s">
        <v>52</v>
      </c>
      <c r="E40" s="4">
        <v>2011</v>
      </c>
      <c r="F40" s="7">
        <v>15</v>
      </c>
      <c r="G40" s="7">
        <f t="shared" si="9"/>
        <v>13</v>
      </c>
      <c r="H40" s="7">
        <f t="shared" si="3"/>
        <v>2</v>
      </c>
      <c r="I40" s="11">
        <v>372912.44</v>
      </c>
      <c r="J40" s="15"/>
      <c r="K40" s="13"/>
      <c r="L40" s="13">
        <f t="shared" si="11"/>
        <v>372912.44</v>
      </c>
      <c r="M40" s="13">
        <f t="shared" si="5"/>
        <v>18645.621999999999</v>
      </c>
      <c r="N40" s="11">
        <v>241948.22299839999</v>
      </c>
      <c r="O40" s="13">
        <f t="shared" si="16"/>
        <v>23617.787866666669</v>
      </c>
      <c r="P40" s="13">
        <f t="shared" si="12"/>
        <v>265566.01086506667</v>
      </c>
      <c r="Q40" s="13"/>
      <c r="R40" s="13">
        <f t="shared" si="13"/>
        <v>107346.42913493334</v>
      </c>
      <c r="S40" s="54">
        <f t="shared" si="14"/>
        <v>107346.42913493334</v>
      </c>
      <c r="T40" s="54">
        <f t="shared" si="15"/>
        <v>0</v>
      </c>
      <c r="U40" s="54"/>
      <c r="V40" s="38"/>
      <c r="W40" s="38"/>
      <c r="X40" s="38"/>
    </row>
    <row r="41" spans="1:28" x14ac:dyDescent="0.25">
      <c r="A41" s="6" t="s">
        <v>35</v>
      </c>
      <c r="B41" s="7" t="s">
        <v>156</v>
      </c>
      <c r="C41" s="7" t="s">
        <v>17</v>
      </c>
      <c r="D41" s="5" t="s">
        <v>53</v>
      </c>
      <c r="E41" s="4">
        <v>2011</v>
      </c>
      <c r="F41" s="7">
        <v>15</v>
      </c>
      <c r="G41" s="7">
        <f t="shared" si="9"/>
        <v>13</v>
      </c>
      <c r="H41" s="7">
        <f t="shared" si="3"/>
        <v>2</v>
      </c>
      <c r="I41" s="11">
        <v>29342.41</v>
      </c>
      <c r="J41" s="15"/>
      <c r="K41" s="13"/>
      <c r="L41" s="13">
        <f t="shared" si="11"/>
        <v>29342.41</v>
      </c>
      <c r="M41" s="13">
        <f t="shared" si="5"/>
        <v>1467.1205</v>
      </c>
      <c r="N41" s="11">
        <v>19100.308797599999</v>
      </c>
      <c r="O41" s="13">
        <f t="shared" si="16"/>
        <v>1858.3526333333332</v>
      </c>
      <c r="P41" s="13">
        <f t="shared" si="12"/>
        <v>20958.661430933331</v>
      </c>
      <c r="Q41" s="13"/>
      <c r="R41" s="13">
        <f t="shared" si="13"/>
        <v>8383.748569066669</v>
      </c>
      <c r="S41" s="54">
        <f t="shared" si="14"/>
        <v>8383.748569066669</v>
      </c>
      <c r="T41" s="54">
        <f t="shared" si="15"/>
        <v>0</v>
      </c>
      <c r="U41" s="54"/>
      <c r="V41" s="38"/>
      <c r="W41" s="38"/>
      <c r="X41" s="38"/>
    </row>
    <row r="42" spans="1:28" x14ac:dyDescent="0.25">
      <c r="A42" s="6" t="s">
        <v>35</v>
      </c>
      <c r="B42" s="7" t="s">
        <v>157</v>
      </c>
      <c r="C42" s="7" t="s">
        <v>17</v>
      </c>
      <c r="D42" s="5" t="s">
        <v>54</v>
      </c>
      <c r="E42" s="4">
        <v>2011</v>
      </c>
      <c r="F42" s="7">
        <v>15</v>
      </c>
      <c r="G42" s="7">
        <f t="shared" si="9"/>
        <v>13</v>
      </c>
      <c r="H42" s="7">
        <f t="shared" si="3"/>
        <v>2</v>
      </c>
      <c r="I42" s="11">
        <v>40000</v>
      </c>
      <c r="J42" s="15"/>
      <c r="K42" s="13"/>
      <c r="L42" s="13">
        <f t="shared" si="11"/>
        <v>40000</v>
      </c>
      <c r="M42" s="13">
        <f t="shared" si="5"/>
        <v>2000</v>
      </c>
      <c r="N42" s="11">
        <v>25968</v>
      </c>
      <c r="O42" s="13">
        <f t="shared" si="16"/>
        <v>2533.3333333333335</v>
      </c>
      <c r="P42" s="13">
        <f t="shared" si="12"/>
        <v>28501.333333333332</v>
      </c>
      <c r="Q42" s="13"/>
      <c r="R42" s="13">
        <f t="shared" si="13"/>
        <v>11498.666666666668</v>
      </c>
      <c r="S42" s="54">
        <f t="shared" si="14"/>
        <v>11498.666666666668</v>
      </c>
      <c r="T42" s="54">
        <f t="shared" si="15"/>
        <v>0</v>
      </c>
      <c r="U42" s="54"/>
      <c r="V42" s="38"/>
      <c r="W42" s="38"/>
      <c r="X42" s="38"/>
    </row>
    <row r="43" spans="1:28" ht="27.6" x14ac:dyDescent="0.25">
      <c r="A43" s="6" t="s">
        <v>35</v>
      </c>
      <c r="B43" s="7" t="s">
        <v>158</v>
      </c>
      <c r="C43" s="7" t="s">
        <v>17</v>
      </c>
      <c r="D43" s="5" t="s">
        <v>55</v>
      </c>
      <c r="E43" s="4">
        <v>2011</v>
      </c>
      <c r="F43" s="7">
        <v>15</v>
      </c>
      <c r="G43" s="7">
        <f t="shared" si="9"/>
        <v>13</v>
      </c>
      <c r="H43" s="7">
        <f t="shared" si="3"/>
        <v>2</v>
      </c>
      <c r="I43" s="11">
        <v>151042.01</v>
      </c>
      <c r="J43" s="15"/>
      <c r="K43" s="13"/>
      <c r="L43" s="13">
        <f t="shared" si="11"/>
        <v>151042.01</v>
      </c>
      <c r="M43" s="13">
        <f t="shared" si="5"/>
        <v>7552.1005000000005</v>
      </c>
      <c r="N43" s="11">
        <v>98321.967453599995</v>
      </c>
      <c r="O43" s="13">
        <f t="shared" si="16"/>
        <v>9565.9939666666669</v>
      </c>
      <c r="P43" s="13">
        <f t="shared" si="12"/>
        <v>107887.96142026666</v>
      </c>
      <c r="Q43" s="13"/>
      <c r="R43" s="13">
        <f t="shared" si="13"/>
        <v>43154.048579733353</v>
      </c>
      <c r="S43" s="54">
        <f t="shared" si="14"/>
        <v>43154.048579733353</v>
      </c>
      <c r="T43" s="54">
        <f t="shared" si="15"/>
        <v>0</v>
      </c>
      <c r="U43" s="54"/>
      <c r="V43" s="38"/>
      <c r="W43" s="38"/>
      <c r="X43" s="38"/>
    </row>
    <row r="44" spans="1:28" x14ac:dyDescent="0.25">
      <c r="A44" s="6" t="s">
        <v>35</v>
      </c>
      <c r="B44" s="7" t="s">
        <v>159</v>
      </c>
      <c r="C44" s="7" t="s">
        <v>17</v>
      </c>
      <c r="D44" s="5" t="s">
        <v>56</v>
      </c>
      <c r="E44" s="4">
        <v>2011</v>
      </c>
      <c r="F44" s="7">
        <v>15</v>
      </c>
      <c r="G44" s="7">
        <f t="shared" si="9"/>
        <v>13</v>
      </c>
      <c r="H44" s="7">
        <f t="shared" si="3"/>
        <v>2</v>
      </c>
      <c r="I44" s="11">
        <v>232430.2</v>
      </c>
      <c r="J44" s="15"/>
      <c r="K44" s="13"/>
      <c r="L44" s="13">
        <f t="shared" si="11"/>
        <v>232430.2</v>
      </c>
      <c r="M44" s="13">
        <f t="shared" si="5"/>
        <v>11621.510000000002</v>
      </c>
      <c r="N44" s="11">
        <v>150893.591472</v>
      </c>
      <c r="O44" s="13">
        <f t="shared" si="16"/>
        <v>14720.579333333333</v>
      </c>
      <c r="P44" s="13">
        <f t="shared" si="12"/>
        <v>165614.17080533333</v>
      </c>
      <c r="Q44" s="13"/>
      <c r="R44" s="13">
        <f t="shared" si="13"/>
        <v>66816.029194666684</v>
      </c>
      <c r="S44" s="54">
        <f t="shared" si="14"/>
        <v>66816.029194666684</v>
      </c>
      <c r="T44" s="54">
        <f t="shared" si="15"/>
        <v>0</v>
      </c>
      <c r="U44" s="54"/>
      <c r="V44" s="38"/>
      <c r="W44" s="38"/>
      <c r="X44" s="38"/>
    </row>
    <row r="45" spans="1:28" x14ac:dyDescent="0.25">
      <c r="A45" s="6" t="s">
        <v>35</v>
      </c>
      <c r="B45" s="7" t="s">
        <v>160</v>
      </c>
      <c r="C45" s="7" t="s">
        <v>17</v>
      </c>
      <c r="D45" s="5" t="s">
        <v>57</v>
      </c>
      <c r="E45" s="4">
        <v>2011</v>
      </c>
      <c r="F45" s="7">
        <v>15</v>
      </c>
      <c r="G45" s="7">
        <f t="shared" si="9"/>
        <v>13</v>
      </c>
      <c r="H45" s="7">
        <f t="shared" si="3"/>
        <v>2</v>
      </c>
      <c r="I45" s="11">
        <v>22839</v>
      </c>
      <c r="J45" s="15"/>
      <c r="K45" s="13"/>
      <c r="L45" s="13">
        <f t="shared" si="11"/>
        <v>22839</v>
      </c>
      <c r="M45" s="13">
        <f t="shared" si="5"/>
        <v>1141.95</v>
      </c>
      <c r="N45" s="11">
        <v>14746.509040000001</v>
      </c>
      <c r="O45" s="13">
        <f t="shared" si="16"/>
        <v>1446.47</v>
      </c>
      <c r="P45" s="13">
        <f t="shared" si="12"/>
        <v>16192.97904</v>
      </c>
      <c r="Q45" s="13"/>
      <c r="R45" s="13">
        <f t="shared" si="13"/>
        <v>6646.0209599999998</v>
      </c>
      <c r="S45" s="54">
        <f t="shared" si="14"/>
        <v>6646.0209599999998</v>
      </c>
      <c r="T45" s="54">
        <f t="shared" si="15"/>
        <v>0</v>
      </c>
      <c r="U45" s="54"/>
      <c r="V45" s="38"/>
      <c r="W45" s="38"/>
      <c r="X45" s="38"/>
    </row>
    <row r="46" spans="1:28" x14ac:dyDescent="0.25">
      <c r="A46" s="6" t="s">
        <v>35</v>
      </c>
      <c r="B46" s="7" t="s">
        <v>161</v>
      </c>
      <c r="C46" s="7" t="s">
        <v>17</v>
      </c>
      <c r="D46" s="5" t="s">
        <v>58</v>
      </c>
      <c r="E46" s="4">
        <v>2011</v>
      </c>
      <c r="F46" s="7">
        <v>15</v>
      </c>
      <c r="G46" s="7">
        <f t="shared" si="9"/>
        <v>13</v>
      </c>
      <c r="H46" s="7">
        <f t="shared" si="3"/>
        <v>2</v>
      </c>
      <c r="I46" s="11">
        <v>46813</v>
      </c>
      <c r="J46" s="15"/>
      <c r="K46" s="13"/>
      <c r="L46" s="13">
        <f t="shared" si="11"/>
        <v>46813</v>
      </c>
      <c r="M46" s="13">
        <f t="shared" si="5"/>
        <v>2340.65</v>
      </c>
      <c r="N46" s="11">
        <v>30225.881679999999</v>
      </c>
      <c r="O46" s="13">
        <f t="shared" si="16"/>
        <v>2964.8233333333333</v>
      </c>
      <c r="P46" s="13">
        <f t="shared" si="12"/>
        <v>33190.705013333332</v>
      </c>
      <c r="Q46" s="13"/>
      <c r="R46" s="13">
        <f t="shared" si="13"/>
        <v>13622.294986666668</v>
      </c>
      <c r="S46" s="54">
        <f t="shared" si="14"/>
        <v>13622.294986666668</v>
      </c>
      <c r="T46" s="54">
        <f t="shared" si="15"/>
        <v>0</v>
      </c>
      <c r="U46" s="54"/>
      <c r="V46" s="38"/>
      <c r="W46" s="38"/>
      <c r="X46" s="38"/>
    </row>
    <row r="47" spans="1:28" ht="27.6" x14ac:dyDescent="0.25">
      <c r="A47" s="6" t="s">
        <v>35</v>
      </c>
      <c r="B47" s="7" t="s">
        <v>162</v>
      </c>
      <c r="C47" s="7" t="s">
        <v>17</v>
      </c>
      <c r="D47" s="5" t="s">
        <v>59</v>
      </c>
      <c r="E47" s="4">
        <v>2011</v>
      </c>
      <c r="F47" s="7">
        <v>15</v>
      </c>
      <c r="G47" s="7">
        <f t="shared" si="9"/>
        <v>13</v>
      </c>
      <c r="H47" s="7">
        <f t="shared" si="3"/>
        <v>2</v>
      </c>
      <c r="I47" s="11">
        <v>86700</v>
      </c>
      <c r="J47" s="15"/>
      <c r="K47" s="13"/>
      <c r="L47" s="13">
        <f t="shared" si="11"/>
        <v>86700</v>
      </c>
      <c r="M47" s="13">
        <f t="shared" si="5"/>
        <v>4335</v>
      </c>
      <c r="N47" s="11">
        <v>55980.311999999998</v>
      </c>
      <c r="O47" s="13">
        <f t="shared" si="16"/>
        <v>5491</v>
      </c>
      <c r="P47" s="13">
        <f t="shared" si="12"/>
        <v>61471.311999999998</v>
      </c>
      <c r="Q47" s="13"/>
      <c r="R47" s="13">
        <f t="shared" si="13"/>
        <v>25228.688000000002</v>
      </c>
      <c r="S47" s="54">
        <f t="shared" si="14"/>
        <v>25228.688000000002</v>
      </c>
      <c r="T47" s="54">
        <f t="shared" si="15"/>
        <v>0</v>
      </c>
      <c r="U47" s="54"/>
      <c r="V47" s="38"/>
      <c r="W47" s="38"/>
      <c r="X47" s="38"/>
    </row>
    <row r="48" spans="1:28" x14ac:dyDescent="0.25">
      <c r="A48" s="6" t="s">
        <v>35</v>
      </c>
      <c r="B48" s="7" t="s">
        <v>163</v>
      </c>
      <c r="C48" s="7" t="s">
        <v>17</v>
      </c>
      <c r="D48" s="5" t="s">
        <v>60</v>
      </c>
      <c r="E48" s="4">
        <v>2011</v>
      </c>
      <c r="F48" s="7">
        <v>15</v>
      </c>
      <c r="G48" s="7">
        <f t="shared" si="9"/>
        <v>13</v>
      </c>
      <c r="H48" s="7">
        <f t="shared" si="3"/>
        <v>2</v>
      </c>
      <c r="I48" s="11">
        <v>510000</v>
      </c>
      <c r="J48" s="15"/>
      <c r="K48" s="13"/>
      <c r="L48" s="13">
        <f t="shared" si="11"/>
        <v>510000</v>
      </c>
      <c r="M48" s="13">
        <f t="shared" si="5"/>
        <v>25500</v>
      </c>
      <c r="N48" s="11">
        <v>323911.2</v>
      </c>
      <c r="O48" s="13">
        <f t="shared" si="16"/>
        <v>32300</v>
      </c>
      <c r="P48" s="13">
        <f t="shared" si="12"/>
        <v>356211.20000000001</v>
      </c>
      <c r="Q48" s="13"/>
      <c r="R48" s="13">
        <f t="shared" si="13"/>
        <v>153788.79999999999</v>
      </c>
      <c r="S48" s="54">
        <f t="shared" si="14"/>
        <v>153788.79999999999</v>
      </c>
      <c r="T48" s="54">
        <f t="shared" si="15"/>
        <v>0</v>
      </c>
      <c r="U48" s="54"/>
      <c r="V48" s="38"/>
      <c r="W48" s="38"/>
      <c r="X48" s="38"/>
    </row>
    <row r="49" spans="1:28" x14ac:dyDescent="0.25">
      <c r="A49" s="6" t="s">
        <v>35</v>
      </c>
      <c r="B49" s="7" t="s">
        <v>164</v>
      </c>
      <c r="C49" s="7" t="s">
        <v>17</v>
      </c>
      <c r="D49" s="5" t="s">
        <v>61</v>
      </c>
      <c r="E49" s="4">
        <v>2011</v>
      </c>
      <c r="F49" s="7">
        <v>15</v>
      </c>
      <c r="G49" s="7">
        <f t="shared" si="9"/>
        <v>13</v>
      </c>
      <c r="H49" s="7">
        <f t="shared" si="3"/>
        <v>2</v>
      </c>
      <c r="I49" s="11">
        <v>10000</v>
      </c>
      <c r="J49" s="15"/>
      <c r="K49" s="13"/>
      <c r="L49" s="13">
        <f t="shared" si="11"/>
        <v>10000</v>
      </c>
      <c r="M49" s="13">
        <f t="shared" si="5"/>
        <v>500</v>
      </c>
      <c r="N49" s="11">
        <v>6333.6</v>
      </c>
      <c r="O49" s="13">
        <f t="shared" si="16"/>
        <v>633.33333333333337</v>
      </c>
      <c r="P49" s="13">
        <f t="shared" si="12"/>
        <v>6966.9333333333334</v>
      </c>
      <c r="Q49" s="13"/>
      <c r="R49" s="13">
        <f t="shared" si="13"/>
        <v>3033.0666666666666</v>
      </c>
      <c r="S49" s="54">
        <f t="shared" si="14"/>
        <v>3033.0666666666666</v>
      </c>
      <c r="T49" s="54">
        <f t="shared" si="15"/>
        <v>0</v>
      </c>
      <c r="U49" s="54"/>
      <c r="V49" s="38"/>
      <c r="W49" s="38"/>
      <c r="X49" s="38"/>
    </row>
    <row r="50" spans="1:28" x14ac:dyDescent="0.25">
      <c r="A50" s="6" t="s">
        <v>35</v>
      </c>
      <c r="B50" s="7" t="s">
        <v>165</v>
      </c>
      <c r="C50" s="7" t="s">
        <v>17</v>
      </c>
      <c r="D50" s="5" t="s">
        <v>62</v>
      </c>
      <c r="E50" s="4">
        <v>2012</v>
      </c>
      <c r="F50" s="7">
        <v>15</v>
      </c>
      <c r="G50" s="7">
        <f t="shared" si="9"/>
        <v>12</v>
      </c>
      <c r="H50" s="7">
        <f t="shared" si="3"/>
        <v>3</v>
      </c>
      <c r="I50" s="11">
        <v>7650</v>
      </c>
      <c r="J50" s="15"/>
      <c r="K50" s="13"/>
      <c r="L50" s="13">
        <f t="shared" si="11"/>
        <v>7650</v>
      </c>
      <c r="M50" s="13">
        <f t="shared" si="5"/>
        <v>382.5</v>
      </c>
      <c r="N50" s="11">
        <v>4573.9612500000003</v>
      </c>
      <c r="O50" s="13">
        <f t="shared" si="16"/>
        <v>484.5</v>
      </c>
      <c r="P50" s="13">
        <f t="shared" si="12"/>
        <v>5058.4612500000003</v>
      </c>
      <c r="Q50" s="13"/>
      <c r="R50" s="13">
        <f t="shared" si="13"/>
        <v>2591.5387499999997</v>
      </c>
      <c r="S50" s="54">
        <f t="shared" si="14"/>
        <v>2591.5387499999997</v>
      </c>
      <c r="T50" s="54">
        <f t="shared" si="15"/>
        <v>0</v>
      </c>
      <c r="U50" s="54"/>
      <c r="V50" s="38"/>
      <c r="W50" s="38"/>
      <c r="X50" s="38"/>
    </row>
    <row r="51" spans="1:28" x14ac:dyDescent="0.25">
      <c r="A51" s="6" t="s">
        <v>35</v>
      </c>
      <c r="B51" s="7" t="s">
        <v>166</v>
      </c>
      <c r="C51" s="7" t="s">
        <v>17</v>
      </c>
      <c r="D51" s="5" t="s">
        <v>63</v>
      </c>
      <c r="E51" s="4">
        <v>2012</v>
      </c>
      <c r="F51" s="7">
        <v>15</v>
      </c>
      <c r="G51" s="7">
        <f t="shared" si="9"/>
        <v>12</v>
      </c>
      <c r="H51" s="7">
        <f t="shared" si="3"/>
        <v>3</v>
      </c>
      <c r="I51" s="11">
        <v>363191</v>
      </c>
      <c r="J51" s="15"/>
      <c r="K51" s="13"/>
      <c r="L51" s="13">
        <f t="shared" si="11"/>
        <v>363191</v>
      </c>
      <c r="M51" s="13">
        <f t="shared" si="5"/>
        <v>18159.55</v>
      </c>
      <c r="N51" s="11">
        <v>217151.302325</v>
      </c>
      <c r="O51" s="13">
        <f t="shared" si="16"/>
        <v>23002.096666666668</v>
      </c>
      <c r="P51" s="13">
        <f t="shared" si="12"/>
        <v>240153.39899166668</v>
      </c>
      <c r="Q51" s="13"/>
      <c r="R51" s="13">
        <f t="shared" si="13"/>
        <v>123037.60100833332</v>
      </c>
      <c r="S51" s="54">
        <f t="shared" si="14"/>
        <v>123037.60100833332</v>
      </c>
      <c r="T51" s="54">
        <f t="shared" si="15"/>
        <v>0</v>
      </c>
      <c r="U51" s="54"/>
      <c r="V51" s="38"/>
      <c r="W51" s="38"/>
      <c r="X51" s="38"/>
    </row>
    <row r="52" spans="1:28" ht="27.6" x14ac:dyDescent="0.25">
      <c r="A52" s="6" t="s">
        <v>35</v>
      </c>
      <c r="B52" s="7" t="s">
        <v>167</v>
      </c>
      <c r="C52" s="7" t="s">
        <v>17</v>
      </c>
      <c r="D52" s="5" t="s">
        <v>64</v>
      </c>
      <c r="E52" s="4">
        <v>2012</v>
      </c>
      <c r="F52" s="7">
        <v>15</v>
      </c>
      <c r="G52" s="7">
        <f t="shared" si="9"/>
        <v>12</v>
      </c>
      <c r="H52" s="7">
        <f t="shared" si="3"/>
        <v>3</v>
      </c>
      <c r="I52" s="11">
        <v>362205.37</v>
      </c>
      <c r="J52" s="15"/>
      <c r="K52" s="13"/>
      <c r="L52" s="13">
        <f t="shared" si="11"/>
        <v>362205.37</v>
      </c>
      <c r="M52" s="13">
        <f t="shared" si="5"/>
        <v>18110.268500000002</v>
      </c>
      <c r="N52" s="11">
        <v>211406.94518775001</v>
      </c>
      <c r="O52" s="13">
        <f t="shared" si="16"/>
        <v>22939.673433333333</v>
      </c>
      <c r="P52" s="13">
        <f t="shared" si="12"/>
        <v>234346.61862108335</v>
      </c>
      <c r="Q52" s="13"/>
      <c r="R52" s="13">
        <f t="shared" si="13"/>
        <v>127858.75137891664</v>
      </c>
      <c r="S52" s="54">
        <f t="shared" si="14"/>
        <v>127858.75137891664</v>
      </c>
      <c r="T52" s="54">
        <f t="shared" si="15"/>
        <v>0</v>
      </c>
      <c r="U52" s="54"/>
      <c r="V52" s="38"/>
      <c r="W52" s="38"/>
      <c r="X52" s="38"/>
    </row>
    <row r="53" spans="1:28" x14ac:dyDescent="0.25">
      <c r="A53" s="6" t="s">
        <v>35</v>
      </c>
      <c r="B53" s="7" t="s">
        <v>168</v>
      </c>
      <c r="C53" s="7" t="s">
        <v>17</v>
      </c>
      <c r="D53" s="5" t="s">
        <v>65</v>
      </c>
      <c r="E53" s="4">
        <v>2012</v>
      </c>
      <c r="F53" s="7">
        <v>15</v>
      </c>
      <c r="G53" s="7">
        <f t="shared" si="9"/>
        <v>12</v>
      </c>
      <c r="H53" s="7">
        <f t="shared" si="3"/>
        <v>3</v>
      </c>
      <c r="I53" s="11">
        <v>64260</v>
      </c>
      <c r="J53" s="15"/>
      <c r="K53" s="13"/>
      <c r="L53" s="13">
        <f t="shared" si="11"/>
        <v>64260</v>
      </c>
      <c r="M53" s="13">
        <f t="shared" si="5"/>
        <v>3213</v>
      </c>
      <c r="N53" s="11">
        <v>38421.186999999998</v>
      </c>
      <c r="O53" s="13">
        <f t="shared" si="16"/>
        <v>4069.8</v>
      </c>
      <c r="P53" s="13">
        <f t="shared" si="12"/>
        <v>42490.987000000001</v>
      </c>
      <c r="Q53" s="13"/>
      <c r="R53" s="13">
        <f t="shared" si="13"/>
        <v>21769.012999999999</v>
      </c>
      <c r="S53" s="54">
        <f t="shared" si="14"/>
        <v>21769.012999999999</v>
      </c>
      <c r="T53" s="54">
        <f t="shared" si="15"/>
        <v>0</v>
      </c>
      <c r="U53" s="54"/>
      <c r="V53" s="38"/>
      <c r="W53" s="38"/>
      <c r="X53" s="38"/>
    </row>
    <row r="54" spans="1:28" x14ac:dyDescent="0.25">
      <c r="A54" s="6" t="s">
        <v>35</v>
      </c>
      <c r="B54" s="7" t="s">
        <v>169</v>
      </c>
      <c r="C54" s="7" t="s">
        <v>17</v>
      </c>
      <c r="D54" s="5" t="s">
        <v>66</v>
      </c>
      <c r="E54" s="4">
        <v>2014</v>
      </c>
      <c r="F54" s="7">
        <v>15</v>
      </c>
      <c r="G54" s="7">
        <f t="shared" si="9"/>
        <v>10</v>
      </c>
      <c r="H54" s="7">
        <f t="shared" si="3"/>
        <v>5</v>
      </c>
      <c r="I54" s="11">
        <v>570940</v>
      </c>
      <c r="J54" s="15"/>
      <c r="K54" s="13"/>
      <c r="L54" s="13">
        <f t="shared" ref="L54:L85" si="17">+I54+J54-K54</f>
        <v>570940</v>
      </c>
      <c r="M54" s="13">
        <f t="shared" si="5"/>
        <v>28547</v>
      </c>
      <c r="N54" s="11">
        <v>542393</v>
      </c>
      <c r="O54" s="13">
        <v>0</v>
      </c>
      <c r="P54" s="13">
        <f t="shared" si="12"/>
        <v>542393</v>
      </c>
      <c r="Q54" s="13"/>
      <c r="R54" s="13">
        <f t="shared" ref="R54:R85" si="18">+IF(H54&gt;0,(L54-P54-Q54),M54)</f>
        <v>28547</v>
      </c>
      <c r="S54" s="54">
        <f t="shared" si="14"/>
        <v>28547</v>
      </c>
      <c r="T54" s="54">
        <f t="shared" si="15"/>
        <v>0</v>
      </c>
      <c r="U54" s="54" t="s">
        <v>470</v>
      </c>
      <c r="V54" s="38"/>
      <c r="W54" s="38"/>
      <c r="X54" s="38"/>
    </row>
    <row r="55" spans="1:28" x14ac:dyDescent="0.25">
      <c r="A55" s="6" t="s">
        <v>35</v>
      </c>
      <c r="B55" s="7" t="s">
        <v>170</v>
      </c>
      <c r="C55" s="7" t="s">
        <v>17</v>
      </c>
      <c r="D55" s="5" t="s">
        <v>67</v>
      </c>
      <c r="E55" s="4">
        <v>2014</v>
      </c>
      <c r="F55" s="7">
        <v>15</v>
      </c>
      <c r="G55" s="7">
        <f t="shared" si="9"/>
        <v>10</v>
      </c>
      <c r="H55" s="7">
        <f t="shared" si="3"/>
        <v>5</v>
      </c>
      <c r="I55" s="11">
        <v>350225</v>
      </c>
      <c r="J55" s="15"/>
      <c r="K55" s="13"/>
      <c r="L55" s="13">
        <f t="shared" si="17"/>
        <v>350225</v>
      </c>
      <c r="M55" s="13">
        <f t="shared" si="5"/>
        <v>17511.25</v>
      </c>
      <c r="N55" s="11">
        <v>182089.867647059</v>
      </c>
      <c r="O55" s="13">
        <f t="shared" ref="O55:O85" si="19">+IF(H55&gt;0,((L55-M55)/F55),0)</f>
        <v>22180.916666666668</v>
      </c>
      <c r="P55" s="13">
        <f t="shared" si="12"/>
        <v>204270.78431372566</v>
      </c>
      <c r="Q55" s="13"/>
      <c r="R55" s="13">
        <f t="shared" si="18"/>
        <v>145954.21568627434</v>
      </c>
      <c r="S55" s="54">
        <f t="shared" si="14"/>
        <v>145954.21568627434</v>
      </c>
      <c r="T55" s="54">
        <f t="shared" si="15"/>
        <v>0</v>
      </c>
      <c r="U55" s="54"/>
      <c r="V55" s="38"/>
      <c r="W55" s="38"/>
      <c r="X55" s="38"/>
    </row>
    <row r="56" spans="1:28" x14ac:dyDescent="0.25">
      <c r="A56" s="6" t="s">
        <v>35</v>
      </c>
      <c r="B56" s="7" t="s">
        <v>171</v>
      </c>
      <c r="C56" s="7" t="s">
        <v>17</v>
      </c>
      <c r="D56" s="5" t="s">
        <v>61</v>
      </c>
      <c r="E56" s="4">
        <v>2014</v>
      </c>
      <c r="F56" s="7">
        <v>15</v>
      </c>
      <c r="G56" s="7">
        <f t="shared" si="9"/>
        <v>10</v>
      </c>
      <c r="H56" s="7">
        <f t="shared" si="3"/>
        <v>5</v>
      </c>
      <c r="I56" s="11">
        <v>15890</v>
      </c>
      <c r="J56" s="15"/>
      <c r="K56" s="13"/>
      <c r="L56" s="13">
        <f t="shared" si="17"/>
        <v>15890</v>
      </c>
      <c r="M56" s="13">
        <f t="shared" si="5"/>
        <v>794.5</v>
      </c>
      <c r="N56" s="11">
        <v>8287.7352941176505</v>
      </c>
      <c r="O56" s="13">
        <f t="shared" si="19"/>
        <v>1006.3666666666667</v>
      </c>
      <c r="P56" s="13">
        <f t="shared" si="12"/>
        <v>9294.1019607843173</v>
      </c>
      <c r="Q56" s="13"/>
      <c r="R56" s="13">
        <f t="shared" si="18"/>
        <v>6595.8980392156827</v>
      </c>
      <c r="S56" s="54">
        <f t="shared" si="14"/>
        <v>6595.8980392156827</v>
      </c>
      <c r="T56" s="54">
        <f t="shared" si="15"/>
        <v>0</v>
      </c>
      <c r="U56" s="54"/>
      <c r="V56" s="38"/>
      <c r="W56" s="38"/>
      <c r="X56" s="38"/>
    </row>
    <row r="57" spans="1:28" ht="27.6" x14ac:dyDescent="0.25">
      <c r="A57" s="6" t="s">
        <v>35</v>
      </c>
      <c r="B57" s="7" t="s">
        <v>172</v>
      </c>
      <c r="C57" s="7" t="s">
        <v>17</v>
      </c>
      <c r="D57" s="5" t="s">
        <v>68</v>
      </c>
      <c r="E57" s="4">
        <v>2014</v>
      </c>
      <c r="F57" s="7">
        <v>15</v>
      </c>
      <c r="G57" s="7">
        <f t="shared" si="9"/>
        <v>10</v>
      </c>
      <c r="H57" s="7">
        <f t="shared" si="3"/>
        <v>5</v>
      </c>
      <c r="I57" s="11">
        <v>96900</v>
      </c>
      <c r="J57" s="15"/>
      <c r="K57" s="13"/>
      <c r="L57" s="13">
        <f t="shared" si="17"/>
        <v>96900</v>
      </c>
      <c r="M57" s="13">
        <f t="shared" si="5"/>
        <v>4845</v>
      </c>
      <c r="N57" s="11">
        <v>49336.882352941197</v>
      </c>
      <c r="O57" s="13">
        <f t="shared" si="19"/>
        <v>6137</v>
      </c>
      <c r="P57" s="13">
        <f t="shared" si="12"/>
        <v>55473.882352941197</v>
      </c>
      <c r="Q57" s="13"/>
      <c r="R57" s="13">
        <f t="shared" si="18"/>
        <v>41426.117647058803</v>
      </c>
      <c r="S57" s="54">
        <f t="shared" si="14"/>
        <v>41426.117647058803</v>
      </c>
      <c r="T57" s="54">
        <f t="shared" si="15"/>
        <v>0</v>
      </c>
      <c r="U57" s="54"/>
      <c r="V57" s="38"/>
      <c r="W57" s="38"/>
      <c r="X57" s="38"/>
    </row>
    <row r="58" spans="1:28" x14ac:dyDescent="0.25">
      <c r="A58" s="6" t="s">
        <v>35</v>
      </c>
      <c r="B58" s="7" t="s">
        <v>173</v>
      </c>
      <c r="C58" s="7" t="s">
        <v>17</v>
      </c>
      <c r="D58" s="5" t="s">
        <v>69</v>
      </c>
      <c r="E58" s="4">
        <v>2014</v>
      </c>
      <c r="F58" s="7">
        <v>15</v>
      </c>
      <c r="G58" s="7">
        <f t="shared" si="9"/>
        <v>10</v>
      </c>
      <c r="H58" s="7">
        <f t="shared" si="3"/>
        <v>5</v>
      </c>
      <c r="I58" s="11">
        <v>219300</v>
      </c>
      <c r="J58" s="15"/>
      <c r="K58" s="13"/>
      <c r="L58" s="13">
        <f t="shared" si="17"/>
        <v>219300</v>
      </c>
      <c r="M58" s="13">
        <f t="shared" si="5"/>
        <v>10965</v>
      </c>
      <c r="N58" s="11">
        <v>111657.352941176</v>
      </c>
      <c r="O58" s="13">
        <f t="shared" si="19"/>
        <v>13889</v>
      </c>
      <c r="P58" s="13">
        <f t="shared" si="12"/>
        <v>125546.352941176</v>
      </c>
      <c r="Q58" s="13"/>
      <c r="R58" s="13">
        <f t="shared" si="18"/>
        <v>93753.647058824004</v>
      </c>
      <c r="S58" s="54">
        <f t="shared" si="14"/>
        <v>93753.647058824004</v>
      </c>
      <c r="T58" s="54">
        <f t="shared" si="15"/>
        <v>0</v>
      </c>
      <c r="U58" s="54"/>
      <c r="V58" s="38"/>
      <c r="W58" s="38"/>
      <c r="X58" s="38"/>
    </row>
    <row r="59" spans="1:28" x14ac:dyDescent="0.25">
      <c r="A59" s="6" t="s">
        <v>35</v>
      </c>
      <c r="B59" s="7" t="s">
        <v>174</v>
      </c>
      <c r="C59" s="7" t="s">
        <v>17</v>
      </c>
      <c r="D59" s="5" t="s">
        <v>70</v>
      </c>
      <c r="E59" s="4">
        <v>2014</v>
      </c>
      <c r="F59" s="7">
        <v>15</v>
      </c>
      <c r="G59" s="7">
        <f t="shared" si="9"/>
        <v>10</v>
      </c>
      <c r="H59" s="7">
        <f t="shared" si="3"/>
        <v>5</v>
      </c>
      <c r="I59" s="11">
        <v>90005</v>
      </c>
      <c r="J59" s="15"/>
      <c r="K59" s="13"/>
      <c r="L59" s="13">
        <f t="shared" si="17"/>
        <v>90005</v>
      </c>
      <c r="M59" s="13">
        <f t="shared" si="5"/>
        <v>4500.25</v>
      </c>
      <c r="N59" s="11">
        <v>45267.220588235301</v>
      </c>
      <c r="O59" s="13">
        <f t="shared" si="19"/>
        <v>5700.3166666666666</v>
      </c>
      <c r="P59" s="13">
        <f t="shared" si="12"/>
        <v>50967.537254901967</v>
      </c>
      <c r="Q59" s="13"/>
      <c r="R59" s="13">
        <f t="shared" si="18"/>
        <v>39037.462745098033</v>
      </c>
      <c r="S59" s="54">
        <f t="shared" si="14"/>
        <v>39037.462745098033</v>
      </c>
      <c r="T59" s="54">
        <f t="shared" si="15"/>
        <v>0</v>
      </c>
      <c r="U59" s="54"/>
      <c r="V59" s="38"/>
      <c r="W59" s="38"/>
      <c r="X59" s="38"/>
    </row>
    <row r="60" spans="1:28" ht="27.6" x14ac:dyDescent="0.25">
      <c r="A60" s="6" t="s">
        <v>35</v>
      </c>
      <c r="B60" s="7" t="s">
        <v>175</v>
      </c>
      <c r="C60" s="7" t="s">
        <v>17</v>
      </c>
      <c r="D60" s="5" t="s">
        <v>71</v>
      </c>
      <c r="E60" s="4">
        <v>2015</v>
      </c>
      <c r="F60" s="7">
        <v>15</v>
      </c>
      <c r="G60" s="7">
        <f t="shared" si="9"/>
        <v>9</v>
      </c>
      <c r="H60" s="7">
        <f t="shared" si="3"/>
        <v>6</v>
      </c>
      <c r="I60" s="11">
        <v>4500</v>
      </c>
      <c r="J60" s="15"/>
      <c r="K60" s="13"/>
      <c r="L60" s="13">
        <f t="shared" si="17"/>
        <v>4500</v>
      </c>
      <c r="M60" s="13">
        <f t="shared" si="5"/>
        <v>225</v>
      </c>
      <c r="N60" s="11">
        <v>2137.5</v>
      </c>
      <c r="O60" s="13">
        <f t="shared" si="19"/>
        <v>285</v>
      </c>
      <c r="P60" s="13">
        <f t="shared" si="12"/>
        <v>2422.5</v>
      </c>
      <c r="Q60" s="13"/>
      <c r="R60" s="13">
        <f t="shared" si="18"/>
        <v>2077.5</v>
      </c>
      <c r="S60" s="54">
        <f t="shared" si="14"/>
        <v>2077.5</v>
      </c>
      <c r="T60" s="54">
        <f t="shared" si="15"/>
        <v>0</v>
      </c>
      <c r="U60" s="54"/>
      <c r="V60" s="38"/>
      <c r="W60" s="38"/>
      <c r="X60" s="38"/>
    </row>
    <row r="61" spans="1:28" x14ac:dyDescent="0.25">
      <c r="A61" s="6" t="s">
        <v>35</v>
      </c>
      <c r="B61" s="7" t="s">
        <v>176</v>
      </c>
      <c r="C61" s="7" t="s">
        <v>17</v>
      </c>
      <c r="D61" s="5" t="s">
        <v>72</v>
      </c>
      <c r="E61" s="4">
        <v>2015</v>
      </c>
      <c r="F61" s="7">
        <v>15</v>
      </c>
      <c r="G61" s="7">
        <f t="shared" si="9"/>
        <v>9</v>
      </c>
      <c r="H61" s="7">
        <f t="shared" si="3"/>
        <v>6</v>
      </c>
      <c r="I61" s="11">
        <v>113462</v>
      </c>
      <c r="J61" s="15"/>
      <c r="K61" s="13"/>
      <c r="L61" s="13">
        <f t="shared" si="17"/>
        <v>113462</v>
      </c>
      <c r="M61" s="13">
        <f t="shared" si="5"/>
        <v>5673.1</v>
      </c>
      <c r="N61" s="11">
        <v>53894.45</v>
      </c>
      <c r="O61" s="13">
        <f t="shared" si="19"/>
        <v>7185.9266666666663</v>
      </c>
      <c r="P61" s="13">
        <f t="shared" si="12"/>
        <v>61080.376666666663</v>
      </c>
      <c r="Q61" s="13"/>
      <c r="R61" s="13">
        <f t="shared" si="18"/>
        <v>52381.623333333337</v>
      </c>
      <c r="S61" s="54">
        <f t="shared" si="14"/>
        <v>52381.623333333337</v>
      </c>
      <c r="T61" s="54">
        <f t="shared" si="15"/>
        <v>0</v>
      </c>
      <c r="U61" s="54"/>
      <c r="V61" s="38"/>
      <c r="W61" s="38"/>
      <c r="X61" s="38"/>
    </row>
    <row r="62" spans="1:28" x14ac:dyDescent="0.25">
      <c r="A62" s="6" t="s">
        <v>35</v>
      </c>
      <c r="B62" s="7" t="s">
        <v>177</v>
      </c>
      <c r="C62" s="7" t="s">
        <v>17</v>
      </c>
      <c r="D62" s="5" t="s">
        <v>67</v>
      </c>
      <c r="E62" s="4">
        <v>2015</v>
      </c>
      <c r="F62" s="7">
        <v>15</v>
      </c>
      <c r="G62" s="7">
        <f t="shared" si="9"/>
        <v>9</v>
      </c>
      <c r="H62" s="7">
        <f t="shared" si="3"/>
        <v>6</v>
      </c>
      <c r="I62" s="11">
        <v>273616</v>
      </c>
      <c r="J62" s="15"/>
      <c r="K62" s="13"/>
      <c r="L62" s="13">
        <f t="shared" si="17"/>
        <v>273616</v>
      </c>
      <c r="M62" s="13">
        <f t="shared" si="5"/>
        <v>13680.800000000001</v>
      </c>
      <c r="N62" s="11">
        <v>129967.6</v>
      </c>
      <c r="O62" s="13">
        <f t="shared" si="19"/>
        <v>17329.013333333332</v>
      </c>
      <c r="P62" s="13">
        <f t="shared" si="12"/>
        <v>147296.61333333334</v>
      </c>
      <c r="Q62" s="13"/>
      <c r="R62" s="13">
        <f t="shared" si="18"/>
        <v>126319.38666666666</v>
      </c>
      <c r="S62" s="54">
        <f t="shared" si="14"/>
        <v>126319.38666666666</v>
      </c>
      <c r="T62" s="54">
        <f t="shared" si="15"/>
        <v>0</v>
      </c>
      <c r="U62" s="54"/>
      <c r="V62" s="38"/>
      <c r="W62" s="38"/>
      <c r="X62" s="38"/>
    </row>
    <row r="63" spans="1:28" s="81" customFormat="1" x14ac:dyDescent="0.25">
      <c r="A63" s="74" t="s">
        <v>35</v>
      </c>
      <c r="B63" s="75" t="s">
        <v>178</v>
      </c>
      <c r="C63" s="75" t="s">
        <v>17</v>
      </c>
      <c r="D63" s="47" t="s">
        <v>41</v>
      </c>
      <c r="E63" s="76">
        <v>2011</v>
      </c>
      <c r="F63" s="75">
        <v>15</v>
      </c>
      <c r="G63" s="75">
        <f t="shared" si="9"/>
        <v>13</v>
      </c>
      <c r="H63" s="75">
        <f t="shared" si="3"/>
        <v>2</v>
      </c>
      <c r="I63" s="70">
        <v>2610810</v>
      </c>
      <c r="J63" s="77"/>
      <c r="K63" s="70"/>
      <c r="L63" s="70">
        <f t="shared" si="17"/>
        <v>2610810</v>
      </c>
      <c r="M63" s="70">
        <f t="shared" si="5"/>
        <v>130540.5</v>
      </c>
      <c r="N63" s="70">
        <v>1714818.68666667</v>
      </c>
      <c r="O63" s="70">
        <f t="shared" si="19"/>
        <v>165351.29999999999</v>
      </c>
      <c r="P63" s="70">
        <f t="shared" si="12"/>
        <v>1880169.9866666701</v>
      </c>
      <c r="Q63" s="70"/>
      <c r="R63" s="70">
        <f t="shared" si="18"/>
        <v>730640.01333332993</v>
      </c>
      <c r="S63" s="54">
        <f t="shared" si="14"/>
        <v>730640.01333332993</v>
      </c>
      <c r="T63" s="54">
        <f t="shared" si="15"/>
        <v>0</v>
      </c>
      <c r="U63" s="78"/>
      <c r="V63" s="79"/>
      <c r="W63" s="80"/>
      <c r="X63" s="80"/>
      <c r="Y63" s="80"/>
      <c r="Z63" s="80"/>
      <c r="AA63" s="80"/>
    </row>
    <row r="64" spans="1:28" s="73" customFormat="1" x14ac:dyDescent="0.25">
      <c r="A64" s="69" t="s">
        <v>35</v>
      </c>
      <c r="B64" s="49" t="s">
        <v>179</v>
      </c>
      <c r="C64" s="49" t="s">
        <v>17</v>
      </c>
      <c r="D64" s="44" t="s">
        <v>41</v>
      </c>
      <c r="E64" s="52">
        <v>2012</v>
      </c>
      <c r="F64" s="49">
        <v>15</v>
      </c>
      <c r="G64" s="49">
        <f t="shared" si="9"/>
        <v>12</v>
      </c>
      <c r="H64" s="49">
        <f t="shared" si="3"/>
        <v>3</v>
      </c>
      <c r="I64" s="51">
        <v>2109433.9</v>
      </c>
      <c r="J64" s="53"/>
      <c r="K64" s="50">
        <v>2109434</v>
      </c>
      <c r="L64" s="50">
        <f t="shared" si="17"/>
        <v>-0.10000000009313226</v>
      </c>
      <c r="M64" s="50">
        <f t="shared" si="5"/>
        <v>-5.0000000046566129E-3</v>
      </c>
      <c r="N64" s="51">
        <v>1303447.6986215001</v>
      </c>
      <c r="O64" s="50">
        <f t="shared" si="19"/>
        <v>-6.3333333392317096E-3</v>
      </c>
      <c r="P64" s="50">
        <f t="shared" si="12"/>
        <v>1303447.6922881666</v>
      </c>
      <c r="Q64" s="50">
        <v>-1303447.6922881701</v>
      </c>
      <c r="R64" s="50">
        <f t="shared" si="18"/>
        <v>-9.9999996600672603E-2</v>
      </c>
      <c r="S64" s="54">
        <f t="shared" si="14"/>
        <v>-9.9999996600672603E-2</v>
      </c>
      <c r="T64" s="54">
        <f t="shared" si="15"/>
        <v>0</v>
      </c>
      <c r="U64" s="59"/>
      <c r="V64" s="59"/>
      <c r="W64" s="71">
        <v>45346</v>
      </c>
      <c r="X64" s="72">
        <v>700000</v>
      </c>
      <c r="Y64" s="72">
        <f>+K64</f>
        <v>2109434</v>
      </c>
      <c r="Z64" s="100">
        <f>P64</f>
        <v>1303447.6922881666</v>
      </c>
      <c r="AA64" s="72">
        <f>+Y64-Z64</f>
        <v>805986.30771183339</v>
      </c>
      <c r="AB64" s="72">
        <f>+X64-AA64</f>
        <v>-105986.30771183339</v>
      </c>
    </row>
    <row r="65" spans="1:25" x14ac:dyDescent="0.25">
      <c r="A65" s="6" t="s">
        <v>35</v>
      </c>
      <c r="B65" s="7" t="s">
        <v>180</v>
      </c>
      <c r="C65" s="7" t="s">
        <v>17</v>
      </c>
      <c r="D65" s="5" t="s">
        <v>73</v>
      </c>
      <c r="E65" s="4">
        <v>2016</v>
      </c>
      <c r="F65" s="7">
        <v>15</v>
      </c>
      <c r="G65" s="7">
        <f t="shared" si="9"/>
        <v>8</v>
      </c>
      <c r="H65" s="7">
        <f t="shared" si="3"/>
        <v>7</v>
      </c>
      <c r="I65" s="11">
        <v>516375</v>
      </c>
      <c r="J65" s="15"/>
      <c r="K65" s="13"/>
      <c r="L65" s="13">
        <f t="shared" si="17"/>
        <v>516375</v>
      </c>
      <c r="M65" s="13">
        <f t="shared" si="5"/>
        <v>25818.75</v>
      </c>
      <c r="N65" s="11">
        <v>213926.785714286</v>
      </c>
      <c r="O65" s="13">
        <f t="shared" si="19"/>
        <v>32703.75</v>
      </c>
      <c r="P65" s="13">
        <f t="shared" si="12"/>
        <v>246630.535714286</v>
      </c>
      <c r="Q65" s="13"/>
      <c r="R65" s="13">
        <f t="shared" si="18"/>
        <v>269744.46428571397</v>
      </c>
      <c r="S65" s="54">
        <f t="shared" si="14"/>
        <v>269744.46428571397</v>
      </c>
      <c r="T65" s="54">
        <f t="shared" si="15"/>
        <v>0</v>
      </c>
      <c r="U65" s="54"/>
      <c r="V65" s="38"/>
      <c r="W65" s="38"/>
      <c r="X65" s="38"/>
    </row>
    <row r="66" spans="1:25" ht="27.6" x14ac:dyDescent="0.25">
      <c r="A66" s="6" t="s">
        <v>35</v>
      </c>
      <c r="B66" s="7" t="s">
        <v>181</v>
      </c>
      <c r="C66" s="7" t="s">
        <v>17</v>
      </c>
      <c r="D66" s="5" t="s">
        <v>74</v>
      </c>
      <c r="E66" s="4">
        <v>2016</v>
      </c>
      <c r="F66" s="7">
        <v>15</v>
      </c>
      <c r="G66" s="7">
        <f t="shared" si="9"/>
        <v>8</v>
      </c>
      <c r="H66" s="7">
        <f t="shared" si="3"/>
        <v>7</v>
      </c>
      <c r="I66" s="11">
        <v>252450</v>
      </c>
      <c r="J66" s="15"/>
      <c r="K66" s="13"/>
      <c r="L66" s="13">
        <f t="shared" si="17"/>
        <v>252450</v>
      </c>
      <c r="M66" s="13">
        <f t="shared" si="5"/>
        <v>12622.5</v>
      </c>
      <c r="N66" s="11">
        <v>239827.5</v>
      </c>
      <c r="O66" s="13">
        <v>0</v>
      </c>
      <c r="P66" s="13">
        <f t="shared" si="12"/>
        <v>239827.5</v>
      </c>
      <c r="Q66" s="13"/>
      <c r="R66" s="13">
        <f t="shared" si="18"/>
        <v>12622.5</v>
      </c>
      <c r="S66" s="54">
        <f t="shared" si="14"/>
        <v>12622.5</v>
      </c>
      <c r="T66" s="54">
        <f t="shared" si="15"/>
        <v>0</v>
      </c>
      <c r="U66" s="54"/>
      <c r="V66" s="38"/>
      <c r="W66" s="38"/>
      <c r="X66" s="38"/>
    </row>
    <row r="67" spans="1:25" ht="27.6" x14ac:dyDescent="0.25">
      <c r="A67" s="6" t="s">
        <v>35</v>
      </c>
      <c r="B67" s="7" t="s">
        <v>182</v>
      </c>
      <c r="C67" s="7" t="s">
        <v>17</v>
      </c>
      <c r="D67" s="5" t="s">
        <v>75</v>
      </c>
      <c r="E67" s="4">
        <v>2016</v>
      </c>
      <c r="F67" s="7">
        <v>15</v>
      </c>
      <c r="G67" s="7">
        <f t="shared" si="9"/>
        <v>8</v>
      </c>
      <c r="H67" s="7">
        <f t="shared" si="3"/>
        <v>7</v>
      </c>
      <c r="I67" s="11">
        <v>970031</v>
      </c>
      <c r="J67" s="15"/>
      <c r="K67" s="13"/>
      <c r="L67" s="13">
        <f t="shared" si="17"/>
        <v>970031</v>
      </c>
      <c r="M67" s="13">
        <f t="shared" si="5"/>
        <v>48501.55</v>
      </c>
      <c r="N67" s="11">
        <v>921529.45</v>
      </c>
      <c r="O67" s="13">
        <v>0</v>
      </c>
      <c r="P67" s="13">
        <f t="shared" si="12"/>
        <v>921529.45</v>
      </c>
      <c r="Q67" s="13"/>
      <c r="R67" s="13">
        <f t="shared" si="18"/>
        <v>48501.550000000047</v>
      </c>
      <c r="S67" s="54">
        <f t="shared" si="14"/>
        <v>48501.550000000047</v>
      </c>
      <c r="T67" s="54">
        <f t="shared" si="15"/>
        <v>0</v>
      </c>
      <c r="U67" s="54"/>
      <c r="V67" s="38"/>
      <c r="W67" s="38"/>
      <c r="X67" s="38"/>
    </row>
    <row r="68" spans="1:25" x14ac:dyDescent="0.25">
      <c r="A68" s="6" t="s">
        <v>35</v>
      </c>
      <c r="B68" s="7" t="s">
        <v>183</v>
      </c>
      <c r="C68" s="7" t="s">
        <v>17</v>
      </c>
      <c r="D68" s="5" t="s">
        <v>76</v>
      </c>
      <c r="E68" s="4">
        <v>2016</v>
      </c>
      <c r="F68" s="7">
        <v>15</v>
      </c>
      <c r="G68" s="7">
        <f t="shared" si="9"/>
        <v>8</v>
      </c>
      <c r="H68" s="7">
        <f t="shared" si="3"/>
        <v>7</v>
      </c>
      <c r="I68" s="11">
        <v>60000</v>
      </c>
      <c r="J68" s="15"/>
      <c r="K68" s="13"/>
      <c r="L68" s="13">
        <f t="shared" si="17"/>
        <v>60000</v>
      </c>
      <c r="M68" s="13">
        <f t="shared" si="5"/>
        <v>3000</v>
      </c>
      <c r="N68" s="11">
        <v>57000</v>
      </c>
      <c r="O68" s="13">
        <v>0</v>
      </c>
      <c r="P68" s="13">
        <f t="shared" si="12"/>
        <v>57000</v>
      </c>
      <c r="Q68" s="13"/>
      <c r="R68" s="13">
        <f t="shared" si="18"/>
        <v>3000</v>
      </c>
      <c r="S68" s="54">
        <f t="shared" si="14"/>
        <v>3000</v>
      </c>
      <c r="T68" s="54">
        <f t="shared" si="15"/>
        <v>0</v>
      </c>
      <c r="U68" s="54"/>
      <c r="V68" s="38"/>
      <c r="W68" s="38"/>
      <c r="X68" s="38"/>
    </row>
    <row r="69" spans="1:25" x14ac:dyDescent="0.25">
      <c r="A69" s="6" t="s">
        <v>35</v>
      </c>
      <c r="B69" s="7" t="s">
        <v>184</v>
      </c>
      <c r="C69" s="7" t="s">
        <v>17</v>
      </c>
      <c r="D69" s="5" t="s">
        <v>77</v>
      </c>
      <c r="E69" s="4">
        <v>2017</v>
      </c>
      <c r="F69" s="7">
        <v>15</v>
      </c>
      <c r="G69" s="7">
        <f t="shared" si="9"/>
        <v>7</v>
      </c>
      <c r="H69" s="7">
        <f t="shared" si="3"/>
        <v>8</v>
      </c>
      <c r="I69" s="11">
        <v>155346</v>
      </c>
      <c r="J69" s="15"/>
      <c r="K69" s="13"/>
      <c r="L69" s="13">
        <f t="shared" si="17"/>
        <v>155346</v>
      </c>
      <c r="M69" s="13">
        <f t="shared" si="5"/>
        <v>7767.3</v>
      </c>
      <c r="N69" s="11">
        <v>147578.70000000001</v>
      </c>
      <c r="O69" s="13">
        <v>0</v>
      </c>
      <c r="P69" s="13">
        <f t="shared" si="12"/>
        <v>147578.70000000001</v>
      </c>
      <c r="Q69" s="13"/>
      <c r="R69" s="13">
        <f t="shared" si="18"/>
        <v>7767.2999999999884</v>
      </c>
      <c r="S69" s="54">
        <f t="shared" si="14"/>
        <v>7767.2999999999884</v>
      </c>
      <c r="T69" s="54">
        <f t="shared" si="15"/>
        <v>0</v>
      </c>
      <c r="U69" s="54"/>
      <c r="V69" s="38"/>
      <c r="W69" s="38"/>
      <c r="X69" s="38"/>
    </row>
    <row r="70" spans="1:25" x14ac:dyDescent="0.25">
      <c r="A70" s="6" t="s">
        <v>35</v>
      </c>
      <c r="B70" s="7" t="s">
        <v>185</v>
      </c>
      <c r="C70" s="7" t="s">
        <v>17</v>
      </c>
      <c r="D70" s="5" t="s">
        <v>78</v>
      </c>
      <c r="E70" s="4">
        <v>2017</v>
      </c>
      <c r="F70" s="7">
        <v>15</v>
      </c>
      <c r="G70" s="7">
        <f t="shared" si="9"/>
        <v>7</v>
      </c>
      <c r="H70" s="7">
        <f t="shared" si="3"/>
        <v>8</v>
      </c>
      <c r="I70" s="11">
        <v>90520.43</v>
      </c>
      <c r="J70" s="15"/>
      <c r="K70" s="13"/>
      <c r="L70" s="13">
        <f t="shared" si="17"/>
        <v>90520.43</v>
      </c>
      <c r="M70" s="13">
        <f t="shared" si="5"/>
        <v>4526.0214999999998</v>
      </c>
      <c r="N70" s="11">
        <v>85994.408500000005</v>
      </c>
      <c r="O70" s="13">
        <v>0</v>
      </c>
      <c r="P70" s="13">
        <f t="shared" si="12"/>
        <v>85994.408500000005</v>
      </c>
      <c r="Q70" s="13"/>
      <c r="R70" s="13">
        <f t="shared" si="18"/>
        <v>4526.021499999988</v>
      </c>
      <c r="S70" s="54">
        <f t="shared" si="14"/>
        <v>4526.021499999988</v>
      </c>
      <c r="T70" s="54">
        <f t="shared" si="15"/>
        <v>0</v>
      </c>
      <c r="U70" s="54"/>
      <c r="V70" s="38"/>
      <c r="W70" s="38"/>
      <c r="X70" s="38"/>
    </row>
    <row r="71" spans="1:25" x14ac:dyDescent="0.25">
      <c r="A71" s="6" t="s">
        <v>35</v>
      </c>
      <c r="B71" s="7" t="s">
        <v>186</v>
      </c>
      <c r="C71" s="7" t="s">
        <v>17</v>
      </c>
      <c r="D71" s="5" t="s">
        <v>79</v>
      </c>
      <c r="E71" s="4">
        <v>2017</v>
      </c>
      <c r="F71" s="7">
        <v>15</v>
      </c>
      <c r="G71" s="7">
        <f t="shared" si="9"/>
        <v>7</v>
      </c>
      <c r="H71" s="7">
        <f t="shared" si="3"/>
        <v>8</v>
      </c>
      <c r="I71" s="11">
        <v>826.5</v>
      </c>
      <c r="J71" s="15"/>
      <c r="K71" s="13"/>
      <c r="L71" s="13">
        <f t="shared" si="17"/>
        <v>826.5</v>
      </c>
      <c r="M71" s="13">
        <f t="shared" si="5"/>
        <v>41.325000000000003</v>
      </c>
      <c r="N71" s="11">
        <v>785.17499999999995</v>
      </c>
      <c r="O71" s="13">
        <v>0</v>
      </c>
      <c r="P71" s="13">
        <f t="shared" si="12"/>
        <v>785.17499999999995</v>
      </c>
      <c r="Q71" s="13"/>
      <c r="R71" s="13">
        <f t="shared" si="18"/>
        <v>41.325000000000045</v>
      </c>
      <c r="S71" s="54">
        <f t="shared" si="14"/>
        <v>41.325000000000045</v>
      </c>
      <c r="T71" s="54">
        <f t="shared" si="15"/>
        <v>0</v>
      </c>
      <c r="U71" s="54"/>
      <c r="V71" s="38"/>
      <c r="W71" s="38"/>
      <c r="X71" s="38"/>
    </row>
    <row r="72" spans="1:25" s="73" customFormat="1" x14ac:dyDescent="0.25">
      <c r="A72" s="69" t="s">
        <v>35</v>
      </c>
      <c r="B72" s="49" t="s">
        <v>187</v>
      </c>
      <c r="C72" s="49" t="s">
        <v>17</v>
      </c>
      <c r="D72" s="44" t="s">
        <v>41</v>
      </c>
      <c r="E72" s="52">
        <v>2018</v>
      </c>
      <c r="F72" s="49">
        <v>15</v>
      </c>
      <c r="G72" s="49">
        <f t="shared" si="9"/>
        <v>6</v>
      </c>
      <c r="H72" s="49">
        <f t="shared" si="3"/>
        <v>9</v>
      </c>
      <c r="I72" s="70">
        <v>2119080</v>
      </c>
      <c r="J72" s="53"/>
      <c r="K72" s="50">
        <v>2119080</v>
      </c>
      <c r="L72" s="50">
        <f t="shared" si="17"/>
        <v>0</v>
      </c>
      <c r="M72" s="50">
        <f t="shared" si="5"/>
        <v>0</v>
      </c>
      <c r="N72" s="51">
        <v>2013126</v>
      </c>
      <c r="O72" s="50">
        <f t="shared" si="19"/>
        <v>0</v>
      </c>
      <c r="P72" s="50">
        <f t="shared" si="12"/>
        <v>2013126</v>
      </c>
      <c r="Q72" s="50">
        <v>-2013126</v>
      </c>
      <c r="R72" s="50">
        <f t="shared" si="18"/>
        <v>0</v>
      </c>
      <c r="S72" s="54">
        <f t="shared" si="14"/>
        <v>0</v>
      </c>
      <c r="T72" s="54">
        <f t="shared" si="15"/>
        <v>0</v>
      </c>
      <c r="U72" s="59"/>
      <c r="V72" s="59"/>
      <c r="W72" s="71">
        <v>45273</v>
      </c>
      <c r="X72" s="72"/>
      <c r="Y72" s="72"/>
    </row>
    <row r="73" spans="1:25" x14ac:dyDescent="0.25">
      <c r="A73" s="60" t="s">
        <v>35</v>
      </c>
      <c r="B73" s="61" t="s">
        <v>188</v>
      </c>
      <c r="C73" s="61" t="s">
        <v>17</v>
      </c>
      <c r="D73" s="62" t="s">
        <v>80</v>
      </c>
      <c r="E73" s="63">
        <v>2018</v>
      </c>
      <c r="F73" s="61">
        <v>15</v>
      </c>
      <c r="G73" s="61">
        <f t="shared" si="9"/>
        <v>6</v>
      </c>
      <c r="H73" s="61">
        <f t="shared" si="3"/>
        <v>9</v>
      </c>
      <c r="I73" s="64">
        <v>5851723</v>
      </c>
      <c r="J73" s="65"/>
      <c r="K73" s="66"/>
      <c r="L73" s="66">
        <f t="shared" si="17"/>
        <v>5851723</v>
      </c>
      <c r="M73" s="66">
        <f t="shared" si="5"/>
        <v>292586.15000000002</v>
      </c>
      <c r="N73" s="64">
        <v>5851723</v>
      </c>
      <c r="O73" s="66">
        <v>0</v>
      </c>
      <c r="P73" s="66">
        <f t="shared" si="12"/>
        <v>5851723</v>
      </c>
      <c r="Q73" s="66">
        <v>-292586</v>
      </c>
      <c r="R73" s="66">
        <f t="shared" si="18"/>
        <v>292586</v>
      </c>
      <c r="S73" s="54">
        <f t="shared" si="14"/>
        <v>292586</v>
      </c>
      <c r="T73" s="54">
        <f t="shared" si="15"/>
        <v>0</v>
      </c>
      <c r="U73" s="68"/>
      <c r="V73" s="67">
        <v>292586</v>
      </c>
      <c r="W73" s="38"/>
      <c r="X73" s="38"/>
    </row>
    <row r="74" spans="1:25" x14ac:dyDescent="0.25">
      <c r="A74" s="6" t="s">
        <v>35</v>
      </c>
      <c r="B74" s="7" t="s">
        <v>189</v>
      </c>
      <c r="C74" s="7" t="s">
        <v>17</v>
      </c>
      <c r="D74" s="5" t="s">
        <v>81</v>
      </c>
      <c r="E74" s="4">
        <v>2019</v>
      </c>
      <c r="F74" s="7">
        <v>15</v>
      </c>
      <c r="G74" s="7">
        <f t="shared" si="9"/>
        <v>5</v>
      </c>
      <c r="H74" s="7">
        <f t="shared" si="3"/>
        <v>10</v>
      </c>
      <c r="I74" s="11">
        <v>882500</v>
      </c>
      <c r="J74" s="15"/>
      <c r="K74" s="13"/>
      <c r="L74" s="13">
        <f t="shared" si="17"/>
        <v>882500</v>
      </c>
      <c r="M74" s="13">
        <f t="shared" si="5"/>
        <v>44125</v>
      </c>
      <c r="N74" s="11">
        <v>543065.49469049496</v>
      </c>
      <c r="O74" s="13">
        <f t="shared" si="19"/>
        <v>55891.666666666664</v>
      </c>
      <c r="P74" s="13">
        <f t="shared" si="12"/>
        <v>598957.16135716159</v>
      </c>
      <c r="Q74" s="13"/>
      <c r="R74" s="13">
        <f t="shared" si="18"/>
        <v>283542.83864283841</v>
      </c>
      <c r="S74" s="54">
        <f t="shared" si="14"/>
        <v>283542.83864283841</v>
      </c>
      <c r="T74" s="54">
        <f t="shared" si="15"/>
        <v>0</v>
      </c>
      <c r="U74" s="54"/>
      <c r="V74" s="38"/>
      <c r="W74" s="38"/>
      <c r="X74" s="38"/>
    </row>
    <row r="75" spans="1:25" x14ac:dyDescent="0.25">
      <c r="A75" s="6" t="s">
        <v>35</v>
      </c>
      <c r="B75" s="7" t="s">
        <v>190</v>
      </c>
      <c r="C75" s="7" t="s">
        <v>17</v>
      </c>
      <c r="D75" s="5" t="s">
        <v>76</v>
      </c>
      <c r="E75" s="4">
        <v>2019</v>
      </c>
      <c r="F75" s="7">
        <v>15</v>
      </c>
      <c r="G75" s="7">
        <f t="shared" si="9"/>
        <v>5</v>
      </c>
      <c r="H75" s="7">
        <f t="shared" ref="H75:H185" si="20">+IF(G75&lt;=F75,(F75-G75),0)</f>
        <v>10</v>
      </c>
      <c r="I75" s="11">
        <v>118458</v>
      </c>
      <c r="J75" s="15"/>
      <c r="K75" s="13"/>
      <c r="L75" s="13">
        <f t="shared" si="17"/>
        <v>118458</v>
      </c>
      <c r="M75" s="13">
        <f t="shared" ref="M75:M185" si="21">+L75*0.05</f>
        <v>5922.9000000000005</v>
      </c>
      <c r="N75" s="11">
        <v>75023.399999999994</v>
      </c>
      <c r="O75" s="13">
        <f t="shared" si="19"/>
        <v>7502.34</v>
      </c>
      <c r="P75" s="13">
        <f t="shared" si="12"/>
        <v>82525.739999999991</v>
      </c>
      <c r="Q75" s="13"/>
      <c r="R75" s="13">
        <f t="shared" si="18"/>
        <v>35932.260000000009</v>
      </c>
      <c r="S75" s="54">
        <f t="shared" si="14"/>
        <v>35932.260000000009</v>
      </c>
      <c r="T75" s="54">
        <f t="shared" si="15"/>
        <v>0</v>
      </c>
      <c r="U75" s="54"/>
      <c r="V75" s="38"/>
      <c r="W75" s="38"/>
      <c r="X75" s="38"/>
    </row>
    <row r="76" spans="1:25" x14ac:dyDescent="0.25">
      <c r="A76" s="6" t="s">
        <v>35</v>
      </c>
      <c r="B76" s="7" t="s">
        <v>191</v>
      </c>
      <c r="C76" s="7" t="s">
        <v>17</v>
      </c>
      <c r="D76" s="5" t="s">
        <v>76</v>
      </c>
      <c r="E76" s="4">
        <v>2019</v>
      </c>
      <c r="F76" s="7">
        <v>15</v>
      </c>
      <c r="G76" s="7">
        <f t="shared" ref="G76:G186" si="22">2024-E76</f>
        <v>5</v>
      </c>
      <c r="H76" s="7">
        <f t="shared" si="20"/>
        <v>10</v>
      </c>
      <c r="I76" s="11">
        <v>250273</v>
      </c>
      <c r="J76" s="15"/>
      <c r="K76" s="13"/>
      <c r="L76" s="13">
        <f t="shared" si="17"/>
        <v>250273</v>
      </c>
      <c r="M76" s="13">
        <f t="shared" si="21"/>
        <v>12513.650000000001</v>
      </c>
      <c r="N76" s="11">
        <v>237759.35</v>
      </c>
      <c r="O76" s="13">
        <v>0</v>
      </c>
      <c r="P76" s="13">
        <f t="shared" si="12"/>
        <v>237759.35</v>
      </c>
      <c r="Q76" s="13"/>
      <c r="R76" s="13">
        <f t="shared" si="18"/>
        <v>12513.649999999994</v>
      </c>
      <c r="S76" s="54">
        <f t="shared" si="14"/>
        <v>12513.649999999994</v>
      </c>
      <c r="T76" s="54">
        <f t="shared" si="15"/>
        <v>0</v>
      </c>
      <c r="U76" s="54"/>
      <c r="V76" s="45"/>
      <c r="W76" s="38"/>
      <c r="X76" s="38"/>
    </row>
    <row r="77" spans="1:25" ht="27.6" x14ac:dyDescent="0.25">
      <c r="A77" s="6" t="s">
        <v>35</v>
      </c>
      <c r="B77" s="7" t="s">
        <v>192</v>
      </c>
      <c r="C77" s="7" t="s">
        <v>17</v>
      </c>
      <c r="D77" s="5" t="s">
        <v>82</v>
      </c>
      <c r="E77" s="4">
        <v>2020</v>
      </c>
      <c r="F77" s="7">
        <v>15</v>
      </c>
      <c r="G77" s="7">
        <f t="shared" si="22"/>
        <v>4</v>
      </c>
      <c r="H77" s="7">
        <f t="shared" si="20"/>
        <v>11</v>
      </c>
      <c r="I77" s="11">
        <v>6903550</v>
      </c>
      <c r="J77" s="15"/>
      <c r="K77" s="13"/>
      <c r="L77" s="13">
        <f t="shared" si="17"/>
        <v>6903550</v>
      </c>
      <c r="M77" s="13">
        <f t="shared" si="21"/>
        <v>345177.5</v>
      </c>
      <c r="N77" s="11">
        <v>3604968.19511237</v>
      </c>
      <c r="O77" s="13">
        <f t="shared" si="19"/>
        <v>437224.83333333331</v>
      </c>
      <c r="P77" s="13">
        <f t="shared" si="12"/>
        <v>4042193.0284457034</v>
      </c>
      <c r="Q77" s="13"/>
      <c r="R77" s="13">
        <f t="shared" si="18"/>
        <v>2861356.9715542966</v>
      </c>
      <c r="S77" s="54">
        <f t="shared" si="14"/>
        <v>2861356.9715542966</v>
      </c>
      <c r="T77" s="54">
        <f t="shared" si="15"/>
        <v>0</v>
      </c>
      <c r="U77" s="54"/>
      <c r="V77" s="38"/>
      <c r="W77" s="38"/>
      <c r="X77" s="38"/>
    </row>
    <row r="78" spans="1:25" x14ac:dyDescent="0.25">
      <c r="A78" s="6" t="s">
        <v>35</v>
      </c>
      <c r="B78" s="7" t="s">
        <v>193</v>
      </c>
      <c r="C78" s="7" t="s">
        <v>17</v>
      </c>
      <c r="D78" s="5" t="s">
        <v>83</v>
      </c>
      <c r="E78" s="4">
        <v>2020</v>
      </c>
      <c r="F78" s="7">
        <v>15</v>
      </c>
      <c r="G78" s="7">
        <f t="shared" si="22"/>
        <v>4</v>
      </c>
      <c r="H78" s="7">
        <f t="shared" si="20"/>
        <v>11</v>
      </c>
      <c r="I78" s="11">
        <v>7654762.4199999999</v>
      </c>
      <c r="J78" s="15"/>
      <c r="K78" s="13"/>
      <c r="L78" s="13">
        <f t="shared" si="17"/>
        <v>7654762.4199999999</v>
      </c>
      <c r="M78" s="13">
        <f t="shared" si="21"/>
        <v>382738.12100000004</v>
      </c>
      <c r="N78" s="11">
        <v>5492431.7156763803</v>
      </c>
      <c r="O78" s="13">
        <f t="shared" si="19"/>
        <v>484801.61993333331</v>
      </c>
      <c r="P78" s="13">
        <f t="shared" si="12"/>
        <v>5977233.3356097136</v>
      </c>
      <c r="Q78" s="13"/>
      <c r="R78" s="13">
        <f t="shared" si="18"/>
        <v>1677529.0843902864</v>
      </c>
      <c r="S78" s="54">
        <f t="shared" si="14"/>
        <v>1677529.0843902864</v>
      </c>
      <c r="T78" s="54">
        <f t="shared" si="15"/>
        <v>0</v>
      </c>
      <c r="U78" s="54"/>
      <c r="V78" s="38"/>
      <c r="W78" s="38"/>
      <c r="X78" s="38"/>
    </row>
    <row r="79" spans="1:25" x14ac:dyDescent="0.25">
      <c r="A79" s="69" t="s">
        <v>35</v>
      </c>
      <c r="B79" s="49" t="s">
        <v>194</v>
      </c>
      <c r="C79" s="49" t="s">
        <v>17</v>
      </c>
      <c r="D79" s="44" t="s">
        <v>41</v>
      </c>
      <c r="E79" s="52">
        <v>2020</v>
      </c>
      <c r="F79" s="49">
        <v>15</v>
      </c>
      <c r="G79" s="49">
        <f t="shared" si="22"/>
        <v>4</v>
      </c>
      <c r="H79" s="49">
        <f t="shared" si="20"/>
        <v>11</v>
      </c>
      <c r="I79" s="51">
        <v>60000</v>
      </c>
      <c r="J79" s="53"/>
      <c r="K79" s="50"/>
      <c r="L79" s="50">
        <f t="shared" si="17"/>
        <v>60000</v>
      </c>
      <c r="M79" s="50">
        <f t="shared" si="21"/>
        <v>3000</v>
      </c>
      <c r="N79" s="51">
        <v>43225</v>
      </c>
      <c r="O79" s="50">
        <f t="shared" si="19"/>
        <v>3800</v>
      </c>
      <c r="P79" s="50">
        <f t="shared" si="12"/>
        <v>47025</v>
      </c>
      <c r="Q79" s="50"/>
      <c r="R79" s="50">
        <f t="shared" si="18"/>
        <v>12975</v>
      </c>
      <c r="S79" s="54">
        <f t="shared" si="14"/>
        <v>12975</v>
      </c>
      <c r="T79" s="54">
        <f t="shared" si="15"/>
        <v>0</v>
      </c>
      <c r="U79" s="54"/>
      <c r="V79" s="38"/>
      <c r="W79" s="38"/>
      <c r="X79" s="38"/>
    </row>
    <row r="80" spans="1:25" x14ac:dyDescent="0.25">
      <c r="A80" s="6" t="s">
        <v>35</v>
      </c>
      <c r="B80" s="7" t="s">
        <v>195</v>
      </c>
      <c r="C80" s="7" t="s">
        <v>17</v>
      </c>
      <c r="D80" s="5" t="s">
        <v>84</v>
      </c>
      <c r="E80" s="4">
        <v>2020</v>
      </c>
      <c r="F80" s="7">
        <v>15</v>
      </c>
      <c r="G80" s="7">
        <f t="shared" si="22"/>
        <v>4</v>
      </c>
      <c r="H80" s="7">
        <f t="shared" si="20"/>
        <v>11</v>
      </c>
      <c r="I80" s="11">
        <v>1602975</v>
      </c>
      <c r="J80" s="15"/>
      <c r="K80" s="13"/>
      <c r="L80" s="13">
        <f t="shared" si="17"/>
        <v>1602975</v>
      </c>
      <c r="M80" s="13">
        <f t="shared" si="21"/>
        <v>80148.75</v>
      </c>
      <c r="N80" s="11">
        <v>943168.65793913405</v>
      </c>
      <c r="O80" s="13">
        <f t="shared" si="19"/>
        <v>101521.75</v>
      </c>
      <c r="P80" s="13">
        <f t="shared" si="12"/>
        <v>1044690.407939134</v>
      </c>
      <c r="Q80" s="13"/>
      <c r="R80" s="13">
        <f t="shared" si="18"/>
        <v>558284.59206086595</v>
      </c>
      <c r="S80" s="54">
        <f t="shared" si="14"/>
        <v>558284.59206086595</v>
      </c>
      <c r="T80" s="54">
        <f t="shared" si="15"/>
        <v>0</v>
      </c>
      <c r="U80" s="54"/>
      <c r="V80" s="38"/>
      <c r="W80" s="38"/>
      <c r="X80" s="38"/>
    </row>
    <row r="81" spans="1:28" x14ac:dyDescent="0.25">
      <c r="A81" s="6" t="s">
        <v>35</v>
      </c>
      <c r="B81" s="7" t="s">
        <v>196</v>
      </c>
      <c r="C81" s="7" t="s">
        <v>17</v>
      </c>
      <c r="D81" s="5" t="s">
        <v>85</v>
      </c>
      <c r="E81" s="4">
        <v>2021</v>
      </c>
      <c r="F81" s="7">
        <v>15</v>
      </c>
      <c r="G81" s="7">
        <f t="shared" si="22"/>
        <v>3</v>
      </c>
      <c r="H81" s="7">
        <f t="shared" si="20"/>
        <v>12</v>
      </c>
      <c r="I81" s="11">
        <v>44240963</v>
      </c>
      <c r="J81" s="15"/>
      <c r="K81" s="13"/>
      <c r="L81" s="13">
        <f t="shared" si="17"/>
        <v>44240963</v>
      </c>
      <c r="M81" s="13">
        <f t="shared" si="21"/>
        <v>2212048.15</v>
      </c>
      <c r="N81" s="11">
        <v>41990472</v>
      </c>
      <c r="O81" s="13">
        <v>38443</v>
      </c>
      <c r="P81" s="13">
        <f t="shared" si="12"/>
        <v>42028915</v>
      </c>
      <c r="Q81" s="13"/>
      <c r="R81" s="13">
        <f t="shared" si="18"/>
        <v>2212048</v>
      </c>
      <c r="S81" s="54">
        <f t="shared" si="14"/>
        <v>2212048</v>
      </c>
      <c r="T81" s="54">
        <f t="shared" si="15"/>
        <v>0</v>
      </c>
      <c r="U81" s="54"/>
      <c r="V81" s="38"/>
      <c r="W81" s="38"/>
      <c r="X81" s="38"/>
    </row>
    <row r="82" spans="1:28" ht="41.4" x14ac:dyDescent="0.25">
      <c r="A82" s="6" t="s">
        <v>35</v>
      </c>
      <c r="B82" s="7" t="s">
        <v>197</v>
      </c>
      <c r="C82" s="7" t="s">
        <v>17</v>
      </c>
      <c r="D82" s="5" t="s">
        <v>86</v>
      </c>
      <c r="E82" s="4">
        <v>2021</v>
      </c>
      <c r="F82" s="7">
        <v>15</v>
      </c>
      <c r="G82" s="7">
        <f t="shared" si="22"/>
        <v>3</v>
      </c>
      <c r="H82" s="7">
        <f t="shared" si="20"/>
        <v>12</v>
      </c>
      <c r="I82" s="11">
        <v>5843045</v>
      </c>
      <c r="J82" s="15"/>
      <c r="K82" s="13"/>
      <c r="L82" s="13">
        <f t="shared" si="17"/>
        <v>5843045</v>
      </c>
      <c r="M82" s="13">
        <f t="shared" si="21"/>
        <v>292152.25</v>
      </c>
      <c r="N82" s="11">
        <v>5550892</v>
      </c>
      <c r="O82" s="13">
        <v>0</v>
      </c>
      <c r="P82" s="13">
        <f t="shared" si="12"/>
        <v>5550892</v>
      </c>
      <c r="Q82" s="13"/>
      <c r="R82" s="13">
        <f t="shared" si="18"/>
        <v>292153</v>
      </c>
      <c r="S82" s="54">
        <f t="shared" si="14"/>
        <v>292153</v>
      </c>
      <c r="T82" s="54">
        <f t="shared" si="15"/>
        <v>0</v>
      </c>
      <c r="U82" s="54"/>
      <c r="V82" s="38"/>
      <c r="W82" s="38"/>
      <c r="X82" s="38"/>
    </row>
    <row r="83" spans="1:28" ht="27.6" x14ac:dyDescent="0.25">
      <c r="A83" s="6" t="s">
        <v>35</v>
      </c>
      <c r="B83" s="7" t="s">
        <v>198</v>
      </c>
      <c r="C83" s="7" t="s">
        <v>17</v>
      </c>
      <c r="D83" s="5" t="s">
        <v>87</v>
      </c>
      <c r="E83" s="4">
        <v>2021</v>
      </c>
      <c r="F83" s="7">
        <v>15</v>
      </c>
      <c r="G83" s="7">
        <f t="shared" si="22"/>
        <v>3</v>
      </c>
      <c r="H83" s="7">
        <f t="shared" si="20"/>
        <v>12</v>
      </c>
      <c r="I83" s="11">
        <v>454136</v>
      </c>
      <c r="J83" s="15"/>
      <c r="K83" s="13"/>
      <c r="L83" s="13">
        <f t="shared" si="17"/>
        <v>454136</v>
      </c>
      <c r="M83" s="13">
        <f t="shared" si="21"/>
        <v>22706.800000000003</v>
      </c>
      <c r="N83" s="11">
        <v>397741.18</v>
      </c>
      <c r="O83" s="13">
        <f t="shared" si="19"/>
        <v>28761.946666666667</v>
      </c>
      <c r="P83" s="13">
        <f t="shared" si="12"/>
        <v>426503.12666666665</v>
      </c>
      <c r="Q83" s="13"/>
      <c r="R83" s="13">
        <f t="shared" si="18"/>
        <v>27632.873333333351</v>
      </c>
      <c r="S83" s="54">
        <f t="shared" si="14"/>
        <v>27632.873333333351</v>
      </c>
      <c r="T83" s="54">
        <f t="shared" si="15"/>
        <v>0</v>
      </c>
      <c r="U83" s="54"/>
      <c r="V83" s="38"/>
      <c r="W83" s="38"/>
      <c r="X83" s="38"/>
    </row>
    <row r="84" spans="1:28" x14ac:dyDescent="0.25">
      <c r="A84" s="6" t="s">
        <v>35</v>
      </c>
      <c r="B84" s="7" t="s">
        <v>199</v>
      </c>
      <c r="C84" s="7" t="s">
        <v>17</v>
      </c>
      <c r="D84" s="5" t="s">
        <v>88</v>
      </c>
      <c r="E84" s="4">
        <v>2021</v>
      </c>
      <c r="F84" s="7">
        <v>15</v>
      </c>
      <c r="G84" s="7">
        <f t="shared" si="22"/>
        <v>3</v>
      </c>
      <c r="H84" s="7">
        <f t="shared" si="20"/>
        <v>12</v>
      </c>
      <c r="I84" s="11">
        <v>5609209</v>
      </c>
      <c r="J84" s="15"/>
      <c r="K84" s="13"/>
      <c r="L84" s="13">
        <f t="shared" si="17"/>
        <v>5609209</v>
      </c>
      <c r="M84" s="13">
        <f t="shared" si="21"/>
        <v>280460.45</v>
      </c>
      <c r="N84" s="11">
        <v>5328748.55</v>
      </c>
      <c r="O84" s="13">
        <v>0</v>
      </c>
      <c r="P84" s="13">
        <f t="shared" si="12"/>
        <v>5328748.55</v>
      </c>
      <c r="Q84" s="13"/>
      <c r="R84" s="13">
        <f t="shared" si="18"/>
        <v>280460.45000000019</v>
      </c>
      <c r="S84" s="54">
        <f t="shared" si="14"/>
        <v>280460.45000000019</v>
      </c>
      <c r="T84" s="54">
        <f t="shared" si="15"/>
        <v>0</v>
      </c>
      <c r="U84" s="54"/>
      <c r="V84" s="38"/>
      <c r="W84" s="38"/>
      <c r="X84" s="38"/>
    </row>
    <row r="85" spans="1:28" s="73" customFormat="1" ht="55.2" x14ac:dyDescent="0.25">
      <c r="A85" s="69" t="s">
        <v>35</v>
      </c>
      <c r="B85" s="49" t="s">
        <v>200</v>
      </c>
      <c r="C85" s="49" t="s">
        <v>17</v>
      </c>
      <c r="D85" s="44" t="s">
        <v>89</v>
      </c>
      <c r="E85" s="52">
        <v>2021</v>
      </c>
      <c r="F85" s="49">
        <v>15</v>
      </c>
      <c r="G85" s="49">
        <f t="shared" si="22"/>
        <v>3</v>
      </c>
      <c r="H85" s="49">
        <f t="shared" si="20"/>
        <v>12</v>
      </c>
      <c r="I85" s="70">
        <v>2263675</v>
      </c>
      <c r="J85" s="53"/>
      <c r="K85" s="50">
        <v>2263675</v>
      </c>
      <c r="L85" s="50">
        <f t="shared" si="17"/>
        <v>0</v>
      </c>
      <c r="M85" s="50">
        <f t="shared" si="21"/>
        <v>0</v>
      </c>
      <c r="N85" s="51">
        <v>2150491.4966666698</v>
      </c>
      <c r="O85" s="50">
        <f t="shared" si="19"/>
        <v>0</v>
      </c>
      <c r="P85" s="50">
        <f t="shared" si="12"/>
        <v>2150491.4966666698</v>
      </c>
      <c r="Q85" s="50">
        <v>-2150491.4966666698</v>
      </c>
      <c r="R85" s="50">
        <f t="shared" si="18"/>
        <v>0</v>
      </c>
      <c r="S85" s="54">
        <f t="shared" si="14"/>
        <v>0</v>
      </c>
      <c r="T85" s="54">
        <f t="shared" si="15"/>
        <v>0</v>
      </c>
      <c r="U85" s="59"/>
      <c r="V85" s="59"/>
      <c r="W85" s="71">
        <v>45273</v>
      </c>
      <c r="X85" s="72"/>
      <c r="Y85" s="72"/>
    </row>
    <row r="86" spans="1:28" ht="27.6" x14ac:dyDescent="0.25">
      <c r="A86" s="6" t="s">
        <v>35</v>
      </c>
      <c r="B86" s="7" t="s">
        <v>201</v>
      </c>
      <c r="C86" s="7" t="s">
        <v>17</v>
      </c>
      <c r="D86" s="5" t="s">
        <v>90</v>
      </c>
      <c r="E86" s="4">
        <v>2021</v>
      </c>
      <c r="F86" s="7">
        <v>15</v>
      </c>
      <c r="G86" s="7">
        <f t="shared" si="22"/>
        <v>3</v>
      </c>
      <c r="H86" s="7">
        <f t="shared" si="20"/>
        <v>12</v>
      </c>
      <c r="I86" s="11">
        <v>415000</v>
      </c>
      <c r="J86" s="15"/>
      <c r="K86" s="13"/>
      <c r="L86" s="13">
        <f t="shared" ref="L86:L116" si="23">+I86+J86-K86</f>
        <v>415000</v>
      </c>
      <c r="M86" s="13">
        <f t="shared" si="21"/>
        <v>20750</v>
      </c>
      <c r="N86" s="11">
        <v>300293.44646097999</v>
      </c>
      <c r="O86" s="13">
        <f t="shared" ref="O86:O116" si="24">+IF(H86&gt;0,((L86-M86)/F86),0)</f>
        <v>26283.333333333332</v>
      </c>
      <c r="P86" s="13">
        <f t="shared" ref="P86:P104" si="25">+N86+O86</f>
        <v>326576.7797943133</v>
      </c>
      <c r="Q86" s="13"/>
      <c r="R86" s="13">
        <f t="shared" ref="R86:R104" si="26">+IF(H86&gt;0,(L86-P86-Q86),M86)</f>
        <v>88423.220205686695</v>
      </c>
      <c r="S86" s="54">
        <f t="shared" si="14"/>
        <v>88423.220205686695</v>
      </c>
      <c r="T86" s="54">
        <f t="shared" si="15"/>
        <v>0</v>
      </c>
      <c r="U86" s="54"/>
      <c r="V86" s="38"/>
      <c r="W86" s="38"/>
      <c r="X86" s="38"/>
    </row>
    <row r="87" spans="1:28" x14ac:dyDescent="0.25">
      <c r="A87" s="6" t="s">
        <v>35</v>
      </c>
      <c r="B87" s="7" t="s">
        <v>202</v>
      </c>
      <c r="C87" s="7" t="s">
        <v>17</v>
      </c>
      <c r="D87" s="5" t="s">
        <v>91</v>
      </c>
      <c r="E87" s="4">
        <v>1996</v>
      </c>
      <c r="F87" s="7">
        <v>15</v>
      </c>
      <c r="G87" s="7">
        <f t="shared" si="22"/>
        <v>28</v>
      </c>
      <c r="H87" s="7">
        <f t="shared" si="20"/>
        <v>0</v>
      </c>
      <c r="I87" s="12">
        <v>41247515.909999996</v>
      </c>
      <c r="J87" s="15"/>
      <c r="K87" s="13"/>
      <c r="L87" s="13">
        <f t="shared" si="23"/>
        <v>41247515.909999996</v>
      </c>
      <c r="M87" s="13">
        <f t="shared" si="21"/>
        <v>2062375.7955</v>
      </c>
      <c r="N87" s="39">
        <f>39751656.443952+40859-607375+553708</f>
        <v>39738848.443952002</v>
      </c>
      <c r="O87" s="13">
        <v>0</v>
      </c>
      <c r="P87" s="13">
        <f t="shared" si="25"/>
        <v>39738848.443952002</v>
      </c>
      <c r="Q87" s="13">
        <v>-553708</v>
      </c>
      <c r="R87" s="13">
        <f>+IF(H87&gt;0,(L87-P87+Q87),M87)</f>
        <v>2062375.7955</v>
      </c>
      <c r="S87" s="54">
        <f t="shared" ref="S87:S149" si="27">+L87-P87-Q87</f>
        <v>2062375.4660479948</v>
      </c>
      <c r="T87" s="54">
        <f t="shared" ref="T87:T149" si="28">+R87-S87</f>
        <v>0.32945200521498919</v>
      </c>
      <c r="U87" s="54">
        <f>+L87-M87</f>
        <v>39185140.114499994</v>
      </c>
      <c r="V87" s="38">
        <v>607375</v>
      </c>
      <c r="W87" s="38"/>
      <c r="X87" s="38"/>
    </row>
    <row r="88" spans="1:28" s="73" customFormat="1" ht="27.6" x14ac:dyDescent="0.25">
      <c r="A88" s="69" t="s">
        <v>35</v>
      </c>
      <c r="B88" s="49" t="s">
        <v>203</v>
      </c>
      <c r="C88" s="49" t="s">
        <v>17</v>
      </c>
      <c r="D88" s="44" t="s">
        <v>92</v>
      </c>
      <c r="E88" s="52">
        <v>2000</v>
      </c>
      <c r="F88" s="49">
        <v>15</v>
      </c>
      <c r="G88" s="49">
        <f t="shared" si="22"/>
        <v>24</v>
      </c>
      <c r="H88" s="49">
        <f t="shared" si="20"/>
        <v>0</v>
      </c>
      <c r="I88" s="51">
        <v>1450778</v>
      </c>
      <c r="J88" s="53"/>
      <c r="K88" s="50">
        <v>1450778</v>
      </c>
      <c r="L88" s="50">
        <f t="shared" si="23"/>
        <v>0</v>
      </c>
      <c r="M88" s="50">
        <f t="shared" si="21"/>
        <v>0</v>
      </c>
      <c r="N88" s="51">
        <v>1378238.6839999999</v>
      </c>
      <c r="O88" s="50">
        <f t="shared" si="24"/>
        <v>0</v>
      </c>
      <c r="P88" s="50">
        <f t="shared" si="25"/>
        <v>1378238.6839999999</v>
      </c>
      <c r="Q88" s="50">
        <v>-1378239</v>
      </c>
      <c r="R88" s="50">
        <f t="shared" si="26"/>
        <v>0</v>
      </c>
      <c r="S88" s="54">
        <f t="shared" si="27"/>
        <v>0.31600000010803342</v>
      </c>
      <c r="T88" s="54">
        <f t="shared" si="28"/>
        <v>-0.31600000010803342</v>
      </c>
      <c r="U88" s="59">
        <f>+P87-U87</f>
        <v>553708.32945200801</v>
      </c>
      <c r="V88" s="59"/>
      <c r="W88" s="71">
        <v>45346</v>
      </c>
      <c r="X88" s="72">
        <v>500000</v>
      </c>
      <c r="Y88" s="72">
        <f>+K88</f>
        <v>1450778</v>
      </c>
      <c r="Z88" s="100">
        <f>P88</f>
        <v>1378238.6839999999</v>
      </c>
      <c r="AA88" s="72">
        <f>+Y88-Z88</f>
        <v>72539.316000000108</v>
      </c>
      <c r="AB88" s="72">
        <f>+X88-AA88</f>
        <v>427460.68399999989</v>
      </c>
    </row>
    <row r="89" spans="1:28" x14ac:dyDescent="0.25">
      <c r="A89" s="6" t="s">
        <v>35</v>
      </c>
      <c r="B89" s="7" t="s">
        <v>204</v>
      </c>
      <c r="C89" s="7" t="s">
        <v>17</v>
      </c>
      <c r="D89" s="5" t="s">
        <v>93</v>
      </c>
      <c r="E89" s="4">
        <v>2005</v>
      </c>
      <c r="F89" s="7">
        <v>15</v>
      </c>
      <c r="G89" s="7">
        <f t="shared" si="22"/>
        <v>19</v>
      </c>
      <c r="H89" s="7">
        <f t="shared" si="20"/>
        <v>0</v>
      </c>
      <c r="I89" s="12">
        <v>1856608.7</v>
      </c>
      <c r="J89" s="15"/>
      <c r="K89" s="13"/>
      <c r="L89" s="13">
        <f t="shared" si="23"/>
        <v>1856608.7</v>
      </c>
      <c r="M89" s="13">
        <f t="shared" si="21"/>
        <v>92830.434999999998</v>
      </c>
      <c r="N89" s="39">
        <f>1763979.265-201</f>
        <v>1763778.2649999999</v>
      </c>
      <c r="O89" s="13">
        <v>0</v>
      </c>
      <c r="P89" s="13">
        <f t="shared" si="25"/>
        <v>1763778.2649999999</v>
      </c>
      <c r="Q89" s="13"/>
      <c r="R89" s="13">
        <f t="shared" si="26"/>
        <v>92830.434999999998</v>
      </c>
      <c r="S89" s="54">
        <f t="shared" si="27"/>
        <v>92830.435000000056</v>
      </c>
      <c r="T89" s="54">
        <f t="shared" si="28"/>
        <v>0</v>
      </c>
      <c r="U89" s="54"/>
      <c r="V89" s="38">
        <v>-201</v>
      </c>
      <c r="W89" s="38"/>
      <c r="X89" s="38"/>
      <c r="Y89" s="38"/>
      <c r="Z89" s="38"/>
      <c r="AA89" s="38"/>
    </row>
    <row r="90" spans="1:28" x14ac:dyDescent="0.25">
      <c r="A90" s="6" t="s">
        <v>35</v>
      </c>
      <c r="B90" s="7" t="s">
        <v>205</v>
      </c>
      <c r="C90" s="7" t="s">
        <v>17</v>
      </c>
      <c r="D90" s="5" t="s">
        <v>94</v>
      </c>
      <c r="E90" s="4">
        <v>2005</v>
      </c>
      <c r="F90" s="7">
        <v>15</v>
      </c>
      <c r="G90" s="7">
        <f t="shared" si="22"/>
        <v>19</v>
      </c>
      <c r="H90" s="7">
        <f t="shared" si="20"/>
        <v>0</v>
      </c>
      <c r="I90" s="12">
        <v>403479.82</v>
      </c>
      <c r="J90" s="15"/>
      <c r="K90" s="13"/>
      <c r="L90" s="13">
        <f t="shared" si="23"/>
        <v>403479.82</v>
      </c>
      <c r="M90" s="13">
        <f t="shared" si="21"/>
        <v>20173.991000000002</v>
      </c>
      <c r="N90" s="11">
        <v>383305.82900000003</v>
      </c>
      <c r="O90" s="13">
        <f t="shared" si="24"/>
        <v>0</v>
      </c>
      <c r="P90" s="13">
        <f t="shared" si="25"/>
        <v>383305.82900000003</v>
      </c>
      <c r="Q90" s="13"/>
      <c r="R90" s="13">
        <f t="shared" si="26"/>
        <v>20173.991000000002</v>
      </c>
      <c r="S90" s="54">
        <f t="shared" si="27"/>
        <v>20173.99099999998</v>
      </c>
      <c r="T90" s="54">
        <f t="shared" si="28"/>
        <v>0</v>
      </c>
      <c r="U90" s="54"/>
      <c r="V90" s="38"/>
      <c r="W90" s="38"/>
      <c r="X90" s="38"/>
    </row>
    <row r="91" spans="1:28" x14ac:dyDescent="0.25">
      <c r="A91" s="6" t="s">
        <v>35</v>
      </c>
      <c r="B91" s="7" t="s">
        <v>206</v>
      </c>
      <c r="C91" s="7" t="s">
        <v>17</v>
      </c>
      <c r="D91" s="5" t="s">
        <v>94</v>
      </c>
      <c r="E91" s="4">
        <v>2007</v>
      </c>
      <c r="F91" s="7">
        <v>15</v>
      </c>
      <c r="G91" s="7">
        <f t="shared" si="22"/>
        <v>17</v>
      </c>
      <c r="H91" s="7">
        <f t="shared" si="20"/>
        <v>0</v>
      </c>
      <c r="I91" s="12">
        <v>119644.6</v>
      </c>
      <c r="J91" s="15"/>
      <c r="K91" s="13"/>
      <c r="L91" s="13">
        <f t="shared" si="23"/>
        <v>119644.6</v>
      </c>
      <c r="M91" s="13">
        <f t="shared" si="21"/>
        <v>5982.2300000000005</v>
      </c>
      <c r="N91" s="39">
        <f>92619.8861066667+21042</f>
        <v>113661.8861066667</v>
      </c>
      <c r="O91" s="13">
        <v>0</v>
      </c>
      <c r="P91" s="13">
        <f t="shared" si="25"/>
        <v>113661.8861066667</v>
      </c>
      <c r="Q91" s="13"/>
      <c r="R91" s="13">
        <f t="shared" si="26"/>
        <v>5982.2300000000005</v>
      </c>
      <c r="S91" s="54">
        <f t="shared" si="27"/>
        <v>5982.7138933333044</v>
      </c>
      <c r="T91" s="54">
        <f t="shared" si="28"/>
        <v>-0.48389333330396767</v>
      </c>
      <c r="U91" s="54"/>
      <c r="V91" s="38">
        <v>-21042</v>
      </c>
      <c r="W91" s="38"/>
      <c r="X91" s="38"/>
    </row>
    <row r="92" spans="1:28" ht="27.6" x14ac:dyDescent="0.25">
      <c r="A92" s="6" t="s">
        <v>35</v>
      </c>
      <c r="B92" s="7" t="s">
        <v>207</v>
      </c>
      <c r="C92" s="7" t="s">
        <v>17</v>
      </c>
      <c r="D92" s="5" t="s">
        <v>95</v>
      </c>
      <c r="E92" s="4">
        <v>2007</v>
      </c>
      <c r="F92" s="7">
        <v>15</v>
      </c>
      <c r="G92" s="7">
        <f t="shared" si="22"/>
        <v>17</v>
      </c>
      <c r="H92" s="7">
        <f t="shared" si="20"/>
        <v>0</v>
      </c>
      <c r="I92" s="12">
        <v>564194</v>
      </c>
      <c r="J92" s="15"/>
      <c r="K92" s="13"/>
      <c r="L92" s="13">
        <f t="shared" si="23"/>
        <v>564194</v>
      </c>
      <c r="M92" s="13">
        <f t="shared" si="21"/>
        <v>28209.7</v>
      </c>
      <c r="N92" s="39">
        <f>474804.834933333+61179</f>
        <v>535983.83493333298</v>
      </c>
      <c r="O92" s="13">
        <v>0</v>
      </c>
      <c r="P92" s="13">
        <f t="shared" si="25"/>
        <v>535983.83493333298</v>
      </c>
      <c r="Q92" s="13"/>
      <c r="R92" s="13">
        <f t="shared" si="26"/>
        <v>28209.7</v>
      </c>
      <c r="S92" s="54">
        <f t="shared" si="27"/>
        <v>28210.165066667018</v>
      </c>
      <c r="T92" s="54">
        <f t="shared" si="28"/>
        <v>-0.46506666701679933</v>
      </c>
      <c r="U92" s="54"/>
      <c r="V92" s="38">
        <v>-61179</v>
      </c>
      <c r="W92" s="38"/>
      <c r="X92" s="38"/>
    </row>
    <row r="93" spans="1:28" s="73" customFormat="1" ht="27.6" x14ac:dyDescent="0.25">
      <c r="A93" s="69" t="s">
        <v>35</v>
      </c>
      <c r="B93" s="49" t="s">
        <v>208</v>
      </c>
      <c r="C93" s="49" t="s">
        <v>17</v>
      </c>
      <c r="D93" s="44" t="s">
        <v>96</v>
      </c>
      <c r="E93" s="52">
        <v>2007</v>
      </c>
      <c r="F93" s="49">
        <v>15</v>
      </c>
      <c r="G93" s="49">
        <f t="shared" si="22"/>
        <v>17</v>
      </c>
      <c r="H93" s="49">
        <f t="shared" si="20"/>
        <v>0</v>
      </c>
      <c r="I93" s="51">
        <v>799435</v>
      </c>
      <c r="J93" s="53"/>
      <c r="K93" s="50">
        <v>799435</v>
      </c>
      <c r="L93" s="50">
        <f t="shared" si="23"/>
        <v>0</v>
      </c>
      <c r="M93" s="50">
        <f t="shared" si="21"/>
        <v>0</v>
      </c>
      <c r="N93" s="51">
        <v>759463.17599999998</v>
      </c>
      <c r="O93" s="50">
        <f t="shared" si="24"/>
        <v>0</v>
      </c>
      <c r="P93" s="50">
        <f t="shared" si="25"/>
        <v>759463.17599999998</v>
      </c>
      <c r="Q93" s="50">
        <v>-759463</v>
      </c>
      <c r="R93" s="50">
        <f t="shared" si="26"/>
        <v>0</v>
      </c>
      <c r="S93" s="54">
        <f t="shared" si="27"/>
        <v>-0.17599999997764826</v>
      </c>
      <c r="T93" s="54">
        <f t="shared" si="28"/>
        <v>0.17599999997764826</v>
      </c>
      <c r="U93" s="59"/>
      <c r="V93" s="59"/>
      <c r="W93" s="71">
        <v>45357</v>
      </c>
      <c r="X93" s="72">
        <v>300000</v>
      </c>
      <c r="Y93" s="72">
        <f>+K93</f>
        <v>799435</v>
      </c>
      <c r="Z93" s="72">
        <f>P93</f>
        <v>759463.17599999998</v>
      </c>
      <c r="AA93" s="72">
        <f>+Y93-Z93</f>
        <v>39971.824000000022</v>
      </c>
      <c r="AB93" s="72">
        <f>+X93-AA93</f>
        <v>260028.17599999998</v>
      </c>
    </row>
    <row r="94" spans="1:28" ht="41.4" x14ac:dyDescent="0.25">
      <c r="A94" s="6" t="s">
        <v>35</v>
      </c>
      <c r="B94" s="7" t="s">
        <v>209</v>
      </c>
      <c r="C94" s="7" t="s">
        <v>17</v>
      </c>
      <c r="D94" s="5" t="s">
        <v>97</v>
      </c>
      <c r="E94" s="4">
        <v>2008</v>
      </c>
      <c r="F94" s="7">
        <v>15</v>
      </c>
      <c r="G94" s="7">
        <f t="shared" si="22"/>
        <v>16</v>
      </c>
      <c r="H94" s="7">
        <f t="shared" si="20"/>
        <v>0</v>
      </c>
      <c r="I94" s="12">
        <v>2038056</v>
      </c>
      <c r="J94" s="15"/>
      <c r="K94" s="13"/>
      <c r="L94" s="13">
        <f t="shared" si="23"/>
        <v>2038056</v>
      </c>
      <c r="M94" s="13">
        <f t="shared" si="21"/>
        <v>101902.8</v>
      </c>
      <c r="N94" s="11">
        <v>1936153.1407999999</v>
      </c>
      <c r="O94" s="13">
        <f t="shared" si="24"/>
        <v>0</v>
      </c>
      <c r="P94" s="13">
        <f t="shared" si="25"/>
        <v>1936153.1407999999</v>
      </c>
      <c r="Q94" s="13"/>
      <c r="R94" s="13">
        <f t="shared" si="26"/>
        <v>101902.8</v>
      </c>
      <c r="S94" s="54">
        <f t="shared" si="27"/>
        <v>101902.85920000006</v>
      </c>
      <c r="T94" s="54">
        <f t="shared" si="28"/>
        <v>-5.9200000061537139E-2</v>
      </c>
      <c r="U94" s="54"/>
      <c r="V94" s="38"/>
      <c r="W94" s="38"/>
      <c r="X94" s="38"/>
    </row>
    <row r="95" spans="1:28" ht="41.4" x14ac:dyDescent="0.25">
      <c r="A95" s="6" t="s">
        <v>35</v>
      </c>
      <c r="B95" s="7" t="s">
        <v>210</v>
      </c>
      <c r="C95" s="7" t="s">
        <v>17</v>
      </c>
      <c r="D95" s="5" t="s">
        <v>98</v>
      </c>
      <c r="E95" s="4">
        <v>2011</v>
      </c>
      <c r="F95" s="7">
        <v>15</v>
      </c>
      <c r="G95" s="7">
        <f t="shared" si="22"/>
        <v>13</v>
      </c>
      <c r="H95" s="7">
        <f t="shared" si="20"/>
        <v>2</v>
      </c>
      <c r="I95" s="12">
        <v>145000</v>
      </c>
      <c r="J95" s="15"/>
      <c r="K95" s="13"/>
      <c r="L95" s="13">
        <f t="shared" si="23"/>
        <v>145000</v>
      </c>
      <c r="M95" s="13">
        <f t="shared" si="21"/>
        <v>7250</v>
      </c>
      <c r="N95" s="11">
        <v>122173</v>
      </c>
      <c r="O95" s="13">
        <f t="shared" si="24"/>
        <v>9183.3333333333339</v>
      </c>
      <c r="P95" s="13">
        <f t="shared" si="25"/>
        <v>131356.33333333334</v>
      </c>
      <c r="Q95" s="13"/>
      <c r="R95" s="13">
        <f t="shared" si="26"/>
        <v>13643.666666666657</v>
      </c>
      <c r="S95" s="54">
        <f t="shared" si="27"/>
        <v>13643.666666666657</v>
      </c>
      <c r="T95" s="54">
        <f t="shared" si="28"/>
        <v>0</v>
      </c>
      <c r="U95" s="54"/>
      <c r="V95" s="38"/>
      <c r="W95" s="38"/>
      <c r="X95" s="38"/>
    </row>
    <row r="96" spans="1:28" ht="27.6" x14ac:dyDescent="0.25">
      <c r="A96" s="6" t="s">
        <v>35</v>
      </c>
      <c r="B96" s="7" t="s">
        <v>211</v>
      </c>
      <c r="C96" s="7" t="s">
        <v>17</v>
      </c>
      <c r="D96" s="5" t="s">
        <v>99</v>
      </c>
      <c r="E96" s="4">
        <v>2013</v>
      </c>
      <c r="F96" s="7">
        <v>15</v>
      </c>
      <c r="G96" s="7">
        <f t="shared" si="22"/>
        <v>11</v>
      </c>
      <c r="H96" s="7">
        <f t="shared" si="20"/>
        <v>4</v>
      </c>
      <c r="I96" s="12">
        <v>7942908</v>
      </c>
      <c r="J96" s="15"/>
      <c r="K96" s="13"/>
      <c r="L96" s="13">
        <f t="shared" si="23"/>
        <v>7942908</v>
      </c>
      <c r="M96" s="13">
        <f t="shared" si="21"/>
        <v>397145.4</v>
      </c>
      <c r="N96" s="11">
        <v>6632908</v>
      </c>
      <c r="O96" s="13">
        <f t="shared" si="24"/>
        <v>503050.83999999997</v>
      </c>
      <c r="P96" s="13">
        <f t="shared" si="25"/>
        <v>7135958.8399999999</v>
      </c>
      <c r="Q96" s="13"/>
      <c r="R96" s="13">
        <f t="shared" si="26"/>
        <v>806949.16000000015</v>
      </c>
      <c r="S96" s="54">
        <f t="shared" si="27"/>
        <v>806949.16000000015</v>
      </c>
      <c r="T96" s="54">
        <f t="shared" si="28"/>
        <v>0</v>
      </c>
      <c r="U96" s="54"/>
      <c r="V96" s="38"/>
      <c r="W96" s="38"/>
      <c r="X96" s="38"/>
    </row>
    <row r="97" spans="1:24" x14ac:dyDescent="0.25">
      <c r="A97" s="6" t="s">
        <v>35</v>
      </c>
      <c r="B97" s="7" t="s">
        <v>212</v>
      </c>
      <c r="C97" s="7" t="s">
        <v>17</v>
      </c>
      <c r="D97" s="5" t="s">
        <v>100</v>
      </c>
      <c r="E97" s="4">
        <v>2023</v>
      </c>
      <c r="F97" s="7">
        <v>15</v>
      </c>
      <c r="G97" s="7">
        <f t="shared" si="22"/>
        <v>1</v>
      </c>
      <c r="H97" s="7">
        <f t="shared" si="20"/>
        <v>14</v>
      </c>
      <c r="I97" s="12">
        <v>210500</v>
      </c>
      <c r="J97" s="15"/>
      <c r="K97" s="13"/>
      <c r="L97" s="13">
        <f t="shared" si="23"/>
        <v>210500</v>
      </c>
      <c r="M97" s="13">
        <f t="shared" si="21"/>
        <v>10525</v>
      </c>
      <c r="N97" s="11">
        <v>7801.2225274725297</v>
      </c>
      <c r="O97" s="13">
        <f t="shared" si="24"/>
        <v>13331.666666666666</v>
      </c>
      <c r="P97" s="13">
        <f t="shared" si="25"/>
        <v>21132.889194139196</v>
      </c>
      <c r="Q97" s="13"/>
      <c r="R97" s="13">
        <f t="shared" si="26"/>
        <v>189367.11080586081</v>
      </c>
      <c r="S97" s="54">
        <f t="shared" si="27"/>
        <v>189367.11080586081</v>
      </c>
      <c r="T97" s="54">
        <f t="shared" si="28"/>
        <v>0</v>
      </c>
      <c r="U97" s="54"/>
      <c r="V97" s="38"/>
      <c r="W97" s="38"/>
      <c r="X97" s="38"/>
    </row>
    <row r="98" spans="1:24" x14ac:dyDescent="0.25">
      <c r="A98" s="6" t="s">
        <v>35</v>
      </c>
      <c r="B98" s="7" t="s">
        <v>213</v>
      </c>
      <c r="C98" s="7" t="s">
        <v>17</v>
      </c>
      <c r="D98" s="5" t="s">
        <v>101</v>
      </c>
      <c r="E98" s="4">
        <v>2023</v>
      </c>
      <c r="F98" s="7">
        <v>15</v>
      </c>
      <c r="G98" s="7">
        <f t="shared" si="22"/>
        <v>1</v>
      </c>
      <c r="H98" s="7">
        <f t="shared" si="20"/>
        <v>14</v>
      </c>
      <c r="I98" s="12">
        <v>27500</v>
      </c>
      <c r="J98" s="15"/>
      <c r="K98" s="13"/>
      <c r="L98" s="13">
        <f t="shared" si="23"/>
        <v>27500</v>
      </c>
      <c r="M98" s="13">
        <f t="shared" si="21"/>
        <v>1375</v>
      </c>
      <c r="N98" s="11">
        <v>1019.16208791209</v>
      </c>
      <c r="O98" s="13">
        <f t="shared" si="24"/>
        <v>1741.6666666666667</v>
      </c>
      <c r="P98" s="13">
        <f t="shared" si="25"/>
        <v>2760.8287545787566</v>
      </c>
      <c r="Q98" s="13"/>
      <c r="R98" s="13">
        <f t="shared" si="26"/>
        <v>24739.171245421243</v>
      </c>
      <c r="S98" s="54">
        <f t="shared" si="27"/>
        <v>24739.171245421243</v>
      </c>
      <c r="T98" s="54">
        <f t="shared" si="28"/>
        <v>0</v>
      </c>
      <c r="U98" s="54"/>
      <c r="V98" s="38"/>
      <c r="W98" s="38"/>
      <c r="X98" s="38"/>
    </row>
    <row r="99" spans="1:24" x14ac:dyDescent="0.25">
      <c r="A99" s="6" t="s">
        <v>35</v>
      </c>
      <c r="B99" s="7" t="s">
        <v>214</v>
      </c>
      <c r="C99" s="7" t="s">
        <v>17</v>
      </c>
      <c r="D99" s="5" t="s">
        <v>102</v>
      </c>
      <c r="E99" s="4">
        <v>2023</v>
      </c>
      <c r="F99" s="7">
        <v>15</v>
      </c>
      <c r="G99" s="7">
        <f t="shared" si="22"/>
        <v>1</v>
      </c>
      <c r="H99" s="7">
        <f t="shared" si="20"/>
        <v>14</v>
      </c>
      <c r="I99" s="12">
        <v>21500</v>
      </c>
      <c r="J99" s="15"/>
      <c r="K99" s="13"/>
      <c r="L99" s="13">
        <f t="shared" si="23"/>
        <v>21500</v>
      </c>
      <c r="M99" s="13">
        <f t="shared" si="21"/>
        <v>1075</v>
      </c>
      <c r="N99" s="11">
        <v>796.79945054945097</v>
      </c>
      <c r="O99" s="13">
        <f t="shared" si="24"/>
        <v>1361.6666666666667</v>
      </c>
      <c r="P99" s="13">
        <f t="shared" si="25"/>
        <v>2158.4661172161177</v>
      </c>
      <c r="Q99" s="13"/>
      <c r="R99" s="13">
        <f t="shared" si="26"/>
        <v>19341.533882783882</v>
      </c>
      <c r="S99" s="54">
        <f t="shared" si="27"/>
        <v>19341.533882783882</v>
      </c>
      <c r="T99" s="54">
        <f t="shared" si="28"/>
        <v>0</v>
      </c>
      <c r="U99" s="54"/>
      <c r="V99" s="38"/>
      <c r="W99" s="38"/>
      <c r="X99" s="38"/>
    </row>
    <row r="100" spans="1:24" x14ac:dyDescent="0.25">
      <c r="A100" s="6" t="s">
        <v>35</v>
      </c>
      <c r="B100" s="7" t="s">
        <v>215</v>
      </c>
      <c r="C100" s="7" t="s">
        <v>17</v>
      </c>
      <c r="D100" s="5" t="s">
        <v>103</v>
      </c>
      <c r="E100" s="4">
        <v>2023</v>
      </c>
      <c r="F100" s="7">
        <v>15</v>
      </c>
      <c r="G100" s="7">
        <f t="shared" si="22"/>
        <v>1</v>
      </c>
      <c r="H100" s="7">
        <f t="shared" si="20"/>
        <v>14</v>
      </c>
      <c r="I100" s="12">
        <v>6000</v>
      </c>
      <c r="J100" s="15"/>
      <c r="K100" s="13"/>
      <c r="L100" s="13">
        <f t="shared" si="23"/>
        <v>6000</v>
      </c>
      <c r="M100" s="13">
        <f t="shared" si="21"/>
        <v>300</v>
      </c>
      <c r="N100" s="11">
        <v>222.362637362637</v>
      </c>
      <c r="O100" s="13">
        <f t="shared" si="24"/>
        <v>380</v>
      </c>
      <c r="P100" s="13">
        <f t="shared" si="25"/>
        <v>602.36263736263697</v>
      </c>
      <c r="Q100" s="13"/>
      <c r="R100" s="13">
        <f t="shared" si="26"/>
        <v>5397.6373626373634</v>
      </c>
      <c r="S100" s="54">
        <f t="shared" si="27"/>
        <v>5397.6373626373634</v>
      </c>
      <c r="T100" s="54">
        <f t="shared" si="28"/>
        <v>0</v>
      </c>
      <c r="U100" s="54"/>
      <c r="V100" s="38"/>
      <c r="W100" s="38"/>
      <c r="X100" s="38"/>
    </row>
    <row r="101" spans="1:24" x14ac:dyDescent="0.25">
      <c r="A101" s="6" t="s">
        <v>35</v>
      </c>
      <c r="B101" s="7" t="s">
        <v>216</v>
      </c>
      <c r="C101" s="7" t="s">
        <v>17</v>
      </c>
      <c r="D101" s="5" t="s">
        <v>104</v>
      </c>
      <c r="E101" s="4">
        <v>2023</v>
      </c>
      <c r="F101" s="7">
        <v>15</v>
      </c>
      <c r="G101" s="7">
        <f t="shared" si="22"/>
        <v>1</v>
      </c>
      <c r="H101" s="7">
        <f t="shared" si="20"/>
        <v>14</v>
      </c>
      <c r="I101" s="12">
        <v>17500</v>
      </c>
      <c r="J101" s="15"/>
      <c r="K101" s="13"/>
      <c r="L101" s="13">
        <f t="shared" si="23"/>
        <v>17500</v>
      </c>
      <c r="M101" s="13">
        <f t="shared" si="21"/>
        <v>875</v>
      </c>
      <c r="N101" s="11">
        <v>648.55769230769204</v>
      </c>
      <c r="O101" s="13">
        <f t="shared" si="24"/>
        <v>1108.3333333333333</v>
      </c>
      <c r="P101" s="13">
        <f t="shared" si="25"/>
        <v>1756.8910256410254</v>
      </c>
      <c r="Q101" s="13"/>
      <c r="R101" s="13">
        <f t="shared" si="26"/>
        <v>15743.108974358975</v>
      </c>
      <c r="S101" s="54">
        <f t="shared" si="27"/>
        <v>15743.108974358975</v>
      </c>
      <c r="T101" s="54">
        <f t="shared" si="28"/>
        <v>0</v>
      </c>
      <c r="U101" s="54"/>
      <c r="V101" s="38"/>
      <c r="W101" s="38"/>
      <c r="X101" s="38"/>
    </row>
    <row r="102" spans="1:24" ht="27.6" x14ac:dyDescent="0.25">
      <c r="A102" s="6" t="s">
        <v>35</v>
      </c>
      <c r="B102" s="7" t="s">
        <v>217</v>
      </c>
      <c r="C102" s="7" t="s">
        <v>17</v>
      </c>
      <c r="D102" s="5" t="s">
        <v>105</v>
      </c>
      <c r="E102" s="4">
        <v>2023</v>
      </c>
      <c r="F102" s="7">
        <v>15</v>
      </c>
      <c r="G102" s="7">
        <f t="shared" si="22"/>
        <v>1</v>
      </c>
      <c r="H102" s="7">
        <f t="shared" si="20"/>
        <v>14</v>
      </c>
      <c r="I102" s="12">
        <v>180000</v>
      </c>
      <c r="J102" s="15"/>
      <c r="K102" s="13"/>
      <c r="L102" s="13">
        <f t="shared" si="23"/>
        <v>180000</v>
      </c>
      <c r="M102" s="13">
        <f t="shared" si="21"/>
        <v>9000</v>
      </c>
      <c r="N102" s="11">
        <v>5700</v>
      </c>
      <c r="O102" s="13">
        <f t="shared" si="24"/>
        <v>11400</v>
      </c>
      <c r="P102" s="13">
        <f t="shared" si="25"/>
        <v>17100</v>
      </c>
      <c r="Q102" s="13"/>
      <c r="R102" s="13">
        <f t="shared" si="26"/>
        <v>162900</v>
      </c>
      <c r="S102" s="54">
        <f t="shared" si="27"/>
        <v>162900</v>
      </c>
      <c r="T102" s="54">
        <f t="shared" si="28"/>
        <v>0</v>
      </c>
      <c r="U102" s="54"/>
      <c r="V102" s="38"/>
      <c r="W102" s="38"/>
      <c r="X102" s="38"/>
    </row>
    <row r="103" spans="1:24" x14ac:dyDescent="0.25">
      <c r="A103" s="6" t="s">
        <v>35</v>
      </c>
      <c r="B103" s="7" t="s">
        <v>218</v>
      </c>
      <c r="C103" s="7" t="s">
        <v>17</v>
      </c>
      <c r="D103" s="5" t="s">
        <v>106</v>
      </c>
      <c r="E103" s="4">
        <v>2023</v>
      </c>
      <c r="F103" s="7">
        <v>15</v>
      </c>
      <c r="G103" s="7">
        <f t="shared" si="22"/>
        <v>1</v>
      </c>
      <c r="H103" s="7">
        <f t="shared" si="20"/>
        <v>14</v>
      </c>
      <c r="I103" s="12">
        <v>1287814</v>
      </c>
      <c r="J103" s="15"/>
      <c r="K103" s="13"/>
      <c r="L103" s="13">
        <f t="shared" si="23"/>
        <v>1287814</v>
      </c>
      <c r="M103" s="13">
        <f t="shared" si="21"/>
        <v>64390.700000000004</v>
      </c>
      <c r="N103" s="11">
        <f>40780.7766666667-28353</f>
        <v>12427.776666666701</v>
      </c>
      <c r="O103" s="13">
        <f t="shared" si="24"/>
        <v>81561.55333333333</v>
      </c>
      <c r="P103" s="13">
        <f t="shared" si="25"/>
        <v>93989.330000000031</v>
      </c>
      <c r="Q103" s="13"/>
      <c r="R103" s="13">
        <f t="shared" si="26"/>
        <v>1193824.67</v>
      </c>
      <c r="S103" s="54">
        <f t="shared" si="27"/>
        <v>1193824.67</v>
      </c>
      <c r="T103" s="54">
        <f t="shared" si="28"/>
        <v>0</v>
      </c>
      <c r="U103" s="54"/>
      <c r="V103" s="38"/>
      <c r="W103" s="38"/>
      <c r="X103" s="38"/>
    </row>
    <row r="104" spans="1:24" x14ac:dyDescent="0.25">
      <c r="A104" s="6" t="s">
        <v>35</v>
      </c>
      <c r="B104" s="7" t="s">
        <v>219</v>
      </c>
      <c r="C104" s="7" t="s">
        <v>17</v>
      </c>
      <c r="D104" s="5" t="s">
        <v>40</v>
      </c>
      <c r="E104" s="4">
        <v>2024</v>
      </c>
      <c r="F104" s="7">
        <v>15</v>
      </c>
      <c r="G104" s="7">
        <f t="shared" si="22"/>
        <v>0</v>
      </c>
      <c r="H104" s="7">
        <f t="shared" si="20"/>
        <v>15</v>
      </c>
      <c r="I104" s="12">
        <v>0</v>
      </c>
      <c r="J104" s="15">
        <v>643073</v>
      </c>
      <c r="K104" s="13"/>
      <c r="L104" s="13">
        <f t="shared" si="23"/>
        <v>643073</v>
      </c>
      <c r="M104" s="13">
        <f t="shared" si="21"/>
        <v>32153.65</v>
      </c>
      <c r="N104" s="11">
        <v>0</v>
      </c>
      <c r="O104" s="13">
        <f t="shared" si="24"/>
        <v>40727.956666666665</v>
      </c>
      <c r="P104" s="13">
        <f t="shared" si="25"/>
        <v>40727.956666666665</v>
      </c>
      <c r="Q104" s="13"/>
      <c r="R104" s="13">
        <f t="shared" si="26"/>
        <v>602345.04333333333</v>
      </c>
      <c r="S104" s="54">
        <f t="shared" si="27"/>
        <v>602345.04333333333</v>
      </c>
      <c r="T104" s="54">
        <f t="shared" si="28"/>
        <v>0</v>
      </c>
      <c r="U104" s="54"/>
      <c r="V104" s="38"/>
      <c r="W104" s="38"/>
      <c r="X104" s="38"/>
    </row>
    <row r="105" spans="1:24" x14ac:dyDescent="0.25">
      <c r="A105" s="6" t="s">
        <v>35</v>
      </c>
      <c r="B105" s="7" t="s">
        <v>425</v>
      </c>
      <c r="C105" s="7" t="s">
        <v>17</v>
      </c>
      <c r="D105" s="5" t="s">
        <v>91</v>
      </c>
      <c r="E105" s="4" t="s">
        <v>475</v>
      </c>
      <c r="F105" s="7">
        <v>15</v>
      </c>
      <c r="G105" s="7">
        <f t="shared" ref="G105:G142" si="29">2024-E105</f>
        <v>27</v>
      </c>
      <c r="H105" s="7">
        <f t="shared" ref="H105:H142" si="30">+IF(G105&lt;=F105,(F105-G105),0)</f>
        <v>0</v>
      </c>
      <c r="I105" s="12"/>
      <c r="J105" s="15">
        <v>251111.35515199997</v>
      </c>
      <c r="K105" s="13"/>
      <c r="L105" s="13">
        <f t="shared" si="23"/>
        <v>251111.35515199997</v>
      </c>
      <c r="M105" s="13">
        <f t="shared" ref="M105:M142" si="31">+L105*0.05</f>
        <v>12555.5677576</v>
      </c>
      <c r="N105" s="11"/>
      <c r="O105" s="13">
        <f t="shared" si="24"/>
        <v>0</v>
      </c>
      <c r="P105" s="13">
        <f t="shared" ref="P105:P142" si="32">+N105+O105</f>
        <v>0</v>
      </c>
      <c r="Q105" s="13"/>
      <c r="R105" s="13">
        <f>+L105</f>
        <v>251111.35515199997</v>
      </c>
      <c r="S105" s="54">
        <f t="shared" si="27"/>
        <v>251111.35515199997</v>
      </c>
      <c r="T105" s="54">
        <f t="shared" si="28"/>
        <v>0</v>
      </c>
      <c r="U105" s="54">
        <f>+J105-N105</f>
        <v>251111.35515199997</v>
      </c>
      <c r="V105" s="38"/>
      <c r="W105" s="38"/>
      <c r="X105" s="38"/>
    </row>
    <row r="106" spans="1:24" x14ac:dyDescent="0.25">
      <c r="A106" s="6" t="s">
        <v>35</v>
      </c>
      <c r="B106" s="7" t="s">
        <v>426</v>
      </c>
      <c r="C106" s="7" t="s">
        <v>17</v>
      </c>
      <c r="D106" s="5" t="s">
        <v>395</v>
      </c>
      <c r="E106" s="4" t="s">
        <v>476</v>
      </c>
      <c r="F106" s="7">
        <v>15</v>
      </c>
      <c r="G106" s="7">
        <f t="shared" si="29"/>
        <v>26</v>
      </c>
      <c r="H106" s="7">
        <f t="shared" si="30"/>
        <v>0</v>
      </c>
      <c r="I106" s="12"/>
      <c r="J106" s="15">
        <v>123521</v>
      </c>
      <c r="K106" s="13"/>
      <c r="L106" s="13">
        <f t="shared" si="23"/>
        <v>123521</v>
      </c>
      <c r="M106" s="13">
        <f t="shared" si="31"/>
        <v>6176.05</v>
      </c>
      <c r="N106" s="11"/>
      <c r="O106" s="13">
        <f t="shared" si="24"/>
        <v>0</v>
      </c>
      <c r="P106" s="13">
        <f t="shared" si="32"/>
        <v>0</v>
      </c>
      <c r="Q106" s="13"/>
      <c r="R106" s="13">
        <f t="shared" ref="R106:R122" si="33">+L106</f>
        <v>123521</v>
      </c>
      <c r="S106" s="54">
        <f t="shared" si="27"/>
        <v>123521</v>
      </c>
      <c r="T106" s="54">
        <f t="shared" si="28"/>
        <v>0</v>
      </c>
      <c r="U106" s="54">
        <f t="shared" ref="U106:U142" si="34">+J106-N106</f>
        <v>123521</v>
      </c>
      <c r="V106" s="38"/>
      <c r="W106" s="38"/>
      <c r="X106" s="38"/>
    </row>
    <row r="107" spans="1:24" x14ac:dyDescent="0.25">
      <c r="A107" s="6" t="s">
        <v>35</v>
      </c>
      <c r="B107" s="7" t="s">
        <v>427</v>
      </c>
      <c r="C107" s="7" t="s">
        <v>17</v>
      </c>
      <c r="D107" s="5" t="s">
        <v>91</v>
      </c>
      <c r="E107" s="4" t="s">
        <v>476</v>
      </c>
      <c r="F107" s="7">
        <v>15</v>
      </c>
      <c r="G107" s="7">
        <f t="shared" si="29"/>
        <v>26</v>
      </c>
      <c r="H107" s="7">
        <f t="shared" si="30"/>
        <v>0</v>
      </c>
      <c r="I107" s="12"/>
      <c r="J107" s="15">
        <v>144056.30000000002</v>
      </c>
      <c r="K107" s="13"/>
      <c r="L107" s="13">
        <f t="shared" si="23"/>
        <v>144056.30000000002</v>
      </c>
      <c r="M107" s="13">
        <f t="shared" si="31"/>
        <v>7202.8150000000014</v>
      </c>
      <c r="N107" s="11"/>
      <c r="O107" s="13">
        <f t="shared" si="24"/>
        <v>0</v>
      </c>
      <c r="P107" s="13">
        <f t="shared" si="32"/>
        <v>0</v>
      </c>
      <c r="Q107" s="13"/>
      <c r="R107" s="13">
        <f t="shared" si="33"/>
        <v>144056.30000000002</v>
      </c>
      <c r="S107" s="54">
        <f t="shared" si="27"/>
        <v>144056.30000000002</v>
      </c>
      <c r="T107" s="54">
        <f t="shared" si="28"/>
        <v>0</v>
      </c>
      <c r="U107" s="54">
        <f t="shared" si="34"/>
        <v>144056.30000000002</v>
      </c>
      <c r="V107" s="38"/>
      <c r="W107" s="38"/>
      <c r="X107" s="38"/>
    </row>
    <row r="108" spans="1:24" x14ac:dyDescent="0.25">
      <c r="A108" s="6" t="s">
        <v>35</v>
      </c>
      <c r="B108" s="7" t="s">
        <v>428</v>
      </c>
      <c r="C108" s="7" t="s">
        <v>17</v>
      </c>
      <c r="D108" s="5" t="s">
        <v>91</v>
      </c>
      <c r="E108" s="4" t="s">
        <v>477</v>
      </c>
      <c r="F108" s="7">
        <v>15</v>
      </c>
      <c r="G108" s="7">
        <f t="shared" si="29"/>
        <v>25</v>
      </c>
      <c r="H108" s="7">
        <f t="shared" si="30"/>
        <v>0</v>
      </c>
      <c r="I108" s="12"/>
      <c r="J108" s="15">
        <v>92629.5</v>
      </c>
      <c r="K108" s="13"/>
      <c r="L108" s="13">
        <f t="shared" si="23"/>
        <v>92629.5</v>
      </c>
      <c r="M108" s="13">
        <f t="shared" si="31"/>
        <v>4631.4750000000004</v>
      </c>
      <c r="N108" s="11"/>
      <c r="O108" s="13">
        <f t="shared" si="24"/>
        <v>0</v>
      </c>
      <c r="P108" s="13">
        <f t="shared" si="32"/>
        <v>0</v>
      </c>
      <c r="Q108" s="13"/>
      <c r="R108" s="13">
        <f t="shared" si="33"/>
        <v>92629.5</v>
      </c>
      <c r="S108" s="54">
        <f t="shared" si="27"/>
        <v>92629.5</v>
      </c>
      <c r="T108" s="54">
        <f t="shared" si="28"/>
        <v>0</v>
      </c>
      <c r="U108" s="54">
        <f t="shared" si="34"/>
        <v>92629.5</v>
      </c>
      <c r="V108" s="38"/>
      <c r="W108" s="38"/>
      <c r="X108" s="38"/>
    </row>
    <row r="109" spans="1:24" x14ac:dyDescent="0.25">
      <c r="A109" s="6" t="s">
        <v>35</v>
      </c>
      <c r="B109" s="7" t="s">
        <v>429</v>
      </c>
      <c r="C109" s="7" t="s">
        <v>17</v>
      </c>
      <c r="D109" s="5" t="s">
        <v>395</v>
      </c>
      <c r="E109" s="4" t="s">
        <v>477</v>
      </c>
      <c r="F109" s="7">
        <v>15</v>
      </c>
      <c r="G109" s="7">
        <f t="shared" si="29"/>
        <v>25</v>
      </c>
      <c r="H109" s="7">
        <f t="shared" si="30"/>
        <v>0</v>
      </c>
      <c r="I109" s="12"/>
      <c r="J109" s="15">
        <v>81412.350000000006</v>
      </c>
      <c r="K109" s="13"/>
      <c r="L109" s="13">
        <f t="shared" si="23"/>
        <v>81412.350000000006</v>
      </c>
      <c r="M109" s="13">
        <f t="shared" si="31"/>
        <v>4070.6175000000003</v>
      </c>
      <c r="N109" s="11"/>
      <c r="O109" s="13">
        <f t="shared" si="24"/>
        <v>0</v>
      </c>
      <c r="P109" s="13">
        <f t="shared" si="32"/>
        <v>0</v>
      </c>
      <c r="Q109" s="13"/>
      <c r="R109" s="13">
        <f t="shared" si="33"/>
        <v>81412.350000000006</v>
      </c>
      <c r="S109" s="54">
        <f t="shared" si="27"/>
        <v>81412.350000000006</v>
      </c>
      <c r="T109" s="54">
        <f t="shared" si="28"/>
        <v>0</v>
      </c>
      <c r="U109" s="54">
        <f t="shared" si="34"/>
        <v>81412.350000000006</v>
      </c>
      <c r="V109" s="38"/>
      <c r="W109" s="38"/>
      <c r="X109" s="38"/>
    </row>
    <row r="110" spans="1:24" x14ac:dyDescent="0.25">
      <c r="A110" s="6" t="s">
        <v>35</v>
      </c>
      <c r="B110" s="7" t="s">
        <v>430</v>
      </c>
      <c r="C110" s="7" t="s">
        <v>17</v>
      </c>
      <c r="D110" s="5" t="s">
        <v>91</v>
      </c>
      <c r="E110" s="4" t="s">
        <v>478</v>
      </c>
      <c r="F110" s="7">
        <v>15</v>
      </c>
      <c r="G110" s="7">
        <f t="shared" si="29"/>
        <v>24</v>
      </c>
      <c r="H110" s="7">
        <f t="shared" si="30"/>
        <v>0</v>
      </c>
      <c r="I110" s="12"/>
      <c r="J110" s="15">
        <v>70000</v>
      </c>
      <c r="K110" s="13"/>
      <c r="L110" s="13">
        <f t="shared" si="23"/>
        <v>70000</v>
      </c>
      <c r="M110" s="13">
        <f t="shared" si="31"/>
        <v>3500</v>
      </c>
      <c r="N110" s="11"/>
      <c r="O110" s="13">
        <f t="shared" si="24"/>
        <v>0</v>
      </c>
      <c r="P110" s="13">
        <f t="shared" si="32"/>
        <v>0</v>
      </c>
      <c r="Q110" s="13"/>
      <c r="R110" s="13">
        <f t="shared" si="33"/>
        <v>70000</v>
      </c>
      <c r="S110" s="54">
        <f t="shared" si="27"/>
        <v>70000</v>
      </c>
      <c r="T110" s="54">
        <f t="shared" si="28"/>
        <v>0</v>
      </c>
      <c r="U110" s="54">
        <f t="shared" si="34"/>
        <v>70000</v>
      </c>
      <c r="V110" s="38"/>
      <c r="W110" s="38"/>
      <c r="X110" s="38"/>
    </row>
    <row r="111" spans="1:24" x14ac:dyDescent="0.25">
      <c r="A111" s="6" t="s">
        <v>35</v>
      </c>
      <c r="B111" s="7" t="s">
        <v>431</v>
      </c>
      <c r="C111" s="7" t="s">
        <v>17</v>
      </c>
      <c r="D111" s="5" t="s">
        <v>395</v>
      </c>
      <c r="E111" s="4" t="s">
        <v>479</v>
      </c>
      <c r="F111" s="7">
        <v>15</v>
      </c>
      <c r="G111" s="7">
        <f t="shared" si="29"/>
        <v>23</v>
      </c>
      <c r="H111" s="7">
        <f t="shared" si="30"/>
        <v>0</v>
      </c>
      <c r="I111" s="12"/>
      <c r="J111" s="15">
        <v>26390.647999999986</v>
      </c>
      <c r="K111" s="13"/>
      <c r="L111" s="13">
        <f t="shared" si="23"/>
        <v>26390.647999999986</v>
      </c>
      <c r="M111" s="13">
        <f t="shared" si="31"/>
        <v>1319.5323999999994</v>
      </c>
      <c r="N111" s="11"/>
      <c r="O111" s="13">
        <f t="shared" si="24"/>
        <v>0</v>
      </c>
      <c r="P111" s="13">
        <f t="shared" si="32"/>
        <v>0</v>
      </c>
      <c r="Q111" s="13"/>
      <c r="R111" s="13">
        <f t="shared" si="33"/>
        <v>26390.647999999986</v>
      </c>
      <c r="S111" s="54">
        <f t="shared" si="27"/>
        <v>26390.647999999986</v>
      </c>
      <c r="T111" s="54">
        <f t="shared" si="28"/>
        <v>0</v>
      </c>
      <c r="U111" s="54">
        <f t="shared" si="34"/>
        <v>26390.647999999986</v>
      </c>
      <c r="V111" s="38"/>
      <c r="W111" s="38"/>
      <c r="X111" s="38"/>
    </row>
    <row r="112" spans="1:24" x14ac:dyDescent="0.25">
      <c r="A112" s="6" t="s">
        <v>35</v>
      </c>
      <c r="B112" s="7" t="s">
        <v>432</v>
      </c>
      <c r="C112" s="7" t="s">
        <v>17</v>
      </c>
      <c r="D112" s="5" t="s">
        <v>396</v>
      </c>
      <c r="E112" s="4" t="s">
        <v>479</v>
      </c>
      <c r="F112" s="7">
        <v>15</v>
      </c>
      <c r="G112" s="7">
        <f t="shared" si="29"/>
        <v>23</v>
      </c>
      <c r="H112" s="7">
        <f t="shared" si="30"/>
        <v>0</v>
      </c>
      <c r="I112" s="12"/>
      <c r="J112" s="15">
        <v>9433.1247999999905</v>
      </c>
      <c r="K112" s="13"/>
      <c r="L112" s="13">
        <f t="shared" si="23"/>
        <v>9433.1247999999905</v>
      </c>
      <c r="M112" s="13">
        <f t="shared" si="31"/>
        <v>471.65623999999957</v>
      </c>
      <c r="N112" s="11"/>
      <c r="O112" s="13">
        <f t="shared" si="24"/>
        <v>0</v>
      </c>
      <c r="P112" s="13">
        <f t="shared" si="32"/>
        <v>0</v>
      </c>
      <c r="Q112" s="13"/>
      <c r="R112" s="13">
        <f t="shared" si="33"/>
        <v>9433.1247999999905</v>
      </c>
      <c r="S112" s="54">
        <f t="shared" si="27"/>
        <v>9433.1247999999905</v>
      </c>
      <c r="T112" s="54">
        <f t="shared" si="28"/>
        <v>0</v>
      </c>
      <c r="U112" s="54">
        <f t="shared" si="34"/>
        <v>9433.1247999999905</v>
      </c>
      <c r="V112" s="38"/>
      <c r="W112" s="38"/>
      <c r="X112" s="38"/>
    </row>
    <row r="113" spans="1:24" x14ac:dyDescent="0.25">
      <c r="A113" s="6" t="s">
        <v>35</v>
      </c>
      <c r="B113" s="7" t="s">
        <v>433</v>
      </c>
      <c r="C113" s="7" t="s">
        <v>17</v>
      </c>
      <c r="D113" s="5" t="s">
        <v>395</v>
      </c>
      <c r="E113" s="4" t="s">
        <v>480</v>
      </c>
      <c r="F113" s="7">
        <v>15</v>
      </c>
      <c r="G113" s="7">
        <f t="shared" si="29"/>
        <v>21</v>
      </c>
      <c r="H113" s="7">
        <f t="shared" si="30"/>
        <v>0</v>
      </c>
      <c r="I113" s="12"/>
      <c r="J113" s="15">
        <v>406053.55880000105</v>
      </c>
      <c r="K113" s="13"/>
      <c r="L113" s="13">
        <f t="shared" si="23"/>
        <v>406053.55880000105</v>
      </c>
      <c r="M113" s="13">
        <f t="shared" si="31"/>
        <v>20302.677940000052</v>
      </c>
      <c r="N113" s="11"/>
      <c r="O113" s="13">
        <f t="shared" si="24"/>
        <v>0</v>
      </c>
      <c r="P113" s="13">
        <f t="shared" si="32"/>
        <v>0</v>
      </c>
      <c r="Q113" s="13"/>
      <c r="R113" s="13">
        <f t="shared" si="33"/>
        <v>406053.55880000105</v>
      </c>
      <c r="S113" s="54">
        <f t="shared" si="27"/>
        <v>406053.55880000105</v>
      </c>
      <c r="T113" s="54">
        <f t="shared" si="28"/>
        <v>0</v>
      </c>
      <c r="U113" s="54">
        <f t="shared" si="34"/>
        <v>406053.55880000105</v>
      </c>
      <c r="V113" s="38"/>
      <c r="W113" s="38"/>
      <c r="X113" s="38"/>
    </row>
    <row r="114" spans="1:24" x14ac:dyDescent="0.25">
      <c r="A114" s="6" t="s">
        <v>35</v>
      </c>
      <c r="B114" s="7" t="s">
        <v>434</v>
      </c>
      <c r="C114" s="7" t="s">
        <v>17</v>
      </c>
      <c r="D114" s="5" t="s">
        <v>94</v>
      </c>
      <c r="E114" s="4" t="s">
        <v>480</v>
      </c>
      <c r="F114" s="7">
        <v>15</v>
      </c>
      <c r="G114" s="7">
        <f t="shared" si="29"/>
        <v>21</v>
      </c>
      <c r="H114" s="7">
        <f t="shared" si="30"/>
        <v>0</v>
      </c>
      <c r="I114" s="12"/>
      <c r="J114" s="15">
        <v>790128.83457599976</v>
      </c>
      <c r="K114" s="13"/>
      <c r="L114" s="13">
        <f t="shared" si="23"/>
        <v>790128.83457599976</v>
      </c>
      <c r="M114" s="13">
        <f t="shared" si="31"/>
        <v>39506.44172879999</v>
      </c>
      <c r="N114" s="11"/>
      <c r="O114" s="13">
        <f t="shared" si="24"/>
        <v>0</v>
      </c>
      <c r="P114" s="13">
        <f t="shared" si="32"/>
        <v>0</v>
      </c>
      <c r="Q114" s="13"/>
      <c r="R114" s="13">
        <f t="shared" si="33"/>
        <v>790128.83457599976</v>
      </c>
      <c r="S114" s="54">
        <f t="shared" si="27"/>
        <v>790128.83457599976</v>
      </c>
      <c r="T114" s="54">
        <f t="shared" si="28"/>
        <v>0</v>
      </c>
      <c r="U114" s="54">
        <f t="shared" si="34"/>
        <v>790128.83457599976</v>
      </c>
      <c r="V114" s="38"/>
      <c r="W114" s="38"/>
      <c r="X114" s="38"/>
    </row>
    <row r="115" spans="1:24" x14ac:dyDescent="0.25">
      <c r="A115" s="6" t="s">
        <v>35</v>
      </c>
      <c r="B115" s="7" t="s">
        <v>435</v>
      </c>
      <c r="C115" s="7" t="s">
        <v>17</v>
      </c>
      <c r="D115" s="5" t="s">
        <v>94</v>
      </c>
      <c r="E115" s="4" t="s">
        <v>481</v>
      </c>
      <c r="F115" s="7">
        <v>15</v>
      </c>
      <c r="G115" s="7">
        <f t="shared" si="29"/>
        <v>20</v>
      </c>
      <c r="H115" s="7">
        <f t="shared" si="30"/>
        <v>0</v>
      </c>
      <c r="I115" s="12"/>
      <c r="J115" s="15">
        <v>137527.99184000026</v>
      </c>
      <c r="K115" s="13"/>
      <c r="L115" s="13">
        <f t="shared" si="23"/>
        <v>137527.99184000026</v>
      </c>
      <c r="M115" s="13">
        <f t="shared" si="31"/>
        <v>6876.3995920000134</v>
      </c>
      <c r="N115" s="11"/>
      <c r="O115" s="13">
        <f t="shared" si="24"/>
        <v>0</v>
      </c>
      <c r="P115" s="13">
        <f t="shared" si="32"/>
        <v>0</v>
      </c>
      <c r="Q115" s="13"/>
      <c r="R115" s="13">
        <f t="shared" si="33"/>
        <v>137527.99184000026</v>
      </c>
      <c r="S115" s="54">
        <f t="shared" si="27"/>
        <v>137527.99184000026</v>
      </c>
      <c r="T115" s="54">
        <f t="shared" si="28"/>
        <v>0</v>
      </c>
      <c r="U115" s="54">
        <f t="shared" si="34"/>
        <v>137527.99184000026</v>
      </c>
      <c r="V115" s="38"/>
      <c r="W115" s="38"/>
      <c r="X115" s="38"/>
    </row>
    <row r="116" spans="1:24" x14ac:dyDescent="0.25">
      <c r="A116" s="6" t="s">
        <v>35</v>
      </c>
      <c r="B116" s="7" t="s">
        <v>436</v>
      </c>
      <c r="C116" s="7" t="s">
        <v>17</v>
      </c>
      <c r="D116" s="5" t="s">
        <v>397</v>
      </c>
      <c r="E116" s="4" t="s">
        <v>481</v>
      </c>
      <c r="F116" s="7">
        <v>15</v>
      </c>
      <c r="G116" s="7">
        <f t="shared" si="29"/>
        <v>20</v>
      </c>
      <c r="H116" s="7">
        <f t="shared" si="30"/>
        <v>0</v>
      </c>
      <c r="I116" s="12"/>
      <c r="J116" s="15">
        <v>70961.528000000049</v>
      </c>
      <c r="K116" s="13"/>
      <c r="L116" s="13">
        <f t="shared" si="23"/>
        <v>70961.528000000049</v>
      </c>
      <c r="M116" s="13">
        <f t="shared" si="31"/>
        <v>3548.0764000000026</v>
      </c>
      <c r="N116" s="11"/>
      <c r="O116" s="13">
        <f t="shared" si="24"/>
        <v>0</v>
      </c>
      <c r="P116" s="13">
        <f t="shared" si="32"/>
        <v>0</v>
      </c>
      <c r="Q116" s="13"/>
      <c r="R116" s="13">
        <f t="shared" si="33"/>
        <v>70961.528000000049</v>
      </c>
      <c r="S116" s="54">
        <f t="shared" si="27"/>
        <v>70961.528000000049</v>
      </c>
      <c r="T116" s="54">
        <f t="shared" si="28"/>
        <v>0</v>
      </c>
      <c r="U116" s="54">
        <f t="shared" si="34"/>
        <v>70961.528000000049</v>
      </c>
      <c r="V116" s="38"/>
      <c r="W116" s="38"/>
      <c r="X116" s="38"/>
    </row>
    <row r="117" spans="1:24" x14ac:dyDescent="0.25">
      <c r="A117" s="6" t="s">
        <v>35</v>
      </c>
      <c r="B117" s="7" t="s">
        <v>437</v>
      </c>
      <c r="C117" s="7" t="s">
        <v>17</v>
      </c>
      <c r="D117" s="5" t="s">
        <v>395</v>
      </c>
      <c r="E117" s="4" t="s">
        <v>481</v>
      </c>
      <c r="F117" s="7">
        <v>15</v>
      </c>
      <c r="G117" s="7">
        <f t="shared" si="29"/>
        <v>20</v>
      </c>
      <c r="H117" s="7">
        <f t="shared" si="30"/>
        <v>0</v>
      </c>
      <c r="I117" s="12"/>
      <c r="J117" s="15">
        <v>297828.83039999998</v>
      </c>
      <c r="K117" s="13"/>
      <c r="L117" s="13">
        <f t="shared" ref="L117:L142" si="35">+I117+J117-K117</f>
        <v>297828.83039999998</v>
      </c>
      <c r="M117" s="13">
        <f t="shared" si="31"/>
        <v>14891.44152</v>
      </c>
      <c r="N117" s="11"/>
      <c r="O117" s="13">
        <f t="shared" ref="O117:O142" si="36">+IF(H117&gt;0,((L117-M117)/F117),0)</f>
        <v>0</v>
      </c>
      <c r="P117" s="13">
        <f t="shared" si="32"/>
        <v>0</v>
      </c>
      <c r="Q117" s="13"/>
      <c r="R117" s="13">
        <f t="shared" si="33"/>
        <v>297828.83039999998</v>
      </c>
      <c r="S117" s="54">
        <f t="shared" si="27"/>
        <v>297828.83039999998</v>
      </c>
      <c r="T117" s="54">
        <f t="shared" si="28"/>
        <v>0</v>
      </c>
      <c r="U117" s="54">
        <f t="shared" si="34"/>
        <v>297828.83039999998</v>
      </c>
      <c r="V117" s="38"/>
      <c r="W117" s="38"/>
      <c r="X117" s="38"/>
    </row>
    <row r="118" spans="1:24" x14ac:dyDescent="0.25">
      <c r="A118" s="6" t="s">
        <v>35</v>
      </c>
      <c r="B118" s="7" t="s">
        <v>438</v>
      </c>
      <c r="C118" s="7" t="s">
        <v>17</v>
      </c>
      <c r="D118" s="5" t="s">
        <v>398</v>
      </c>
      <c r="E118" s="4" t="s">
        <v>481</v>
      </c>
      <c r="F118" s="7">
        <v>15</v>
      </c>
      <c r="G118" s="7">
        <f t="shared" si="29"/>
        <v>20</v>
      </c>
      <c r="H118" s="7">
        <f t="shared" si="30"/>
        <v>0</v>
      </c>
      <c r="I118" s="12"/>
      <c r="J118" s="15">
        <v>76994.307359999977</v>
      </c>
      <c r="K118" s="13"/>
      <c r="L118" s="13">
        <f t="shared" si="35"/>
        <v>76994.307359999977</v>
      </c>
      <c r="M118" s="13">
        <f t="shared" si="31"/>
        <v>3849.7153679999992</v>
      </c>
      <c r="N118" s="11"/>
      <c r="O118" s="13">
        <f t="shared" si="36"/>
        <v>0</v>
      </c>
      <c r="P118" s="13">
        <f t="shared" si="32"/>
        <v>0</v>
      </c>
      <c r="Q118" s="13"/>
      <c r="R118" s="13">
        <f t="shared" si="33"/>
        <v>76994.307359999977</v>
      </c>
      <c r="S118" s="54">
        <f t="shared" si="27"/>
        <v>76994.307359999977</v>
      </c>
      <c r="T118" s="54">
        <f t="shared" si="28"/>
        <v>0</v>
      </c>
      <c r="U118" s="54">
        <f t="shared" si="34"/>
        <v>76994.307359999977</v>
      </c>
      <c r="V118" s="38"/>
      <c r="W118" s="38"/>
      <c r="X118" s="38"/>
    </row>
    <row r="119" spans="1:24" x14ac:dyDescent="0.25">
      <c r="A119" s="6" t="s">
        <v>35</v>
      </c>
      <c r="B119" s="7" t="s">
        <v>439</v>
      </c>
      <c r="C119" s="7" t="s">
        <v>17</v>
      </c>
      <c r="D119" s="5" t="s">
        <v>396</v>
      </c>
      <c r="E119" s="4" t="s">
        <v>385</v>
      </c>
      <c r="F119" s="7">
        <v>15</v>
      </c>
      <c r="G119" s="7">
        <f t="shared" si="29"/>
        <v>19</v>
      </c>
      <c r="H119" s="7">
        <f t="shared" si="30"/>
        <v>0</v>
      </c>
      <c r="I119" s="12"/>
      <c r="J119" s="15">
        <v>46030.176000000007</v>
      </c>
      <c r="K119" s="13"/>
      <c r="L119" s="13">
        <f t="shared" si="35"/>
        <v>46030.176000000007</v>
      </c>
      <c r="M119" s="13">
        <f t="shared" si="31"/>
        <v>2301.5088000000005</v>
      </c>
      <c r="N119" s="11"/>
      <c r="O119" s="13">
        <f t="shared" si="36"/>
        <v>0</v>
      </c>
      <c r="P119" s="13">
        <f t="shared" si="32"/>
        <v>0</v>
      </c>
      <c r="Q119" s="13"/>
      <c r="R119" s="13">
        <f t="shared" si="33"/>
        <v>46030.176000000007</v>
      </c>
      <c r="S119" s="54">
        <f t="shared" si="27"/>
        <v>46030.176000000007</v>
      </c>
      <c r="T119" s="54">
        <f t="shared" si="28"/>
        <v>0</v>
      </c>
      <c r="U119" s="54">
        <f t="shared" si="34"/>
        <v>46030.176000000007</v>
      </c>
      <c r="V119" s="38"/>
      <c r="W119" s="38"/>
      <c r="X119" s="38"/>
    </row>
    <row r="120" spans="1:24" x14ac:dyDescent="0.25">
      <c r="A120" s="6" t="s">
        <v>35</v>
      </c>
      <c r="B120" s="7" t="s">
        <v>440</v>
      </c>
      <c r="C120" s="7" t="s">
        <v>17</v>
      </c>
      <c r="D120" s="5" t="s">
        <v>399</v>
      </c>
      <c r="E120" s="4" t="s">
        <v>482</v>
      </c>
      <c r="F120" s="7">
        <v>15</v>
      </c>
      <c r="G120" s="7">
        <f t="shared" si="29"/>
        <v>18</v>
      </c>
      <c r="H120" s="7">
        <f t="shared" si="30"/>
        <v>0</v>
      </c>
      <c r="I120" s="12"/>
      <c r="J120" s="15">
        <v>38633.438400000014</v>
      </c>
      <c r="K120" s="13"/>
      <c r="L120" s="13">
        <f t="shared" si="35"/>
        <v>38633.438400000014</v>
      </c>
      <c r="M120" s="13">
        <f t="shared" si="31"/>
        <v>1931.6719200000007</v>
      </c>
      <c r="N120" s="11"/>
      <c r="O120" s="13">
        <f t="shared" si="36"/>
        <v>0</v>
      </c>
      <c r="P120" s="13">
        <f t="shared" si="32"/>
        <v>0</v>
      </c>
      <c r="Q120" s="13"/>
      <c r="R120" s="13">
        <f t="shared" si="33"/>
        <v>38633.438400000014</v>
      </c>
      <c r="S120" s="54">
        <f t="shared" si="27"/>
        <v>38633.438400000014</v>
      </c>
      <c r="T120" s="54">
        <f t="shared" si="28"/>
        <v>0</v>
      </c>
      <c r="U120" s="54">
        <f t="shared" si="34"/>
        <v>38633.438400000014</v>
      </c>
      <c r="V120" s="38"/>
      <c r="W120" s="38"/>
      <c r="X120" s="38"/>
    </row>
    <row r="121" spans="1:24" ht="27.6" x14ac:dyDescent="0.25">
      <c r="A121" s="6" t="s">
        <v>35</v>
      </c>
      <c r="B121" s="7" t="s">
        <v>441</v>
      </c>
      <c r="C121" s="7" t="s">
        <v>17</v>
      </c>
      <c r="D121" s="5" t="s">
        <v>400</v>
      </c>
      <c r="E121" s="4" t="s">
        <v>483</v>
      </c>
      <c r="F121" s="7">
        <v>15</v>
      </c>
      <c r="G121" s="7">
        <f t="shared" si="29"/>
        <v>17</v>
      </c>
      <c r="H121" s="7">
        <f t="shared" si="30"/>
        <v>0</v>
      </c>
      <c r="I121" s="12"/>
      <c r="J121" s="15">
        <v>16856.214499999998</v>
      </c>
      <c r="K121" s="13"/>
      <c r="L121" s="13">
        <f t="shared" si="35"/>
        <v>16856.214499999998</v>
      </c>
      <c r="M121" s="13">
        <f t="shared" si="31"/>
        <v>842.81072499999993</v>
      </c>
      <c r="N121" s="11"/>
      <c r="O121" s="13">
        <f t="shared" si="36"/>
        <v>0</v>
      </c>
      <c r="P121" s="13">
        <f t="shared" si="32"/>
        <v>0</v>
      </c>
      <c r="Q121" s="13"/>
      <c r="R121" s="13">
        <f t="shared" si="33"/>
        <v>16856.214499999998</v>
      </c>
      <c r="S121" s="54">
        <f t="shared" si="27"/>
        <v>16856.214499999998</v>
      </c>
      <c r="T121" s="54">
        <f t="shared" si="28"/>
        <v>0</v>
      </c>
      <c r="U121" s="54">
        <f t="shared" si="34"/>
        <v>16856.214499999998</v>
      </c>
      <c r="V121" s="38"/>
      <c r="W121" s="38"/>
      <c r="X121" s="38"/>
    </row>
    <row r="122" spans="1:24" ht="41.4" x14ac:dyDescent="0.25">
      <c r="A122" s="6" t="s">
        <v>35</v>
      </c>
      <c r="B122" s="7" t="s">
        <v>442</v>
      </c>
      <c r="C122" s="7" t="s">
        <v>17</v>
      </c>
      <c r="D122" s="5" t="s">
        <v>401</v>
      </c>
      <c r="E122" s="4" t="s">
        <v>483</v>
      </c>
      <c r="F122" s="7">
        <v>15</v>
      </c>
      <c r="G122" s="7">
        <f t="shared" si="29"/>
        <v>17</v>
      </c>
      <c r="H122" s="7">
        <f t="shared" si="30"/>
        <v>0</v>
      </c>
      <c r="I122" s="12"/>
      <c r="J122" s="15">
        <v>77300.155200000008</v>
      </c>
      <c r="K122" s="13"/>
      <c r="L122" s="13">
        <f t="shared" si="35"/>
        <v>77300.155200000008</v>
      </c>
      <c r="M122" s="13">
        <f t="shared" si="31"/>
        <v>3865.0077600000004</v>
      </c>
      <c r="N122" s="11"/>
      <c r="O122" s="13">
        <f t="shared" si="36"/>
        <v>0</v>
      </c>
      <c r="P122" s="13">
        <f t="shared" si="32"/>
        <v>0</v>
      </c>
      <c r="Q122" s="13"/>
      <c r="R122" s="13">
        <f t="shared" si="33"/>
        <v>77300.155200000008</v>
      </c>
      <c r="S122" s="54">
        <f t="shared" si="27"/>
        <v>77300.155200000008</v>
      </c>
      <c r="T122" s="54">
        <f t="shared" si="28"/>
        <v>0</v>
      </c>
      <c r="U122" s="54">
        <f t="shared" si="34"/>
        <v>77300.155200000008</v>
      </c>
      <c r="V122" s="38"/>
      <c r="W122" s="38"/>
      <c r="X122" s="38"/>
    </row>
    <row r="123" spans="1:24" x14ac:dyDescent="0.25">
      <c r="A123" s="6" t="s">
        <v>35</v>
      </c>
      <c r="B123" s="7" t="s">
        <v>443</v>
      </c>
      <c r="C123" s="7" t="s">
        <v>17</v>
      </c>
      <c r="D123" s="5" t="s">
        <v>402</v>
      </c>
      <c r="E123" s="4" t="s">
        <v>484</v>
      </c>
      <c r="F123" s="7">
        <v>15</v>
      </c>
      <c r="G123" s="7">
        <f t="shared" si="29"/>
        <v>4</v>
      </c>
      <c r="H123" s="7">
        <f t="shared" si="30"/>
        <v>11</v>
      </c>
      <c r="I123" s="12"/>
      <c r="J123" s="15">
        <v>194400</v>
      </c>
      <c r="K123" s="13"/>
      <c r="L123" s="13">
        <f t="shared" si="35"/>
        <v>194400</v>
      </c>
      <c r="M123" s="13">
        <f t="shared" si="31"/>
        <v>9720</v>
      </c>
      <c r="N123" s="11"/>
      <c r="O123" s="13">
        <f t="shared" si="36"/>
        <v>12312</v>
      </c>
      <c r="P123" s="13">
        <f t="shared" si="32"/>
        <v>12312</v>
      </c>
      <c r="Q123" s="13"/>
      <c r="R123" s="13">
        <f t="shared" ref="R123:R142" si="37">+IF(H123&gt;0,(L123-P123-Q123),M123)</f>
        <v>182088</v>
      </c>
      <c r="S123" s="54">
        <f t="shared" si="27"/>
        <v>182088</v>
      </c>
      <c r="T123" s="54">
        <f t="shared" si="28"/>
        <v>0</v>
      </c>
      <c r="U123" s="54">
        <f t="shared" si="34"/>
        <v>194400</v>
      </c>
      <c r="V123" s="38"/>
      <c r="W123" s="38"/>
      <c r="X123" s="38"/>
    </row>
    <row r="124" spans="1:24" ht="27.6" x14ac:dyDescent="0.25">
      <c r="A124" s="6" t="s">
        <v>35</v>
      </c>
      <c r="B124" s="7" t="s">
        <v>444</v>
      </c>
      <c r="C124" s="7" t="s">
        <v>17</v>
      </c>
      <c r="D124" s="5" t="s">
        <v>403</v>
      </c>
      <c r="E124" s="4" t="s">
        <v>485</v>
      </c>
      <c r="F124" s="7">
        <v>15</v>
      </c>
      <c r="G124" s="7">
        <f t="shared" si="29"/>
        <v>15</v>
      </c>
      <c r="H124" s="7">
        <f t="shared" si="30"/>
        <v>0</v>
      </c>
      <c r="I124" s="12"/>
      <c r="J124" s="15">
        <v>177214.31199999998</v>
      </c>
      <c r="K124" s="13"/>
      <c r="L124" s="13">
        <f t="shared" si="35"/>
        <v>177214.31199999998</v>
      </c>
      <c r="M124" s="13">
        <f t="shared" si="31"/>
        <v>8860.7155999999995</v>
      </c>
      <c r="N124" s="11"/>
      <c r="O124" s="13">
        <f t="shared" si="36"/>
        <v>0</v>
      </c>
      <c r="P124" s="13">
        <f t="shared" si="32"/>
        <v>0</v>
      </c>
      <c r="Q124" s="13"/>
      <c r="R124" s="13">
        <f t="shared" ref="R124:R127" si="38">+L124</f>
        <v>177214.31199999998</v>
      </c>
      <c r="S124" s="54">
        <f t="shared" si="27"/>
        <v>177214.31199999998</v>
      </c>
      <c r="T124" s="54">
        <f t="shared" si="28"/>
        <v>0</v>
      </c>
      <c r="U124" s="54">
        <f t="shared" si="34"/>
        <v>177214.31199999998</v>
      </c>
      <c r="V124" s="38"/>
      <c r="W124" s="38"/>
      <c r="X124" s="38"/>
    </row>
    <row r="125" spans="1:24" ht="55.2" x14ac:dyDescent="0.25">
      <c r="A125" s="6" t="s">
        <v>35</v>
      </c>
      <c r="B125" s="7" t="s">
        <v>445</v>
      </c>
      <c r="C125" s="7" t="s">
        <v>17</v>
      </c>
      <c r="D125" s="5" t="s">
        <v>404</v>
      </c>
      <c r="E125" s="4" t="s">
        <v>485</v>
      </c>
      <c r="F125" s="7">
        <v>15</v>
      </c>
      <c r="G125" s="7">
        <f t="shared" si="29"/>
        <v>15</v>
      </c>
      <c r="H125" s="7">
        <f t="shared" si="30"/>
        <v>0</v>
      </c>
      <c r="I125" s="12"/>
      <c r="J125" s="15">
        <v>322667</v>
      </c>
      <c r="K125" s="13"/>
      <c r="L125" s="13">
        <f t="shared" si="35"/>
        <v>322667</v>
      </c>
      <c r="M125" s="13">
        <f t="shared" si="31"/>
        <v>16133.35</v>
      </c>
      <c r="N125" s="11"/>
      <c r="O125" s="13">
        <f t="shared" si="36"/>
        <v>0</v>
      </c>
      <c r="P125" s="13">
        <f t="shared" si="32"/>
        <v>0</v>
      </c>
      <c r="Q125" s="13"/>
      <c r="R125" s="13">
        <f t="shared" si="38"/>
        <v>322667</v>
      </c>
      <c r="S125" s="54">
        <f t="shared" si="27"/>
        <v>322667</v>
      </c>
      <c r="T125" s="54">
        <f t="shared" si="28"/>
        <v>0</v>
      </c>
      <c r="U125" s="54">
        <f t="shared" si="34"/>
        <v>322667</v>
      </c>
      <c r="V125" s="38"/>
      <c r="W125" s="38"/>
      <c r="X125" s="38"/>
    </row>
    <row r="126" spans="1:24" ht="27.6" x14ac:dyDescent="0.25">
      <c r="A126" s="6" t="s">
        <v>35</v>
      </c>
      <c r="B126" s="7" t="s">
        <v>446</v>
      </c>
      <c r="C126" s="7" t="s">
        <v>17</v>
      </c>
      <c r="D126" s="5" t="s">
        <v>405</v>
      </c>
      <c r="E126" s="4" t="s">
        <v>485</v>
      </c>
      <c r="F126" s="7">
        <v>15</v>
      </c>
      <c r="G126" s="7">
        <f t="shared" si="29"/>
        <v>15</v>
      </c>
      <c r="H126" s="7">
        <f t="shared" si="30"/>
        <v>0</v>
      </c>
      <c r="I126" s="12"/>
      <c r="J126" s="15">
        <v>214653.27040000004</v>
      </c>
      <c r="K126" s="13"/>
      <c r="L126" s="13">
        <f t="shared" si="35"/>
        <v>214653.27040000004</v>
      </c>
      <c r="M126" s="13">
        <f t="shared" si="31"/>
        <v>10732.663520000002</v>
      </c>
      <c r="N126" s="11"/>
      <c r="O126" s="13">
        <f t="shared" si="36"/>
        <v>0</v>
      </c>
      <c r="P126" s="13">
        <f t="shared" si="32"/>
        <v>0</v>
      </c>
      <c r="Q126" s="13"/>
      <c r="R126" s="13">
        <f t="shared" si="38"/>
        <v>214653.27040000004</v>
      </c>
      <c r="S126" s="54">
        <f t="shared" si="27"/>
        <v>214653.27040000004</v>
      </c>
      <c r="T126" s="54">
        <f t="shared" si="28"/>
        <v>0</v>
      </c>
      <c r="U126" s="54">
        <f t="shared" si="34"/>
        <v>214653.27040000004</v>
      </c>
      <c r="V126" s="38"/>
      <c r="W126" s="38"/>
      <c r="X126" s="38"/>
    </row>
    <row r="127" spans="1:24" ht="55.2" x14ac:dyDescent="0.25">
      <c r="A127" s="6" t="s">
        <v>35</v>
      </c>
      <c r="B127" s="7" t="s">
        <v>447</v>
      </c>
      <c r="C127" s="7" t="s">
        <v>17</v>
      </c>
      <c r="D127" s="5" t="s">
        <v>406</v>
      </c>
      <c r="E127" s="4" t="s">
        <v>485</v>
      </c>
      <c r="F127" s="7">
        <v>15</v>
      </c>
      <c r="G127" s="7">
        <f t="shared" si="29"/>
        <v>15</v>
      </c>
      <c r="H127" s="7">
        <f t="shared" si="30"/>
        <v>0</v>
      </c>
      <c r="I127" s="12"/>
      <c r="J127" s="15">
        <v>605316.46399999992</v>
      </c>
      <c r="K127" s="13"/>
      <c r="L127" s="13">
        <f t="shared" si="35"/>
        <v>605316.46399999992</v>
      </c>
      <c r="M127" s="13">
        <f t="shared" si="31"/>
        <v>30265.823199999999</v>
      </c>
      <c r="N127" s="11"/>
      <c r="O127" s="13">
        <f t="shared" si="36"/>
        <v>0</v>
      </c>
      <c r="P127" s="13">
        <f t="shared" si="32"/>
        <v>0</v>
      </c>
      <c r="Q127" s="13"/>
      <c r="R127" s="13">
        <f t="shared" si="38"/>
        <v>605316.46399999992</v>
      </c>
      <c r="S127" s="54">
        <f t="shared" si="27"/>
        <v>605316.46399999992</v>
      </c>
      <c r="T127" s="54">
        <f t="shared" si="28"/>
        <v>0</v>
      </c>
      <c r="U127" s="54">
        <f t="shared" si="34"/>
        <v>605316.46399999992</v>
      </c>
      <c r="V127" s="38"/>
      <c r="W127" s="38"/>
      <c r="X127" s="38"/>
    </row>
    <row r="128" spans="1:24" x14ac:dyDescent="0.25">
      <c r="A128" s="6" t="s">
        <v>35</v>
      </c>
      <c r="B128" s="7" t="s">
        <v>448</v>
      </c>
      <c r="C128" s="7" t="s">
        <v>17</v>
      </c>
      <c r="D128" s="5" t="s">
        <v>407</v>
      </c>
      <c r="E128" s="4" t="s">
        <v>486</v>
      </c>
      <c r="F128" s="7">
        <v>15</v>
      </c>
      <c r="G128" s="7">
        <f t="shared" si="29"/>
        <v>14</v>
      </c>
      <c r="H128" s="7">
        <f t="shared" si="30"/>
        <v>1</v>
      </c>
      <c r="I128" s="12"/>
      <c r="J128" s="15">
        <v>29024.305279999971</v>
      </c>
      <c r="K128" s="13"/>
      <c r="L128" s="13">
        <f t="shared" si="35"/>
        <v>29024.305279999971</v>
      </c>
      <c r="M128" s="13">
        <f t="shared" si="31"/>
        <v>1451.2152639999986</v>
      </c>
      <c r="N128" s="11"/>
      <c r="O128" s="13">
        <v>0</v>
      </c>
      <c r="P128" s="13">
        <f t="shared" si="32"/>
        <v>0</v>
      </c>
      <c r="Q128" s="13"/>
      <c r="R128" s="13">
        <f t="shared" si="37"/>
        <v>29024.305279999971</v>
      </c>
      <c r="S128" s="54">
        <f t="shared" si="27"/>
        <v>29024.305279999971</v>
      </c>
      <c r="T128" s="54">
        <f t="shared" si="28"/>
        <v>0</v>
      </c>
      <c r="U128" s="54">
        <f t="shared" si="34"/>
        <v>29024.305279999971</v>
      </c>
      <c r="V128" s="38"/>
      <c r="W128" s="38"/>
      <c r="X128" s="38"/>
    </row>
    <row r="129" spans="1:24" x14ac:dyDescent="0.25">
      <c r="A129" s="6" t="s">
        <v>35</v>
      </c>
      <c r="B129" s="7" t="s">
        <v>449</v>
      </c>
      <c r="C129" s="7" t="s">
        <v>17</v>
      </c>
      <c r="D129" s="5" t="s">
        <v>408</v>
      </c>
      <c r="E129" s="4" t="s">
        <v>486</v>
      </c>
      <c r="F129" s="7">
        <v>15</v>
      </c>
      <c r="G129" s="7">
        <f t="shared" si="29"/>
        <v>14</v>
      </c>
      <c r="H129" s="7">
        <f t="shared" si="30"/>
        <v>1</v>
      </c>
      <c r="I129" s="12"/>
      <c r="J129" s="15">
        <v>427805.18</v>
      </c>
      <c r="K129" s="13"/>
      <c r="L129" s="13">
        <f t="shared" si="35"/>
        <v>427805.18</v>
      </c>
      <c r="M129" s="13">
        <f t="shared" si="31"/>
        <v>21390.259000000002</v>
      </c>
      <c r="N129" s="11"/>
      <c r="O129" s="13">
        <f t="shared" si="36"/>
        <v>27094.328066666665</v>
      </c>
      <c r="P129" s="13">
        <f t="shared" si="32"/>
        <v>27094.328066666665</v>
      </c>
      <c r="Q129" s="13"/>
      <c r="R129" s="13">
        <f t="shared" si="37"/>
        <v>400710.85193333332</v>
      </c>
      <c r="S129" s="54">
        <f t="shared" si="27"/>
        <v>400710.85193333332</v>
      </c>
      <c r="T129" s="54">
        <f t="shared" si="28"/>
        <v>0</v>
      </c>
      <c r="U129" s="54">
        <f t="shared" si="34"/>
        <v>427805.18</v>
      </c>
      <c r="V129" s="38"/>
      <c r="W129" s="38"/>
      <c r="X129" s="38"/>
    </row>
    <row r="130" spans="1:24" ht="41.4" x14ac:dyDescent="0.25">
      <c r="A130" s="6" t="s">
        <v>35</v>
      </c>
      <c r="B130" s="7" t="s">
        <v>450</v>
      </c>
      <c r="C130" s="7" t="s">
        <v>17</v>
      </c>
      <c r="D130" s="5" t="s">
        <v>409</v>
      </c>
      <c r="E130" s="4" t="s">
        <v>487</v>
      </c>
      <c r="F130" s="7">
        <v>15</v>
      </c>
      <c r="G130" s="7">
        <f t="shared" si="29"/>
        <v>12</v>
      </c>
      <c r="H130" s="7">
        <f t="shared" si="30"/>
        <v>3</v>
      </c>
      <c r="I130" s="12"/>
      <c r="J130" s="15">
        <v>20507.448000000004</v>
      </c>
      <c r="K130" s="13"/>
      <c r="L130" s="13">
        <f t="shared" si="35"/>
        <v>20507.448000000004</v>
      </c>
      <c r="M130" s="13">
        <f t="shared" si="31"/>
        <v>1025.3724000000002</v>
      </c>
      <c r="N130" s="11"/>
      <c r="O130" s="13">
        <f t="shared" si="36"/>
        <v>1298.8050400000002</v>
      </c>
      <c r="P130" s="13">
        <f t="shared" si="32"/>
        <v>1298.8050400000002</v>
      </c>
      <c r="Q130" s="13"/>
      <c r="R130" s="13">
        <f t="shared" si="37"/>
        <v>19208.642960000005</v>
      </c>
      <c r="S130" s="54">
        <f t="shared" si="27"/>
        <v>19208.642960000005</v>
      </c>
      <c r="T130" s="54">
        <f t="shared" si="28"/>
        <v>0</v>
      </c>
      <c r="U130" s="54">
        <f t="shared" si="34"/>
        <v>20507.448000000004</v>
      </c>
      <c r="V130" s="38"/>
      <c r="W130" s="38"/>
      <c r="X130" s="38"/>
    </row>
    <row r="131" spans="1:24" ht="27.6" x14ac:dyDescent="0.25">
      <c r="A131" s="6" t="s">
        <v>35</v>
      </c>
      <c r="B131" s="7" t="s">
        <v>451</v>
      </c>
      <c r="C131" s="7" t="s">
        <v>17</v>
      </c>
      <c r="D131" s="5" t="s">
        <v>410</v>
      </c>
      <c r="E131" s="4" t="s">
        <v>487</v>
      </c>
      <c r="F131" s="7">
        <v>15</v>
      </c>
      <c r="G131" s="7">
        <f t="shared" si="29"/>
        <v>12</v>
      </c>
      <c r="H131" s="7">
        <f t="shared" si="30"/>
        <v>3</v>
      </c>
      <c r="I131" s="12"/>
      <c r="J131" s="15">
        <v>66687.407999999996</v>
      </c>
      <c r="K131" s="13"/>
      <c r="L131" s="13">
        <f t="shared" si="35"/>
        <v>66687.407999999996</v>
      </c>
      <c r="M131" s="13">
        <f t="shared" si="31"/>
        <v>3334.3703999999998</v>
      </c>
      <c r="N131" s="11"/>
      <c r="O131" s="13">
        <f t="shared" si="36"/>
        <v>4223.5358399999996</v>
      </c>
      <c r="P131" s="13">
        <f t="shared" si="32"/>
        <v>4223.5358399999996</v>
      </c>
      <c r="Q131" s="13"/>
      <c r="R131" s="13">
        <f t="shared" si="37"/>
        <v>62463.872159999999</v>
      </c>
      <c r="S131" s="54">
        <f t="shared" si="27"/>
        <v>62463.872159999999</v>
      </c>
      <c r="T131" s="54">
        <f t="shared" si="28"/>
        <v>0</v>
      </c>
      <c r="U131" s="54">
        <f t="shared" si="34"/>
        <v>66687.407999999996</v>
      </c>
      <c r="V131" s="38"/>
      <c r="W131" s="38"/>
      <c r="X131" s="38"/>
    </row>
    <row r="132" spans="1:24" ht="27.6" x14ac:dyDescent="0.25">
      <c r="A132" s="6" t="s">
        <v>35</v>
      </c>
      <c r="B132" s="7" t="s">
        <v>452</v>
      </c>
      <c r="C132" s="7" t="s">
        <v>17</v>
      </c>
      <c r="D132" s="5" t="s">
        <v>411</v>
      </c>
      <c r="E132" s="4" t="s">
        <v>487</v>
      </c>
      <c r="F132" s="7">
        <v>15</v>
      </c>
      <c r="G132" s="7">
        <f t="shared" si="29"/>
        <v>12</v>
      </c>
      <c r="H132" s="7">
        <f t="shared" si="30"/>
        <v>3</v>
      </c>
      <c r="I132" s="12"/>
      <c r="J132" s="15">
        <v>112317.52000000002</v>
      </c>
      <c r="K132" s="13"/>
      <c r="L132" s="13">
        <f t="shared" si="35"/>
        <v>112317.52000000002</v>
      </c>
      <c r="M132" s="13">
        <f t="shared" si="31"/>
        <v>5615.8760000000011</v>
      </c>
      <c r="N132" s="11"/>
      <c r="O132" s="13">
        <f t="shared" si="36"/>
        <v>7113.4429333333346</v>
      </c>
      <c r="P132" s="13">
        <f t="shared" si="32"/>
        <v>7113.4429333333346</v>
      </c>
      <c r="Q132" s="13"/>
      <c r="R132" s="13">
        <f t="shared" si="37"/>
        <v>105204.07706666668</v>
      </c>
      <c r="S132" s="54">
        <f t="shared" si="27"/>
        <v>105204.07706666668</v>
      </c>
      <c r="T132" s="54">
        <f t="shared" si="28"/>
        <v>0</v>
      </c>
      <c r="U132" s="54">
        <f t="shared" si="34"/>
        <v>112317.52000000002</v>
      </c>
      <c r="V132" s="38"/>
      <c r="W132" s="38"/>
      <c r="X132" s="38"/>
    </row>
    <row r="133" spans="1:24" ht="41.4" x14ac:dyDescent="0.25">
      <c r="A133" s="6" t="s">
        <v>35</v>
      </c>
      <c r="B133" s="7" t="s">
        <v>453</v>
      </c>
      <c r="C133" s="7" t="s">
        <v>17</v>
      </c>
      <c r="D133" s="5" t="s">
        <v>472</v>
      </c>
      <c r="E133" s="4" t="s">
        <v>488</v>
      </c>
      <c r="F133" s="7">
        <v>15</v>
      </c>
      <c r="G133" s="7">
        <f t="shared" si="29"/>
        <v>11</v>
      </c>
      <c r="H133" s="7">
        <f t="shared" si="30"/>
        <v>4</v>
      </c>
      <c r="I133" s="12"/>
      <c r="J133" s="15">
        <v>147728.82880000002</v>
      </c>
      <c r="K133" s="13"/>
      <c r="L133" s="13">
        <f t="shared" si="35"/>
        <v>147728.82880000002</v>
      </c>
      <c r="M133" s="13">
        <f t="shared" si="31"/>
        <v>7386.4414400000014</v>
      </c>
      <c r="N133" s="11"/>
      <c r="O133" s="13">
        <f t="shared" si="36"/>
        <v>9356.1591573333353</v>
      </c>
      <c r="P133" s="13">
        <f t="shared" si="32"/>
        <v>9356.1591573333353</v>
      </c>
      <c r="Q133" s="13"/>
      <c r="R133" s="13">
        <f t="shared" si="37"/>
        <v>138372.66964266667</v>
      </c>
      <c r="S133" s="54">
        <f t="shared" si="27"/>
        <v>138372.66964266667</v>
      </c>
      <c r="T133" s="54">
        <f t="shared" si="28"/>
        <v>0</v>
      </c>
      <c r="U133" s="54">
        <f t="shared" si="34"/>
        <v>147728.82880000002</v>
      </c>
      <c r="V133" s="38"/>
      <c r="W133" s="38"/>
      <c r="X133" s="38"/>
    </row>
    <row r="134" spans="1:24" ht="27.6" x14ac:dyDescent="0.25">
      <c r="A134" s="6" t="s">
        <v>35</v>
      </c>
      <c r="B134" s="7" t="s">
        <v>454</v>
      </c>
      <c r="C134" s="7" t="s">
        <v>17</v>
      </c>
      <c r="D134" s="5" t="s">
        <v>412</v>
      </c>
      <c r="E134" s="4" t="s">
        <v>488</v>
      </c>
      <c r="F134" s="7">
        <v>15</v>
      </c>
      <c r="G134" s="7">
        <f t="shared" si="29"/>
        <v>11</v>
      </c>
      <c r="H134" s="7">
        <f t="shared" si="30"/>
        <v>4</v>
      </c>
      <c r="I134" s="12"/>
      <c r="J134" s="15">
        <v>140355.34399999998</v>
      </c>
      <c r="K134" s="13"/>
      <c r="L134" s="13">
        <f t="shared" si="35"/>
        <v>140355.34399999998</v>
      </c>
      <c r="M134" s="13">
        <f t="shared" si="31"/>
        <v>7017.7671999999993</v>
      </c>
      <c r="N134" s="11"/>
      <c r="O134" s="13">
        <f t="shared" si="36"/>
        <v>8889.1717866666659</v>
      </c>
      <c r="P134" s="13">
        <f t="shared" si="32"/>
        <v>8889.1717866666659</v>
      </c>
      <c r="Q134" s="13"/>
      <c r="R134" s="13">
        <f t="shared" si="37"/>
        <v>131466.17221333331</v>
      </c>
      <c r="S134" s="54">
        <f t="shared" si="27"/>
        <v>131466.17221333331</v>
      </c>
      <c r="T134" s="54">
        <f t="shared" si="28"/>
        <v>0</v>
      </c>
      <c r="U134" s="54">
        <f t="shared" si="34"/>
        <v>140355.34399999998</v>
      </c>
      <c r="V134" s="38"/>
      <c r="W134" s="38"/>
      <c r="X134" s="38"/>
    </row>
    <row r="135" spans="1:24" ht="27.6" x14ac:dyDescent="0.25">
      <c r="A135" s="6" t="s">
        <v>35</v>
      </c>
      <c r="B135" s="7" t="s">
        <v>455</v>
      </c>
      <c r="C135" s="7" t="s">
        <v>17</v>
      </c>
      <c r="D135" s="5" t="s">
        <v>413</v>
      </c>
      <c r="E135" s="4" t="s">
        <v>488</v>
      </c>
      <c r="F135" s="7">
        <v>15</v>
      </c>
      <c r="G135" s="7">
        <f t="shared" si="29"/>
        <v>11</v>
      </c>
      <c r="H135" s="7">
        <f t="shared" si="30"/>
        <v>4</v>
      </c>
      <c r="I135" s="12"/>
      <c r="J135" s="15">
        <v>184987.05279999995</v>
      </c>
      <c r="K135" s="13"/>
      <c r="L135" s="13">
        <f t="shared" si="35"/>
        <v>184987.05279999995</v>
      </c>
      <c r="M135" s="13">
        <f t="shared" si="31"/>
        <v>9249.3526399999973</v>
      </c>
      <c r="N135" s="11"/>
      <c r="O135" s="13">
        <f t="shared" si="36"/>
        <v>11715.846677333329</v>
      </c>
      <c r="P135" s="13">
        <f t="shared" si="32"/>
        <v>11715.846677333329</v>
      </c>
      <c r="Q135" s="13"/>
      <c r="R135" s="13">
        <f t="shared" si="37"/>
        <v>173271.20612266663</v>
      </c>
      <c r="S135" s="54">
        <f t="shared" si="27"/>
        <v>173271.20612266663</v>
      </c>
      <c r="T135" s="54">
        <f t="shared" si="28"/>
        <v>0</v>
      </c>
      <c r="U135" s="54">
        <f t="shared" si="34"/>
        <v>184987.05279999995</v>
      </c>
      <c r="V135" s="38"/>
      <c r="W135" s="38"/>
      <c r="X135" s="38"/>
    </row>
    <row r="136" spans="1:24" x14ac:dyDescent="0.25">
      <c r="A136" s="6" t="s">
        <v>35</v>
      </c>
      <c r="B136" s="7" t="s">
        <v>456</v>
      </c>
      <c r="C136" s="7" t="s">
        <v>17</v>
      </c>
      <c r="D136" s="5" t="s">
        <v>414</v>
      </c>
      <c r="E136" s="4" t="s">
        <v>388</v>
      </c>
      <c r="F136" s="7">
        <v>15</v>
      </c>
      <c r="G136" s="7">
        <f t="shared" si="29"/>
        <v>9</v>
      </c>
      <c r="H136" s="7">
        <f t="shared" si="30"/>
        <v>6</v>
      </c>
      <c r="I136" s="12"/>
      <c r="J136" s="15">
        <v>332249.98137248296</v>
      </c>
      <c r="K136" s="13"/>
      <c r="L136" s="13">
        <f t="shared" si="35"/>
        <v>332249.98137248296</v>
      </c>
      <c r="M136" s="13">
        <f t="shared" si="31"/>
        <v>16612.499068624147</v>
      </c>
      <c r="N136" s="11"/>
      <c r="O136" s="13">
        <f t="shared" si="36"/>
        <v>21042.498820257253</v>
      </c>
      <c r="P136" s="13">
        <f t="shared" si="32"/>
        <v>21042.498820257253</v>
      </c>
      <c r="Q136" s="13"/>
      <c r="R136" s="13">
        <f t="shared" si="37"/>
        <v>311207.4825522257</v>
      </c>
      <c r="S136" s="54">
        <f t="shared" si="27"/>
        <v>311207.4825522257</v>
      </c>
      <c r="T136" s="54">
        <f t="shared" si="28"/>
        <v>0</v>
      </c>
      <c r="U136" s="54">
        <f t="shared" si="34"/>
        <v>332249.98137248296</v>
      </c>
      <c r="V136" s="38"/>
      <c r="W136" s="38"/>
      <c r="X136" s="38"/>
    </row>
    <row r="137" spans="1:24" s="98" customFormat="1" ht="41.4" x14ac:dyDescent="0.25">
      <c r="A137" s="6" t="s">
        <v>35</v>
      </c>
      <c r="B137" s="96" t="s">
        <v>457</v>
      </c>
      <c r="C137" s="96" t="s">
        <v>17</v>
      </c>
      <c r="D137" s="5" t="s">
        <v>415</v>
      </c>
      <c r="E137" s="4" t="s">
        <v>489</v>
      </c>
      <c r="F137" s="96">
        <v>15</v>
      </c>
      <c r="G137" s="96">
        <f t="shared" si="29"/>
        <v>7</v>
      </c>
      <c r="H137" s="96">
        <f t="shared" si="30"/>
        <v>8</v>
      </c>
      <c r="I137" s="12"/>
      <c r="J137" s="15">
        <v>17452.363333332993</v>
      </c>
      <c r="K137" s="12"/>
      <c r="L137" s="12">
        <f t="shared" si="35"/>
        <v>17452.363333332993</v>
      </c>
      <c r="M137" s="12">
        <f t="shared" si="31"/>
        <v>872.6181666666497</v>
      </c>
      <c r="N137" s="11"/>
      <c r="O137" s="12">
        <f t="shared" si="36"/>
        <v>1105.3163444444228</v>
      </c>
      <c r="P137" s="12">
        <f t="shared" si="32"/>
        <v>1105.3163444444228</v>
      </c>
      <c r="Q137" s="12"/>
      <c r="R137" s="12">
        <f t="shared" si="37"/>
        <v>16347.046988888569</v>
      </c>
      <c r="S137" s="54">
        <f t="shared" si="27"/>
        <v>16347.046988888569</v>
      </c>
      <c r="T137" s="54">
        <f t="shared" si="28"/>
        <v>0</v>
      </c>
      <c r="U137" s="54">
        <f t="shared" si="34"/>
        <v>17452.363333332993</v>
      </c>
      <c r="V137" s="97"/>
      <c r="W137" s="97"/>
      <c r="X137" s="97"/>
    </row>
    <row r="138" spans="1:24" ht="41.4" x14ac:dyDescent="0.25">
      <c r="A138" s="6" t="s">
        <v>35</v>
      </c>
      <c r="B138" s="7" t="s">
        <v>458</v>
      </c>
      <c r="C138" s="7" t="s">
        <v>17</v>
      </c>
      <c r="D138" s="5" t="s">
        <v>416</v>
      </c>
      <c r="E138" s="4" t="s">
        <v>489</v>
      </c>
      <c r="F138" s="7">
        <v>15</v>
      </c>
      <c r="G138" s="7">
        <f t="shared" si="29"/>
        <v>7</v>
      </c>
      <c r="H138" s="7">
        <f t="shared" si="30"/>
        <v>8</v>
      </c>
      <c r="I138" s="12"/>
      <c r="J138" s="15">
        <v>244967.25</v>
      </c>
      <c r="K138" s="13"/>
      <c r="L138" s="13">
        <f t="shared" si="35"/>
        <v>244967.25</v>
      </c>
      <c r="M138" s="13">
        <f t="shared" si="31"/>
        <v>12248.362500000001</v>
      </c>
      <c r="N138" s="11"/>
      <c r="O138" s="13">
        <f t="shared" si="36"/>
        <v>15514.592500000001</v>
      </c>
      <c r="P138" s="13">
        <f t="shared" si="32"/>
        <v>15514.592500000001</v>
      </c>
      <c r="Q138" s="13"/>
      <c r="R138" s="13">
        <f t="shared" si="37"/>
        <v>229452.6575</v>
      </c>
      <c r="S138" s="54">
        <f t="shared" si="27"/>
        <v>229452.6575</v>
      </c>
      <c r="T138" s="54">
        <f t="shared" si="28"/>
        <v>0</v>
      </c>
      <c r="U138" s="54">
        <f t="shared" si="34"/>
        <v>244967.25</v>
      </c>
      <c r="V138" s="38"/>
      <c r="W138" s="38"/>
      <c r="X138" s="38"/>
    </row>
    <row r="139" spans="1:24" ht="27.6" x14ac:dyDescent="0.25">
      <c r="A139" s="6" t="s">
        <v>35</v>
      </c>
      <c r="B139" s="7" t="s">
        <v>459</v>
      </c>
      <c r="C139" s="7" t="s">
        <v>17</v>
      </c>
      <c r="D139" s="5" t="s">
        <v>417</v>
      </c>
      <c r="E139" s="4" t="s">
        <v>489</v>
      </c>
      <c r="F139" s="7">
        <v>15</v>
      </c>
      <c r="G139" s="7">
        <f t="shared" si="29"/>
        <v>7</v>
      </c>
      <c r="H139" s="7">
        <f t="shared" si="30"/>
        <v>8</v>
      </c>
      <c r="I139" s="12"/>
      <c r="J139" s="15">
        <v>12863.66666666667</v>
      </c>
      <c r="K139" s="13"/>
      <c r="L139" s="13">
        <f t="shared" si="35"/>
        <v>12863.66666666667</v>
      </c>
      <c r="M139" s="13">
        <f t="shared" si="31"/>
        <v>643.18333333333351</v>
      </c>
      <c r="N139" s="11"/>
      <c r="O139" s="13">
        <f t="shared" si="36"/>
        <v>814.69888888888897</v>
      </c>
      <c r="P139" s="13">
        <f t="shared" si="32"/>
        <v>814.69888888888897</v>
      </c>
      <c r="Q139" s="13"/>
      <c r="R139" s="13">
        <f t="shared" si="37"/>
        <v>12048.967777777782</v>
      </c>
      <c r="S139" s="54">
        <f t="shared" si="27"/>
        <v>12048.967777777782</v>
      </c>
      <c r="T139" s="54">
        <f t="shared" si="28"/>
        <v>0</v>
      </c>
      <c r="U139" s="54">
        <f t="shared" si="34"/>
        <v>12863.66666666667</v>
      </c>
      <c r="V139" s="38"/>
      <c r="W139" s="38"/>
      <c r="X139" s="38"/>
    </row>
    <row r="140" spans="1:24" ht="27.6" x14ac:dyDescent="0.25">
      <c r="A140" s="6" t="s">
        <v>35</v>
      </c>
      <c r="B140" s="7" t="s">
        <v>460</v>
      </c>
      <c r="C140" s="7" t="s">
        <v>17</v>
      </c>
      <c r="D140" s="5" t="s">
        <v>418</v>
      </c>
      <c r="E140" s="4" t="s">
        <v>489</v>
      </c>
      <c r="F140" s="7">
        <v>15</v>
      </c>
      <c r="G140" s="7">
        <f t="shared" si="29"/>
        <v>7</v>
      </c>
      <c r="H140" s="7">
        <f t="shared" si="30"/>
        <v>8</v>
      </c>
      <c r="I140" s="12"/>
      <c r="J140" s="15">
        <v>26723</v>
      </c>
      <c r="K140" s="13"/>
      <c r="L140" s="13">
        <f t="shared" si="35"/>
        <v>26723</v>
      </c>
      <c r="M140" s="13">
        <f t="shared" si="31"/>
        <v>1336.15</v>
      </c>
      <c r="N140" s="11"/>
      <c r="O140" s="13">
        <f t="shared" si="36"/>
        <v>1692.4566666666665</v>
      </c>
      <c r="P140" s="13">
        <f t="shared" si="32"/>
        <v>1692.4566666666665</v>
      </c>
      <c r="Q140" s="13"/>
      <c r="R140" s="13">
        <f t="shared" si="37"/>
        <v>25030.543333333335</v>
      </c>
      <c r="S140" s="54">
        <f t="shared" si="27"/>
        <v>25030.543333333335</v>
      </c>
      <c r="T140" s="54">
        <f t="shared" si="28"/>
        <v>0</v>
      </c>
      <c r="U140" s="54">
        <f t="shared" si="34"/>
        <v>26723</v>
      </c>
      <c r="V140" s="38"/>
      <c r="W140" s="38"/>
      <c r="X140" s="38"/>
    </row>
    <row r="141" spans="1:24" x14ac:dyDescent="0.25">
      <c r="A141" s="6" t="s">
        <v>35</v>
      </c>
      <c r="B141" s="7" t="s">
        <v>461</v>
      </c>
      <c r="C141" s="7" t="s">
        <v>17</v>
      </c>
      <c r="D141" s="5" t="s">
        <v>473</v>
      </c>
      <c r="E141" s="4" t="s">
        <v>489</v>
      </c>
      <c r="F141" s="7">
        <v>15</v>
      </c>
      <c r="G141" s="7">
        <f t="shared" si="29"/>
        <v>7</v>
      </c>
      <c r="H141" s="7">
        <f t="shared" si="30"/>
        <v>8</v>
      </c>
      <c r="I141" s="12"/>
      <c r="J141" s="15">
        <v>188187.5</v>
      </c>
      <c r="K141" s="13"/>
      <c r="L141" s="13">
        <f t="shared" si="35"/>
        <v>188187.5</v>
      </c>
      <c r="M141" s="13">
        <f t="shared" si="31"/>
        <v>9409.375</v>
      </c>
      <c r="N141" s="11"/>
      <c r="O141" s="13">
        <f t="shared" si="36"/>
        <v>11918.541666666666</v>
      </c>
      <c r="P141" s="13">
        <f t="shared" si="32"/>
        <v>11918.541666666666</v>
      </c>
      <c r="Q141" s="13"/>
      <c r="R141" s="13">
        <f t="shared" si="37"/>
        <v>176268.95833333334</v>
      </c>
      <c r="S141" s="54">
        <f t="shared" si="27"/>
        <v>176268.95833333334</v>
      </c>
      <c r="T141" s="54">
        <f t="shared" si="28"/>
        <v>0</v>
      </c>
      <c r="U141" s="54">
        <f t="shared" si="34"/>
        <v>188187.5</v>
      </c>
      <c r="V141" s="38"/>
      <c r="W141" s="38"/>
      <c r="X141" s="38"/>
    </row>
    <row r="142" spans="1:24" ht="27.6" x14ac:dyDescent="0.25">
      <c r="A142" s="6" t="s">
        <v>35</v>
      </c>
      <c r="B142" s="7" t="s">
        <v>462</v>
      </c>
      <c r="C142" s="7" t="s">
        <v>17</v>
      </c>
      <c r="D142" s="5" t="s">
        <v>419</v>
      </c>
      <c r="E142" s="4" t="s">
        <v>489</v>
      </c>
      <c r="F142" s="7">
        <v>15</v>
      </c>
      <c r="G142" s="7">
        <f t="shared" si="29"/>
        <v>7</v>
      </c>
      <c r="H142" s="7">
        <f t="shared" si="30"/>
        <v>8</v>
      </c>
      <c r="I142" s="12"/>
      <c r="J142" s="15">
        <v>35457</v>
      </c>
      <c r="K142" s="13"/>
      <c r="L142" s="13">
        <f t="shared" si="35"/>
        <v>35457</v>
      </c>
      <c r="M142" s="13">
        <f t="shared" si="31"/>
        <v>1772.8500000000001</v>
      </c>
      <c r="N142" s="11"/>
      <c r="O142" s="13">
        <f t="shared" si="36"/>
        <v>2245.61</v>
      </c>
      <c r="P142" s="13">
        <f t="shared" si="32"/>
        <v>2245.61</v>
      </c>
      <c r="Q142" s="13"/>
      <c r="R142" s="13">
        <f t="shared" si="37"/>
        <v>33211.39</v>
      </c>
      <c r="S142" s="54">
        <f t="shared" si="27"/>
        <v>33211.39</v>
      </c>
      <c r="T142" s="54">
        <f t="shared" si="28"/>
        <v>0</v>
      </c>
      <c r="U142" s="54">
        <f t="shared" si="34"/>
        <v>35457</v>
      </c>
      <c r="V142" s="38"/>
      <c r="W142" s="38"/>
      <c r="X142" s="38"/>
    </row>
    <row r="143" spans="1:24" ht="41.4" x14ac:dyDescent="0.25">
      <c r="A143" s="6" t="s">
        <v>35</v>
      </c>
      <c r="B143" s="7" t="s">
        <v>462</v>
      </c>
      <c r="C143" s="7" t="s">
        <v>17</v>
      </c>
      <c r="D143" s="5" t="s">
        <v>420</v>
      </c>
      <c r="E143" s="4" t="s">
        <v>489</v>
      </c>
      <c r="F143" s="7">
        <v>15</v>
      </c>
      <c r="G143" s="7">
        <f t="shared" ref="G143:G149" si="39">2024-E143</f>
        <v>7</v>
      </c>
      <c r="H143" s="7">
        <f t="shared" ref="H143:H149" si="40">+IF(G143&lt;=F143,(F143-G143),0)</f>
        <v>8</v>
      </c>
      <c r="I143" s="12"/>
      <c r="J143" s="15">
        <v>29829.416666666701</v>
      </c>
      <c r="K143" s="13"/>
      <c r="L143" s="13">
        <f t="shared" ref="L143:L148" si="41">+I143+J143-K143</f>
        <v>29829.416666666701</v>
      </c>
      <c r="M143" s="13">
        <f t="shared" ref="M143:M148" si="42">+L143*0.05</f>
        <v>1491.4708333333351</v>
      </c>
      <c r="N143" s="11"/>
      <c r="O143" s="13">
        <f t="shared" ref="O143:O148" si="43">+IF(H143&gt;0,((L143-M143)/F143),0)</f>
        <v>1889.1963888888909</v>
      </c>
      <c r="P143" s="13">
        <f t="shared" ref="P143:P148" si="44">+N143+O143</f>
        <v>1889.1963888888909</v>
      </c>
      <c r="Q143" s="13"/>
      <c r="R143" s="13">
        <f t="shared" ref="R143:R148" si="45">+IF(H143&gt;0,(L143-P143-Q143),M143)</f>
        <v>27940.220277777811</v>
      </c>
      <c r="S143" s="54">
        <f t="shared" si="27"/>
        <v>27940.220277777811</v>
      </c>
      <c r="T143" s="54">
        <f t="shared" si="28"/>
        <v>0</v>
      </c>
      <c r="U143" s="54"/>
      <c r="V143" s="38"/>
      <c r="W143" s="38"/>
      <c r="X143" s="38"/>
    </row>
    <row r="144" spans="1:24" ht="41.4" x14ac:dyDescent="0.25">
      <c r="A144" s="6" t="s">
        <v>35</v>
      </c>
      <c r="B144" s="7" t="s">
        <v>462</v>
      </c>
      <c r="C144" s="7" t="s">
        <v>17</v>
      </c>
      <c r="D144" s="5" t="s">
        <v>421</v>
      </c>
      <c r="E144" s="4" t="s">
        <v>489</v>
      </c>
      <c r="F144" s="7">
        <v>15</v>
      </c>
      <c r="G144" s="7">
        <f t="shared" si="39"/>
        <v>7</v>
      </c>
      <c r="H144" s="7">
        <f t="shared" si="40"/>
        <v>8</v>
      </c>
      <c r="I144" s="12"/>
      <c r="J144" s="15">
        <v>448629.5</v>
      </c>
      <c r="K144" s="13"/>
      <c r="L144" s="13">
        <f t="shared" si="41"/>
        <v>448629.5</v>
      </c>
      <c r="M144" s="13">
        <f t="shared" si="42"/>
        <v>22431.475000000002</v>
      </c>
      <c r="N144" s="11"/>
      <c r="O144" s="13">
        <f t="shared" si="43"/>
        <v>28413.201666666668</v>
      </c>
      <c r="P144" s="13">
        <f t="shared" si="44"/>
        <v>28413.201666666668</v>
      </c>
      <c r="Q144" s="13"/>
      <c r="R144" s="13">
        <f t="shared" si="45"/>
        <v>420216.29833333334</v>
      </c>
      <c r="S144" s="54">
        <f t="shared" si="27"/>
        <v>420216.29833333334</v>
      </c>
      <c r="T144" s="54">
        <f t="shared" si="28"/>
        <v>0</v>
      </c>
      <c r="U144" s="54"/>
      <c r="V144" s="38"/>
      <c r="W144" s="38"/>
      <c r="X144" s="38"/>
    </row>
    <row r="145" spans="1:28" ht="27.6" x14ac:dyDescent="0.25">
      <c r="A145" s="6" t="s">
        <v>35</v>
      </c>
      <c r="B145" s="7" t="s">
        <v>462</v>
      </c>
      <c r="C145" s="7" t="s">
        <v>17</v>
      </c>
      <c r="D145" s="5" t="s">
        <v>422</v>
      </c>
      <c r="E145" s="4" t="s">
        <v>489</v>
      </c>
      <c r="F145" s="7">
        <v>15</v>
      </c>
      <c r="G145" s="7">
        <f t="shared" si="39"/>
        <v>7</v>
      </c>
      <c r="H145" s="7">
        <f t="shared" si="40"/>
        <v>8</v>
      </c>
      <c r="I145" s="12"/>
      <c r="J145" s="15">
        <v>231340.65000000002</v>
      </c>
      <c r="K145" s="13"/>
      <c r="L145" s="13">
        <f t="shared" si="41"/>
        <v>231340.65000000002</v>
      </c>
      <c r="M145" s="13">
        <f t="shared" si="42"/>
        <v>11567.032500000001</v>
      </c>
      <c r="N145" s="11"/>
      <c r="O145" s="13">
        <f t="shared" si="43"/>
        <v>14651.574500000001</v>
      </c>
      <c r="P145" s="13">
        <f t="shared" si="44"/>
        <v>14651.574500000001</v>
      </c>
      <c r="Q145" s="13"/>
      <c r="R145" s="13">
        <f t="shared" si="45"/>
        <v>216689.07550000004</v>
      </c>
      <c r="S145" s="54">
        <f t="shared" si="27"/>
        <v>216689.07550000004</v>
      </c>
      <c r="T145" s="54">
        <f t="shared" si="28"/>
        <v>0</v>
      </c>
      <c r="U145" s="54"/>
      <c r="V145" s="38"/>
      <c r="W145" s="38"/>
      <c r="X145" s="38"/>
    </row>
    <row r="146" spans="1:28" ht="27.6" x14ac:dyDescent="0.25">
      <c r="A146" s="6" t="s">
        <v>35</v>
      </c>
      <c r="B146" s="7" t="s">
        <v>462</v>
      </c>
      <c r="C146" s="7" t="s">
        <v>17</v>
      </c>
      <c r="D146" s="5" t="s">
        <v>423</v>
      </c>
      <c r="E146" s="4" t="s">
        <v>489</v>
      </c>
      <c r="F146" s="7">
        <v>15</v>
      </c>
      <c r="G146" s="7">
        <f t="shared" si="39"/>
        <v>7</v>
      </c>
      <c r="H146" s="7">
        <f t="shared" si="40"/>
        <v>8</v>
      </c>
      <c r="I146" s="12"/>
      <c r="J146" s="15">
        <v>145706.25</v>
      </c>
      <c r="K146" s="13"/>
      <c r="L146" s="13">
        <f t="shared" si="41"/>
        <v>145706.25</v>
      </c>
      <c r="M146" s="13">
        <f t="shared" si="42"/>
        <v>7285.3125</v>
      </c>
      <c r="N146" s="11"/>
      <c r="O146" s="13">
        <f t="shared" si="43"/>
        <v>9228.0625</v>
      </c>
      <c r="P146" s="13">
        <f t="shared" si="44"/>
        <v>9228.0625</v>
      </c>
      <c r="Q146" s="13"/>
      <c r="R146" s="13">
        <f t="shared" si="45"/>
        <v>136478.1875</v>
      </c>
      <c r="S146" s="54">
        <f t="shared" si="27"/>
        <v>136478.1875</v>
      </c>
      <c r="T146" s="54">
        <f t="shared" si="28"/>
        <v>0</v>
      </c>
      <c r="U146" s="54"/>
      <c r="V146" s="38"/>
      <c r="W146" s="38"/>
      <c r="X146" s="38"/>
    </row>
    <row r="147" spans="1:28" x14ac:dyDescent="0.25">
      <c r="A147" s="6" t="s">
        <v>35</v>
      </c>
      <c r="B147" s="7" t="s">
        <v>462</v>
      </c>
      <c r="C147" s="7" t="s">
        <v>17</v>
      </c>
      <c r="D147" s="5" t="s">
        <v>474</v>
      </c>
      <c r="E147" s="4" t="s">
        <v>389</v>
      </c>
      <c r="F147" s="7">
        <v>15</v>
      </c>
      <c r="G147" s="7">
        <f t="shared" si="39"/>
        <v>6</v>
      </c>
      <c r="H147" s="7">
        <f t="shared" si="40"/>
        <v>9</v>
      </c>
      <c r="I147" s="12"/>
      <c r="J147" s="15">
        <v>0</v>
      </c>
      <c r="K147" s="13"/>
      <c r="L147" s="13">
        <f t="shared" si="41"/>
        <v>0</v>
      </c>
      <c r="M147" s="13">
        <f t="shared" si="42"/>
        <v>0</v>
      </c>
      <c r="N147" s="11"/>
      <c r="O147" s="13">
        <f t="shared" si="43"/>
        <v>0</v>
      </c>
      <c r="P147" s="13">
        <f t="shared" si="44"/>
        <v>0</v>
      </c>
      <c r="Q147" s="13"/>
      <c r="R147" s="13">
        <f t="shared" si="45"/>
        <v>0</v>
      </c>
      <c r="S147" s="54">
        <f t="shared" si="27"/>
        <v>0</v>
      </c>
      <c r="T147" s="54">
        <f t="shared" si="28"/>
        <v>0</v>
      </c>
      <c r="U147" s="54"/>
      <c r="V147" s="38"/>
      <c r="W147" s="38"/>
      <c r="X147" s="38"/>
    </row>
    <row r="148" spans="1:28" x14ac:dyDescent="0.25">
      <c r="A148" s="6" t="s">
        <v>35</v>
      </c>
      <c r="B148" s="7" t="s">
        <v>462</v>
      </c>
      <c r="C148" s="7" t="s">
        <v>17</v>
      </c>
      <c r="D148" s="5" t="s">
        <v>424</v>
      </c>
      <c r="E148" s="4" t="s">
        <v>484</v>
      </c>
      <c r="F148" s="7">
        <v>15</v>
      </c>
      <c r="G148" s="7">
        <f t="shared" si="39"/>
        <v>4</v>
      </c>
      <c r="H148" s="7">
        <f t="shared" si="40"/>
        <v>11</v>
      </c>
      <c r="I148" s="12"/>
      <c r="J148" s="15">
        <v>29241</v>
      </c>
      <c r="K148" s="13"/>
      <c r="L148" s="13">
        <f t="shared" si="41"/>
        <v>29241</v>
      </c>
      <c r="M148" s="13">
        <f t="shared" si="42"/>
        <v>1462.0500000000002</v>
      </c>
      <c r="N148" s="11"/>
      <c r="O148" s="13">
        <f t="shared" si="43"/>
        <v>1851.93</v>
      </c>
      <c r="P148" s="13">
        <f t="shared" si="44"/>
        <v>1851.93</v>
      </c>
      <c r="Q148" s="13"/>
      <c r="R148" s="13">
        <f t="shared" si="45"/>
        <v>27389.07</v>
      </c>
      <c r="S148" s="54">
        <f t="shared" si="27"/>
        <v>27389.07</v>
      </c>
      <c r="T148" s="54">
        <f t="shared" si="28"/>
        <v>0</v>
      </c>
      <c r="U148" s="54"/>
      <c r="V148" s="38"/>
      <c r="W148" s="38"/>
      <c r="X148" s="38"/>
    </row>
    <row r="149" spans="1:28" x14ac:dyDescent="0.25">
      <c r="A149" s="6" t="s">
        <v>35</v>
      </c>
      <c r="B149" s="7" t="s">
        <v>462</v>
      </c>
      <c r="C149" s="7" t="s">
        <v>17</v>
      </c>
      <c r="D149" s="5" t="s">
        <v>490</v>
      </c>
      <c r="E149" s="4">
        <v>2024</v>
      </c>
      <c r="F149" s="7">
        <v>15</v>
      </c>
      <c r="G149" s="7">
        <f t="shared" si="39"/>
        <v>0</v>
      </c>
      <c r="H149" s="7">
        <f t="shared" si="40"/>
        <v>15</v>
      </c>
      <c r="I149" s="12"/>
      <c r="J149" s="15">
        <v>98000</v>
      </c>
      <c r="K149" s="13"/>
      <c r="L149" s="13">
        <f t="shared" ref="L149" si="46">+I149+J149-K149</f>
        <v>98000</v>
      </c>
      <c r="M149" s="13">
        <f t="shared" ref="M149" si="47">+L149*0.05</f>
        <v>4900</v>
      </c>
      <c r="N149" s="11"/>
      <c r="O149" s="13">
        <f>+IF(H149&gt;0,((L149-M149)/F149),0)*4/12</f>
        <v>2068.8888888888891</v>
      </c>
      <c r="P149" s="13">
        <f t="shared" ref="P149" si="48">+N149+O149</f>
        <v>2068.8888888888891</v>
      </c>
      <c r="Q149" s="13"/>
      <c r="R149" s="13">
        <f t="shared" ref="R149" si="49">+IF(H149&gt;0,(L149-P149-Q149),M149)</f>
        <v>95931.111111111109</v>
      </c>
      <c r="S149" s="54">
        <f t="shared" si="27"/>
        <v>95931.111111111109</v>
      </c>
      <c r="T149" s="54">
        <f t="shared" si="28"/>
        <v>0</v>
      </c>
      <c r="U149" s="54"/>
      <c r="V149" s="38"/>
      <c r="W149" s="38"/>
      <c r="X149" s="38"/>
    </row>
    <row r="150" spans="1:28" x14ac:dyDescent="0.25">
      <c r="A150" s="6"/>
      <c r="B150" s="7"/>
      <c r="C150" s="7"/>
      <c r="D150" s="5"/>
      <c r="E150" s="4"/>
      <c r="F150" s="7"/>
      <c r="G150" s="7"/>
      <c r="H150" s="7"/>
      <c r="I150" s="12"/>
      <c r="J150" s="15"/>
      <c r="K150" s="13"/>
      <c r="L150" s="13"/>
      <c r="M150" s="13"/>
      <c r="N150" s="11"/>
      <c r="O150" s="13"/>
      <c r="P150" s="13"/>
      <c r="Q150" s="13"/>
      <c r="R150" s="13" t="s">
        <v>469</v>
      </c>
      <c r="S150" s="54"/>
      <c r="T150" s="54"/>
      <c r="U150" s="54">
        <f>SUM(U105:U148)</f>
        <v>6258434.2076804824</v>
      </c>
      <c r="V150" s="38"/>
      <c r="W150" s="38"/>
      <c r="X150" s="38"/>
    </row>
    <row r="151" spans="1:28" x14ac:dyDescent="0.25">
      <c r="A151" s="23" t="s">
        <v>360</v>
      </c>
      <c r="B151" s="24"/>
      <c r="C151" s="24"/>
      <c r="D151" s="27"/>
      <c r="E151" s="25"/>
      <c r="F151" s="24"/>
      <c r="G151" s="24"/>
      <c r="H151" s="24"/>
      <c r="I151" s="28">
        <f t="shared" ref="I151:T151" si="50">SUM(I22:I150)</f>
        <v>160507847.15999997</v>
      </c>
      <c r="J151" s="28">
        <f t="shared" si="50"/>
        <v>7884254.0243471498</v>
      </c>
      <c r="K151" s="28">
        <f t="shared" si="50"/>
        <v>11329658</v>
      </c>
      <c r="L151" s="28">
        <f t="shared" si="50"/>
        <v>157062443.18434715</v>
      </c>
      <c r="M151" s="28">
        <f t="shared" si="50"/>
        <v>7853122.1592173567</v>
      </c>
      <c r="N151" s="28">
        <f t="shared" si="50"/>
        <v>141100774.25793675</v>
      </c>
      <c r="O151" s="28">
        <f t="shared" si="50"/>
        <v>2755028.5160660343</v>
      </c>
      <c r="P151" s="28">
        <f t="shared" si="50"/>
        <v>143855802.77400279</v>
      </c>
      <c r="Q151" s="28">
        <f t="shared" si="50"/>
        <v>-10662361.188954839</v>
      </c>
      <c r="R151" s="28">
        <f t="shared" si="50"/>
        <v>23869000.107276838</v>
      </c>
      <c r="S151" s="54">
        <f t="shared" si="50"/>
        <v>23869001.599299252</v>
      </c>
      <c r="T151" s="54">
        <f t="shared" si="50"/>
        <v>-1.4920224098586914</v>
      </c>
      <c r="U151" s="54"/>
      <c r="V151" s="38"/>
    </row>
    <row r="152" spans="1:28" x14ac:dyDescent="0.25">
      <c r="A152" s="6"/>
      <c r="B152" s="7"/>
      <c r="C152" s="7"/>
      <c r="D152" s="5"/>
      <c r="E152" s="4"/>
      <c r="F152" s="7"/>
      <c r="G152" s="7"/>
      <c r="H152" s="7"/>
      <c r="I152" s="12"/>
      <c r="J152" s="15"/>
      <c r="K152" s="13"/>
      <c r="L152" s="13"/>
      <c r="M152" s="13"/>
      <c r="N152" s="11"/>
      <c r="O152" s="13"/>
      <c r="P152" s="13"/>
      <c r="Q152" s="13"/>
      <c r="R152" s="13"/>
      <c r="S152" s="54"/>
      <c r="T152" s="54"/>
      <c r="U152" s="54"/>
      <c r="V152" s="58"/>
    </row>
    <row r="153" spans="1:28" s="93" customFormat="1" ht="27.6" x14ac:dyDescent="0.25">
      <c r="A153" s="87" t="s">
        <v>220</v>
      </c>
      <c r="B153" s="88" t="s">
        <v>221</v>
      </c>
      <c r="C153" s="88" t="s">
        <v>17</v>
      </c>
      <c r="D153" s="89" t="s">
        <v>107</v>
      </c>
      <c r="E153" s="90">
        <v>2010</v>
      </c>
      <c r="F153" s="88">
        <v>15</v>
      </c>
      <c r="G153" s="88">
        <f t="shared" si="22"/>
        <v>14</v>
      </c>
      <c r="H153" s="88">
        <f t="shared" si="20"/>
        <v>1</v>
      </c>
      <c r="I153" s="91">
        <v>6437474.2400000002</v>
      </c>
      <c r="J153" s="92"/>
      <c r="K153" s="91">
        <v>6437474</v>
      </c>
      <c r="L153" s="91">
        <f t="shared" ref="L153:L191" si="51">+I153+J153-K153</f>
        <v>0.24000000022351742</v>
      </c>
      <c r="M153" s="91">
        <f t="shared" si="21"/>
        <v>1.2000000011175871E-2</v>
      </c>
      <c r="N153" s="91">
        <v>6115809.8880000003</v>
      </c>
      <c r="O153" s="91">
        <f t="shared" ref="O153:O191" si="52">+IF(H153&gt;0,((L153-M153)/F153),0)</f>
        <v>1.5200000014156103E-2</v>
      </c>
      <c r="P153" s="91">
        <f t="shared" ref="P153:P191" si="53">+N153+O153</f>
        <v>6115809.9032000005</v>
      </c>
      <c r="Q153" s="91">
        <v>-6115809.9031999996</v>
      </c>
      <c r="R153" s="91">
        <f t="shared" ref="R153:R191" si="54">+IF(H153&gt;0,(L153-P153-Q153),M153)</f>
        <v>0.23999999929219484</v>
      </c>
      <c r="S153" s="54">
        <f t="shared" ref="S153:S196" si="55">+L153-P153+Q153</f>
        <v>-12231619.566399999</v>
      </c>
      <c r="T153" s="54">
        <f t="shared" ref="T153:T196" si="56">+R153-S153</f>
        <v>12231619.806399997</v>
      </c>
      <c r="U153" s="54"/>
      <c r="W153" s="94">
        <v>45346</v>
      </c>
      <c r="X153" s="93">
        <v>700000</v>
      </c>
      <c r="Y153" s="95">
        <f>+K153</f>
        <v>6437474</v>
      </c>
      <c r="Z153" s="99">
        <f>+N153</f>
        <v>6115809.8880000003</v>
      </c>
      <c r="AA153" s="95">
        <f>+Y153-Z153</f>
        <v>321664.11199999973</v>
      </c>
      <c r="AB153" s="95">
        <f>+X153-AA153</f>
        <v>378335.88800000027</v>
      </c>
    </row>
    <row r="154" spans="1:28" ht="27.6" x14ac:dyDescent="0.25">
      <c r="A154" s="6" t="s">
        <v>220</v>
      </c>
      <c r="B154" s="7" t="s">
        <v>222</v>
      </c>
      <c r="C154" s="7" t="s">
        <v>17</v>
      </c>
      <c r="D154" s="5" t="s">
        <v>108</v>
      </c>
      <c r="E154" s="4">
        <v>2009</v>
      </c>
      <c r="F154" s="7">
        <v>15</v>
      </c>
      <c r="G154" s="7">
        <f t="shared" si="22"/>
        <v>15</v>
      </c>
      <c r="H154" s="7">
        <f t="shared" si="20"/>
        <v>0</v>
      </c>
      <c r="I154" s="13">
        <v>7447519.0599999996</v>
      </c>
      <c r="J154" s="15"/>
      <c r="K154" s="13"/>
      <c r="L154" s="13">
        <f t="shared" si="51"/>
        <v>7447519.0599999996</v>
      </c>
      <c r="M154" s="13">
        <f t="shared" si="21"/>
        <v>372375.95299999998</v>
      </c>
      <c r="N154" s="11">
        <v>7075143.1069999998</v>
      </c>
      <c r="O154" s="13">
        <v>0</v>
      </c>
      <c r="P154" s="13">
        <f t="shared" si="53"/>
        <v>7075143.1069999998</v>
      </c>
      <c r="Q154" s="13"/>
      <c r="R154" s="13">
        <f t="shared" si="54"/>
        <v>372375.95299999998</v>
      </c>
      <c r="S154" s="54">
        <f t="shared" si="55"/>
        <v>372375.95299999975</v>
      </c>
      <c r="T154" s="54">
        <f t="shared" si="56"/>
        <v>0</v>
      </c>
      <c r="U154" s="54"/>
      <c r="X154" s="38">
        <f>+X153+X88+X64+X38+X27</f>
        <v>2050000</v>
      </c>
      <c r="Y154" s="38">
        <f>+Y153+Y88+Y64+Y38+Y27</f>
        <v>12584942</v>
      </c>
      <c r="Z154" s="38">
        <f>+Z153+Z88+Z64+Z38+Z27</f>
        <v>11071992.349179287</v>
      </c>
      <c r="AA154" s="38">
        <f>+AA153+AA88+AA64+AA38+AA27</f>
        <v>1512949.650820713</v>
      </c>
      <c r="AB154" s="38">
        <f>+AB153+AB88+AB64+AB38+AB27</f>
        <v>537050.34917928686</v>
      </c>
    </row>
    <row r="155" spans="1:28" x14ac:dyDescent="0.25">
      <c r="A155" s="6" t="s">
        <v>220</v>
      </c>
      <c r="B155" s="7" t="s">
        <v>223</v>
      </c>
      <c r="C155" s="7" t="s">
        <v>17</v>
      </c>
      <c r="D155" s="5" t="s">
        <v>109</v>
      </c>
      <c r="E155" s="4">
        <v>2009</v>
      </c>
      <c r="F155" s="7">
        <v>15</v>
      </c>
      <c r="G155" s="7">
        <f t="shared" si="22"/>
        <v>15</v>
      </c>
      <c r="H155" s="7">
        <f t="shared" si="20"/>
        <v>0</v>
      </c>
      <c r="I155" s="13">
        <v>46092857.130000003</v>
      </c>
      <c r="J155" s="15"/>
      <c r="K155" s="13"/>
      <c r="L155" s="13">
        <f t="shared" si="51"/>
        <v>46092857.130000003</v>
      </c>
      <c r="M155" s="13">
        <f t="shared" si="21"/>
        <v>2304642.8565000002</v>
      </c>
      <c r="N155" s="11">
        <v>32613136.491714701</v>
      </c>
      <c r="O155" s="13">
        <f t="shared" si="52"/>
        <v>0</v>
      </c>
      <c r="P155" s="13">
        <f t="shared" si="53"/>
        <v>32613136.491714701</v>
      </c>
      <c r="Q155" s="13"/>
      <c r="R155" s="13">
        <f>+L155-P155</f>
        <v>13479720.638285302</v>
      </c>
      <c r="S155" s="54">
        <f t="shared" si="55"/>
        <v>13479720.638285302</v>
      </c>
      <c r="T155" s="54">
        <f t="shared" si="56"/>
        <v>0</v>
      </c>
      <c r="U155" s="54"/>
    </row>
    <row r="156" spans="1:28" x14ac:dyDescent="0.25">
      <c r="A156" s="6" t="s">
        <v>220</v>
      </c>
      <c r="B156" s="7" t="s">
        <v>224</v>
      </c>
      <c r="C156" s="7" t="s">
        <v>17</v>
      </c>
      <c r="D156" s="5" t="s">
        <v>110</v>
      </c>
      <c r="E156" s="4">
        <v>2010</v>
      </c>
      <c r="F156" s="7">
        <v>15</v>
      </c>
      <c r="G156" s="7">
        <f t="shared" si="22"/>
        <v>14</v>
      </c>
      <c r="H156" s="7">
        <f t="shared" si="20"/>
        <v>1</v>
      </c>
      <c r="I156" s="13">
        <v>27720238.050000001</v>
      </c>
      <c r="J156" s="15"/>
      <c r="K156" s="13"/>
      <c r="L156" s="13">
        <f t="shared" si="51"/>
        <v>27720238.050000001</v>
      </c>
      <c r="M156" s="13">
        <f t="shared" si="21"/>
        <v>1386011.9025000001</v>
      </c>
      <c r="N156" s="11">
        <v>19448166.978073899</v>
      </c>
      <c r="O156" s="13">
        <f t="shared" si="52"/>
        <v>1755615.0765</v>
      </c>
      <c r="P156" s="13">
        <f t="shared" si="53"/>
        <v>21203782.054573897</v>
      </c>
      <c r="Q156" s="13"/>
      <c r="R156" s="13">
        <f t="shared" si="54"/>
        <v>6516455.9954261035</v>
      </c>
      <c r="S156" s="54">
        <f t="shared" si="55"/>
        <v>6516455.9954261035</v>
      </c>
      <c r="T156" s="54">
        <f t="shared" si="56"/>
        <v>0</v>
      </c>
      <c r="U156" s="54"/>
      <c r="AA156" s="38"/>
    </row>
    <row r="157" spans="1:28" x14ac:dyDescent="0.25">
      <c r="A157" s="6" t="s">
        <v>220</v>
      </c>
      <c r="B157" s="7" t="s">
        <v>225</v>
      </c>
      <c r="C157" s="7" t="s">
        <v>17</v>
      </c>
      <c r="D157" s="5" t="s">
        <v>111</v>
      </c>
      <c r="E157" s="4">
        <v>2009</v>
      </c>
      <c r="F157" s="7">
        <v>15</v>
      </c>
      <c r="G157" s="7">
        <f t="shared" si="22"/>
        <v>15</v>
      </c>
      <c r="H157" s="7">
        <f t="shared" si="20"/>
        <v>0</v>
      </c>
      <c r="I157" s="13">
        <v>39646645.5</v>
      </c>
      <c r="J157" s="15"/>
      <c r="K157" s="13"/>
      <c r="L157" s="13">
        <f t="shared" si="51"/>
        <v>39646645.5</v>
      </c>
      <c r="M157" s="13">
        <f t="shared" si="21"/>
        <v>1982332.2750000001</v>
      </c>
      <c r="N157" s="11">
        <v>27636315.531821501</v>
      </c>
      <c r="O157" s="13">
        <f t="shared" si="52"/>
        <v>0</v>
      </c>
      <c r="P157" s="13">
        <f t="shared" si="53"/>
        <v>27636315.531821501</v>
      </c>
      <c r="Q157" s="13"/>
      <c r="R157" s="13">
        <f>+L157-P157</f>
        <v>12010329.968178499</v>
      </c>
      <c r="S157" s="54">
        <f t="shared" si="55"/>
        <v>12010329.968178499</v>
      </c>
      <c r="T157" s="54">
        <f t="shared" si="56"/>
        <v>0</v>
      </c>
      <c r="U157" s="54"/>
    </row>
    <row r="158" spans="1:28" x14ac:dyDescent="0.25">
      <c r="A158" s="6" t="s">
        <v>220</v>
      </c>
      <c r="B158" s="7" t="s">
        <v>226</v>
      </c>
      <c r="C158" s="7" t="s">
        <v>17</v>
      </c>
      <c r="D158" s="5" t="s">
        <v>112</v>
      </c>
      <c r="E158" s="4">
        <v>2011</v>
      </c>
      <c r="F158" s="7">
        <v>15</v>
      </c>
      <c r="G158" s="7">
        <f t="shared" si="22"/>
        <v>13</v>
      </c>
      <c r="H158" s="7">
        <f t="shared" si="20"/>
        <v>2</v>
      </c>
      <c r="I158" s="13">
        <v>5240306.28</v>
      </c>
      <c r="J158" s="15"/>
      <c r="K158" s="13"/>
      <c r="L158" s="13">
        <f t="shared" si="51"/>
        <v>5240306.28</v>
      </c>
      <c r="M158" s="13">
        <f t="shared" si="21"/>
        <v>262015.31400000001</v>
      </c>
      <c r="N158" s="11">
        <v>3413886.7855007998</v>
      </c>
      <c r="O158" s="13">
        <f t="shared" si="52"/>
        <v>331886.06439999997</v>
      </c>
      <c r="P158" s="13">
        <f t="shared" si="53"/>
        <v>3745772.8499007998</v>
      </c>
      <c r="Q158" s="13"/>
      <c r="R158" s="13">
        <f t="shared" si="54"/>
        <v>1494533.4300992005</v>
      </c>
      <c r="S158" s="54">
        <f t="shared" si="55"/>
        <v>1494533.4300992005</v>
      </c>
      <c r="T158" s="54">
        <f t="shared" si="56"/>
        <v>0</v>
      </c>
      <c r="U158" s="54"/>
    </row>
    <row r="159" spans="1:28" x14ac:dyDescent="0.25">
      <c r="A159" s="6" t="s">
        <v>220</v>
      </c>
      <c r="B159" s="7" t="s">
        <v>227</v>
      </c>
      <c r="C159" s="7" t="s">
        <v>17</v>
      </c>
      <c r="D159" s="5" t="s">
        <v>91</v>
      </c>
      <c r="E159" s="4">
        <v>2011</v>
      </c>
      <c r="F159" s="7">
        <v>15</v>
      </c>
      <c r="G159" s="7">
        <f t="shared" si="22"/>
        <v>13</v>
      </c>
      <c r="H159" s="7">
        <f t="shared" si="20"/>
        <v>2</v>
      </c>
      <c r="I159" s="13">
        <v>382174.99</v>
      </c>
      <c r="J159" s="15"/>
      <c r="K159" s="13"/>
      <c r="L159" s="13">
        <f t="shared" si="51"/>
        <v>382174.99</v>
      </c>
      <c r="M159" s="13">
        <f t="shared" si="21"/>
        <v>19108.749500000002</v>
      </c>
      <c r="N159" s="11">
        <v>249075.95166640001</v>
      </c>
      <c r="O159" s="13">
        <f t="shared" si="52"/>
        <v>24204.416033333335</v>
      </c>
      <c r="P159" s="13">
        <f t="shared" si="53"/>
        <v>273280.36769973335</v>
      </c>
      <c r="Q159" s="13"/>
      <c r="R159" s="13">
        <f t="shared" si="54"/>
        <v>108894.62230026664</v>
      </c>
      <c r="S159" s="54">
        <f t="shared" si="55"/>
        <v>108894.62230026664</v>
      </c>
      <c r="T159" s="54">
        <f t="shared" si="56"/>
        <v>0</v>
      </c>
      <c r="U159" s="54"/>
    </row>
    <row r="160" spans="1:28" ht="27.6" x14ac:dyDescent="0.25">
      <c r="A160" s="6" t="s">
        <v>220</v>
      </c>
      <c r="B160" s="7" t="s">
        <v>228</v>
      </c>
      <c r="C160" s="7" t="s">
        <v>17</v>
      </c>
      <c r="D160" s="5" t="s">
        <v>113</v>
      </c>
      <c r="E160" s="4">
        <v>2011</v>
      </c>
      <c r="F160" s="7">
        <v>15</v>
      </c>
      <c r="G160" s="7">
        <f t="shared" si="22"/>
        <v>13</v>
      </c>
      <c r="H160" s="7">
        <f t="shared" si="20"/>
        <v>2</v>
      </c>
      <c r="I160" s="13">
        <v>3030525</v>
      </c>
      <c r="J160" s="15"/>
      <c r="K160" s="13"/>
      <c r="L160" s="13">
        <f t="shared" si="51"/>
        <v>3030525</v>
      </c>
      <c r="M160" s="13">
        <f t="shared" si="21"/>
        <v>151526.25</v>
      </c>
      <c r="N160" s="11">
        <v>1978084.1140000001</v>
      </c>
      <c r="O160" s="13">
        <f t="shared" si="52"/>
        <v>191933.25</v>
      </c>
      <c r="P160" s="13">
        <f t="shared" si="53"/>
        <v>2170017.3640000001</v>
      </c>
      <c r="Q160" s="13"/>
      <c r="R160" s="13">
        <f t="shared" si="54"/>
        <v>860507.63599999994</v>
      </c>
      <c r="S160" s="54">
        <f t="shared" si="55"/>
        <v>860507.63599999994</v>
      </c>
      <c r="T160" s="54">
        <f t="shared" si="56"/>
        <v>0</v>
      </c>
      <c r="U160" s="54"/>
    </row>
    <row r="161" spans="1:21" x14ac:dyDescent="0.25">
      <c r="A161" s="6" t="s">
        <v>220</v>
      </c>
      <c r="B161" s="7" t="s">
        <v>229</v>
      </c>
      <c r="C161" s="7" t="s">
        <v>17</v>
      </c>
      <c r="D161" s="5" t="s">
        <v>114</v>
      </c>
      <c r="E161" s="4">
        <v>2012</v>
      </c>
      <c r="F161" s="7">
        <v>15</v>
      </c>
      <c r="G161" s="7">
        <f t="shared" si="22"/>
        <v>12</v>
      </c>
      <c r="H161" s="7">
        <f t="shared" si="20"/>
        <v>3</v>
      </c>
      <c r="I161" s="13">
        <v>24426806</v>
      </c>
      <c r="J161" s="15"/>
      <c r="K161" s="13"/>
      <c r="L161" s="13">
        <f t="shared" si="51"/>
        <v>24426806</v>
      </c>
      <c r="M161" s="13">
        <f t="shared" si="21"/>
        <v>1221340.3</v>
      </c>
      <c r="N161" s="11">
        <v>14360044.768449999</v>
      </c>
      <c r="O161" s="13">
        <f t="shared" si="52"/>
        <v>1547031.0466666666</v>
      </c>
      <c r="P161" s="13">
        <f t="shared" si="53"/>
        <v>15907075.815116666</v>
      </c>
      <c r="Q161" s="13"/>
      <c r="R161" s="13">
        <f t="shared" si="54"/>
        <v>8519730.1848833337</v>
      </c>
      <c r="S161" s="54">
        <f t="shared" si="55"/>
        <v>8519730.1848833337</v>
      </c>
      <c r="T161" s="54">
        <f t="shared" si="56"/>
        <v>0</v>
      </c>
      <c r="U161" s="54"/>
    </row>
    <row r="162" spans="1:21" ht="27.6" x14ac:dyDescent="0.25">
      <c r="A162" s="6" t="s">
        <v>220</v>
      </c>
      <c r="B162" s="7" t="s">
        <v>230</v>
      </c>
      <c r="C162" s="7" t="s">
        <v>17</v>
      </c>
      <c r="D162" s="5" t="s">
        <v>115</v>
      </c>
      <c r="E162" s="4">
        <v>2012</v>
      </c>
      <c r="F162" s="7">
        <v>15</v>
      </c>
      <c r="G162" s="7">
        <f t="shared" si="22"/>
        <v>12</v>
      </c>
      <c r="H162" s="7">
        <f t="shared" si="20"/>
        <v>3</v>
      </c>
      <c r="I162" s="13">
        <v>1008447</v>
      </c>
      <c r="J162" s="15"/>
      <c r="K162" s="13"/>
      <c r="L162" s="13">
        <f t="shared" si="51"/>
        <v>1008447</v>
      </c>
      <c r="M162" s="13">
        <f t="shared" si="21"/>
        <v>50422.350000000006</v>
      </c>
      <c r="N162" s="11">
        <v>595067.80452500004</v>
      </c>
      <c r="O162" s="13">
        <f t="shared" si="52"/>
        <v>63868.310000000005</v>
      </c>
      <c r="P162" s="13">
        <f t="shared" si="53"/>
        <v>658936.1145250001</v>
      </c>
      <c r="Q162" s="13"/>
      <c r="R162" s="13">
        <f t="shared" si="54"/>
        <v>349510.8854749999</v>
      </c>
      <c r="S162" s="54">
        <f t="shared" si="55"/>
        <v>349510.8854749999</v>
      </c>
      <c r="T162" s="54">
        <f t="shared" si="56"/>
        <v>0</v>
      </c>
      <c r="U162" s="54"/>
    </row>
    <row r="163" spans="1:21" ht="27.6" x14ac:dyDescent="0.25">
      <c r="A163" s="6" t="s">
        <v>220</v>
      </c>
      <c r="B163" s="7" t="s">
        <v>231</v>
      </c>
      <c r="C163" s="7" t="s">
        <v>17</v>
      </c>
      <c r="D163" s="5" t="s">
        <v>116</v>
      </c>
      <c r="E163" s="4">
        <v>2012</v>
      </c>
      <c r="F163" s="7">
        <v>15</v>
      </c>
      <c r="G163" s="7">
        <f t="shared" si="22"/>
        <v>12</v>
      </c>
      <c r="H163" s="7">
        <f t="shared" si="20"/>
        <v>3</v>
      </c>
      <c r="I163" s="13">
        <v>605609.71</v>
      </c>
      <c r="J163" s="15"/>
      <c r="K163" s="13"/>
      <c r="L163" s="13">
        <f t="shared" si="51"/>
        <v>605609.71</v>
      </c>
      <c r="M163" s="13">
        <f t="shared" si="21"/>
        <v>30280.485499999999</v>
      </c>
      <c r="N163" s="11">
        <v>351601.85738325003</v>
      </c>
      <c r="O163" s="13">
        <f t="shared" si="52"/>
        <v>38355.281633333332</v>
      </c>
      <c r="P163" s="13">
        <f t="shared" si="53"/>
        <v>389957.13901658333</v>
      </c>
      <c r="Q163" s="13"/>
      <c r="R163" s="13">
        <f t="shared" si="54"/>
        <v>215652.57098341663</v>
      </c>
      <c r="S163" s="54">
        <f t="shared" si="55"/>
        <v>215652.57098341663</v>
      </c>
      <c r="T163" s="54">
        <f t="shared" si="56"/>
        <v>0</v>
      </c>
      <c r="U163" s="54"/>
    </row>
    <row r="164" spans="1:21" ht="27.6" x14ac:dyDescent="0.25">
      <c r="A164" s="6" t="s">
        <v>220</v>
      </c>
      <c r="B164" s="7" t="s">
        <v>232</v>
      </c>
      <c r="C164" s="7" t="s">
        <v>17</v>
      </c>
      <c r="D164" s="5" t="s">
        <v>117</v>
      </c>
      <c r="E164" s="4">
        <v>2012</v>
      </c>
      <c r="F164" s="7">
        <v>15</v>
      </c>
      <c r="G164" s="7">
        <f t="shared" si="22"/>
        <v>12</v>
      </c>
      <c r="H164" s="7">
        <f t="shared" si="20"/>
        <v>3</v>
      </c>
      <c r="I164" s="13">
        <v>660000</v>
      </c>
      <c r="J164" s="15"/>
      <c r="K164" s="13"/>
      <c r="L164" s="13">
        <f t="shared" si="51"/>
        <v>660000</v>
      </c>
      <c r="M164" s="13">
        <f t="shared" si="21"/>
        <v>33000</v>
      </c>
      <c r="N164" s="11">
        <v>383179.5</v>
      </c>
      <c r="O164" s="13">
        <f t="shared" si="52"/>
        <v>41800</v>
      </c>
      <c r="P164" s="13">
        <f t="shared" si="53"/>
        <v>424979.5</v>
      </c>
      <c r="Q164" s="13"/>
      <c r="R164" s="13">
        <f t="shared" si="54"/>
        <v>235020.5</v>
      </c>
      <c r="S164" s="54">
        <f t="shared" si="55"/>
        <v>235020.5</v>
      </c>
      <c r="T164" s="54">
        <f t="shared" si="56"/>
        <v>0</v>
      </c>
      <c r="U164" s="54"/>
    </row>
    <row r="165" spans="1:21" ht="27.6" x14ac:dyDescent="0.25">
      <c r="A165" s="6" t="s">
        <v>220</v>
      </c>
      <c r="B165" s="7" t="s">
        <v>233</v>
      </c>
      <c r="C165" s="7" t="s">
        <v>17</v>
      </c>
      <c r="D165" s="5" t="s">
        <v>118</v>
      </c>
      <c r="E165" s="4">
        <v>2012</v>
      </c>
      <c r="F165" s="7">
        <v>15</v>
      </c>
      <c r="G165" s="7">
        <f t="shared" si="22"/>
        <v>12</v>
      </c>
      <c r="H165" s="7">
        <f t="shared" si="20"/>
        <v>3</v>
      </c>
      <c r="I165" s="13">
        <v>409585.5</v>
      </c>
      <c r="J165" s="15"/>
      <c r="K165" s="13"/>
      <c r="L165" s="13">
        <f t="shared" si="51"/>
        <v>409585.5</v>
      </c>
      <c r="M165" s="13">
        <f t="shared" si="21"/>
        <v>20479.275000000001</v>
      </c>
      <c r="N165" s="11">
        <v>240639.7266625</v>
      </c>
      <c r="O165" s="13">
        <f t="shared" si="52"/>
        <v>25940.414999999997</v>
      </c>
      <c r="P165" s="13">
        <f t="shared" si="53"/>
        <v>266580.14166249998</v>
      </c>
      <c r="Q165" s="13"/>
      <c r="R165" s="13">
        <f t="shared" si="54"/>
        <v>143005.35833750002</v>
      </c>
      <c r="S165" s="54">
        <f t="shared" si="55"/>
        <v>143005.35833750002</v>
      </c>
      <c r="T165" s="54">
        <f t="shared" si="56"/>
        <v>0</v>
      </c>
      <c r="U165" s="54"/>
    </row>
    <row r="166" spans="1:21" ht="27.6" x14ac:dyDescent="0.25">
      <c r="A166" s="6" t="s">
        <v>220</v>
      </c>
      <c r="B166" s="7" t="s">
        <v>234</v>
      </c>
      <c r="C166" s="7" t="s">
        <v>17</v>
      </c>
      <c r="D166" s="5" t="s">
        <v>119</v>
      </c>
      <c r="E166" s="4">
        <v>2012</v>
      </c>
      <c r="F166" s="7">
        <v>15</v>
      </c>
      <c r="G166" s="7">
        <f t="shared" si="22"/>
        <v>12</v>
      </c>
      <c r="H166" s="7">
        <f t="shared" si="20"/>
        <v>3</v>
      </c>
      <c r="I166" s="13">
        <v>1018206</v>
      </c>
      <c r="J166" s="15"/>
      <c r="K166" s="13"/>
      <c r="L166" s="13">
        <f t="shared" si="51"/>
        <v>1018206</v>
      </c>
      <c r="M166" s="13">
        <f t="shared" si="21"/>
        <v>50910.3</v>
      </c>
      <c r="N166" s="11">
        <v>614570.88595000003</v>
      </c>
      <c r="O166" s="13">
        <f t="shared" si="52"/>
        <v>64486.38</v>
      </c>
      <c r="P166" s="13">
        <f t="shared" si="53"/>
        <v>679057.26595000003</v>
      </c>
      <c r="Q166" s="13"/>
      <c r="R166" s="13">
        <f t="shared" si="54"/>
        <v>339148.73404999997</v>
      </c>
      <c r="S166" s="54">
        <f t="shared" si="55"/>
        <v>339148.73404999997</v>
      </c>
      <c r="T166" s="54">
        <f t="shared" si="56"/>
        <v>0</v>
      </c>
      <c r="U166" s="54"/>
    </row>
    <row r="167" spans="1:21" ht="27.6" x14ac:dyDescent="0.25">
      <c r="A167" s="6" t="s">
        <v>220</v>
      </c>
      <c r="B167" s="7" t="s">
        <v>235</v>
      </c>
      <c r="C167" s="7" t="s">
        <v>17</v>
      </c>
      <c r="D167" s="5" t="s">
        <v>120</v>
      </c>
      <c r="E167" s="4">
        <v>2012</v>
      </c>
      <c r="F167" s="7">
        <v>15</v>
      </c>
      <c r="G167" s="7">
        <f t="shared" si="22"/>
        <v>12</v>
      </c>
      <c r="H167" s="7">
        <f t="shared" si="20"/>
        <v>3</v>
      </c>
      <c r="I167" s="13">
        <v>1498581</v>
      </c>
      <c r="J167" s="15"/>
      <c r="K167" s="13"/>
      <c r="L167" s="13">
        <f t="shared" si="51"/>
        <v>1498581</v>
      </c>
      <c r="M167" s="13">
        <f t="shared" si="21"/>
        <v>74929.05</v>
      </c>
      <c r="N167" s="11">
        <v>886988.72657499998</v>
      </c>
      <c r="O167" s="13">
        <f t="shared" si="52"/>
        <v>94910.12999999999</v>
      </c>
      <c r="P167" s="13">
        <f t="shared" si="53"/>
        <v>981898.85657499998</v>
      </c>
      <c r="Q167" s="13"/>
      <c r="R167" s="13">
        <f t="shared" si="54"/>
        <v>516682.14342500002</v>
      </c>
      <c r="S167" s="54">
        <f t="shared" si="55"/>
        <v>516682.14342500002</v>
      </c>
      <c r="T167" s="54">
        <f t="shared" si="56"/>
        <v>0</v>
      </c>
      <c r="U167" s="54"/>
    </row>
    <row r="168" spans="1:21" x14ac:dyDescent="0.25">
      <c r="A168" s="6" t="s">
        <v>220</v>
      </c>
      <c r="B168" s="7" t="s">
        <v>236</v>
      </c>
      <c r="C168" s="7" t="s">
        <v>17</v>
      </c>
      <c r="D168" s="5" t="s">
        <v>121</v>
      </c>
      <c r="E168" s="4">
        <v>2012</v>
      </c>
      <c r="F168" s="7">
        <v>15</v>
      </c>
      <c r="G168" s="7">
        <f t="shared" si="22"/>
        <v>12</v>
      </c>
      <c r="H168" s="7">
        <f t="shared" si="20"/>
        <v>3</v>
      </c>
      <c r="I168" s="13">
        <v>943372</v>
      </c>
      <c r="J168" s="15"/>
      <c r="K168" s="13"/>
      <c r="L168" s="13">
        <f t="shared" si="51"/>
        <v>943372</v>
      </c>
      <c r="M168" s="13">
        <f t="shared" si="21"/>
        <v>47168.600000000006</v>
      </c>
      <c r="N168" s="11">
        <v>547698.19889999996</v>
      </c>
      <c r="O168" s="13">
        <f t="shared" si="52"/>
        <v>59746.893333333333</v>
      </c>
      <c r="P168" s="13">
        <f t="shared" si="53"/>
        <v>607445.09223333327</v>
      </c>
      <c r="Q168" s="13"/>
      <c r="R168" s="13">
        <f t="shared" si="54"/>
        <v>335926.90776666673</v>
      </c>
      <c r="S168" s="54">
        <f t="shared" si="55"/>
        <v>335926.90776666673</v>
      </c>
      <c r="T168" s="54">
        <f t="shared" si="56"/>
        <v>0</v>
      </c>
      <c r="U168" s="54"/>
    </row>
    <row r="169" spans="1:21" x14ac:dyDescent="0.25">
      <c r="A169" s="6" t="s">
        <v>220</v>
      </c>
      <c r="B169" s="7" t="s">
        <v>237</v>
      </c>
      <c r="C169" s="7" t="s">
        <v>17</v>
      </c>
      <c r="D169" s="5" t="s">
        <v>122</v>
      </c>
      <c r="E169" s="4">
        <v>2013</v>
      </c>
      <c r="F169" s="7">
        <v>15</v>
      </c>
      <c r="G169" s="7">
        <f t="shared" si="22"/>
        <v>11</v>
      </c>
      <c r="H169" s="7">
        <f t="shared" si="20"/>
        <v>4</v>
      </c>
      <c r="I169" s="13">
        <v>364412.88</v>
      </c>
      <c r="J169" s="15"/>
      <c r="K169" s="13"/>
      <c r="L169" s="13">
        <f t="shared" si="51"/>
        <v>364412.88</v>
      </c>
      <c r="M169" s="13">
        <f t="shared" si="21"/>
        <v>18220.644</v>
      </c>
      <c r="N169" s="11">
        <v>194676.830853647</v>
      </c>
      <c r="O169" s="13">
        <f t="shared" si="52"/>
        <v>23079.482400000001</v>
      </c>
      <c r="P169" s="13">
        <f t="shared" si="53"/>
        <v>217756.31325364701</v>
      </c>
      <c r="Q169" s="13"/>
      <c r="R169" s="13">
        <f t="shared" si="54"/>
        <v>146656.566746353</v>
      </c>
      <c r="S169" s="54">
        <f t="shared" si="55"/>
        <v>146656.566746353</v>
      </c>
      <c r="T169" s="54">
        <f t="shared" si="56"/>
        <v>0</v>
      </c>
      <c r="U169" s="54"/>
    </row>
    <row r="170" spans="1:21" x14ac:dyDescent="0.25">
      <c r="A170" s="6" t="s">
        <v>220</v>
      </c>
      <c r="B170" s="7" t="s">
        <v>238</v>
      </c>
      <c r="C170" s="7" t="s">
        <v>17</v>
      </c>
      <c r="D170" s="5" t="s">
        <v>123</v>
      </c>
      <c r="E170" s="4">
        <v>2013</v>
      </c>
      <c r="F170" s="7">
        <v>15</v>
      </c>
      <c r="G170" s="7">
        <f t="shared" si="22"/>
        <v>11</v>
      </c>
      <c r="H170" s="7">
        <f t="shared" si="20"/>
        <v>4</v>
      </c>
      <c r="I170" s="13">
        <v>2314475</v>
      </c>
      <c r="J170" s="15"/>
      <c r="K170" s="13"/>
      <c r="L170" s="13">
        <f t="shared" si="51"/>
        <v>2314475</v>
      </c>
      <c r="M170" s="13">
        <f t="shared" si="21"/>
        <v>115723.75</v>
      </c>
      <c r="N170" s="11">
        <v>1245514.55823529</v>
      </c>
      <c r="O170" s="13">
        <f t="shared" si="52"/>
        <v>146583.41666666666</v>
      </c>
      <c r="P170" s="13">
        <f t="shared" si="53"/>
        <v>1392097.9749019567</v>
      </c>
      <c r="Q170" s="13"/>
      <c r="R170" s="13">
        <f t="shared" si="54"/>
        <v>922377.02509804326</v>
      </c>
      <c r="S170" s="54">
        <f t="shared" si="55"/>
        <v>922377.02509804326</v>
      </c>
      <c r="T170" s="54">
        <f t="shared" si="56"/>
        <v>0</v>
      </c>
      <c r="U170" s="54"/>
    </row>
    <row r="171" spans="1:21" ht="27.6" x14ac:dyDescent="0.25">
      <c r="A171" s="6" t="s">
        <v>220</v>
      </c>
      <c r="B171" s="7" t="s">
        <v>239</v>
      </c>
      <c r="C171" s="7" t="s">
        <v>17</v>
      </c>
      <c r="D171" s="5" t="s">
        <v>115</v>
      </c>
      <c r="E171" s="4">
        <v>2013</v>
      </c>
      <c r="F171" s="7">
        <v>15</v>
      </c>
      <c r="G171" s="7">
        <f t="shared" si="22"/>
        <v>11</v>
      </c>
      <c r="H171" s="7">
        <f t="shared" si="20"/>
        <v>4</v>
      </c>
      <c r="I171" s="13">
        <v>70235</v>
      </c>
      <c r="J171" s="15"/>
      <c r="K171" s="13"/>
      <c r="L171" s="13">
        <f t="shared" si="51"/>
        <v>70235</v>
      </c>
      <c r="M171" s="13">
        <f t="shared" si="21"/>
        <v>3511.75</v>
      </c>
      <c r="N171" s="11">
        <v>38627.7949411765</v>
      </c>
      <c r="O171" s="13">
        <f t="shared" si="52"/>
        <v>4448.2166666666662</v>
      </c>
      <c r="P171" s="13">
        <f t="shared" si="53"/>
        <v>43076.011607843167</v>
      </c>
      <c r="Q171" s="13"/>
      <c r="R171" s="13">
        <f t="shared" si="54"/>
        <v>27158.988392156833</v>
      </c>
      <c r="S171" s="54">
        <f t="shared" si="55"/>
        <v>27158.988392156833</v>
      </c>
      <c r="T171" s="54">
        <f t="shared" si="56"/>
        <v>0</v>
      </c>
      <c r="U171" s="54"/>
    </row>
    <row r="172" spans="1:21" ht="27.6" x14ac:dyDescent="0.25">
      <c r="A172" s="6" t="s">
        <v>220</v>
      </c>
      <c r="B172" s="7" t="s">
        <v>240</v>
      </c>
      <c r="C172" s="7" t="s">
        <v>17</v>
      </c>
      <c r="D172" s="5" t="s">
        <v>124</v>
      </c>
      <c r="E172" s="4">
        <v>2013</v>
      </c>
      <c r="F172" s="7">
        <v>15</v>
      </c>
      <c r="G172" s="7">
        <f t="shared" si="22"/>
        <v>11</v>
      </c>
      <c r="H172" s="7">
        <f t="shared" si="20"/>
        <v>4</v>
      </c>
      <c r="I172" s="13">
        <v>23187.94</v>
      </c>
      <c r="J172" s="15"/>
      <c r="K172" s="13"/>
      <c r="L172" s="13">
        <f t="shared" si="51"/>
        <v>23187.94</v>
      </c>
      <c r="M172" s="13">
        <f t="shared" si="21"/>
        <v>1159.3969999999999</v>
      </c>
      <c r="N172" s="11">
        <v>12238.3219327059</v>
      </c>
      <c r="O172" s="13">
        <f t="shared" si="52"/>
        <v>1468.5695333333331</v>
      </c>
      <c r="P172" s="13">
        <f t="shared" si="53"/>
        <v>13706.891466039233</v>
      </c>
      <c r="Q172" s="13"/>
      <c r="R172" s="13">
        <f t="shared" si="54"/>
        <v>9481.0485339607658</v>
      </c>
      <c r="S172" s="54">
        <f t="shared" si="55"/>
        <v>9481.0485339607658</v>
      </c>
      <c r="T172" s="54">
        <f t="shared" si="56"/>
        <v>0</v>
      </c>
      <c r="U172" s="54"/>
    </row>
    <row r="173" spans="1:21" ht="27.6" x14ac:dyDescent="0.25">
      <c r="A173" s="6" t="s">
        <v>220</v>
      </c>
      <c r="B173" s="7" t="s">
        <v>241</v>
      </c>
      <c r="C173" s="7" t="s">
        <v>17</v>
      </c>
      <c r="D173" s="5" t="s">
        <v>125</v>
      </c>
      <c r="E173" s="4">
        <v>2013</v>
      </c>
      <c r="F173" s="7">
        <v>15</v>
      </c>
      <c r="G173" s="7">
        <f t="shared" si="22"/>
        <v>11</v>
      </c>
      <c r="H173" s="7">
        <f t="shared" si="20"/>
        <v>4</v>
      </c>
      <c r="I173" s="13">
        <v>-15180</v>
      </c>
      <c r="J173" s="15"/>
      <c r="K173" s="13"/>
      <c r="L173" s="13">
        <f t="shared" si="51"/>
        <v>-15180</v>
      </c>
      <c r="M173" s="13">
        <f t="shared" si="21"/>
        <v>-759</v>
      </c>
      <c r="N173" s="11">
        <v>-5608.3849411764704</v>
      </c>
      <c r="O173" s="13">
        <f t="shared" si="52"/>
        <v>-961.4</v>
      </c>
      <c r="P173" s="13">
        <f t="shared" si="53"/>
        <v>-6569.7849411764701</v>
      </c>
      <c r="Q173" s="13"/>
      <c r="R173" s="13">
        <f t="shared" si="54"/>
        <v>-8610.2150588235309</v>
      </c>
      <c r="S173" s="54">
        <f t="shared" si="55"/>
        <v>-8610.2150588235309</v>
      </c>
      <c r="T173" s="54">
        <f t="shared" si="56"/>
        <v>0</v>
      </c>
      <c r="U173" s="54"/>
    </row>
    <row r="174" spans="1:21" ht="27.6" x14ac:dyDescent="0.25">
      <c r="A174" s="6" t="s">
        <v>220</v>
      </c>
      <c r="B174" s="7" t="s">
        <v>242</v>
      </c>
      <c r="C174" s="7" t="s">
        <v>17</v>
      </c>
      <c r="D174" s="5" t="s">
        <v>126</v>
      </c>
      <c r="E174" s="4">
        <v>2013</v>
      </c>
      <c r="F174" s="7">
        <v>15</v>
      </c>
      <c r="G174" s="7">
        <f t="shared" si="22"/>
        <v>11</v>
      </c>
      <c r="H174" s="7">
        <f t="shared" si="20"/>
        <v>4</v>
      </c>
      <c r="I174" s="13">
        <v>19159</v>
      </c>
      <c r="J174" s="15"/>
      <c r="K174" s="13"/>
      <c r="L174" s="13">
        <f t="shared" si="51"/>
        <v>19159</v>
      </c>
      <c r="M174" s="13">
        <f t="shared" si="21"/>
        <v>957.95</v>
      </c>
      <c r="N174" s="11">
        <v>10111.8948</v>
      </c>
      <c r="O174" s="13">
        <f t="shared" si="52"/>
        <v>1213.4033333333332</v>
      </c>
      <c r="P174" s="13">
        <f t="shared" si="53"/>
        <v>11325.298133333334</v>
      </c>
      <c r="Q174" s="13"/>
      <c r="R174" s="13">
        <f t="shared" si="54"/>
        <v>7833.7018666666663</v>
      </c>
      <c r="S174" s="54">
        <f t="shared" si="55"/>
        <v>7833.7018666666663</v>
      </c>
      <c r="T174" s="54">
        <f t="shared" si="56"/>
        <v>0</v>
      </c>
      <c r="U174" s="54"/>
    </row>
    <row r="175" spans="1:21" ht="27.6" x14ac:dyDescent="0.25">
      <c r="A175" s="6" t="s">
        <v>220</v>
      </c>
      <c r="B175" s="7" t="s">
        <v>243</v>
      </c>
      <c r="C175" s="7" t="s">
        <v>17</v>
      </c>
      <c r="D175" s="5" t="s">
        <v>127</v>
      </c>
      <c r="E175" s="4">
        <v>2013</v>
      </c>
      <c r="F175" s="7">
        <v>15</v>
      </c>
      <c r="G175" s="7">
        <f t="shared" si="22"/>
        <v>11</v>
      </c>
      <c r="H175" s="7">
        <f t="shared" si="20"/>
        <v>4</v>
      </c>
      <c r="I175" s="13">
        <v>-110880</v>
      </c>
      <c r="J175" s="15"/>
      <c r="K175" s="13"/>
      <c r="L175" s="13">
        <f t="shared" si="51"/>
        <v>-110880</v>
      </c>
      <c r="M175" s="13">
        <f t="shared" si="21"/>
        <v>-5544</v>
      </c>
      <c r="N175" s="11">
        <v>-40965.594352941203</v>
      </c>
      <c r="O175" s="13">
        <f t="shared" si="52"/>
        <v>-7022.4</v>
      </c>
      <c r="P175" s="13">
        <f t="shared" si="53"/>
        <v>-47987.994352941205</v>
      </c>
      <c r="Q175" s="13"/>
      <c r="R175" s="13">
        <f t="shared" si="54"/>
        <v>-62892.005647058795</v>
      </c>
      <c r="S175" s="54">
        <f t="shared" si="55"/>
        <v>-62892.005647058795</v>
      </c>
      <c r="T175" s="54">
        <f t="shared" si="56"/>
        <v>0</v>
      </c>
      <c r="U175" s="54"/>
    </row>
    <row r="176" spans="1:21" x14ac:dyDescent="0.25">
      <c r="A176" s="6" t="s">
        <v>220</v>
      </c>
      <c r="B176" s="7" t="s">
        <v>244</v>
      </c>
      <c r="C176" s="7" t="s">
        <v>17</v>
      </c>
      <c r="D176" s="5" t="s">
        <v>128</v>
      </c>
      <c r="E176" s="4">
        <v>2013</v>
      </c>
      <c r="F176" s="7">
        <v>15</v>
      </c>
      <c r="G176" s="7">
        <f t="shared" si="22"/>
        <v>11</v>
      </c>
      <c r="H176" s="7">
        <f t="shared" si="20"/>
        <v>4</v>
      </c>
      <c r="I176" s="13">
        <v>-34041.160000000003</v>
      </c>
      <c r="J176" s="15"/>
      <c r="K176" s="13"/>
      <c r="L176" s="13">
        <f t="shared" si="51"/>
        <v>-34041.160000000003</v>
      </c>
      <c r="M176" s="13">
        <f t="shared" si="21"/>
        <v>-1702.0580000000002</v>
      </c>
      <c r="N176" s="11">
        <v>-12576.806925176499</v>
      </c>
      <c r="O176" s="13">
        <f t="shared" si="52"/>
        <v>-2155.9401333333335</v>
      </c>
      <c r="P176" s="13">
        <f t="shared" si="53"/>
        <v>-14732.747058509833</v>
      </c>
      <c r="Q176" s="13"/>
      <c r="R176" s="13">
        <f t="shared" si="54"/>
        <v>-19308.412941490169</v>
      </c>
      <c r="S176" s="54">
        <f t="shared" si="55"/>
        <v>-19308.412941490169</v>
      </c>
      <c r="T176" s="54">
        <f t="shared" si="56"/>
        <v>0</v>
      </c>
      <c r="U176" s="54"/>
    </row>
    <row r="177" spans="1:21" x14ac:dyDescent="0.25">
      <c r="A177" s="6" t="s">
        <v>220</v>
      </c>
      <c r="B177" s="7" t="s">
        <v>245</v>
      </c>
      <c r="C177" s="7" t="s">
        <v>17</v>
      </c>
      <c r="D177" s="5" t="s">
        <v>129</v>
      </c>
      <c r="E177" s="4">
        <v>2013</v>
      </c>
      <c r="F177" s="7">
        <v>15</v>
      </c>
      <c r="G177" s="7">
        <f t="shared" si="22"/>
        <v>11</v>
      </c>
      <c r="H177" s="7">
        <f t="shared" si="20"/>
        <v>4</v>
      </c>
      <c r="I177" s="13">
        <v>-4751.2</v>
      </c>
      <c r="J177" s="15"/>
      <c r="K177" s="13"/>
      <c r="L177" s="13">
        <f t="shared" si="51"/>
        <v>-4751.2</v>
      </c>
      <c r="M177" s="13">
        <f t="shared" si="21"/>
        <v>-237.56</v>
      </c>
      <c r="N177" s="11">
        <v>-1755.3727623529401</v>
      </c>
      <c r="O177" s="13">
        <f t="shared" si="52"/>
        <v>-300.90933333333328</v>
      </c>
      <c r="P177" s="13">
        <f t="shared" si="53"/>
        <v>-2056.2820956862734</v>
      </c>
      <c r="Q177" s="13"/>
      <c r="R177" s="13">
        <f t="shared" si="54"/>
        <v>-2694.9179043137265</v>
      </c>
      <c r="S177" s="54">
        <f t="shared" si="55"/>
        <v>-2694.9179043137265</v>
      </c>
      <c r="T177" s="54">
        <f t="shared" si="56"/>
        <v>0</v>
      </c>
      <c r="U177" s="54"/>
    </row>
    <row r="178" spans="1:21" x14ac:dyDescent="0.25">
      <c r="A178" s="6" t="s">
        <v>220</v>
      </c>
      <c r="B178" s="7" t="s">
        <v>246</v>
      </c>
      <c r="C178" s="7" t="s">
        <v>17</v>
      </c>
      <c r="D178" s="5" t="s">
        <v>122</v>
      </c>
      <c r="E178" s="4">
        <v>2014</v>
      </c>
      <c r="F178" s="7">
        <v>15</v>
      </c>
      <c r="G178" s="7">
        <f t="shared" si="22"/>
        <v>10</v>
      </c>
      <c r="H178" s="7">
        <f t="shared" si="20"/>
        <v>5</v>
      </c>
      <c r="I178" s="13">
        <v>4596786</v>
      </c>
      <c r="J178" s="15"/>
      <c r="K178" s="13"/>
      <c r="L178" s="13">
        <f t="shared" si="51"/>
        <v>4596786</v>
      </c>
      <c r="M178" s="13">
        <f t="shared" si="21"/>
        <v>229839.30000000002</v>
      </c>
      <c r="N178" s="11">
        <v>2264376.35</v>
      </c>
      <c r="O178" s="13">
        <f t="shared" si="52"/>
        <v>291129.78000000003</v>
      </c>
      <c r="P178" s="13">
        <f t="shared" si="53"/>
        <v>2555506.13</v>
      </c>
      <c r="Q178" s="13"/>
      <c r="R178" s="13">
        <f t="shared" si="54"/>
        <v>2041279.87</v>
      </c>
      <c r="S178" s="54">
        <f t="shared" si="55"/>
        <v>2041279.87</v>
      </c>
      <c r="T178" s="54">
        <f t="shared" si="56"/>
        <v>0</v>
      </c>
      <c r="U178" s="54"/>
    </row>
    <row r="179" spans="1:21" ht="27.6" x14ac:dyDescent="0.25">
      <c r="A179" s="6" t="s">
        <v>220</v>
      </c>
      <c r="B179" s="7" t="s">
        <v>247</v>
      </c>
      <c r="C179" s="7" t="s">
        <v>17</v>
      </c>
      <c r="D179" s="5" t="s">
        <v>130</v>
      </c>
      <c r="E179" s="4">
        <v>2014</v>
      </c>
      <c r="F179" s="7">
        <v>15</v>
      </c>
      <c r="G179" s="7">
        <f t="shared" si="22"/>
        <v>10</v>
      </c>
      <c r="H179" s="7">
        <f t="shared" si="20"/>
        <v>5</v>
      </c>
      <c r="I179" s="13">
        <v>849335.82</v>
      </c>
      <c r="J179" s="15"/>
      <c r="K179" s="13"/>
      <c r="L179" s="13">
        <f t="shared" si="51"/>
        <v>849335.82</v>
      </c>
      <c r="M179" s="13">
        <f t="shared" si="21"/>
        <v>42466.790999999997</v>
      </c>
      <c r="N179" s="11">
        <v>406461.51449999999</v>
      </c>
      <c r="O179" s="13">
        <f t="shared" si="52"/>
        <v>53791.268599999996</v>
      </c>
      <c r="P179" s="13">
        <f t="shared" si="53"/>
        <v>460252.7831</v>
      </c>
      <c r="Q179" s="13"/>
      <c r="R179" s="13">
        <f t="shared" si="54"/>
        <v>389083.03689999995</v>
      </c>
      <c r="S179" s="54">
        <f t="shared" si="55"/>
        <v>389083.03689999995</v>
      </c>
      <c r="T179" s="54">
        <f t="shared" si="56"/>
        <v>0</v>
      </c>
      <c r="U179" s="54"/>
    </row>
    <row r="180" spans="1:21" ht="27.6" x14ac:dyDescent="0.25">
      <c r="A180" s="6" t="s">
        <v>220</v>
      </c>
      <c r="B180" s="7" t="s">
        <v>248</v>
      </c>
      <c r="C180" s="7" t="s">
        <v>17</v>
      </c>
      <c r="D180" s="5" t="s">
        <v>131</v>
      </c>
      <c r="E180" s="4">
        <v>2014</v>
      </c>
      <c r="F180" s="7">
        <v>15</v>
      </c>
      <c r="G180" s="7">
        <f t="shared" si="22"/>
        <v>10</v>
      </c>
      <c r="H180" s="7">
        <f t="shared" si="20"/>
        <v>5</v>
      </c>
      <c r="I180" s="13">
        <v>84150</v>
      </c>
      <c r="J180" s="15"/>
      <c r="K180" s="13"/>
      <c r="L180" s="13">
        <f t="shared" si="51"/>
        <v>84150</v>
      </c>
      <c r="M180" s="13">
        <f t="shared" si="21"/>
        <v>4207.5</v>
      </c>
      <c r="N180" s="11">
        <v>41082.25</v>
      </c>
      <c r="O180" s="13">
        <f t="shared" si="52"/>
        <v>5329.5</v>
      </c>
      <c r="P180" s="13">
        <f t="shared" si="53"/>
        <v>46411.75</v>
      </c>
      <c r="Q180" s="13"/>
      <c r="R180" s="13">
        <f t="shared" si="54"/>
        <v>37738.25</v>
      </c>
      <c r="S180" s="54">
        <f t="shared" si="55"/>
        <v>37738.25</v>
      </c>
      <c r="T180" s="54">
        <f t="shared" si="56"/>
        <v>0</v>
      </c>
      <c r="U180" s="54"/>
    </row>
    <row r="181" spans="1:21" ht="27.6" x14ac:dyDescent="0.25">
      <c r="A181" s="6" t="s">
        <v>220</v>
      </c>
      <c r="B181" s="7" t="s">
        <v>249</v>
      </c>
      <c r="C181" s="7" t="s">
        <v>17</v>
      </c>
      <c r="D181" s="5" t="s">
        <v>132</v>
      </c>
      <c r="E181" s="4">
        <v>2014</v>
      </c>
      <c r="F181" s="7">
        <v>15</v>
      </c>
      <c r="G181" s="7">
        <f t="shared" si="22"/>
        <v>10</v>
      </c>
      <c r="H181" s="7">
        <f t="shared" si="20"/>
        <v>5</v>
      </c>
      <c r="I181" s="13">
        <v>350961.12</v>
      </c>
      <c r="J181" s="15"/>
      <c r="K181" s="13"/>
      <c r="L181" s="13">
        <f t="shared" si="51"/>
        <v>350961.12</v>
      </c>
      <c r="M181" s="13">
        <f t="shared" si="21"/>
        <v>17548.056</v>
      </c>
      <c r="N181" s="11">
        <v>171339.03200000001</v>
      </c>
      <c r="O181" s="13">
        <f t="shared" si="52"/>
        <v>22227.5376</v>
      </c>
      <c r="P181" s="13">
        <f t="shared" si="53"/>
        <v>193566.56960000002</v>
      </c>
      <c r="Q181" s="13"/>
      <c r="R181" s="13">
        <f t="shared" si="54"/>
        <v>157394.55039999998</v>
      </c>
      <c r="S181" s="54">
        <f t="shared" si="55"/>
        <v>157394.55039999998</v>
      </c>
      <c r="T181" s="54">
        <f t="shared" si="56"/>
        <v>0</v>
      </c>
      <c r="U181" s="54"/>
    </row>
    <row r="182" spans="1:21" ht="27.6" x14ac:dyDescent="0.25">
      <c r="A182" s="6" t="s">
        <v>220</v>
      </c>
      <c r="B182" s="7" t="s">
        <v>250</v>
      </c>
      <c r="C182" s="7" t="s">
        <v>17</v>
      </c>
      <c r="D182" s="5" t="s">
        <v>126</v>
      </c>
      <c r="E182" s="4">
        <v>2014</v>
      </c>
      <c r="F182" s="7">
        <v>15</v>
      </c>
      <c r="G182" s="7">
        <f t="shared" si="22"/>
        <v>10</v>
      </c>
      <c r="H182" s="7">
        <f t="shared" si="20"/>
        <v>5</v>
      </c>
      <c r="I182" s="13">
        <v>2834950</v>
      </c>
      <c r="J182" s="15"/>
      <c r="K182" s="13"/>
      <c r="L182" s="13">
        <f t="shared" si="51"/>
        <v>2834950</v>
      </c>
      <c r="M182" s="13">
        <f t="shared" si="21"/>
        <v>141747.5</v>
      </c>
      <c r="N182" s="11">
        <v>1346601.25</v>
      </c>
      <c r="O182" s="13">
        <f t="shared" si="52"/>
        <v>179546.83333333334</v>
      </c>
      <c r="P182" s="13">
        <f t="shared" si="53"/>
        <v>1526148.0833333333</v>
      </c>
      <c r="Q182" s="13"/>
      <c r="R182" s="13">
        <f t="shared" si="54"/>
        <v>1308801.9166666667</v>
      </c>
      <c r="S182" s="54">
        <f t="shared" si="55"/>
        <v>1308801.9166666667</v>
      </c>
      <c r="T182" s="54">
        <f t="shared" si="56"/>
        <v>0</v>
      </c>
      <c r="U182" s="54"/>
    </row>
    <row r="183" spans="1:21" x14ac:dyDescent="0.25">
      <c r="A183" s="6" t="s">
        <v>220</v>
      </c>
      <c r="B183" s="7" t="s">
        <v>251</v>
      </c>
      <c r="C183" s="7" t="s">
        <v>17</v>
      </c>
      <c r="D183" s="5" t="s">
        <v>128</v>
      </c>
      <c r="E183" s="4">
        <v>2014</v>
      </c>
      <c r="F183" s="7">
        <v>15</v>
      </c>
      <c r="G183" s="7">
        <f t="shared" si="22"/>
        <v>10</v>
      </c>
      <c r="H183" s="7">
        <f t="shared" si="20"/>
        <v>5</v>
      </c>
      <c r="I183" s="13">
        <v>57654</v>
      </c>
      <c r="J183" s="15"/>
      <c r="K183" s="13"/>
      <c r="L183" s="13">
        <f t="shared" si="51"/>
        <v>57654</v>
      </c>
      <c r="M183" s="13">
        <f t="shared" si="21"/>
        <v>2882.7000000000003</v>
      </c>
      <c r="N183" s="11">
        <v>27385.65</v>
      </c>
      <c r="O183" s="13">
        <f t="shared" si="52"/>
        <v>3651.42</v>
      </c>
      <c r="P183" s="13">
        <f t="shared" si="53"/>
        <v>31037.07</v>
      </c>
      <c r="Q183" s="13"/>
      <c r="R183" s="13">
        <f t="shared" si="54"/>
        <v>26616.93</v>
      </c>
      <c r="S183" s="54">
        <f t="shared" si="55"/>
        <v>26616.93</v>
      </c>
      <c r="T183" s="54">
        <f t="shared" si="56"/>
        <v>0</v>
      </c>
      <c r="U183" s="54"/>
    </row>
    <row r="184" spans="1:21" x14ac:dyDescent="0.25">
      <c r="A184" s="6" t="s">
        <v>220</v>
      </c>
      <c r="B184" s="7" t="s">
        <v>252</v>
      </c>
      <c r="C184" s="7" t="s">
        <v>17</v>
      </c>
      <c r="D184" s="5" t="s">
        <v>121</v>
      </c>
      <c r="E184" s="4">
        <v>2014</v>
      </c>
      <c r="F184" s="7">
        <v>15</v>
      </c>
      <c r="G184" s="7">
        <f t="shared" si="22"/>
        <v>10</v>
      </c>
      <c r="H184" s="7">
        <f t="shared" si="20"/>
        <v>5</v>
      </c>
      <c r="I184" s="13">
        <v>379699.4</v>
      </c>
      <c r="J184" s="15"/>
      <c r="K184" s="13"/>
      <c r="L184" s="13">
        <f t="shared" si="51"/>
        <v>379699.4</v>
      </c>
      <c r="M184" s="13">
        <f t="shared" si="21"/>
        <v>18984.97</v>
      </c>
      <c r="N184" s="11">
        <v>180357.215</v>
      </c>
      <c r="O184" s="13">
        <f t="shared" si="52"/>
        <v>24047.628666666671</v>
      </c>
      <c r="P184" s="13">
        <f t="shared" si="53"/>
        <v>204404.84366666665</v>
      </c>
      <c r="Q184" s="13"/>
      <c r="R184" s="13">
        <f t="shared" si="54"/>
        <v>175294.55633333337</v>
      </c>
      <c r="S184" s="54">
        <f t="shared" si="55"/>
        <v>175294.55633333337</v>
      </c>
      <c r="T184" s="54">
        <f t="shared" si="56"/>
        <v>0</v>
      </c>
      <c r="U184" s="54"/>
    </row>
    <row r="185" spans="1:21" ht="27.6" x14ac:dyDescent="0.25">
      <c r="A185" s="6" t="s">
        <v>220</v>
      </c>
      <c r="B185" s="7" t="s">
        <v>253</v>
      </c>
      <c r="C185" s="7" t="s">
        <v>17</v>
      </c>
      <c r="D185" s="5" t="s">
        <v>133</v>
      </c>
      <c r="E185" s="4">
        <v>2015</v>
      </c>
      <c r="F185" s="7">
        <v>15</v>
      </c>
      <c r="G185" s="7">
        <f t="shared" si="22"/>
        <v>9</v>
      </c>
      <c r="H185" s="7">
        <f t="shared" si="20"/>
        <v>6</v>
      </c>
      <c r="I185" s="13">
        <v>-342851.52</v>
      </c>
      <c r="J185" s="15"/>
      <c r="K185" s="13"/>
      <c r="L185" s="13">
        <f t="shared" si="51"/>
        <v>-342851.52</v>
      </c>
      <c r="M185" s="13">
        <f t="shared" si="21"/>
        <v>-17142.576000000001</v>
      </c>
      <c r="N185" s="11">
        <v>-101743.233777778</v>
      </c>
      <c r="O185" s="13">
        <f t="shared" si="52"/>
        <v>-21713.929599999999</v>
      </c>
      <c r="P185" s="13">
        <f t="shared" si="53"/>
        <v>-123457.16337777801</v>
      </c>
      <c r="Q185" s="13"/>
      <c r="R185" s="13">
        <f t="shared" si="54"/>
        <v>-219394.356622222</v>
      </c>
      <c r="S185" s="54">
        <f t="shared" si="55"/>
        <v>-219394.356622222</v>
      </c>
      <c r="T185" s="54">
        <f t="shared" si="56"/>
        <v>0</v>
      </c>
      <c r="U185" s="54"/>
    </row>
    <row r="186" spans="1:21" x14ac:dyDescent="0.25">
      <c r="A186" s="6" t="s">
        <v>220</v>
      </c>
      <c r="B186" s="7" t="s">
        <v>254</v>
      </c>
      <c r="C186" s="7" t="s">
        <v>17</v>
      </c>
      <c r="D186" s="5" t="s">
        <v>134</v>
      </c>
      <c r="E186" s="4">
        <v>2015</v>
      </c>
      <c r="F186" s="7">
        <v>15</v>
      </c>
      <c r="G186" s="7">
        <f t="shared" si="22"/>
        <v>9</v>
      </c>
      <c r="H186" s="7">
        <f t="shared" ref="H186:H191" si="57">+IF(G186&lt;=F186,(F186-G186),0)</f>
        <v>6</v>
      </c>
      <c r="I186" s="13">
        <v>-749009</v>
      </c>
      <c r="J186" s="15"/>
      <c r="K186" s="13"/>
      <c r="L186" s="13">
        <f t="shared" si="51"/>
        <v>-749009</v>
      </c>
      <c r="M186" s="13">
        <f t="shared" ref="M186:M266" si="58">+L186*0.05</f>
        <v>-37450.450000000004</v>
      </c>
      <c r="N186" s="11">
        <v>-224702.7</v>
      </c>
      <c r="O186" s="13">
        <f t="shared" si="52"/>
        <v>-47437.236666666671</v>
      </c>
      <c r="P186" s="13">
        <f t="shared" si="53"/>
        <v>-272139.9366666667</v>
      </c>
      <c r="Q186" s="13"/>
      <c r="R186" s="13">
        <f t="shared" si="54"/>
        <v>-476869.0633333333</v>
      </c>
      <c r="S186" s="54">
        <f t="shared" si="55"/>
        <v>-476869.0633333333</v>
      </c>
      <c r="T186" s="54">
        <f t="shared" si="56"/>
        <v>0</v>
      </c>
      <c r="U186" s="54"/>
    </row>
    <row r="187" spans="1:21" x14ac:dyDescent="0.25">
      <c r="A187" s="6" t="s">
        <v>220</v>
      </c>
      <c r="B187" s="7" t="s">
        <v>255</v>
      </c>
      <c r="C187" s="7" t="s">
        <v>17</v>
      </c>
      <c r="D187" s="5" t="s">
        <v>129</v>
      </c>
      <c r="E187" s="4">
        <v>2015</v>
      </c>
      <c r="F187" s="7">
        <v>15</v>
      </c>
      <c r="G187" s="7">
        <f t="shared" ref="G187:G191" si="59">2024-E187</f>
        <v>9</v>
      </c>
      <c r="H187" s="7">
        <f t="shared" si="57"/>
        <v>6</v>
      </c>
      <c r="I187" s="13">
        <v>-173279.69</v>
      </c>
      <c r="J187" s="15"/>
      <c r="K187" s="13"/>
      <c r="L187" s="13">
        <f t="shared" si="51"/>
        <v>-173279.69</v>
      </c>
      <c r="M187" s="13">
        <f t="shared" si="58"/>
        <v>-8663.9845000000005</v>
      </c>
      <c r="N187" s="11">
        <v>-51983.906999999999</v>
      </c>
      <c r="O187" s="13">
        <f t="shared" si="52"/>
        <v>-10974.380366666668</v>
      </c>
      <c r="P187" s="13">
        <f t="shared" si="53"/>
        <v>-62958.287366666671</v>
      </c>
      <c r="Q187" s="13"/>
      <c r="R187" s="13">
        <f t="shared" si="54"/>
        <v>-110321.40263333333</v>
      </c>
      <c r="S187" s="54">
        <f t="shared" si="55"/>
        <v>-110321.40263333333</v>
      </c>
      <c r="T187" s="54">
        <f t="shared" si="56"/>
        <v>0</v>
      </c>
      <c r="U187" s="54"/>
    </row>
    <row r="188" spans="1:21" x14ac:dyDescent="0.25">
      <c r="A188" s="6" t="s">
        <v>220</v>
      </c>
      <c r="B188" s="7" t="s">
        <v>256</v>
      </c>
      <c r="C188" s="7" t="s">
        <v>17</v>
      </c>
      <c r="D188" s="5" t="s">
        <v>135</v>
      </c>
      <c r="E188" s="4">
        <v>2016</v>
      </c>
      <c r="F188" s="7">
        <v>15</v>
      </c>
      <c r="G188" s="7">
        <f t="shared" si="59"/>
        <v>8</v>
      </c>
      <c r="H188" s="7">
        <f t="shared" si="57"/>
        <v>7</v>
      </c>
      <c r="I188" s="13">
        <v>518971.71</v>
      </c>
      <c r="J188" s="15"/>
      <c r="K188" s="13"/>
      <c r="L188" s="13">
        <f t="shared" si="51"/>
        <v>518971.71</v>
      </c>
      <c r="M188" s="13">
        <f t="shared" si="58"/>
        <v>25948.585500000001</v>
      </c>
      <c r="N188" s="11">
        <v>207175.68400000001</v>
      </c>
      <c r="O188" s="13">
        <f t="shared" si="52"/>
        <v>32868.208300000006</v>
      </c>
      <c r="P188" s="13">
        <f t="shared" si="53"/>
        <v>240043.89230000001</v>
      </c>
      <c r="Q188" s="13"/>
      <c r="R188" s="13">
        <f t="shared" si="54"/>
        <v>278927.81770000001</v>
      </c>
      <c r="S188" s="54">
        <f t="shared" si="55"/>
        <v>278927.81770000001</v>
      </c>
      <c r="T188" s="54">
        <f t="shared" si="56"/>
        <v>0</v>
      </c>
      <c r="U188" s="54"/>
    </row>
    <row r="189" spans="1:21" x14ac:dyDescent="0.25">
      <c r="A189" s="6" t="s">
        <v>220</v>
      </c>
      <c r="B189" s="7" t="s">
        <v>257</v>
      </c>
      <c r="C189" s="7" t="s">
        <v>17</v>
      </c>
      <c r="D189" s="5" t="s">
        <v>136</v>
      </c>
      <c r="E189" s="4">
        <v>2016</v>
      </c>
      <c r="F189" s="7">
        <v>15</v>
      </c>
      <c r="G189" s="7">
        <f t="shared" si="59"/>
        <v>8</v>
      </c>
      <c r="H189" s="7">
        <f t="shared" si="57"/>
        <v>7</v>
      </c>
      <c r="I189" s="13">
        <v>105775</v>
      </c>
      <c r="J189" s="15"/>
      <c r="K189" s="13"/>
      <c r="L189" s="13">
        <f t="shared" si="51"/>
        <v>105775</v>
      </c>
      <c r="M189" s="13">
        <f t="shared" si="58"/>
        <v>5288.75</v>
      </c>
      <c r="N189" s="11">
        <v>42310</v>
      </c>
      <c r="O189" s="13">
        <f t="shared" si="52"/>
        <v>6699.083333333333</v>
      </c>
      <c r="P189" s="13">
        <f t="shared" si="53"/>
        <v>49009.083333333336</v>
      </c>
      <c r="Q189" s="13"/>
      <c r="R189" s="13">
        <f t="shared" si="54"/>
        <v>56765.916666666664</v>
      </c>
      <c r="S189" s="54">
        <f t="shared" si="55"/>
        <v>56765.916666666664</v>
      </c>
      <c r="T189" s="54">
        <f t="shared" si="56"/>
        <v>0</v>
      </c>
      <c r="U189" s="54"/>
    </row>
    <row r="190" spans="1:21" x14ac:dyDescent="0.25">
      <c r="A190" s="6" t="s">
        <v>220</v>
      </c>
      <c r="B190" s="7" t="s">
        <v>258</v>
      </c>
      <c r="C190" s="7" t="s">
        <v>17</v>
      </c>
      <c r="D190" s="5" t="s">
        <v>135</v>
      </c>
      <c r="E190" s="4">
        <v>2018</v>
      </c>
      <c r="F190" s="7">
        <v>15</v>
      </c>
      <c r="G190" s="7">
        <f t="shared" si="59"/>
        <v>6</v>
      </c>
      <c r="H190" s="7">
        <f t="shared" si="57"/>
        <v>9</v>
      </c>
      <c r="I190" s="13">
        <v>3791580</v>
      </c>
      <c r="J190" s="15"/>
      <c r="K190" s="13"/>
      <c r="L190" s="13">
        <f t="shared" si="51"/>
        <v>3791580</v>
      </c>
      <c r="M190" s="13">
        <f t="shared" si="58"/>
        <v>189579</v>
      </c>
      <c r="N190" s="11">
        <v>2973219</v>
      </c>
      <c r="O190" s="13">
        <f t="shared" si="52"/>
        <v>240133.4</v>
      </c>
      <c r="P190" s="13">
        <f t="shared" si="53"/>
        <v>3213352.4</v>
      </c>
      <c r="Q190" s="13"/>
      <c r="R190" s="13">
        <f t="shared" si="54"/>
        <v>578227.60000000009</v>
      </c>
      <c r="S190" s="54">
        <f t="shared" si="55"/>
        <v>578227.60000000009</v>
      </c>
      <c r="T190" s="54">
        <f t="shared" si="56"/>
        <v>0</v>
      </c>
      <c r="U190" s="54"/>
    </row>
    <row r="191" spans="1:21" x14ac:dyDescent="0.25">
      <c r="A191" s="6" t="s">
        <v>220</v>
      </c>
      <c r="B191" s="7" t="s">
        <v>259</v>
      </c>
      <c r="C191" s="7" t="s">
        <v>17</v>
      </c>
      <c r="D191" s="5" t="s">
        <v>129</v>
      </c>
      <c r="E191" s="4">
        <v>2018</v>
      </c>
      <c r="F191" s="7">
        <v>15</v>
      </c>
      <c r="G191" s="7">
        <f t="shared" si="59"/>
        <v>6</v>
      </c>
      <c r="H191" s="7">
        <f t="shared" si="57"/>
        <v>9</v>
      </c>
      <c r="I191" s="13">
        <v>39155.440000000002</v>
      </c>
      <c r="J191" s="15"/>
      <c r="K191" s="13"/>
      <c r="L191" s="13">
        <f t="shared" si="51"/>
        <v>39155.440000000002</v>
      </c>
      <c r="M191" s="13">
        <f t="shared" si="58"/>
        <v>1957.7720000000002</v>
      </c>
      <c r="N191" s="11">
        <v>18598.833999999999</v>
      </c>
      <c r="O191" s="13">
        <f t="shared" si="52"/>
        <v>2479.8445333333339</v>
      </c>
      <c r="P191" s="13">
        <f t="shared" si="53"/>
        <v>21078.678533333332</v>
      </c>
      <c r="Q191" s="13"/>
      <c r="R191" s="13">
        <f t="shared" si="54"/>
        <v>18076.76146666667</v>
      </c>
      <c r="S191" s="54">
        <f t="shared" si="55"/>
        <v>18076.76146666667</v>
      </c>
      <c r="T191" s="54">
        <f t="shared" si="56"/>
        <v>0</v>
      </c>
      <c r="U191" s="54"/>
    </row>
    <row r="192" spans="1:21" x14ac:dyDescent="0.25">
      <c r="A192" s="23" t="s">
        <v>360</v>
      </c>
      <c r="B192" s="24"/>
      <c r="C192" s="24"/>
      <c r="D192" s="27"/>
      <c r="E192" s="25"/>
      <c r="F192" s="24"/>
      <c r="G192" s="24"/>
      <c r="H192" s="24"/>
      <c r="I192" s="29">
        <f>SUM(I153:I191)</f>
        <v>181538843.20000002</v>
      </c>
      <c r="J192" s="29">
        <f t="shared" ref="J192:R192" si="60">SUM(J153:J191)</f>
        <v>0</v>
      </c>
      <c r="K192" s="29">
        <f t="shared" si="60"/>
        <v>6437474</v>
      </c>
      <c r="L192" s="29">
        <f t="shared" si="60"/>
        <v>175101369.20000002</v>
      </c>
      <c r="M192" s="29">
        <f t="shared" si="60"/>
        <v>8755068.4600000009</v>
      </c>
      <c r="N192" s="29">
        <f t="shared" si="60"/>
        <v>125250150.49672645</v>
      </c>
      <c r="O192" s="29">
        <f t="shared" si="60"/>
        <v>5187908.6756333336</v>
      </c>
      <c r="P192" s="29">
        <f t="shared" si="60"/>
        <v>130438059.17235973</v>
      </c>
      <c r="Q192" s="29">
        <f t="shared" si="60"/>
        <v>-6115809.9031999996</v>
      </c>
      <c r="R192" s="29">
        <f t="shared" si="60"/>
        <v>50779119.930840217</v>
      </c>
      <c r="S192" s="54">
        <f t="shared" si="55"/>
        <v>38547500.124440283</v>
      </c>
      <c r="T192" s="54">
        <f t="shared" si="56"/>
        <v>12231619.806399934</v>
      </c>
      <c r="U192" s="54"/>
    </row>
    <row r="193" spans="1:28" x14ac:dyDescent="0.25">
      <c r="A193" s="6"/>
      <c r="B193" s="7"/>
      <c r="C193" s="7"/>
      <c r="D193" s="5"/>
      <c r="E193" s="4"/>
      <c r="F193" s="7"/>
      <c r="G193" s="7"/>
      <c r="H193" s="7"/>
      <c r="I193" s="13"/>
      <c r="J193" s="15"/>
      <c r="K193" s="13"/>
      <c r="L193" s="13"/>
      <c r="M193" s="13"/>
      <c r="N193" s="11"/>
      <c r="O193" s="13"/>
      <c r="P193" s="13"/>
      <c r="Q193" s="13"/>
      <c r="R193" s="13" t="s">
        <v>469</v>
      </c>
      <c r="S193" s="54">
        <f t="shared" si="55"/>
        <v>0</v>
      </c>
      <c r="T193" s="54" t="e">
        <f t="shared" si="56"/>
        <v>#VALUE!</v>
      </c>
      <c r="U193" s="54"/>
    </row>
    <row r="194" spans="1:28" x14ac:dyDescent="0.25">
      <c r="A194" s="7" t="s">
        <v>272</v>
      </c>
      <c r="B194" s="7" t="s">
        <v>273</v>
      </c>
      <c r="C194" s="7" t="s">
        <v>17</v>
      </c>
      <c r="D194" s="22" t="s">
        <v>261</v>
      </c>
      <c r="E194" s="7">
        <v>2011</v>
      </c>
      <c r="F194" s="7">
        <v>15</v>
      </c>
      <c r="G194" s="7">
        <f t="shared" ref="G194:G208" si="61">2024-E194</f>
        <v>13</v>
      </c>
      <c r="H194" s="7">
        <f t="shared" ref="H194:H208" si="62">+IF(G194&lt;=F194,(F194-G194),0)</f>
        <v>2</v>
      </c>
      <c r="I194" s="13">
        <v>16958</v>
      </c>
      <c r="J194" s="13"/>
      <c r="K194" s="13"/>
      <c r="L194" s="13">
        <f t="shared" ref="L194:L208" si="63">+I194+J194-K194</f>
        <v>16958</v>
      </c>
      <c r="M194" s="13">
        <f t="shared" si="58"/>
        <v>847.90000000000009</v>
      </c>
      <c r="N194" s="11">
        <v>11008.918879999999</v>
      </c>
      <c r="O194" s="13">
        <f t="shared" ref="O194:O208" si="64">+IF(H194&gt;0,((L194-M194)/F194),0)</f>
        <v>1074.0066666666667</v>
      </c>
      <c r="P194" s="13">
        <f t="shared" ref="P194:P208" si="65">+N194+O194</f>
        <v>12082.925546666665</v>
      </c>
      <c r="Q194" s="13"/>
      <c r="R194" s="13">
        <f t="shared" ref="R194:R208" si="66">+IF(H194&gt;0,(L194-P194-Q194),M194)</f>
        <v>4875.0744533333345</v>
      </c>
      <c r="S194" s="54">
        <f t="shared" si="55"/>
        <v>4875.0744533333345</v>
      </c>
      <c r="T194" s="54">
        <f t="shared" si="56"/>
        <v>0</v>
      </c>
      <c r="U194" s="54"/>
    </row>
    <row r="195" spans="1:28" x14ac:dyDescent="0.25">
      <c r="A195" s="7" t="s">
        <v>272</v>
      </c>
      <c r="B195" s="7" t="s">
        <v>274</v>
      </c>
      <c r="C195" s="7" t="s">
        <v>17</v>
      </c>
      <c r="D195" s="22" t="s">
        <v>262</v>
      </c>
      <c r="E195" s="7">
        <v>2011</v>
      </c>
      <c r="F195" s="7">
        <v>15</v>
      </c>
      <c r="G195" s="7">
        <f t="shared" si="61"/>
        <v>13</v>
      </c>
      <c r="H195" s="7">
        <f t="shared" si="62"/>
        <v>2</v>
      </c>
      <c r="I195" s="13">
        <v>34823.99</v>
      </c>
      <c r="J195" s="13"/>
      <c r="K195" s="13"/>
      <c r="L195" s="13">
        <f t="shared" si="63"/>
        <v>34823.99</v>
      </c>
      <c r="M195" s="13">
        <f t="shared" si="58"/>
        <v>1741.1994999999999</v>
      </c>
      <c r="N195" s="11">
        <v>22403.722306399999</v>
      </c>
      <c r="O195" s="13">
        <f t="shared" si="64"/>
        <v>2205.5193666666664</v>
      </c>
      <c r="P195" s="13">
        <f t="shared" si="65"/>
        <v>24609.241673066666</v>
      </c>
      <c r="Q195" s="13"/>
      <c r="R195" s="13">
        <f t="shared" si="66"/>
        <v>10214.748326933332</v>
      </c>
      <c r="S195" s="54">
        <f t="shared" si="55"/>
        <v>10214.748326933332</v>
      </c>
      <c r="T195" s="54">
        <f t="shared" si="56"/>
        <v>0</v>
      </c>
      <c r="U195" s="54"/>
    </row>
    <row r="196" spans="1:28" x14ac:dyDescent="0.25">
      <c r="A196" s="7" t="s">
        <v>272</v>
      </c>
      <c r="B196" s="7" t="s">
        <v>275</v>
      </c>
      <c r="C196" s="7" t="s">
        <v>17</v>
      </c>
      <c r="D196" s="22" t="s">
        <v>262</v>
      </c>
      <c r="E196" s="7">
        <v>2012</v>
      </c>
      <c r="F196" s="7">
        <v>15</v>
      </c>
      <c r="G196" s="7">
        <f t="shared" si="61"/>
        <v>12</v>
      </c>
      <c r="H196" s="7">
        <f t="shared" si="62"/>
        <v>3</v>
      </c>
      <c r="I196" s="13">
        <v>43531.87</v>
      </c>
      <c r="J196" s="13"/>
      <c r="K196" s="13"/>
      <c r="L196" s="13">
        <f t="shared" si="63"/>
        <v>43531.87</v>
      </c>
      <c r="M196" s="13">
        <f t="shared" si="58"/>
        <v>2176.5935000000004</v>
      </c>
      <c r="N196" s="11">
        <v>25807.70292525</v>
      </c>
      <c r="O196" s="13">
        <f t="shared" si="64"/>
        <v>2757.0184333333332</v>
      </c>
      <c r="P196" s="13">
        <f t="shared" si="65"/>
        <v>28564.721358583334</v>
      </c>
      <c r="Q196" s="13"/>
      <c r="R196" s="13">
        <f t="shared" si="66"/>
        <v>14967.148641416668</v>
      </c>
      <c r="S196" s="54">
        <f t="shared" si="55"/>
        <v>14967.148641416668</v>
      </c>
      <c r="T196" s="54">
        <f t="shared" si="56"/>
        <v>0</v>
      </c>
      <c r="U196" s="54"/>
    </row>
    <row r="197" spans="1:28" x14ac:dyDescent="0.25">
      <c r="A197" s="7" t="s">
        <v>272</v>
      </c>
      <c r="B197" s="7" t="s">
        <v>276</v>
      </c>
      <c r="C197" s="7" t="s">
        <v>17</v>
      </c>
      <c r="D197" s="22" t="s">
        <v>263</v>
      </c>
      <c r="E197" s="7">
        <v>2012</v>
      </c>
      <c r="F197" s="7">
        <v>15</v>
      </c>
      <c r="G197" s="7">
        <f t="shared" si="61"/>
        <v>12</v>
      </c>
      <c r="H197" s="7">
        <f t="shared" si="62"/>
        <v>3</v>
      </c>
      <c r="I197" s="13">
        <v>9213695.8399999999</v>
      </c>
      <c r="J197" s="13"/>
      <c r="K197" s="13"/>
      <c r="L197" s="13">
        <f t="shared" si="63"/>
        <v>9213695.8399999999</v>
      </c>
      <c r="M197" s="13">
        <f t="shared" si="58"/>
        <v>460684.79200000002</v>
      </c>
      <c r="N197" s="11">
        <v>5502168.9815387698</v>
      </c>
      <c r="O197" s="13">
        <f t="shared" si="64"/>
        <v>583534.06986666669</v>
      </c>
      <c r="P197" s="13">
        <f t="shared" si="65"/>
        <v>6085703.0514054364</v>
      </c>
      <c r="Q197" s="13"/>
      <c r="R197" s="13">
        <f t="shared" si="66"/>
        <v>3127992.7885945635</v>
      </c>
      <c r="S197" s="54">
        <f t="shared" ref="S197:S260" si="67">+L197-P197+Q197</f>
        <v>3127992.7885945635</v>
      </c>
      <c r="T197" s="54">
        <f t="shared" ref="T197:T260" si="68">+R197-S197</f>
        <v>0</v>
      </c>
      <c r="U197" s="54"/>
    </row>
    <row r="198" spans="1:28" x14ac:dyDescent="0.25">
      <c r="A198" s="7" t="s">
        <v>272</v>
      </c>
      <c r="B198" s="7" t="s">
        <v>277</v>
      </c>
      <c r="C198" s="7" t="s">
        <v>17</v>
      </c>
      <c r="D198" s="22" t="s">
        <v>264</v>
      </c>
      <c r="E198" s="7">
        <v>2013</v>
      </c>
      <c r="F198" s="7">
        <v>15</v>
      </c>
      <c r="G198" s="7">
        <f t="shared" si="61"/>
        <v>11</v>
      </c>
      <c r="H198" s="7">
        <f t="shared" si="62"/>
        <v>4</v>
      </c>
      <c r="I198" s="13">
        <v>1963756</v>
      </c>
      <c r="J198" s="13"/>
      <c r="K198" s="13"/>
      <c r="L198" s="13">
        <f t="shared" si="63"/>
        <v>1963756</v>
      </c>
      <c r="M198" s="13">
        <f t="shared" si="58"/>
        <v>98187.8</v>
      </c>
      <c r="N198" s="11">
        <v>1589476.4636606099</v>
      </c>
      <c r="O198" s="13">
        <f t="shared" si="64"/>
        <v>124371.21333333333</v>
      </c>
      <c r="P198" s="13">
        <f t="shared" si="65"/>
        <v>1713847.6769939433</v>
      </c>
      <c r="Q198" s="13"/>
      <c r="R198" s="13">
        <f t="shared" si="66"/>
        <v>249908.32300605671</v>
      </c>
      <c r="S198" s="54">
        <f t="shared" si="67"/>
        <v>249908.32300605671</v>
      </c>
      <c r="T198" s="54">
        <f t="shared" si="68"/>
        <v>0</v>
      </c>
      <c r="U198" s="54"/>
    </row>
    <row r="199" spans="1:28" x14ac:dyDescent="0.25">
      <c r="A199" s="7" t="s">
        <v>272</v>
      </c>
      <c r="B199" s="7" t="s">
        <v>278</v>
      </c>
      <c r="C199" s="7" t="s">
        <v>17</v>
      </c>
      <c r="D199" s="22" t="s">
        <v>265</v>
      </c>
      <c r="E199" s="7">
        <v>2013</v>
      </c>
      <c r="F199" s="7">
        <v>15</v>
      </c>
      <c r="G199" s="7">
        <f t="shared" si="61"/>
        <v>11</v>
      </c>
      <c r="H199" s="7">
        <f t="shared" si="62"/>
        <v>4</v>
      </c>
      <c r="I199" s="13">
        <v>11348</v>
      </c>
      <c r="J199" s="13"/>
      <c r="K199" s="13"/>
      <c r="L199" s="13">
        <f t="shared" si="63"/>
        <v>11348</v>
      </c>
      <c r="M199" s="13">
        <f t="shared" si="58"/>
        <v>567.4</v>
      </c>
      <c r="N199" s="11">
        <v>6071.2232470588197</v>
      </c>
      <c r="O199" s="13">
        <f t="shared" si="64"/>
        <v>718.70666666666671</v>
      </c>
      <c r="P199" s="13">
        <f t="shared" si="65"/>
        <v>6789.9299137254866</v>
      </c>
      <c r="Q199" s="13"/>
      <c r="R199" s="13">
        <f t="shared" si="66"/>
        <v>4558.0700862745134</v>
      </c>
      <c r="S199" s="54">
        <f t="shared" si="67"/>
        <v>4558.0700862745134</v>
      </c>
      <c r="T199" s="54">
        <f t="shared" si="68"/>
        <v>0</v>
      </c>
      <c r="U199" s="54"/>
    </row>
    <row r="200" spans="1:28" ht="27.6" x14ac:dyDescent="0.25">
      <c r="A200" s="7" t="s">
        <v>272</v>
      </c>
      <c r="B200" s="7" t="s">
        <v>279</v>
      </c>
      <c r="C200" s="7" t="s">
        <v>17</v>
      </c>
      <c r="D200" s="22" t="s">
        <v>266</v>
      </c>
      <c r="E200" s="7">
        <v>2014</v>
      </c>
      <c r="F200" s="7">
        <v>15</v>
      </c>
      <c r="G200" s="7">
        <f t="shared" si="61"/>
        <v>10</v>
      </c>
      <c r="H200" s="7">
        <f t="shared" si="62"/>
        <v>5</v>
      </c>
      <c r="I200" s="13">
        <v>84270</v>
      </c>
      <c r="J200" s="13"/>
      <c r="K200" s="13"/>
      <c r="L200" s="13">
        <f t="shared" si="63"/>
        <v>84270</v>
      </c>
      <c r="M200" s="13">
        <f t="shared" si="58"/>
        <v>4213.5</v>
      </c>
      <c r="N200" s="11">
        <v>41326.25</v>
      </c>
      <c r="O200" s="13">
        <f t="shared" si="64"/>
        <v>5337.1</v>
      </c>
      <c r="P200" s="13">
        <f t="shared" si="65"/>
        <v>46663.35</v>
      </c>
      <c r="Q200" s="13"/>
      <c r="R200" s="13">
        <f t="shared" si="66"/>
        <v>37606.65</v>
      </c>
      <c r="S200" s="54">
        <f t="shared" si="67"/>
        <v>37606.65</v>
      </c>
      <c r="T200" s="54">
        <f t="shared" si="68"/>
        <v>0</v>
      </c>
      <c r="U200" s="54"/>
    </row>
    <row r="201" spans="1:28" x14ac:dyDescent="0.25">
      <c r="A201" s="7" t="s">
        <v>272</v>
      </c>
      <c r="B201" s="7" t="s">
        <v>280</v>
      </c>
      <c r="C201" s="7" t="s">
        <v>17</v>
      </c>
      <c r="D201" s="22" t="s">
        <v>267</v>
      </c>
      <c r="E201" s="7">
        <v>2014</v>
      </c>
      <c r="F201" s="7">
        <v>15</v>
      </c>
      <c r="G201" s="7">
        <f t="shared" si="61"/>
        <v>10</v>
      </c>
      <c r="H201" s="7">
        <f t="shared" si="62"/>
        <v>5</v>
      </c>
      <c r="I201" s="13">
        <v>84863</v>
      </c>
      <c r="J201" s="13"/>
      <c r="K201" s="13"/>
      <c r="L201" s="13">
        <f t="shared" si="63"/>
        <v>84863</v>
      </c>
      <c r="M201" s="13">
        <f t="shared" si="58"/>
        <v>4243.1500000000005</v>
      </c>
      <c r="N201" s="11">
        <v>41429.925000000003</v>
      </c>
      <c r="O201" s="13">
        <f t="shared" si="64"/>
        <v>5374.6566666666668</v>
      </c>
      <c r="P201" s="13">
        <f t="shared" si="65"/>
        <v>46804.581666666672</v>
      </c>
      <c r="Q201" s="13"/>
      <c r="R201" s="13">
        <f t="shared" si="66"/>
        <v>38058.418333333328</v>
      </c>
      <c r="S201" s="54">
        <f t="shared" si="67"/>
        <v>38058.418333333328</v>
      </c>
      <c r="T201" s="54">
        <f t="shared" si="68"/>
        <v>0</v>
      </c>
      <c r="U201" s="54"/>
      <c r="V201" s="59"/>
    </row>
    <row r="202" spans="1:28" s="73" customFormat="1" x14ac:dyDescent="0.25">
      <c r="A202" s="49" t="s">
        <v>272</v>
      </c>
      <c r="B202" s="49" t="s">
        <v>281</v>
      </c>
      <c r="C202" s="49" t="s">
        <v>17</v>
      </c>
      <c r="D202" s="48" t="s">
        <v>268</v>
      </c>
      <c r="E202" s="49">
        <v>2014</v>
      </c>
      <c r="F202" s="49">
        <v>15</v>
      </c>
      <c r="G202" s="49">
        <f t="shared" si="61"/>
        <v>10</v>
      </c>
      <c r="H202" s="49">
        <f t="shared" si="62"/>
        <v>5</v>
      </c>
      <c r="I202" s="50">
        <v>972835</v>
      </c>
      <c r="J202" s="50"/>
      <c r="K202" s="50">
        <v>972835</v>
      </c>
      <c r="L202" s="50">
        <f t="shared" si="63"/>
        <v>0</v>
      </c>
      <c r="M202" s="50">
        <f t="shared" si="58"/>
        <v>0</v>
      </c>
      <c r="N202" s="51">
        <v>702013.1875</v>
      </c>
      <c r="O202" s="50">
        <v>56478</v>
      </c>
      <c r="P202" s="50">
        <f t="shared" si="65"/>
        <v>758491.1875</v>
      </c>
      <c r="Q202" s="50">
        <f>-758491.1875</f>
        <v>-758491.1875</v>
      </c>
      <c r="R202" s="50">
        <v>0</v>
      </c>
      <c r="S202" s="54">
        <f t="shared" si="67"/>
        <v>-1516982.375</v>
      </c>
      <c r="T202" s="54">
        <f t="shared" si="68"/>
        <v>1516982.375</v>
      </c>
      <c r="U202" s="54"/>
      <c r="W202" s="71">
        <v>45357</v>
      </c>
      <c r="X202" s="73">
        <v>550000</v>
      </c>
      <c r="Y202" s="72">
        <f>+I202</f>
        <v>972835</v>
      </c>
      <c r="Z202" s="72">
        <f>+P202+56478</f>
        <v>814969.1875</v>
      </c>
      <c r="AA202" s="72">
        <f>+Y202-Z202</f>
        <v>157865.8125</v>
      </c>
      <c r="AB202" s="72">
        <f>+X202-AA202</f>
        <v>392134.1875</v>
      </c>
    </row>
    <row r="203" spans="1:28" x14ac:dyDescent="0.25">
      <c r="A203" s="7" t="s">
        <v>272</v>
      </c>
      <c r="B203" s="7" t="s">
        <v>282</v>
      </c>
      <c r="C203" s="7" t="s">
        <v>17</v>
      </c>
      <c r="D203" s="22" t="s">
        <v>268</v>
      </c>
      <c r="E203" s="7">
        <v>2014</v>
      </c>
      <c r="F203" s="7">
        <v>15</v>
      </c>
      <c r="G203" s="7">
        <f t="shared" si="61"/>
        <v>10</v>
      </c>
      <c r="H203" s="7">
        <f t="shared" si="62"/>
        <v>5</v>
      </c>
      <c r="I203" s="13">
        <v>128641.88</v>
      </c>
      <c r="J203" s="13"/>
      <c r="K203" s="13"/>
      <c r="L203" s="13">
        <f t="shared" si="63"/>
        <v>128641.88</v>
      </c>
      <c r="M203" s="13">
        <f t="shared" si="58"/>
        <v>6432.094000000001</v>
      </c>
      <c r="N203" s="11">
        <v>91809.533818181793</v>
      </c>
      <c r="O203" s="13">
        <f t="shared" si="64"/>
        <v>8147.3190666666669</v>
      </c>
      <c r="P203" s="13">
        <f t="shared" si="65"/>
        <v>99956.852884848457</v>
      </c>
      <c r="Q203" s="13"/>
      <c r="R203" s="13">
        <f t="shared" si="66"/>
        <v>28685.027115151548</v>
      </c>
      <c r="S203" s="54">
        <f t="shared" si="67"/>
        <v>28685.027115151548</v>
      </c>
      <c r="T203" s="54">
        <f t="shared" si="68"/>
        <v>0</v>
      </c>
      <c r="U203" s="54"/>
    </row>
    <row r="204" spans="1:28" x14ac:dyDescent="0.25">
      <c r="A204" s="7" t="s">
        <v>272</v>
      </c>
      <c r="B204" s="7" t="s">
        <v>283</v>
      </c>
      <c r="C204" s="7" t="s">
        <v>17</v>
      </c>
      <c r="D204" s="22" t="s">
        <v>269</v>
      </c>
      <c r="E204" s="7">
        <v>2017</v>
      </c>
      <c r="F204" s="7">
        <v>15</v>
      </c>
      <c r="G204" s="7">
        <f t="shared" si="61"/>
        <v>7</v>
      </c>
      <c r="H204" s="7">
        <f t="shared" si="62"/>
        <v>8</v>
      </c>
      <c r="I204" s="13">
        <v>18093</v>
      </c>
      <c r="J204" s="13"/>
      <c r="K204" s="13"/>
      <c r="L204" s="13">
        <f t="shared" si="63"/>
        <v>18093</v>
      </c>
      <c r="M204" s="13">
        <f t="shared" si="58"/>
        <v>904.65000000000009</v>
      </c>
      <c r="N204" s="11">
        <v>8594.1749999999993</v>
      </c>
      <c r="O204" s="13">
        <f t="shared" si="64"/>
        <v>1145.8899999999999</v>
      </c>
      <c r="P204" s="13">
        <f t="shared" si="65"/>
        <v>9740.0649999999987</v>
      </c>
      <c r="Q204" s="13"/>
      <c r="R204" s="13">
        <f t="shared" si="66"/>
        <v>8352.9350000000013</v>
      </c>
      <c r="S204" s="54">
        <f t="shared" si="67"/>
        <v>8352.9350000000013</v>
      </c>
      <c r="T204" s="54">
        <f t="shared" si="68"/>
        <v>0</v>
      </c>
      <c r="U204" s="54"/>
    </row>
    <row r="205" spans="1:28" x14ac:dyDescent="0.25">
      <c r="A205" s="7" t="s">
        <v>272</v>
      </c>
      <c r="B205" s="7" t="s">
        <v>284</v>
      </c>
      <c r="C205" s="7" t="s">
        <v>17</v>
      </c>
      <c r="D205" s="22" t="s">
        <v>270</v>
      </c>
      <c r="E205" s="7">
        <v>2017</v>
      </c>
      <c r="F205" s="7">
        <v>15</v>
      </c>
      <c r="G205" s="7">
        <f t="shared" si="61"/>
        <v>7</v>
      </c>
      <c r="H205" s="7">
        <f t="shared" si="62"/>
        <v>8</v>
      </c>
      <c r="I205" s="13">
        <v>24125</v>
      </c>
      <c r="J205" s="13"/>
      <c r="K205" s="13"/>
      <c r="L205" s="13">
        <f t="shared" si="63"/>
        <v>24125</v>
      </c>
      <c r="M205" s="13">
        <f t="shared" si="58"/>
        <v>1206.25</v>
      </c>
      <c r="N205" s="11">
        <v>11459.375</v>
      </c>
      <c r="O205" s="13">
        <f t="shared" si="64"/>
        <v>1527.9166666666667</v>
      </c>
      <c r="P205" s="13">
        <f t="shared" si="65"/>
        <v>12987.291666666666</v>
      </c>
      <c r="Q205" s="13"/>
      <c r="R205" s="13">
        <f t="shared" si="66"/>
        <v>11137.708333333334</v>
      </c>
      <c r="S205" s="54">
        <f t="shared" si="67"/>
        <v>11137.708333333334</v>
      </c>
      <c r="T205" s="54">
        <f t="shared" si="68"/>
        <v>0</v>
      </c>
      <c r="U205" s="54"/>
    </row>
    <row r="206" spans="1:28" x14ac:dyDescent="0.25">
      <c r="A206" s="7" t="s">
        <v>272</v>
      </c>
      <c r="B206" s="7" t="s">
        <v>285</v>
      </c>
      <c r="C206" s="7" t="s">
        <v>17</v>
      </c>
      <c r="D206" s="22" t="s">
        <v>270</v>
      </c>
      <c r="E206" s="7">
        <v>2017</v>
      </c>
      <c r="F206" s="7">
        <v>15</v>
      </c>
      <c r="G206" s="7">
        <f t="shared" si="61"/>
        <v>7</v>
      </c>
      <c r="H206" s="7">
        <f t="shared" si="62"/>
        <v>8</v>
      </c>
      <c r="I206" s="13">
        <v>23625</v>
      </c>
      <c r="J206" s="13"/>
      <c r="K206" s="13"/>
      <c r="L206" s="13">
        <f t="shared" si="63"/>
        <v>23625</v>
      </c>
      <c r="M206" s="13">
        <f t="shared" si="58"/>
        <v>1181.25</v>
      </c>
      <c r="N206" s="11">
        <v>11221.875</v>
      </c>
      <c r="O206" s="13">
        <f t="shared" si="64"/>
        <v>1496.25</v>
      </c>
      <c r="P206" s="13">
        <f t="shared" si="65"/>
        <v>12718.125</v>
      </c>
      <c r="Q206" s="13"/>
      <c r="R206" s="13">
        <f t="shared" si="66"/>
        <v>10906.875</v>
      </c>
      <c r="S206" s="54">
        <f t="shared" si="67"/>
        <v>10906.875</v>
      </c>
      <c r="T206" s="54">
        <f t="shared" si="68"/>
        <v>0</v>
      </c>
      <c r="U206" s="54"/>
      <c r="V206" s="59"/>
    </row>
    <row r="207" spans="1:28" s="73" customFormat="1" x14ac:dyDescent="0.25">
      <c r="A207" s="49" t="s">
        <v>272</v>
      </c>
      <c r="B207" s="49" t="s">
        <v>286</v>
      </c>
      <c r="C207" s="49" t="s">
        <v>17</v>
      </c>
      <c r="D207" s="48" t="s">
        <v>271</v>
      </c>
      <c r="E207" s="49">
        <v>2018</v>
      </c>
      <c r="F207" s="49">
        <v>15</v>
      </c>
      <c r="G207" s="49">
        <f t="shared" si="61"/>
        <v>6</v>
      </c>
      <c r="H207" s="49">
        <f t="shared" si="62"/>
        <v>9</v>
      </c>
      <c r="I207" s="50">
        <v>250000</v>
      </c>
      <c r="J207" s="50"/>
      <c r="K207" s="50">
        <v>250000</v>
      </c>
      <c r="L207" s="50">
        <f t="shared" si="63"/>
        <v>0</v>
      </c>
      <c r="M207" s="50">
        <f t="shared" si="58"/>
        <v>0</v>
      </c>
      <c r="N207" s="51">
        <v>234213.12021312001</v>
      </c>
      <c r="O207" s="50">
        <f t="shared" si="64"/>
        <v>0</v>
      </c>
      <c r="P207" s="50">
        <f t="shared" si="65"/>
        <v>234213.12021312001</v>
      </c>
      <c r="Q207" s="50">
        <v>-234213.12021312001</v>
      </c>
      <c r="R207" s="50">
        <v>0</v>
      </c>
      <c r="S207" s="54">
        <f t="shared" si="67"/>
        <v>-468426.24042624002</v>
      </c>
      <c r="T207" s="54">
        <f t="shared" si="68"/>
        <v>468426.24042624002</v>
      </c>
      <c r="U207" s="54"/>
      <c r="W207" s="71">
        <v>45357</v>
      </c>
      <c r="X207" s="73">
        <v>250000</v>
      </c>
      <c r="Y207" s="72">
        <f>+I207</f>
        <v>250000</v>
      </c>
      <c r="Z207" s="72">
        <f>N207</f>
        <v>234213.12021312001</v>
      </c>
      <c r="AA207" s="72">
        <f>+Y207-Z207</f>
        <v>15786.879786879988</v>
      </c>
      <c r="AB207" s="72">
        <f>+X207-AA207</f>
        <v>234213.12021312001</v>
      </c>
    </row>
    <row r="208" spans="1:28" x14ac:dyDescent="0.25">
      <c r="A208" s="7" t="s">
        <v>272</v>
      </c>
      <c r="B208" s="7" t="s">
        <v>287</v>
      </c>
      <c r="C208" s="7" t="s">
        <v>17</v>
      </c>
      <c r="D208" s="22" t="s">
        <v>263</v>
      </c>
      <c r="E208" s="7">
        <v>2019</v>
      </c>
      <c r="F208" s="7">
        <v>15</v>
      </c>
      <c r="G208" s="7">
        <f t="shared" si="61"/>
        <v>5</v>
      </c>
      <c r="H208" s="7">
        <f t="shared" si="62"/>
        <v>10</v>
      </c>
      <c r="I208" s="13">
        <v>451000</v>
      </c>
      <c r="J208" s="13"/>
      <c r="K208" s="13"/>
      <c r="L208" s="13">
        <f t="shared" si="63"/>
        <v>451000</v>
      </c>
      <c r="M208" s="13">
        <f t="shared" si="58"/>
        <v>22550</v>
      </c>
      <c r="N208" s="11">
        <v>175298.77899877899</v>
      </c>
      <c r="O208" s="13">
        <f t="shared" si="64"/>
        <v>28563.333333333332</v>
      </c>
      <c r="P208" s="13">
        <f t="shared" si="65"/>
        <v>203862.11233211233</v>
      </c>
      <c r="Q208" s="13"/>
      <c r="R208" s="13">
        <f t="shared" si="66"/>
        <v>247137.88766788767</v>
      </c>
      <c r="S208" s="54">
        <f t="shared" si="67"/>
        <v>247137.88766788767</v>
      </c>
      <c r="T208" s="54">
        <f t="shared" si="68"/>
        <v>0</v>
      </c>
      <c r="U208" s="54"/>
    </row>
    <row r="209" spans="1:27" x14ac:dyDescent="0.25">
      <c r="A209" s="24" t="s">
        <v>360</v>
      </c>
      <c r="B209" s="24"/>
      <c r="C209" s="24"/>
      <c r="D209" s="30"/>
      <c r="E209" s="24"/>
      <c r="F209" s="24"/>
      <c r="G209" s="24"/>
      <c r="H209" s="24"/>
      <c r="I209" s="29">
        <f>SUM(I194:I208)</f>
        <v>13321566.58</v>
      </c>
      <c r="J209" s="29">
        <f t="shared" ref="J209:R209" si="69">SUM(J194:J208)</f>
        <v>0</v>
      </c>
      <c r="K209" s="29">
        <f t="shared" si="69"/>
        <v>1222835</v>
      </c>
      <c r="L209" s="29">
        <f t="shared" si="69"/>
        <v>12098731.58</v>
      </c>
      <c r="M209" s="29">
        <f t="shared" si="69"/>
        <v>604936.57900000014</v>
      </c>
      <c r="N209" s="29">
        <f t="shared" si="69"/>
        <v>8474303.2330881692</v>
      </c>
      <c r="O209" s="29">
        <f t="shared" si="69"/>
        <v>822731.00006666663</v>
      </c>
      <c r="P209" s="29">
        <f t="shared" si="69"/>
        <v>9297034.2331548352</v>
      </c>
      <c r="Q209" s="29">
        <f t="shared" si="69"/>
        <v>-992704.30771312001</v>
      </c>
      <c r="R209" s="29">
        <f t="shared" si="69"/>
        <v>3794401.6545582842</v>
      </c>
      <c r="S209" s="54">
        <f t="shared" si="67"/>
        <v>1808993.0391320449</v>
      </c>
      <c r="T209" s="54">
        <f t="shared" si="68"/>
        <v>1985408.6154262393</v>
      </c>
      <c r="U209" s="54"/>
      <c r="X209" s="38">
        <f>+Y207+Y202+Y93</f>
        <v>2022270</v>
      </c>
      <c r="Y209" s="38">
        <f>+Z207+Z202+Z93</f>
        <v>1808645.48371312</v>
      </c>
      <c r="Z209" s="38">
        <f>+AA207+AA202+AA93</f>
        <v>213624.51628688001</v>
      </c>
      <c r="AA209" s="38">
        <f>+AB207+AB202+AB93</f>
        <v>886375.48371311999</v>
      </c>
    </row>
    <row r="210" spans="1:27" x14ac:dyDescent="0.25">
      <c r="A210" s="7"/>
      <c r="B210" s="7"/>
      <c r="C210" s="7"/>
      <c r="D210" s="22"/>
      <c r="E210" s="7"/>
      <c r="F210" s="7"/>
      <c r="G210" s="7"/>
      <c r="H210" s="7"/>
      <c r="I210" s="13"/>
      <c r="J210" s="13"/>
      <c r="K210" s="13"/>
      <c r="L210" s="13"/>
      <c r="M210" s="13"/>
      <c r="N210" s="11"/>
      <c r="O210" s="13"/>
      <c r="P210" s="13"/>
      <c r="Q210" s="13"/>
      <c r="R210" s="13" t="s">
        <v>469</v>
      </c>
      <c r="S210" s="54">
        <f t="shared" si="67"/>
        <v>0</v>
      </c>
      <c r="T210" s="54" t="e">
        <f t="shared" si="68"/>
        <v>#VALUE!</v>
      </c>
      <c r="U210" s="54"/>
    </row>
    <row r="211" spans="1:27" x14ac:dyDescent="0.25">
      <c r="A211" s="7" t="s">
        <v>288</v>
      </c>
      <c r="B211" s="7" t="s">
        <v>292</v>
      </c>
      <c r="C211" s="7" t="s">
        <v>17</v>
      </c>
      <c r="D211" s="22" t="s">
        <v>289</v>
      </c>
      <c r="E211" s="7">
        <v>2010</v>
      </c>
      <c r="F211" s="7">
        <v>15</v>
      </c>
      <c r="G211" s="7">
        <f t="shared" ref="G211:G220" si="70">2024-E211</f>
        <v>14</v>
      </c>
      <c r="H211" s="7">
        <f t="shared" ref="H211:H220" si="71">+IF(G211&lt;=F211,(F211-G211),0)</f>
        <v>1</v>
      </c>
      <c r="I211" s="11">
        <v>52130</v>
      </c>
      <c r="J211" s="13"/>
      <c r="K211" s="13"/>
      <c r="L211" s="13">
        <f t="shared" ref="L211:L220" si="72">+I211+J211-K211</f>
        <v>52130</v>
      </c>
      <c r="M211" s="13">
        <f t="shared" si="58"/>
        <v>2606.5</v>
      </c>
      <c r="N211" s="13">
        <v>52130</v>
      </c>
      <c r="O211" s="13">
        <v>0</v>
      </c>
      <c r="P211" s="13">
        <f t="shared" ref="P211:P220" si="73">+N211+O211</f>
        <v>52130</v>
      </c>
      <c r="Q211" s="13"/>
      <c r="R211" s="13">
        <f t="shared" ref="R211:R220" si="74">+IF(H211&gt;0,(L211-P211-Q211),M211)</f>
        <v>0</v>
      </c>
      <c r="S211" s="54">
        <f t="shared" si="67"/>
        <v>0</v>
      </c>
      <c r="T211" s="54">
        <f t="shared" si="68"/>
        <v>0</v>
      </c>
      <c r="U211" s="54"/>
    </row>
    <row r="212" spans="1:27" x14ac:dyDescent="0.25">
      <c r="A212" s="7" t="s">
        <v>288</v>
      </c>
      <c r="B212" s="7" t="s">
        <v>293</v>
      </c>
      <c r="C212" s="7" t="s">
        <v>17</v>
      </c>
      <c r="D212" s="22" t="s">
        <v>289</v>
      </c>
      <c r="E212" s="7">
        <v>2011</v>
      </c>
      <c r="F212" s="7">
        <v>15</v>
      </c>
      <c r="G212" s="7">
        <f t="shared" si="70"/>
        <v>13</v>
      </c>
      <c r="H212" s="7">
        <f t="shared" si="71"/>
        <v>2</v>
      </c>
      <c r="I212" s="11">
        <v>12304.07</v>
      </c>
      <c r="J212" s="13"/>
      <c r="K212" s="13"/>
      <c r="L212" s="13">
        <f t="shared" si="72"/>
        <v>12304.07</v>
      </c>
      <c r="M212" s="13">
        <f t="shared" si="58"/>
        <v>615.20350000000008</v>
      </c>
      <c r="N212" s="13">
        <v>12304.070000000002</v>
      </c>
      <c r="O212" s="13">
        <v>0</v>
      </c>
      <c r="P212" s="13">
        <f t="shared" si="73"/>
        <v>12304.070000000002</v>
      </c>
      <c r="Q212" s="13"/>
      <c r="R212" s="13">
        <f t="shared" si="74"/>
        <v>-1.8189894035458565E-12</v>
      </c>
      <c r="S212" s="54">
        <f t="shared" si="67"/>
        <v>-1.8189894035458565E-12</v>
      </c>
      <c r="T212" s="54">
        <f t="shared" si="68"/>
        <v>0</v>
      </c>
      <c r="U212" s="54"/>
    </row>
    <row r="213" spans="1:27" x14ac:dyDescent="0.25">
      <c r="A213" s="7" t="s">
        <v>288</v>
      </c>
      <c r="B213" s="7" t="s">
        <v>294</v>
      </c>
      <c r="C213" s="7" t="s">
        <v>17</v>
      </c>
      <c r="D213" s="22" t="s">
        <v>289</v>
      </c>
      <c r="E213" s="7">
        <v>2012</v>
      </c>
      <c r="F213" s="7">
        <v>15</v>
      </c>
      <c r="G213" s="7">
        <f t="shared" si="70"/>
        <v>12</v>
      </c>
      <c r="H213" s="7">
        <f t="shared" si="71"/>
        <v>3</v>
      </c>
      <c r="I213" s="11">
        <v>120370</v>
      </c>
      <c r="J213" s="13"/>
      <c r="K213" s="13"/>
      <c r="L213" s="13">
        <f t="shared" si="72"/>
        <v>120370</v>
      </c>
      <c r="M213" s="13">
        <f t="shared" si="58"/>
        <v>6018.5</v>
      </c>
      <c r="N213" s="13">
        <f>164870.83-44501</f>
        <v>120369.82999999999</v>
      </c>
      <c r="O213" s="13">
        <v>0</v>
      </c>
      <c r="P213" s="13">
        <f t="shared" si="73"/>
        <v>120369.82999999999</v>
      </c>
      <c r="Q213" s="13"/>
      <c r="R213" s="13">
        <f t="shared" si="74"/>
        <v>0.17000000001280569</v>
      </c>
      <c r="S213" s="54">
        <f t="shared" si="67"/>
        <v>0.17000000001280569</v>
      </c>
      <c r="T213" s="54">
        <f t="shared" si="68"/>
        <v>0</v>
      </c>
      <c r="U213" s="54"/>
    </row>
    <row r="214" spans="1:27" x14ac:dyDescent="0.25">
      <c r="A214" s="7" t="s">
        <v>288</v>
      </c>
      <c r="B214" s="7" t="s">
        <v>295</v>
      </c>
      <c r="C214" s="7" t="s">
        <v>17</v>
      </c>
      <c r="D214" s="22" t="s">
        <v>289</v>
      </c>
      <c r="E214" s="7">
        <v>2013</v>
      </c>
      <c r="F214" s="7">
        <v>15</v>
      </c>
      <c r="G214" s="7">
        <f t="shared" si="70"/>
        <v>11</v>
      </c>
      <c r="H214" s="7">
        <f t="shared" si="71"/>
        <v>4</v>
      </c>
      <c r="I214" s="11">
        <v>165324</v>
      </c>
      <c r="J214" s="13"/>
      <c r="K214" s="13"/>
      <c r="L214" s="13">
        <f t="shared" si="72"/>
        <v>165324</v>
      </c>
      <c r="M214" s="13">
        <f t="shared" si="58"/>
        <v>8266.2000000000007</v>
      </c>
      <c r="N214" s="13">
        <v>165324</v>
      </c>
      <c r="O214" s="13">
        <v>0</v>
      </c>
      <c r="P214" s="13">
        <f t="shared" si="73"/>
        <v>165324</v>
      </c>
      <c r="Q214" s="13"/>
      <c r="R214" s="13">
        <f t="shared" si="74"/>
        <v>0</v>
      </c>
      <c r="S214" s="54">
        <f t="shared" si="67"/>
        <v>0</v>
      </c>
      <c r="T214" s="54">
        <f t="shared" si="68"/>
        <v>0</v>
      </c>
      <c r="U214" s="54"/>
    </row>
    <row r="215" spans="1:27" x14ac:dyDescent="0.25">
      <c r="A215" s="7" t="s">
        <v>288</v>
      </c>
      <c r="B215" s="7" t="s">
        <v>296</v>
      </c>
      <c r="C215" s="7" t="s">
        <v>17</v>
      </c>
      <c r="D215" s="22" t="s">
        <v>289</v>
      </c>
      <c r="E215" s="7">
        <v>2014</v>
      </c>
      <c r="F215" s="7">
        <v>15</v>
      </c>
      <c r="G215" s="7">
        <f t="shared" si="70"/>
        <v>10</v>
      </c>
      <c r="H215" s="7">
        <f t="shared" si="71"/>
        <v>5</v>
      </c>
      <c r="I215" s="11">
        <v>76213</v>
      </c>
      <c r="J215" s="13"/>
      <c r="K215" s="13"/>
      <c r="L215" s="13">
        <f t="shared" si="72"/>
        <v>76213</v>
      </c>
      <c r="M215" s="13">
        <f t="shared" si="58"/>
        <v>3810.65</v>
      </c>
      <c r="N215" s="13">
        <v>76213</v>
      </c>
      <c r="O215" s="13">
        <v>0</v>
      </c>
      <c r="P215" s="13">
        <f t="shared" si="73"/>
        <v>76213</v>
      </c>
      <c r="Q215" s="13"/>
      <c r="R215" s="13">
        <f t="shared" si="74"/>
        <v>0</v>
      </c>
      <c r="S215" s="54">
        <f t="shared" si="67"/>
        <v>0</v>
      </c>
      <c r="T215" s="54">
        <f t="shared" si="68"/>
        <v>0</v>
      </c>
      <c r="U215" s="54"/>
    </row>
    <row r="216" spans="1:27" x14ac:dyDescent="0.25">
      <c r="A216" s="7" t="s">
        <v>288</v>
      </c>
      <c r="B216" s="7" t="s">
        <v>297</v>
      </c>
      <c r="C216" s="7" t="s">
        <v>17</v>
      </c>
      <c r="D216" s="22" t="s">
        <v>289</v>
      </c>
      <c r="E216" s="7">
        <v>2015</v>
      </c>
      <c r="F216" s="7">
        <v>15</v>
      </c>
      <c r="G216" s="7">
        <f t="shared" si="70"/>
        <v>9</v>
      </c>
      <c r="H216" s="7">
        <f t="shared" si="71"/>
        <v>6</v>
      </c>
      <c r="I216" s="11">
        <v>6800</v>
      </c>
      <c r="J216" s="13"/>
      <c r="K216" s="13"/>
      <c r="L216" s="13">
        <f t="shared" si="72"/>
        <v>6800</v>
      </c>
      <c r="M216" s="13">
        <f t="shared" si="58"/>
        <v>340</v>
      </c>
      <c r="N216" s="13">
        <v>6800</v>
      </c>
      <c r="O216" s="13">
        <v>0</v>
      </c>
      <c r="P216" s="13">
        <f t="shared" si="73"/>
        <v>6800</v>
      </c>
      <c r="Q216" s="13"/>
      <c r="R216" s="13">
        <f t="shared" si="74"/>
        <v>0</v>
      </c>
      <c r="S216" s="54">
        <f t="shared" si="67"/>
        <v>0</v>
      </c>
      <c r="T216" s="54">
        <f t="shared" si="68"/>
        <v>0</v>
      </c>
      <c r="U216" s="54"/>
    </row>
    <row r="217" spans="1:27" x14ac:dyDescent="0.25">
      <c r="A217" s="7" t="s">
        <v>288</v>
      </c>
      <c r="B217" s="7" t="s">
        <v>298</v>
      </c>
      <c r="C217" s="7" t="s">
        <v>17</v>
      </c>
      <c r="D217" s="22" t="s">
        <v>289</v>
      </c>
      <c r="E217" s="7">
        <v>2015</v>
      </c>
      <c r="F217" s="7">
        <v>15</v>
      </c>
      <c r="G217" s="7">
        <f t="shared" si="70"/>
        <v>9</v>
      </c>
      <c r="H217" s="7">
        <f t="shared" si="71"/>
        <v>6</v>
      </c>
      <c r="I217" s="11">
        <v>25550</v>
      </c>
      <c r="J217" s="13"/>
      <c r="K217" s="13"/>
      <c r="L217" s="13">
        <f t="shared" si="72"/>
        <v>25550</v>
      </c>
      <c r="M217" s="13">
        <f t="shared" si="58"/>
        <v>1277.5</v>
      </c>
      <c r="N217" s="13">
        <v>25550</v>
      </c>
      <c r="O217" s="13">
        <v>0</v>
      </c>
      <c r="P217" s="13">
        <f t="shared" si="73"/>
        <v>25550</v>
      </c>
      <c r="Q217" s="13"/>
      <c r="R217" s="13">
        <f t="shared" si="74"/>
        <v>0</v>
      </c>
      <c r="S217" s="54">
        <f t="shared" si="67"/>
        <v>0</v>
      </c>
      <c r="T217" s="54">
        <f t="shared" si="68"/>
        <v>0</v>
      </c>
      <c r="U217" s="54"/>
    </row>
    <row r="218" spans="1:27" x14ac:dyDescent="0.25">
      <c r="A218" s="7" t="s">
        <v>288</v>
      </c>
      <c r="B218" s="7" t="s">
        <v>299</v>
      </c>
      <c r="C218" s="7" t="s">
        <v>17</v>
      </c>
      <c r="D218" s="22" t="s">
        <v>289</v>
      </c>
      <c r="E218" s="7">
        <v>2015</v>
      </c>
      <c r="F218" s="7">
        <v>15</v>
      </c>
      <c r="G218" s="7">
        <f t="shared" si="70"/>
        <v>9</v>
      </c>
      <c r="H218" s="7">
        <f t="shared" si="71"/>
        <v>6</v>
      </c>
      <c r="I218" s="11">
        <v>19834.13</v>
      </c>
      <c r="J218" s="13"/>
      <c r="K218" s="13"/>
      <c r="L218" s="13">
        <f t="shared" si="72"/>
        <v>19834.13</v>
      </c>
      <c r="M218" s="13">
        <f t="shared" si="58"/>
        <v>991.70650000000012</v>
      </c>
      <c r="N218" s="13">
        <v>19834.1335</v>
      </c>
      <c r="O218" s="13">
        <v>0</v>
      </c>
      <c r="P218" s="13">
        <f t="shared" si="73"/>
        <v>19834.1335</v>
      </c>
      <c r="Q218" s="13"/>
      <c r="R218" s="13">
        <f t="shared" si="74"/>
        <v>-3.4999999988940544E-3</v>
      </c>
      <c r="S218" s="54">
        <f t="shared" si="67"/>
        <v>-3.4999999988940544E-3</v>
      </c>
      <c r="T218" s="54">
        <f t="shared" si="68"/>
        <v>0</v>
      </c>
      <c r="U218" s="54"/>
    </row>
    <row r="219" spans="1:27" x14ac:dyDescent="0.25">
      <c r="A219" s="7" t="s">
        <v>288</v>
      </c>
      <c r="B219" s="7" t="s">
        <v>300</v>
      </c>
      <c r="C219" s="7" t="s">
        <v>17</v>
      </c>
      <c r="D219" s="22" t="s">
        <v>290</v>
      </c>
      <c r="E219" s="7">
        <v>2016</v>
      </c>
      <c r="F219" s="7">
        <v>15</v>
      </c>
      <c r="G219" s="7">
        <f t="shared" si="70"/>
        <v>8</v>
      </c>
      <c r="H219" s="7">
        <f t="shared" si="71"/>
        <v>7</v>
      </c>
      <c r="I219" s="11">
        <v>7380</v>
      </c>
      <c r="J219" s="13"/>
      <c r="K219" s="13"/>
      <c r="L219" s="13">
        <f t="shared" si="72"/>
        <v>7380</v>
      </c>
      <c r="M219" s="13">
        <f t="shared" si="58"/>
        <v>369</v>
      </c>
      <c r="N219" s="13">
        <v>7380</v>
      </c>
      <c r="O219" s="13">
        <v>0</v>
      </c>
      <c r="P219" s="13">
        <f t="shared" si="73"/>
        <v>7380</v>
      </c>
      <c r="Q219" s="13"/>
      <c r="R219" s="13">
        <f t="shared" si="74"/>
        <v>0</v>
      </c>
      <c r="S219" s="54">
        <f t="shared" si="67"/>
        <v>0</v>
      </c>
      <c r="T219" s="54">
        <f t="shared" si="68"/>
        <v>0</v>
      </c>
      <c r="U219" s="54"/>
    </row>
    <row r="220" spans="1:27" x14ac:dyDescent="0.25">
      <c r="A220" s="7" t="s">
        <v>288</v>
      </c>
      <c r="B220" s="7" t="s">
        <v>301</v>
      </c>
      <c r="C220" s="7" t="s">
        <v>17</v>
      </c>
      <c r="D220" s="22" t="s">
        <v>291</v>
      </c>
      <c r="E220" s="7">
        <v>2016</v>
      </c>
      <c r="F220" s="7">
        <v>15</v>
      </c>
      <c r="G220" s="7">
        <f t="shared" si="70"/>
        <v>8</v>
      </c>
      <c r="H220" s="7">
        <f t="shared" si="71"/>
        <v>7</v>
      </c>
      <c r="I220" s="11">
        <v>8310</v>
      </c>
      <c r="J220" s="13"/>
      <c r="K220" s="13"/>
      <c r="L220" s="13">
        <f t="shared" si="72"/>
        <v>8310</v>
      </c>
      <c r="M220" s="13">
        <f t="shared" si="58"/>
        <v>415.5</v>
      </c>
      <c r="N220" s="13">
        <v>8310</v>
      </c>
      <c r="O220" s="13">
        <v>0</v>
      </c>
      <c r="P220" s="13">
        <f t="shared" si="73"/>
        <v>8310</v>
      </c>
      <c r="Q220" s="13"/>
      <c r="R220" s="13">
        <f t="shared" si="74"/>
        <v>0</v>
      </c>
      <c r="S220" s="54">
        <f t="shared" si="67"/>
        <v>0</v>
      </c>
      <c r="T220" s="54">
        <f t="shared" si="68"/>
        <v>0</v>
      </c>
      <c r="U220" s="54"/>
    </row>
    <row r="221" spans="1:27" x14ac:dyDescent="0.25">
      <c r="A221" s="24" t="s">
        <v>360</v>
      </c>
      <c r="B221" s="24"/>
      <c r="C221" s="24"/>
      <c r="D221" s="30"/>
      <c r="E221" s="24"/>
      <c r="F221" s="24"/>
      <c r="G221" s="24"/>
      <c r="H221" s="24"/>
      <c r="I221" s="28">
        <f t="shared" ref="I221:R221" si="75">SUM(I211:I220)</f>
        <v>494215.2</v>
      </c>
      <c r="J221" s="28">
        <f t="shared" si="75"/>
        <v>0</v>
      </c>
      <c r="K221" s="28">
        <f t="shared" si="75"/>
        <v>0</v>
      </c>
      <c r="L221" s="28">
        <f t="shared" si="75"/>
        <v>494215.2</v>
      </c>
      <c r="M221" s="28">
        <f t="shared" si="75"/>
        <v>24710.760000000002</v>
      </c>
      <c r="N221" s="28">
        <f t="shared" si="75"/>
        <v>494215.03350000002</v>
      </c>
      <c r="O221" s="28">
        <f t="shared" si="75"/>
        <v>0</v>
      </c>
      <c r="P221" s="28">
        <f t="shared" si="75"/>
        <v>494215.03350000002</v>
      </c>
      <c r="Q221" s="28">
        <f t="shared" si="75"/>
        <v>0</v>
      </c>
      <c r="R221" s="28">
        <f t="shared" si="75"/>
        <v>0.16650000001209264</v>
      </c>
      <c r="S221" s="54">
        <f t="shared" si="67"/>
        <v>0.16649999999208376</v>
      </c>
      <c r="T221" s="54">
        <f t="shared" si="68"/>
        <v>2.0008883439004421E-11</v>
      </c>
      <c r="U221" s="54"/>
    </row>
    <row r="222" spans="1:27" x14ac:dyDescent="0.25">
      <c r="A222" s="7"/>
      <c r="B222" s="7"/>
      <c r="C222" s="7"/>
      <c r="D222" s="22"/>
      <c r="E222" s="7"/>
      <c r="F222" s="7"/>
      <c r="G222" s="7"/>
      <c r="H222" s="7"/>
      <c r="I222" s="11"/>
      <c r="J222" s="13"/>
      <c r="K222" s="13"/>
      <c r="L222" s="13"/>
      <c r="M222" s="13"/>
      <c r="N222" s="13"/>
      <c r="O222" s="13"/>
      <c r="P222" s="13"/>
      <c r="Q222" s="13"/>
      <c r="R222" s="13" t="s">
        <v>469</v>
      </c>
      <c r="S222" s="54">
        <f t="shared" si="67"/>
        <v>0</v>
      </c>
      <c r="T222" s="54" t="e">
        <f t="shared" si="68"/>
        <v>#VALUE!</v>
      </c>
      <c r="U222" s="54"/>
    </row>
    <row r="223" spans="1:27" x14ac:dyDescent="0.25">
      <c r="A223" s="7" t="s">
        <v>302</v>
      </c>
      <c r="B223" s="7" t="s">
        <v>303</v>
      </c>
      <c r="C223" s="7" t="s">
        <v>17</v>
      </c>
      <c r="D223" s="7" t="s">
        <v>304</v>
      </c>
      <c r="E223" s="7">
        <v>2010</v>
      </c>
      <c r="F223" s="7">
        <v>15</v>
      </c>
      <c r="G223" s="7">
        <f t="shared" ref="G223:G266" si="76">2024-E223</f>
        <v>14</v>
      </c>
      <c r="H223" s="7">
        <f t="shared" ref="H223:H266" si="77">+IF(G223&lt;=F223,(F223-G223),0)</f>
        <v>1</v>
      </c>
      <c r="I223" s="13">
        <v>26987</v>
      </c>
      <c r="J223" s="13"/>
      <c r="K223" s="13"/>
      <c r="L223" s="13">
        <f>+I223+J223-K223</f>
        <v>26987</v>
      </c>
      <c r="M223" s="13">
        <f t="shared" si="58"/>
        <v>1349.3500000000001</v>
      </c>
      <c r="N223" s="13">
        <f>25637.65+1349</f>
        <v>26986.65</v>
      </c>
      <c r="O223" s="13">
        <v>0</v>
      </c>
      <c r="P223" s="13">
        <f t="shared" ref="P223:P266" si="78">+N223+O223</f>
        <v>26986.65</v>
      </c>
      <c r="Q223" s="13"/>
      <c r="R223" s="13">
        <f>+IF(H223&gt;0,(L223-P223-Q223),M223)</f>
        <v>0.34999999999854481</v>
      </c>
      <c r="S223" s="54">
        <f t="shared" si="67"/>
        <v>0.34999999999854481</v>
      </c>
      <c r="T223" s="54">
        <f t="shared" si="68"/>
        <v>0</v>
      </c>
      <c r="U223" s="54"/>
    </row>
    <row r="224" spans="1:27" x14ac:dyDescent="0.25">
      <c r="A224" s="7" t="s">
        <v>302</v>
      </c>
      <c r="B224" s="7" t="s">
        <v>305</v>
      </c>
      <c r="C224" s="7" t="s">
        <v>17</v>
      </c>
      <c r="D224" s="7" t="s">
        <v>304</v>
      </c>
      <c r="E224" s="7">
        <v>2011</v>
      </c>
      <c r="F224" s="7">
        <v>15</v>
      </c>
      <c r="G224" s="7">
        <f t="shared" si="76"/>
        <v>13</v>
      </c>
      <c r="H224" s="7">
        <f t="shared" si="77"/>
        <v>2</v>
      </c>
      <c r="I224" s="13">
        <v>14856</v>
      </c>
      <c r="J224" s="13"/>
      <c r="K224" s="13"/>
      <c r="L224" s="13">
        <f>+I224+J224-K224</f>
        <v>14856</v>
      </c>
      <c r="M224" s="13">
        <f t="shared" si="58"/>
        <v>742.80000000000007</v>
      </c>
      <c r="N224" s="13">
        <f>14113.2+743</f>
        <v>14856.2</v>
      </c>
      <c r="O224" s="13">
        <v>0</v>
      </c>
      <c r="P224" s="13">
        <f t="shared" si="78"/>
        <v>14856.2</v>
      </c>
      <c r="Q224" s="13"/>
      <c r="R224" s="13">
        <f>+IF(H224&gt;0,(L224-P224-Q224),M224)</f>
        <v>-0.2000000000007276</v>
      </c>
      <c r="S224" s="54">
        <f t="shared" si="67"/>
        <v>-0.2000000000007276</v>
      </c>
      <c r="T224" s="54">
        <f t="shared" si="68"/>
        <v>0</v>
      </c>
      <c r="U224" s="54"/>
    </row>
    <row r="225" spans="1:21" x14ac:dyDescent="0.25">
      <c r="A225" s="7" t="s">
        <v>302</v>
      </c>
      <c r="B225" s="7" t="s">
        <v>306</v>
      </c>
      <c r="C225" s="7" t="s">
        <v>17</v>
      </c>
      <c r="D225" s="7" t="s">
        <v>304</v>
      </c>
      <c r="E225" s="7">
        <v>2013</v>
      </c>
      <c r="F225" s="7">
        <v>15</v>
      </c>
      <c r="G225" s="7">
        <f t="shared" si="76"/>
        <v>11</v>
      </c>
      <c r="H225" s="7">
        <f t="shared" si="77"/>
        <v>4</v>
      </c>
      <c r="I225" s="13">
        <v>15500</v>
      </c>
      <c r="J225" s="13"/>
      <c r="K225" s="13"/>
      <c r="L225" s="13">
        <f>+I225+J225-K225</f>
        <v>15500</v>
      </c>
      <c r="M225" s="13">
        <f t="shared" si="58"/>
        <v>775</v>
      </c>
      <c r="N225" s="13">
        <f>14725+775</f>
        <v>15500</v>
      </c>
      <c r="O225" s="13">
        <v>0</v>
      </c>
      <c r="P225" s="13">
        <f t="shared" si="78"/>
        <v>15500</v>
      </c>
      <c r="Q225" s="13"/>
      <c r="R225" s="13">
        <f>+IF(H225&gt;0,(L225-P225-Q225),M225)</f>
        <v>0</v>
      </c>
      <c r="S225" s="54">
        <f t="shared" si="67"/>
        <v>0</v>
      </c>
      <c r="T225" s="54">
        <f t="shared" si="68"/>
        <v>0</v>
      </c>
      <c r="U225" s="54"/>
    </row>
    <row r="226" spans="1:21" x14ac:dyDescent="0.25">
      <c r="A226" s="7" t="s">
        <v>302</v>
      </c>
      <c r="B226" s="7" t="s">
        <v>307</v>
      </c>
      <c r="C226" s="7" t="s">
        <v>17</v>
      </c>
      <c r="D226" s="7" t="s">
        <v>304</v>
      </c>
      <c r="E226" s="7">
        <v>2014</v>
      </c>
      <c r="F226" s="7">
        <v>15</v>
      </c>
      <c r="G226" s="7">
        <f t="shared" si="76"/>
        <v>10</v>
      </c>
      <c r="H226" s="7">
        <f t="shared" si="77"/>
        <v>5</v>
      </c>
      <c r="I226" s="13">
        <v>15511</v>
      </c>
      <c r="J226" s="13"/>
      <c r="K226" s="13"/>
      <c r="L226" s="13">
        <f>+I226+J226-K226</f>
        <v>15511</v>
      </c>
      <c r="M226" s="13">
        <f t="shared" si="58"/>
        <v>775.55000000000007</v>
      </c>
      <c r="N226" s="13">
        <f>14735.45+776</f>
        <v>15511.45</v>
      </c>
      <c r="O226" s="13">
        <v>0</v>
      </c>
      <c r="P226" s="13">
        <f t="shared" si="78"/>
        <v>15511.45</v>
      </c>
      <c r="Q226" s="13"/>
      <c r="R226" s="13">
        <f>+IF(H226&gt;0,(L226-P226-Q226),M226)</f>
        <v>-0.4500000000007276</v>
      </c>
      <c r="S226" s="54">
        <f t="shared" si="67"/>
        <v>-0.4500000000007276</v>
      </c>
      <c r="T226" s="54">
        <f t="shared" si="68"/>
        <v>0</v>
      </c>
      <c r="U226" s="54"/>
    </row>
    <row r="227" spans="1:21" x14ac:dyDescent="0.25">
      <c r="A227" s="24" t="s">
        <v>360</v>
      </c>
      <c r="B227" s="24"/>
      <c r="C227" s="24"/>
      <c r="D227" s="24"/>
      <c r="E227" s="24"/>
      <c r="F227" s="24"/>
      <c r="G227" s="24"/>
      <c r="H227" s="24"/>
      <c r="I227" s="29">
        <f>SUM(I223:I226)</f>
        <v>72854</v>
      </c>
      <c r="J227" s="29">
        <f t="shared" ref="J227:R227" si="79">SUM(J223:J226)</f>
        <v>0</v>
      </c>
      <c r="K227" s="29">
        <f t="shared" si="79"/>
        <v>0</v>
      </c>
      <c r="L227" s="29">
        <f t="shared" si="79"/>
        <v>72854</v>
      </c>
      <c r="M227" s="29">
        <f t="shared" si="79"/>
        <v>3642.7000000000003</v>
      </c>
      <c r="N227" s="29">
        <f t="shared" si="79"/>
        <v>72854.3</v>
      </c>
      <c r="O227" s="29">
        <f t="shared" si="79"/>
        <v>0</v>
      </c>
      <c r="P227" s="29">
        <f t="shared" si="79"/>
        <v>72854.3</v>
      </c>
      <c r="Q227" s="29">
        <f t="shared" si="79"/>
        <v>0</v>
      </c>
      <c r="R227" s="29">
        <f t="shared" si="79"/>
        <v>-0.30000000000291038</v>
      </c>
      <c r="S227" s="54">
        <f t="shared" si="67"/>
        <v>-0.30000000000291038</v>
      </c>
      <c r="T227" s="54">
        <f t="shared" si="68"/>
        <v>0</v>
      </c>
      <c r="U227" s="54"/>
    </row>
    <row r="228" spans="1:21" x14ac:dyDescent="0.25">
      <c r="A228" s="7"/>
      <c r="B228" s="7"/>
      <c r="C228" s="7"/>
      <c r="D228" s="7"/>
      <c r="E228" s="7"/>
      <c r="F228" s="7"/>
      <c r="G228" s="7"/>
      <c r="H228" s="7"/>
      <c r="I228" s="13"/>
      <c r="J228" s="13"/>
      <c r="K228" s="13"/>
      <c r="L228" s="13"/>
      <c r="M228" s="13"/>
      <c r="N228" s="13"/>
      <c r="O228" s="13"/>
      <c r="P228" s="13"/>
      <c r="Q228" s="13"/>
      <c r="R228" s="13" t="s">
        <v>469</v>
      </c>
      <c r="S228" s="54">
        <f t="shared" si="67"/>
        <v>0</v>
      </c>
      <c r="T228" s="54" t="e">
        <f t="shared" si="68"/>
        <v>#VALUE!</v>
      </c>
      <c r="U228" s="54"/>
    </row>
    <row r="229" spans="1:21" x14ac:dyDescent="0.25">
      <c r="A229" s="7" t="s">
        <v>318</v>
      </c>
      <c r="B229" s="7" t="s">
        <v>320</v>
      </c>
      <c r="C229" s="7" t="s">
        <v>17</v>
      </c>
      <c r="D229" s="7" t="s">
        <v>314</v>
      </c>
      <c r="E229" s="7">
        <v>2013</v>
      </c>
      <c r="F229" s="7">
        <v>8</v>
      </c>
      <c r="G229" s="7">
        <f t="shared" si="76"/>
        <v>11</v>
      </c>
      <c r="H229" s="7">
        <f t="shared" si="77"/>
        <v>0</v>
      </c>
      <c r="I229" s="13">
        <v>552114</v>
      </c>
      <c r="J229" s="13"/>
      <c r="K229" s="13"/>
      <c r="L229" s="13">
        <f>+I229+J229-K229</f>
        <v>552114</v>
      </c>
      <c r="M229" s="13">
        <f t="shared" si="58"/>
        <v>27605.7</v>
      </c>
      <c r="N229" s="13">
        <v>524508.30000000005</v>
      </c>
      <c r="O229" s="13">
        <f>+IF(H229&gt;0,((L229-M229)/F229),0)</f>
        <v>0</v>
      </c>
      <c r="P229" s="13">
        <f t="shared" si="78"/>
        <v>524508.30000000005</v>
      </c>
      <c r="Q229" s="13"/>
      <c r="R229" s="13">
        <f>+IF(H229&gt;0,(L229-P229-Q229),M229)</f>
        <v>27605.7</v>
      </c>
      <c r="S229" s="54">
        <f t="shared" si="67"/>
        <v>27605.699999999953</v>
      </c>
      <c r="T229" s="54">
        <f t="shared" si="68"/>
        <v>4.7293724492192268E-11</v>
      </c>
      <c r="U229" s="54"/>
    </row>
    <row r="230" spans="1:21" x14ac:dyDescent="0.25">
      <c r="A230" s="7" t="s">
        <v>318</v>
      </c>
      <c r="B230" s="7" t="s">
        <v>322</v>
      </c>
      <c r="C230" s="7" t="s">
        <v>17</v>
      </c>
      <c r="D230" s="7" t="s">
        <v>315</v>
      </c>
      <c r="E230" s="7">
        <v>2017</v>
      </c>
      <c r="F230" s="7">
        <v>8</v>
      </c>
      <c r="G230" s="7">
        <f t="shared" si="76"/>
        <v>7</v>
      </c>
      <c r="H230" s="7">
        <f t="shared" si="77"/>
        <v>1</v>
      </c>
      <c r="I230" s="13">
        <v>524293</v>
      </c>
      <c r="J230" s="13"/>
      <c r="K230" s="13"/>
      <c r="L230" s="13">
        <f>+I230+J230-K230</f>
        <v>524293</v>
      </c>
      <c r="M230" s="13">
        <f t="shared" si="58"/>
        <v>26214.65</v>
      </c>
      <c r="N230" s="13">
        <v>387394.272222222</v>
      </c>
      <c r="O230" s="13">
        <f>+IF(H230&gt;0,((L230-M230)/F230),0)</f>
        <v>62259.793749999997</v>
      </c>
      <c r="P230" s="13">
        <f t="shared" si="78"/>
        <v>449654.06597222202</v>
      </c>
      <c r="Q230" s="13"/>
      <c r="R230" s="13">
        <f>+IF(H230&gt;0,(L230-P230-Q230),M230)</f>
        <v>74638.934027777985</v>
      </c>
      <c r="S230" s="54">
        <f t="shared" si="67"/>
        <v>74638.934027777985</v>
      </c>
      <c r="T230" s="54">
        <f t="shared" si="68"/>
        <v>0</v>
      </c>
      <c r="U230" s="54"/>
    </row>
    <row r="231" spans="1:21" x14ac:dyDescent="0.25">
      <c r="A231" s="7" t="s">
        <v>318</v>
      </c>
      <c r="B231" s="7" t="s">
        <v>323</v>
      </c>
      <c r="C231" s="7" t="s">
        <v>17</v>
      </c>
      <c r="D231" s="7" t="s">
        <v>316</v>
      </c>
      <c r="E231" s="7">
        <v>2017</v>
      </c>
      <c r="F231" s="7">
        <v>8</v>
      </c>
      <c r="G231" s="7">
        <f t="shared" si="76"/>
        <v>7</v>
      </c>
      <c r="H231" s="7">
        <f t="shared" si="77"/>
        <v>1</v>
      </c>
      <c r="I231" s="13">
        <v>805645</v>
      </c>
      <c r="J231" s="13"/>
      <c r="K231" s="13"/>
      <c r="L231" s="13">
        <f>+I231+J231-K231</f>
        <v>805645</v>
      </c>
      <c r="M231" s="13">
        <f t="shared" si="58"/>
        <v>40282.25</v>
      </c>
      <c r="N231" s="13">
        <v>591825.24722222204</v>
      </c>
      <c r="O231" s="13">
        <f>+IF(H231&gt;0,((L231-M231)/F231),0)</f>
        <v>95670.34375</v>
      </c>
      <c r="P231" s="13">
        <f t="shared" si="78"/>
        <v>687495.59097222204</v>
      </c>
      <c r="Q231" s="13"/>
      <c r="R231" s="13">
        <f>+IF(H231&gt;0,(L231-P231-Q231),M231)</f>
        <v>118149.40902777796</v>
      </c>
      <c r="S231" s="54">
        <f t="shared" si="67"/>
        <v>118149.40902777796</v>
      </c>
      <c r="T231" s="54">
        <f t="shared" si="68"/>
        <v>0</v>
      </c>
      <c r="U231" s="54"/>
    </row>
    <row r="232" spans="1:21" x14ac:dyDescent="0.25">
      <c r="A232" s="7" t="s">
        <v>318</v>
      </c>
      <c r="B232" s="7" t="s">
        <v>324</v>
      </c>
      <c r="C232" s="7" t="s">
        <v>17</v>
      </c>
      <c r="D232" s="7" t="s">
        <v>317</v>
      </c>
      <c r="E232" s="7">
        <v>2017</v>
      </c>
      <c r="F232" s="7">
        <v>8</v>
      </c>
      <c r="G232" s="7">
        <f t="shared" si="76"/>
        <v>7</v>
      </c>
      <c r="H232" s="7">
        <f t="shared" si="77"/>
        <v>1</v>
      </c>
      <c r="I232" s="13">
        <v>950124</v>
      </c>
      <c r="J232" s="13"/>
      <c r="K232" s="13"/>
      <c r="L232" s="13">
        <f>+I232+J232-K232</f>
        <v>950124</v>
      </c>
      <c r="M232" s="13">
        <f t="shared" si="58"/>
        <v>47506.200000000004</v>
      </c>
      <c r="N232" s="13">
        <v>740162.79166666698</v>
      </c>
      <c r="O232" s="13">
        <f>+IF(H232&gt;0,((L232-M232)/F232),0)</f>
        <v>112827.22500000001</v>
      </c>
      <c r="P232" s="13">
        <f t="shared" si="78"/>
        <v>852990.01666666695</v>
      </c>
      <c r="Q232" s="13"/>
      <c r="R232" s="13">
        <f>+IF(H232&gt;0,(L232-P232-Q232),M232)</f>
        <v>97133.983333333046</v>
      </c>
      <c r="S232" s="54">
        <f t="shared" si="67"/>
        <v>97133.983333333046</v>
      </c>
      <c r="T232" s="54">
        <f t="shared" si="68"/>
        <v>0</v>
      </c>
      <c r="U232" s="54"/>
    </row>
    <row r="233" spans="1:21" x14ac:dyDescent="0.25">
      <c r="A233" s="24" t="s">
        <v>360</v>
      </c>
      <c r="B233" s="24"/>
      <c r="C233" s="24"/>
      <c r="D233" s="24"/>
      <c r="E233" s="24"/>
      <c r="F233" s="24"/>
      <c r="G233" s="24"/>
      <c r="H233" s="24"/>
      <c r="I233" s="29">
        <f>SUM(I229:I232)</f>
        <v>2832176</v>
      </c>
      <c r="J233" s="29">
        <f t="shared" ref="J233:R233" si="80">SUM(J229:J232)</f>
        <v>0</v>
      </c>
      <c r="K233" s="29">
        <f t="shared" si="80"/>
        <v>0</v>
      </c>
      <c r="L233" s="29">
        <f t="shared" si="80"/>
        <v>2832176</v>
      </c>
      <c r="M233" s="29">
        <f t="shared" si="80"/>
        <v>141608.80000000002</v>
      </c>
      <c r="N233" s="29">
        <f t="shared" si="80"/>
        <v>2243890.611111111</v>
      </c>
      <c r="O233" s="29">
        <f t="shared" si="80"/>
        <v>270757.36250000005</v>
      </c>
      <c r="P233" s="29">
        <f t="shared" si="80"/>
        <v>2514647.9736111113</v>
      </c>
      <c r="Q233" s="29">
        <f t="shared" si="80"/>
        <v>0</v>
      </c>
      <c r="R233" s="29">
        <f t="shared" si="80"/>
        <v>317528.026388889</v>
      </c>
      <c r="S233" s="54">
        <f t="shared" si="67"/>
        <v>317528.02638888871</v>
      </c>
      <c r="T233" s="54">
        <f t="shared" si="68"/>
        <v>0</v>
      </c>
      <c r="U233" s="54"/>
    </row>
    <row r="234" spans="1:21" x14ac:dyDescent="0.25">
      <c r="A234" s="7"/>
      <c r="B234" s="7"/>
      <c r="C234" s="7"/>
      <c r="D234" s="7"/>
      <c r="E234" s="7"/>
      <c r="F234" s="7"/>
      <c r="G234" s="7"/>
      <c r="H234" s="7"/>
      <c r="I234" s="13"/>
      <c r="J234" s="13"/>
      <c r="K234" s="13"/>
      <c r="L234" s="13"/>
      <c r="M234" s="13"/>
      <c r="N234" s="13"/>
      <c r="O234" s="13"/>
      <c r="P234" s="13"/>
      <c r="Q234" s="13"/>
      <c r="R234" s="13" t="s">
        <v>469</v>
      </c>
      <c r="S234" s="54">
        <f t="shared" si="67"/>
        <v>0</v>
      </c>
      <c r="T234" s="54" t="e">
        <f t="shared" si="68"/>
        <v>#VALUE!</v>
      </c>
      <c r="U234" s="54"/>
    </row>
    <row r="235" spans="1:21" x14ac:dyDescent="0.25">
      <c r="A235" s="7" t="s">
        <v>355</v>
      </c>
      <c r="B235" s="7" t="s">
        <v>351</v>
      </c>
      <c r="C235" s="7" t="s">
        <v>17</v>
      </c>
      <c r="D235" s="7" t="s">
        <v>350</v>
      </c>
      <c r="E235" s="7">
        <v>2010</v>
      </c>
      <c r="F235" s="7">
        <v>15</v>
      </c>
      <c r="G235" s="7">
        <f t="shared" si="76"/>
        <v>14</v>
      </c>
      <c r="H235" s="7">
        <f t="shared" si="77"/>
        <v>1</v>
      </c>
      <c r="I235" s="13">
        <v>4973782.42</v>
      </c>
      <c r="J235" s="13"/>
      <c r="K235" s="13"/>
      <c r="L235" s="13">
        <f t="shared" ref="L235:L240" si="81">+I235+J235-K235</f>
        <v>4973782.42</v>
      </c>
      <c r="M235" s="13">
        <f t="shared" si="58"/>
        <v>248689.12100000001</v>
      </c>
      <c r="N235" s="13">
        <v>3509816.7543250206</v>
      </c>
      <c r="O235" s="13">
        <f>+IF(H235&gt;0,((L235-M235)/F235),0)</f>
        <v>315006.21993333328</v>
      </c>
      <c r="P235" s="13">
        <f t="shared" ref="P235:P239" si="82">+N235+O235</f>
        <v>3824822.9742583539</v>
      </c>
      <c r="Q235" s="13"/>
      <c r="R235" s="13">
        <f t="shared" ref="R235:R240" si="83">+IF(H235&gt;0,(L235-P235-Q235),M235)</f>
        <v>1148959.445741646</v>
      </c>
      <c r="S235" s="54">
        <f t="shared" si="67"/>
        <v>1148959.445741646</v>
      </c>
      <c r="T235" s="54">
        <f t="shared" si="68"/>
        <v>0</v>
      </c>
      <c r="U235" s="54"/>
    </row>
    <row r="236" spans="1:21" x14ac:dyDescent="0.25">
      <c r="A236" s="7" t="s">
        <v>355</v>
      </c>
      <c r="B236" s="7" t="s">
        <v>352</v>
      </c>
      <c r="C236" s="7" t="s">
        <v>17</v>
      </c>
      <c r="D236" s="7" t="s">
        <v>350</v>
      </c>
      <c r="E236" s="7">
        <v>2011</v>
      </c>
      <c r="F236" s="7">
        <v>15</v>
      </c>
      <c r="G236" s="7">
        <f t="shared" si="76"/>
        <v>13</v>
      </c>
      <c r="H236" s="7">
        <f t="shared" si="77"/>
        <v>2</v>
      </c>
      <c r="I236" s="13">
        <v>507524</v>
      </c>
      <c r="J236" s="13"/>
      <c r="K236" s="13"/>
      <c r="L236" s="13">
        <f t="shared" si="81"/>
        <v>507524</v>
      </c>
      <c r="M236" s="13">
        <f t="shared" si="58"/>
        <v>25376.2</v>
      </c>
      <c r="N236" s="13">
        <v>481468.79863999999</v>
      </c>
      <c r="O236" s="13">
        <v>679</v>
      </c>
      <c r="P236" s="13">
        <f t="shared" si="82"/>
        <v>482147.79863999999</v>
      </c>
      <c r="Q236" s="13"/>
      <c r="R236" s="13">
        <f t="shared" si="83"/>
        <v>25376.201360000006</v>
      </c>
      <c r="S236" s="54">
        <f t="shared" si="67"/>
        <v>25376.201360000006</v>
      </c>
      <c r="T236" s="54">
        <f t="shared" si="68"/>
        <v>0</v>
      </c>
      <c r="U236" s="54"/>
    </row>
    <row r="237" spans="1:21" x14ac:dyDescent="0.25">
      <c r="A237" s="7" t="s">
        <v>355</v>
      </c>
      <c r="B237" s="7" t="s">
        <v>353</v>
      </c>
      <c r="C237" s="7" t="s">
        <v>17</v>
      </c>
      <c r="D237" s="7" t="s">
        <v>350</v>
      </c>
      <c r="E237" s="7">
        <v>2012</v>
      </c>
      <c r="F237" s="7">
        <v>15</v>
      </c>
      <c r="G237" s="7">
        <f t="shared" si="76"/>
        <v>12</v>
      </c>
      <c r="H237" s="7">
        <f t="shared" si="77"/>
        <v>3</v>
      </c>
      <c r="I237" s="13">
        <v>550638.75</v>
      </c>
      <c r="J237" s="13"/>
      <c r="K237" s="13"/>
      <c r="L237" s="13">
        <f t="shared" si="81"/>
        <v>550638.75</v>
      </c>
      <c r="M237" s="13">
        <f t="shared" si="58"/>
        <v>27531.9375</v>
      </c>
      <c r="N237" s="13">
        <v>330638.15478124999</v>
      </c>
      <c r="O237" s="13">
        <f>+IF(H237&gt;0,((L237-M237)/F237),0)</f>
        <v>34873.787499999999</v>
      </c>
      <c r="P237" s="13">
        <f t="shared" si="82"/>
        <v>365511.94228124997</v>
      </c>
      <c r="Q237" s="13"/>
      <c r="R237" s="13">
        <f t="shared" si="83"/>
        <v>185126.80771875003</v>
      </c>
      <c r="S237" s="54">
        <f t="shared" si="67"/>
        <v>185126.80771875003</v>
      </c>
      <c r="T237" s="54">
        <f t="shared" si="68"/>
        <v>0</v>
      </c>
      <c r="U237" s="54"/>
    </row>
    <row r="238" spans="1:21" x14ac:dyDescent="0.25">
      <c r="A238" s="7" t="s">
        <v>355</v>
      </c>
      <c r="B238" s="7" t="s">
        <v>354</v>
      </c>
      <c r="C238" s="7" t="s">
        <v>17</v>
      </c>
      <c r="D238" s="7" t="s">
        <v>350</v>
      </c>
      <c r="E238" s="7">
        <v>2013</v>
      </c>
      <c r="F238" s="7">
        <v>15</v>
      </c>
      <c r="G238" s="7">
        <f t="shared" si="76"/>
        <v>11</v>
      </c>
      <c r="H238" s="7">
        <f t="shared" si="77"/>
        <v>4</v>
      </c>
      <c r="I238" s="13">
        <v>37797.78</v>
      </c>
      <c r="J238" s="13"/>
      <c r="K238" s="13"/>
      <c r="L238" s="13">
        <f t="shared" si="81"/>
        <v>37797.78</v>
      </c>
      <c r="M238" s="13">
        <f t="shared" si="58"/>
        <v>1889.8890000000001</v>
      </c>
      <c r="N238" s="13">
        <v>20609.9294865882</v>
      </c>
      <c r="O238" s="13">
        <f>+IF(H238&gt;0,((L238-M238)/F238),0)</f>
        <v>2393.8593999999998</v>
      </c>
      <c r="P238" s="13">
        <f t="shared" si="82"/>
        <v>23003.788886588201</v>
      </c>
      <c r="Q238" s="13"/>
      <c r="R238" s="13">
        <f t="shared" si="83"/>
        <v>14793.991113411797</v>
      </c>
      <c r="S238" s="54">
        <f t="shared" si="67"/>
        <v>14793.991113411797</v>
      </c>
      <c r="T238" s="54">
        <f t="shared" si="68"/>
        <v>0</v>
      </c>
      <c r="U238" s="54"/>
    </row>
    <row r="239" spans="1:21" x14ac:dyDescent="0.25">
      <c r="A239" s="7" t="s">
        <v>355</v>
      </c>
      <c r="B239" s="7" t="s">
        <v>351</v>
      </c>
      <c r="C239" s="7" t="s">
        <v>17</v>
      </c>
      <c r="D239" s="7" t="s">
        <v>350</v>
      </c>
      <c r="E239" s="7">
        <v>2017</v>
      </c>
      <c r="F239" s="7">
        <v>15</v>
      </c>
      <c r="G239" s="7">
        <f t="shared" si="76"/>
        <v>7</v>
      </c>
      <c r="H239" s="7">
        <f t="shared" si="77"/>
        <v>8</v>
      </c>
      <c r="I239" s="13">
        <v>187410</v>
      </c>
      <c r="J239" s="13"/>
      <c r="K239" s="13"/>
      <c r="L239" s="13">
        <f t="shared" si="81"/>
        <v>187410</v>
      </c>
      <c r="M239" s="13">
        <f t="shared" si="58"/>
        <v>9370.5</v>
      </c>
      <c r="N239" s="13">
        <v>65593.5</v>
      </c>
      <c r="O239" s="13">
        <f>+IF(H239&gt;0,((L239-M239)/F239),0)</f>
        <v>11869.3</v>
      </c>
      <c r="P239" s="13">
        <f t="shared" si="82"/>
        <v>77462.8</v>
      </c>
      <c r="Q239" s="13"/>
      <c r="R239" s="13">
        <f t="shared" si="83"/>
        <v>109947.2</v>
      </c>
      <c r="S239" s="54">
        <f t="shared" si="67"/>
        <v>109947.2</v>
      </c>
      <c r="T239" s="54">
        <f t="shared" si="68"/>
        <v>0</v>
      </c>
      <c r="U239" s="54"/>
    </row>
    <row r="240" spans="1:21" x14ac:dyDescent="0.25">
      <c r="A240" s="7" t="s">
        <v>355</v>
      </c>
      <c r="B240" s="7" t="s">
        <v>351</v>
      </c>
      <c r="C240" s="7" t="s">
        <v>17</v>
      </c>
      <c r="D240" s="7" t="s">
        <v>350</v>
      </c>
      <c r="E240" s="7">
        <v>2024</v>
      </c>
      <c r="F240" s="7">
        <v>15</v>
      </c>
      <c r="G240" s="7">
        <f t="shared" ref="G240" si="84">2024-E240</f>
        <v>0</v>
      </c>
      <c r="H240" s="7">
        <f t="shared" ref="H240" si="85">+IF(G240&lt;=F240,(F240-G240),0)</f>
        <v>15</v>
      </c>
      <c r="I240" s="13">
        <v>0</v>
      </c>
      <c r="J240" s="13">
        <v>43992</v>
      </c>
      <c r="K240" s="13"/>
      <c r="L240" s="13">
        <f t="shared" si="81"/>
        <v>43992</v>
      </c>
      <c r="M240" s="13">
        <f t="shared" ref="M240" si="86">+L240*0.05</f>
        <v>2199.6</v>
      </c>
      <c r="N240" s="13">
        <v>0</v>
      </c>
      <c r="O240" s="13">
        <f>+IF(H240&gt;0,((L240-M240)/F240),0)*6/12</f>
        <v>1393.0800000000002</v>
      </c>
      <c r="P240" s="13">
        <f t="shared" ref="P240" si="87">+N240+O240</f>
        <v>1393.0800000000002</v>
      </c>
      <c r="Q240" s="13"/>
      <c r="R240" s="13">
        <f t="shared" si="83"/>
        <v>42598.92</v>
      </c>
      <c r="S240" s="54">
        <f t="shared" si="67"/>
        <v>42598.92</v>
      </c>
      <c r="T240" s="54">
        <f t="shared" si="68"/>
        <v>0</v>
      </c>
      <c r="U240" s="54"/>
    </row>
    <row r="241" spans="1:24" x14ac:dyDescent="0.25">
      <c r="A241" s="24" t="s">
        <v>360</v>
      </c>
      <c r="B241" s="24"/>
      <c r="C241" s="24"/>
      <c r="D241" s="24"/>
      <c r="E241" s="24"/>
      <c r="F241" s="24"/>
      <c r="G241" s="24"/>
      <c r="H241" s="24"/>
      <c r="I241" s="29">
        <f>SUM(I235:I240)</f>
        <v>6257152.9500000002</v>
      </c>
      <c r="J241" s="29">
        <f t="shared" ref="J241:R241" si="88">SUM(J235:J240)</f>
        <v>43992</v>
      </c>
      <c r="K241" s="29">
        <f t="shared" si="88"/>
        <v>0</v>
      </c>
      <c r="L241" s="29">
        <f t="shared" si="88"/>
        <v>6301144.9500000002</v>
      </c>
      <c r="M241" s="29">
        <f t="shared" si="88"/>
        <v>315057.2475</v>
      </c>
      <c r="N241" s="29">
        <f t="shared" si="88"/>
        <v>4408127.1372328596</v>
      </c>
      <c r="O241" s="29">
        <f t="shared" si="88"/>
        <v>366215.24683333328</v>
      </c>
      <c r="P241" s="29">
        <f t="shared" si="88"/>
        <v>4774342.3840661915</v>
      </c>
      <c r="Q241" s="29">
        <f t="shared" si="88"/>
        <v>0</v>
      </c>
      <c r="R241" s="29">
        <f t="shared" si="88"/>
        <v>1526802.5659338078</v>
      </c>
      <c r="S241" s="54">
        <f t="shared" si="67"/>
        <v>1526802.5659338087</v>
      </c>
      <c r="T241" s="54">
        <f t="shared" si="68"/>
        <v>0</v>
      </c>
      <c r="U241" s="54"/>
    </row>
    <row r="242" spans="1:24" x14ac:dyDescent="0.25">
      <c r="A242" s="7"/>
      <c r="B242" s="7"/>
      <c r="C242" s="7"/>
      <c r="D242" s="7"/>
      <c r="E242" s="7"/>
      <c r="F242" s="7"/>
      <c r="G242" s="7"/>
      <c r="H242" s="7"/>
      <c r="I242" s="13"/>
      <c r="J242" s="13"/>
      <c r="K242" s="13"/>
      <c r="L242" s="13"/>
      <c r="M242" s="13"/>
      <c r="N242" s="13"/>
      <c r="O242" s="13"/>
      <c r="P242" s="13"/>
      <c r="Q242" s="13"/>
      <c r="R242" s="13" t="s">
        <v>469</v>
      </c>
      <c r="S242" s="54">
        <f t="shared" si="67"/>
        <v>0</v>
      </c>
      <c r="T242" s="54" t="e">
        <f t="shared" si="68"/>
        <v>#VALUE!</v>
      </c>
      <c r="U242" s="54"/>
      <c r="V242" s="38"/>
    </row>
    <row r="243" spans="1:24" x14ac:dyDescent="0.25">
      <c r="A243" s="7" t="s">
        <v>319</v>
      </c>
      <c r="B243" s="7" t="s">
        <v>325</v>
      </c>
      <c r="C243" s="7" t="s">
        <v>17</v>
      </c>
      <c r="D243" s="22" t="s">
        <v>308</v>
      </c>
      <c r="E243" s="7">
        <v>2010</v>
      </c>
      <c r="F243" s="7">
        <v>3</v>
      </c>
      <c r="G243" s="7">
        <f t="shared" si="76"/>
        <v>14</v>
      </c>
      <c r="H243" s="7">
        <f t="shared" si="77"/>
        <v>0</v>
      </c>
      <c r="I243" s="13">
        <v>260000</v>
      </c>
      <c r="J243" s="13"/>
      <c r="K243" s="13"/>
      <c r="L243" s="13">
        <f t="shared" ref="L243:L259" si="89">+I243+J243-K243</f>
        <v>260000</v>
      </c>
      <c r="M243" s="13">
        <f t="shared" si="58"/>
        <v>13000</v>
      </c>
      <c r="N243" s="13">
        <v>247000</v>
      </c>
      <c r="O243" s="13">
        <f t="shared" ref="O243:O256" si="90">+IF(H243&gt;0,((L243-M243)/F243),0)</f>
        <v>0</v>
      </c>
      <c r="P243" s="13">
        <f t="shared" si="78"/>
        <v>247000</v>
      </c>
      <c r="Q243" s="13"/>
      <c r="R243" s="13">
        <f t="shared" ref="R243:R259" si="91">+IF(H243&gt;0,(L243-P243-Q243),M243)</f>
        <v>13000</v>
      </c>
      <c r="S243" s="54">
        <f t="shared" si="67"/>
        <v>13000</v>
      </c>
      <c r="T243" s="54">
        <f t="shared" si="68"/>
        <v>0</v>
      </c>
      <c r="U243" s="54"/>
      <c r="V243" s="38"/>
    </row>
    <row r="244" spans="1:24" x14ac:dyDescent="0.25">
      <c r="A244" s="7" t="s">
        <v>319</v>
      </c>
      <c r="B244" s="7" t="s">
        <v>326</v>
      </c>
      <c r="C244" s="7" t="s">
        <v>17</v>
      </c>
      <c r="D244" s="22" t="s">
        <v>308</v>
      </c>
      <c r="E244" s="7">
        <v>2011</v>
      </c>
      <c r="F244" s="7">
        <v>3</v>
      </c>
      <c r="G244" s="7">
        <f t="shared" si="76"/>
        <v>13</v>
      </c>
      <c r="H244" s="7">
        <f t="shared" si="77"/>
        <v>0</v>
      </c>
      <c r="I244" s="13">
        <v>118110.5</v>
      </c>
      <c r="J244" s="13"/>
      <c r="K244" s="13"/>
      <c r="L244" s="13">
        <f t="shared" si="89"/>
        <v>118110.5</v>
      </c>
      <c r="M244" s="13">
        <f t="shared" si="58"/>
        <v>5905.5250000000005</v>
      </c>
      <c r="N244" s="13">
        <f>114677.975-2473</f>
        <v>112204.97500000001</v>
      </c>
      <c r="O244" s="13">
        <f t="shared" si="90"/>
        <v>0</v>
      </c>
      <c r="P244" s="13">
        <f t="shared" si="78"/>
        <v>112204.97500000001</v>
      </c>
      <c r="Q244" s="13"/>
      <c r="R244" s="13">
        <f t="shared" si="91"/>
        <v>5905.5250000000005</v>
      </c>
      <c r="S244" s="54">
        <f t="shared" si="67"/>
        <v>5905.5249999999942</v>
      </c>
      <c r="T244" s="54">
        <f t="shared" si="68"/>
        <v>0</v>
      </c>
      <c r="U244" s="54"/>
      <c r="V244" s="38"/>
      <c r="W244" s="38"/>
      <c r="X244" s="38"/>
    </row>
    <row r="245" spans="1:24" x14ac:dyDescent="0.25">
      <c r="A245" s="7" t="s">
        <v>319</v>
      </c>
      <c r="B245" s="7" t="s">
        <v>327</v>
      </c>
      <c r="C245" s="7" t="s">
        <v>17</v>
      </c>
      <c r="D245" s="22" t="s">
        <v>308</v>
      </c>
      <c r="E245" s="7">
        <v>2012</v>
      </c>
      <c r="F245" s="7">
        <v>3</v>
      </c>
      <c r="G245" s="7">
        <f t="shared" si="76"/>
        <v>12</v>
      </c>
      <c r="H245" s="7">
        <f t="shared" si="77"/>
        <v>0</v>
      </c>
      <c r="I245" s="13">
        <v>63974.01</v>
      </c>
      <c r="J245" s="13"/>
      <c r="K245" s="13"/>
      <c r="L245" s="13">
        <f t="shared" si="89"/>
        <v>63974.01</v>
      </c>
      <c r="M245" s="13">
        <f t="shared" si="58"/>
        <v>3198.7005000000004</v>
      </c>
      <c r="N245" s="13">
        <v>60775.309500000003</v>
      </c>
      <c r="O245" s="13">
        <f t="shared" si="90"/>
        <v>0</v>
      </c>
      <c r="P245" s="13">
        <f t="shared" si="78"/>
        <v>60775.309500000003</v>
      </c>
      <c r="Q245" s="13"/>
      <c r="R245" s="13">
        <f t="shared" si="91"/>
        <v>3198.7005000000004</v>
      </c>
      <c r="S245" s="54">
        <f t="shared" si="67"/>
        <v>3198.700499999999</v>
      </c>
      <c r="T245" s="54">
        <f t="shared" si="68"/>
        <v>0</v>
      </c>
      <c r="U245" s="54"/>
      <c r="V245" s="38"/>
    </row>
    <row r="246" spans="1:24" x14ac:dyDescent="0.25">
      <c r="A246" s="7" t="s">
        <v>319</v>
      </c>
      <c r="B246" s="7" t="s">
        <v>321</v>
      </c>
      <c r="C246" s="7" t="s">
        <v>17</v>
      </c>
      <c r="D246" s="22" t="s">
        <v>308</v>
      </c>
      <c r="E246" s="7">
        <v>2013</v>
      </c>
      <c r="F246" s="7">
        <v>3</v>
      </c>
      <c r="G246" s="7">
        <f t="shared" si="76"/>
        <v>11</v>
      </c>
      <c r="H246" s="7">
        <f t="shared" si="77"/>
        <v>0</v>
      </c>
      <c r="I246" s="13">
        <v>20202</v>
      </c>
      <c r="J246" s="13"/>
      <c r="K246" s="13"/>
      <c r="L246" s="13">
        <f t="shared" si="89"/>
        <v>20202</v>
      </c>
      <c r="M246" s="13">
        <f t="shared" si="58"/>
        <v>1010.1</v>
      </c>
      <c r="N246" s="13">
        <v>19191.900000000001</v>
      </c>
      <c r="O246" s="13">
        <f t="shared" si="90"/>
        <v>0</v>
      </c>
      <c r="P246" s="13">
        <f t="shared" si="78"/>
        <v>19191.900000000001</v>
      </c>
      <c r="Q246" s="13"/>
      <c r="R246" s="13">
        <f t="shared" si="91"/>
        <v>1010.1</v>
      </c>
      <c r="S246" s="54">
        <f t="shared" si="67"/>
        <v>1010.0999999999985</v>
      </c>
      <c r="T246" s="54">
        <f t="shared" si="68"/>
        <v>1.4779288903810084E-12</v>
      </c>
      <c r="U246" s="54"/>
      <c r="V246" s="38"/>
    </row>
    <row r="247" spans="1:24" x14ac:dyDescent="0.25">
      <c r="A247" s="7" t="s">
        <v>319</v>
      </c>
      <c r="B247" s="7" t="s">
        <v>328</v>
      </c>
      <c r="C247" s="7" t="s">
        <v>17</v>
      </c>
      <c r="D247" s="22" t="s">
        <v>308</v>
      </c>
      <c r="E247" s="7">
        <v>2014</v>
      </c>
      <c r="F247" s="7">
        <v>3</v>
      </c>
      <c r="G247" s="7">
        <f t="shared" si="76"/>
        <v>10</v>
      </c>
      <c r="H247" s="7">
        <f t="shared" si="77"/>
        <v>0</v>
      </c>
      <c r="I247" s="13">
        <v>61422</v>
      </c>
      <c r="J247" s="13"/>
      <c r="K247" s="13"/>
      <c r="L247" s="13">
        <f t="shared" si="89"/>
        <v>61422</v>
      </c>
      <c r="M247" s="13">
        <f t="shared" si="58"/>
        <v>3071.1000000000004</v>
      </c>
      <c r="N247" s="13">
        <v>58350.9</v>
      </c>
      <c r="O247" s="13">
        <f t="shared" si="90"/>
        <v>0</v>
      </c>
      <c r="P247" s="13">
        <f t="shared" si="78"/>
        <v>58350.9</v>
      </c>
      <c r="Q247" s="13"/>
      <c r="R247" s="13">
        <f t="shared" si="91"/>
        <v>3071.1000000000004</v>
      </c>
      <c r="S247" s="54">
        <f t="shared" si="67"/>
        <v>3071.0999999999985</v>
      </c>
      <c r="T247" s="54">
        <f t="shared" si="68"/>
        <v>0</v>
      </c>
      <c r="U247" s="54"/>
      <c r="V247" s="38"/>
    </row>
    <row r="248" spans="1:24" x14ac:dyDescent="0.25">
      <c r="A248" s="7" t="s">
        <v>319</v>
      </c>
      <c r="B248" s="7" t="s">
        <v>329</v>
      </c>
      <c r="C248" s="7" t="s">
        <v>17</v>
      </c>
      <c r="D248" s="22" t="s">
        <v>308</v>
      </c>
      <c r="E248" s="7">
        <v>2015</v>
      </c>
      <c r="F248" s="7">
        <v>3</v>
      </c>
      <c r="G248" s="7">
        <f t="shared" si="76"/>
        <v>9</v>
      </c>
      <c r="H248" s="7">
        <f t="shared" si="77"/>
        <v>0</v>
      </c>
      <c r="I248" s="13">
        <v>22800</v>
      </c>
      <c r="J248" s="13"/>
      <c r="K248" s="13"/>
      <c r="L248" s="13">
        <f t="shared" si="89"/>
        <v>22800</v>
      </c>
      <c r="M248" s="13">
        <f t="shared" si="58"/>
        <v>1140</v>
      </c>
      <c r="N248" s="13">
        <v>21660</v>
      </c>
      <c r="O248" s="13">
        <f t="shared" si="90"/>
        <v>0</v>
      </c>
      <c r="P248" s="13">
        <f t="shared" si="78"/>
        <v>21660</v>
      </c>
      <c r="Q248" s="13"/>
      <c r="R248" s="13">
        <f t="shared" si="91"/>
        <v>1140</v>
      </c>
      <c r="S248" s="54">
        <f t="shared" si="67"/>
        <v>1140</v>
      </c>
      <c r="T248" s="54">
        <f t="shared" si="68"/>
        <v>0</v>
      </c>
      <c r="U248" s="54"/>
      <c r="V248" s="38"/>
    </row>
    <row r="249" spans="1:24" x14ac:dyDescent="0.25">
      <c r="A249" s="7" t="s">
        <v>319</v>
      </c>
      <c r="B249" s="7" t="s">
        <v>330</v>
      </c>
      <c r="C249" s="7" t="s">
        <v>17</v>
      </c>
      <c r="D249" s="22" t="s">
        <v>309</v>
      </c>
      <c r="E249" s="7">
        <v>2016</v>
      </c>
      <c r="F249" s="7">
        <v>3</v>
      </c>
      <c r="G249" s="7">
        <f t="shared" si="76"/>
        <v>8</v>
      </c>
      <c r="H249" s="7">
        <f t="shared" si="77"/>
        <v>0</v>
      </c>
      <c r="I249" s="13">
        <v>7050</v>
      </c>
      <c r="J249" s="13"/>
      <c r="K249" s="13"/>
      <c r="L249" s="13">
        <f t="shared" si="89"/>
        <v>7050</v>
      </c>
      <c r="M249" s="13">
        <f t="shared" si="58"/>
        <v>352.5</v>
      </c>
      <c r="N249" s="13">
        <v>6697.5</v>
      </c>
      <c r="O249" s="13">
        <f t="shared" si="90"/>
        <v>0</v>
      </c>
      <c r="P249" s="13">
        <f t="shared" si="78"/>
        <v>6697.5</v>
      </c>
      <c r="Q249" s="13"/>
      <c r="R249" s="13">
        <f t="shared" si="91"/>
        <v>352.5</v>
      </c>
      <c r="S249" s="54">
        <f t="shared" si="67"/>
        <v>352.5</v>
      </c>
      <c r="T249" s="54">
        <f t="shared" si="68"/>
        <v>0</v>
      </c>
      <c r="U249" s="54"/>
      <c r="V249" s="38"/>
    </row>
    <row r="250" spans="1:24" x14ac:dyDescent="0.25">
      <c r="A250" s="7" t="s">
        <v>319</v>
      </c>
      <c r="B250" s="7" t="s">
        <v>331</v>
      </c>
      <c r="C250" s="7" t="s">
        <v>17</v>
      </c>
      <c r="D250" s="22" t="s">
        <v>309</v>
      </c>
      <c r="E250" s="7">
        <v>2016</v>
      </c>
      <c r="F250" s="7">
        <v>3</v>
      </c>
      <c r="G250" s="7">
        <f t="shared" si="76"/>
        <v>8</v>
      </c>
      <c r="H250" s="7">
        <f t="shared" si="77"/>
        <v>0</v>
      </c>
      <c r="I250" s="13">
        <v>7200</v>
      </c>
      <c r="J250" s="13"/>
      <c r="K250" s="13"/>
      <c r="L250" s="13">
        <f t="shared" si="89"/>
        <v>7200</v>
      </c>
      <c r="M250" s="13">
        <f t="shared" si="58"/>
        <v>360</v>
      </c>
      <c r="N250" s="13">
        <v>6840</v>
      </c>
      <c r="O250" s="13">
        <f t="shared" si="90"/>
        <v>0</v>
      </c>
      <c r="P250" s="13">
        <f t="shared" si="78"/>
        <v>6840</v>
      </c>
      <c r="Q250" s="13"/>
      <c r="R250" s="13">
        <f t="shared" si="91"/>
        <v>360</v>
      </c>
      <c r="S250" s="54">
        <f t="shared" si="67"/>
        <v>360</v>
      </c>
      <c r="T250" s="54">
        <f t="shared" si="68"/>
        <v>0</v>
      </c>
      <c r="U250" s="54"/>
      <c r="V250" s="38"/>
    </row>
    <row r="251" spans="1:24" x14ac:dyDescent="0.25">
      <c r="A251" s="7" t="s">
        <v>319</v>
      </c>
      <c r="B251" s="7" t="s">
        <v>332</v>
      </c>
      <c r="C251" s="7" t="s">
        <v>17</v>
      </c>
      <c r="D251" s="22" t="s">
        <v>309</v>
      </c>
      <c r="E251" s="7">
        <v>2017</v>
      </c>
      <c r="F251" s="7">
        <v>3</v>
      </c>
      <c r="G251" s="7">
        <f t="shared" si="76"/>
        <v>7</v>
      </c>
      <c r="H251" s="7">
        <f t="shared" si="77"/>
        <v>0</v>
      </c>
      <c r="I251" s="13">
        <v>7700</v>
      </c>
      <c r="J251" s="13"/>
      <c r="K251" s="13"/>
      <c r="L251" s="13">
        <f t="shared" si="89"/>
        <v>7700</v>
      </c>
      <c r="M251" s="13">
        <f t="shared" si="58"/>
        <v>385</v>
      </c>
      <c r="N251" s="13">
        <v>7315</v>
      </c>
      <c r="O251" s="13">
        <f t="shared" si="90"/>
        <v>0</v>
      </c>
      <c r="P251" s="13">
        <f t="shared" si="78"/>
        <v>7315</v>
      </c>
      <c r="Q251" s="13"/>
      <c r="R251" s="13">
        <f t="shared" si="91"/>
        <v>385</v>
      </c>
      <c r="S251" s="54">
        <f t="shared" si="67"/>
        <v>385</v>
      </c>
      <c r="T251" s="54">
        <f t="shared" si="68"/>
        <v>0</v>
      </c>
      <c r="U251" s="54"/>
      <c r="V251" s="38"/>
    </row>
    <row r="252" spans="1:24" x14ac:dyDescent="0.25">
      <c r="A252" s="7" t="s">
        <v>319</v>
      </c>
      <c r="B252" s="7" t="s">
        <v>333</v>
      </c>
      <c r="C252" s="7" t="s">
        <v>17</v>
      </c>
      <c r="D252" s="22" t="s">
        <v>310</v>
      </c>
      <c r="E252" s="7">
        <v>2018</v>
      </c>
      <c r="F252" s="7">
        <v>3</v>
      </c>
      <c r="G252" s="7">
        <f t="shared" si="76"/>
        <v>6</v>
      </c>
      <c r="H252" s="7">
        <f t="shared" si="77"/>
        <v>0</v>
      </c>
      <c r="I252" s="13">
        <v>13000</v>
      </c>
      <c r="J252" s="13"/>
      <c r="K252" s="13"/>
      <c r="L252" s="13">
        <f t="shared" si="89"/>
        <v>13000</v>
      </c>
      <c r="M252" s="13">
        <f t="shared" si="58"/>
        <v>650</v>
      </c>
      <c r="N252" s="13">
        <v>12350</v>
      </c>
      <c r="O252" s="13">
        <f t="shared" si="90"/>
        <v>0</v>
      </c>
      <c r="P252" s="13">
        <f t="shared" si="78"/>
        <v>12350</v>
      </c>
      <c r="Q252" s="13"/>
      <c r="R252" s="13">
        <f t="shared" si="91"/>
        <v>650</v>
      </c>
      <c r="S252" s="54">
        <f t="shared" si="67"/>
        <v>650</v>
      </c>
      <c r="T252" s="54">
        <f t="shared" si="68"/>
        <v>0</v>
      </c>
      <c r="U252" s="54"/>
      <c r="V252" s="38"/>
    </row>
    <row r="253" spans="1:24" x14ac:dyDescent="0.25">
      <c r="A253" s="7" t="s">
        <v>319</v>
      </c>
      <c r="B253" s="7" t="s">
        <v>334</v>
      </c>
      <c r="C253" s="7" t="s">
        <v>17</v>
      </c>
      <c r="D253" s="22" t="s">
        <v>308</v>
      </c>
      <c r="E253" s="7">
        <v>2023</v>
      </c>
      <c r="F253" s="7">
        <v>3</v>
      </c>
      <c r="G253" s="7">
        <f t="shared" si="76"/>
        <v>1</v>
      </c>
      <c r="H253" s="7">
        <f t="shared" si="77"/>
        <v>2</v>
      </c>
      <c r="I253" s="13">
        <v>38050</v>
      </c>
      <c r="J253" s="13"/>
      <c r="K253" s="13"/>
      <c r="L253" s="13">
        <f t="shared" si="89"/>
        <v>38050</v>
      </c>
      <c r="M253" s="13">
        <f t="shared" si="58"/>
        <v>1902.5</v>
      </c>
      <c r="N253" s="13">
        <f>14840.8082191781+2473</f>
        <v>17313.8082191781</v>
      </c>
      <c r="O253" s="13">
        <f t="shared" si="90"/>
        <v>12049.166666666666</v>
      </c>
      <c r="P253" s="13">
        <f t="shared" si="78"/>
        <v>29362.974885844764</v>
      </c>
      <c r="Q253" s="13"/>
      <c r="R253" s="13">
        <f t="shared" si="91"/>
        <v>8687.0251141552362</v>
      </c>
      <c r="S253" s="54">
        <f t="shared" si="67"/>
        <v>8687.0251141552362</v>
      </c>
      <c r="T253" s="54">
        <f t="shared" si="68"/>
        <v>0</v>
      </c>
      <c r="U253" s="54"/>
      <c r="V253" s="38"/>
    </row>
    <row r="254" spans="1:24" x14ac:dyDescent="0.25">
      <c r="A254" s="7" t="s">
        <v>319</v>
      </c>
      <c r="B254" s="7" t="s">
        <v>335</v>
      </c>
      <c r="C254" s="7" t="s">
        <v>17</v>
      </c>
      <c r="D254" s="22" t="s">
        <v>308</v>
      </c>
      <c r="E254" s="7">
        <v>2023</v>
      </c>
      <c r="F254" s="7">
        <v>3</v>
      </c>
      <c r="G254" s="7">
        <f t="shared" si="76"/>
        <v>1</v>
      </c>
      <c r="H254" s="7">
        <f t="shared" si="77"/>
        <v>2</v>
      </c>
      <c r="I254" s="13">
        <v>33898</v>
      </c>
      <c r="J254" s="13"/>
      <c r="K254" s="13"/>
      <c r="L254" s="13">
        <f t="shared" si="89"/>
        <v>33898</v>
      </c>
      <c r="M254" s="13">
        <f t="shared" si="58"/>
        <v>1694.9</v>
      </c>
      <c r="N254" s="13">
        <v>5352.5744292237396</v>
      </c>
      <c r="O254" s="13">
        <f t="shared" si="90"/>
        <v>10734.366666666667</v>
      </c>
      <c r="P254" s="13">
        <f t="shared" si="78"/>
        <v>16086.941095890406</v>
      </c>
      <c r="Q254" s="13"/>
      <c r="R254" s="13">
        <f t="shared" si="91"/>
        <v>17811.058904109595</v>
      </c>
      <c r="S254" s="54">
        <f t="shared" si="67"/>
        <v>17811.058904109595</v>
      </c>
      <c r="T254" s="54">
        <f t="shared" si="68"/>
        <v>0</v>
      </c>
      <c r="U254" s="54"/>
      <c r="V254" s="38"/>
    </row>
    <row r="255" spans="1:24" x14ac:dyDescent="0.25">
      <c r="A255" s="7" t="s">
        <v>319</v>
      </c>
      <c r="B255" s="7" t="s">
        <v>336</v>
      </c>
      <c r="C255" s="7" t="s">
        <v>17</v>
      </c>
      <c r="D255" s="22" t="s">
        <v>308</v>
      </c>
      <c r="E255" s="7">
        <v>2023</v>
      </c>
      <c r="F255" s="7">
        <v>3</v>
      </c>
      <c r="G255" s="7">
        <f t="shared" si="76"/>
        <v>1</v>
      </c>
      <c r="H255" s="7">
        <f t="shared" si="77"/>
        <v>2</v>
      </c>
      <c r="I255" s="13">
        <v>48305</v>
      </c>
      <c r="J255" s="13"/>
      <c r="K255" s="13"/>
      <c r="L255" s="13">
        <f t="shared" si="89"/>
        <v>48305</v>
      </c>
      <c r="M255" s="13">
        <f t="shared" si="58"/>
        <v>2415.25</v>
      </c>
      <c r="N255" s="13"/>
      <c r="O255" s="13">
        <f t="shared" si="90"/>
        <v>15296.583333333334</v>
      </c>
      <c r="P255" s="13">
        <f t="shared" si="78"/>
        <v>15296.583333333334</v>
      </c>
      <c r="Q255" s="13"/>
      <c r="R255" s="13">
        <f t="shared" si="91"/>
        <v>33008.416666666664</v>
      </c>
      <c r="S255" s="54">
        <f t="shared" si="67"/>
        <v>33008.416666666664</v>
      </c>
      <c r="T255" s="54">
        <f t="shared" si="68"/>
        <v>0</v>
      </c>
      <c r="U255" s="54"/>
      <c r="V255" s="38"/>
    </row>
    <row r="256" spans="1:24" x14ac:dyDescent="0.25">
      <c r="A256" s="7" t="s">
        <v>319</v>
      </c>
      <c r="B256" s="7" t="s">
        <v>337</v>
      </c>
      <c r="C256" s="7" t="s">
        <v>17</v>
      </c>
      <c r="D256" s="22" t="s">
        <v>308</v>
      </c>
      <c r="E256" s="7">
        <v>2023</v>
      </c>
      <c r="F256" s="7">
        <v>3</v>
      </c>
      <c r="G256" s="7">
        <f t="shared" si="76"/>
        <v>1</v>
      </c>
      <c r="H256" s="7">
        <f t="shared" si="77"/>
        <v>2</v>
      </c>
      <c r="I256" s="13">
        <v>40051</v>
      </c>
      <c r="J256" s="13"/>
      <c r="K256" s="13"/>
      <c r="L256" s="13">
        <f t="shared" si="89"/>
        <v>40051</v>
      </c>
      <c r="M256" s="13">
        <f t="shared" si="58"/>
        <v>2002.5500000000002</v>
      </c>
      <c r="N256" s="13">
        <v>0</v>
      </c>
      <c r="O256" s="13">
        <f t="shared" si="90"/>
        <v>12682.816666666666</v>
      </c>
      <c r="P256" s="13">
        <f t="shared" si="78"/>
        <v>12682.816666666666</v>
      </c>
      <c r="Q256" s="13"/>
      <c r="R256" s="13">
        <f t="shared" si="91"/>
        <v>27368.183333333334</v>
      </c>
      <c r="S256" s="54">
        <f t="shared" si="67"/>
        <v>27368.183333333334</v>
      </c>
      <c r="T256" s="54">
        <f t="shared" si="68"/>
        <v>0</v>
      </c>
      <c r="U256" s="54"/>
      <c r="V256" s="38"/>
    </row>
    <row r="257" spans="1:24" x14ac:dyDescent="0.25">
      <c r="A257" s="7" t="s">
        <v>319</v>
      </c>
      <c r="B257" s="7" t="s">
        <v>338</v>
      </c>
      <c r="C257" s="7" t="s">
        <v>17</v>
      </c>
      <c r="D257" s="22" t="s">
        <v>308</v>
      </c>
      <c r="E257" s="7">
        <v>2024</v>
      </c>
      <c r="F257" s="7">
        <v>3</v>
      </c>
      <c r="G257" s="7">
        <f t="shared" si="76"/>
        <v>0</v>
      </c>
      <c r="H257" s="7">
        <f t="shared" si="77"/>
        <v>3</v>
      </c>
      <c r="I257" s="13"/>
      <c r="J257" s="13">
        <v>30900</v>
      </c>
      <c r="K257" s="13"/>
      <c r="L257" s="13">
        <f t="shared" si="89"/>
        <v>30900</v>
      </c>
      <c r="M257" s="13">
        <f t="shared" si="58"/>
        <v>1545</v>
      </c>
      <c r="N257" s="13">
        <v>0</v>
      </c>
      <c r="O257" s="13">
        <f>+IF(H257&gt;0,((L257-M257)/F257),0)*11/12</f>
        <v>8969.5833333333339</v>
      </c>
      <c r="P257" s="13">
        <f t="shared" si="78"/>
        <v>8969.5833333333339</v>
      </c>
      <c r="Q257" s="13"/>
      <c r="R257" s="13">
        <f t="shared" si="91"/>
        <v>21930.416666666664</v>
      </c>
      <c r="S257" s="54">
        <f t="shared" si="67"/>
        <v>21930.416666666664</v>
      </c>
      <c r="T257" s="54">
        <f t="shared" si="68"/>
        <v>0</v>
      </c>
      <c r="U257" s="54"/>
      <c r="V257" s="38"/>
    </row>
    <row r="258" spans="1:24" x14ac:dyDescent="0.25">
      <c r="A258" s="7" t="s">
        <v>319</v>
      </c>
      <c r="B258" s="7" t="s">
        <v>339</v>
      </c>
      <c r="C258" s="7" t="s">
        <v>17</v>
      </c>
      <c r="D258" s="22" t="s">
        <v>308</v>
      </c>
      <c r="E258" s="7">
        <v>2024</v>
      </c>
      <c r="F258" s="7">
        <v>3</v>
      </c>
      <c r="G258" s="7">
        <f t="shared" ref="G258" si="92">2024-E258</f>
        <v>0</v>
      </c>
      <c r="H258" s="7">
        <f t="shared" ref="H258" si="93">+IF(G258&lt;=F258,(F258-G258),0)</f>
        <v>3</v>
      </c>
      <c r="I258" s="13"/>
      <c r="J258" s="13">
        <v>21500</v>
      </c>
      <c r="K258" s="13"/>
      <c r="L258" s="13">
        <f t="shared" ref="L258" si="94">+I258+J258-K258</f>
        <v>21500</v>
      </c>
      <c r="M258" s="13">
        <f t="shared" ref="M258" si="95">+L258*0.05</f>
        <v>1075</v>
      </c>
      <c r="N258" s="13">
        <v>0</v>
      </c>
      <c r="O258" s="13">
        <f>+IF(H258&gt;0,((L258-M258)/F258),0)*5/12</f>
        <v>2836.8055555555552</v>
      </c>
      <c r="P258" s="13">
        <f t="shared" ref="P258" si="96">+N258+O258</f>
        <v>2836.8055555555552</v>
      </c>
      <c r="Q258" s="13"/>
      <c r="R258" s="13">
        <f t="shared" ref="R258" si="97">+IF(H258&gt;0,(L258-P258-Q258),M258)</f>
        <v>18663.194444444445</v>
      </c>
      <c r="S258" s="54">
        <f t="shared" si="67"/>
        <v>18663.194444444445</v>
      </c>
      <c r="T258" s="54">
        <f t="shared" si="68"/>
        <v>0</v>
      </c>
      <c r="U258" s="54"/>
      <c r="V258" s="38"/>
    </row>
    <row r="259" spans="1:24" x14ac:dyDescent="0.25">
      <c r="A259" s="7" t="s">
        <v>319</v>
      </c>
      <c r="B259" s="7" t="s">
        <v>339</v>
      </c>
      <c r="C259" s="7" t="s">
        <v>17</v>
      </c>
      <c r="D259" s="22" t="s">
        <v>308</v>
      </c>
      <c r="E259" s="7">
        <v>2024</v>
      </c>
      <c r="F259" s="7">
        <v>3</v>
      </c>
      <c r="G259" s="7">
        <f t="shared" si="76"/>
        <v>0</v>
      </c>
      <c r="H259" s="7">
        <f t="shared" si="77"/>
        <v>3</v>
      </c>
      <c r="I259" s="13"/>
      <c r="J259" s="13">
        <v>50000</v>
      </c>
      <c r="K259" s="13"/>
      <c r="L259" s="13">
        <f t="shared" si="89"/>
        <v>50000</v>
      </c>
      <c r="M259" s="13">
        <f t="shared" si="58"/>
        <v>2500</v>
      </c>
      <c r="N259" s="13">
        <v>0</v>
      </c>
      <c r="O259" s="13">
        <f>+IF(H259&gt;0,((L259-M259)/F259),0)*6/12</f>
        <v>7916.666666666667</v>
      </c>
      <c r="P259" s="13">
        <f t="shared" si="78"/>
        <v>7916.666666666667</v>
      </c>
      <c r="Q259" s="13"/>
      <c r="R259" s="13">
        <f t="shared" si="91"/>
        <v>42083.333333333336</v>
      </c>
      <c r="S259" s="54">
        <f t="shared" si="67"/>
        <v>42083.333333333336</v>
      </c>
      <c r="T259" s="54">
        <f t="shared" si="68"/>
        <v>0</v>
      </c>
      <c r="U259" s="54"/>
      <c r="V259" s="38"/>
    </row>
    <row r="260" spans="1:24" x14ac:dyDescent="0.25">
      <c r="A260" s="24" t="s">
        <v>360</v>
      </c>
      <c r="B260" s="24"/>
      <c r="C260" s="24"/>
      <c r="D260" s="30"/>
      <c r="E260" s="24"/>
      <c r="F260" s="24"/>
      <c r="G260" s="24"/>
      <c r="H260" s="24"/>
      <c r="I260" s="29">
        <f t="shared" ref="I260:R260" si="98">SUM(I243:I259)</f>
        <v>741762.51</v>
      </c>
      <c r="J260" s="29">
        <f t="shared" si="98"/>
        <v>102400</v>
      </c>
      <c r="K260" s="29">
        <f t="shared" si="98"/>
        <v>0</v>
      </c>
      <c r="L260" s="29">
        <f t="shared" si="98"/>
        <v>844162.51</v>
      </c>
      <c r="M260" s="29">
        <f t="shared" si="98"/>
        <v>42208.125500000002</v>
      </c>
      <c r="N260" s="29">
        <f t="shared" si="98"/>
        <v>575051.96714840189</v>
      </c>
      <c r="O260" s="29">
        <f t="shared" si="98"/>
        <v>70485.988888888896</v>
      </c>
      <c r="P260" s="29">
        <f t="shared" si="98"/>
        <v>645537.95603729063</v>
      </c>
      <c r="Q260" s="29">
        <f t="shared" si="98"/>
        <v>0</v>
      </c>
      <c r="R260" s="29">
        <f t="shared" si="98"/>
        <v>198624.55396270927</v>
      </c>
      <c r="S260" s="54">
        <f t="shared" si="67"/>
        <v>198624.55396270938</v>
      </c>
      <c r="T260" s="54">
        <f t="shared" si="68"/>
        <v>0</v>
      </c>
      <c r="U260" s="54"/>
      <c r="W260" s="38"/>
      <c r="X260" s="38"/>
    </row>
    <row r="261" spans="1:24" x14ac:dyDescent="0.25">
      <c r="A261" s="7"/>
      <c r="B261" s="7"/>
      <c r="C261" s="7"/>
      <c r="D261" s="22"/>
      <c r="E261" s="7"/>
      <c r="F261" s="7"/>
      <c r="G261" s="7"/>
      <c r="H261" s="7"/>
      <c r="I261" s="13"/>
      <c r="J261" s="13"/>
      <c r="K261" s="13"/>
      <c r="L261" s="13"/>
      <c r="M261" s="13"/>
      <c r="N261" s="13"/>
      <c r="O261" s="13"/>
      <c r="P261" s="13"/>
      <c r="Q261" s="13"/>
      <c r="R261" s="13" t="s">
        <v>469</v>
      </c>
      <c r="S261" s="54">
        <f t="shared" ref="S261:S266" si="99">+L261-P261+Q261</f>
        <v>0</v>
      </c>
      <c r="T261" s="54" t="e">
        <f t="shared" ref="T261:T266" si="100">+R261-S261</f>
        <v>#VALUE!</v>
      </c>
      <c r="U261" s="54"/>
      <c r="V261" s="38"/>
    </row>
    <row r="262" spans="1:24" x14ac:dyDescent="0.25">
      <c r="A262" s="7" t="s">
        <v>340</v>
      </c>
      <c r="B262" s="7" t="s">
        <v>341</v>
      </c>
      <c r="C262" s="7" t="s">
        <v>17</v>
      </c>
      <c r="D262" s="7" t="s">
        <v>311</v>
      </c>
      <c r="E262" s="7">
        <v>2010</v>
      </c>
      <c r="F262" s="7">
        <v>10</v>
      </c>
      <c r="G262" s="7">
        <f t="shared" si="76"/>
        <v>14</v>
      </c>
      <c r="H262" s="7">
        <f t="shared" si="77"/>
        <v>0</v>
      </c>
      <c r="I262" s="13">
        <v>669116</v>
      </c>
      <c r="J262" s="13"/>
      <c r="K262" s="13"/>
      <c r="L262" s="13">
        <f>+I262+J262-K262</f>
        <v>669116</v>
      </c>
      <c r="M262" s="13">
        <f t="shared" si="58"/>
        <v>33455.800000000003</v>
      </c>
      <c r="N262" s="13">
        <f>403004.330452603+232656</f>
        <v>635660.33045260306</v>
      </c>
      <c r="O262" s="13">
        <f>+IF(H262&gt;0,((L262-M262)/F262),0)</f>
        <v>0</v>
      </c>
      <c r="P262" s="13">
        <f t="shared" si="78"/>
        <v>635660.33045260306</v>
      </c>
      <c r="Q262" s="13"/>
      <c r="R262" s="13">
        <f>+IF(H262&gt;0,(L262-P262-Q262),M262)</f>
        <v>33455.800000000003</v>
      </c>
      <c r="S262" s="54">
        <f t="shared" si="99"/>
        <v>33455.669547396945</v>
      </c>
      <c r="T262" s="54">
        <f t="shared" si="100"/>
        <v>0.1304526030580746</v>
      </c>
      <c r="U262" s="54"/>
      <c r="V262" s="38"/>
    </row>
    <row r="263" spans="1:24" x14ac:dyDescent="0.25">
      <c r="A263" s="7" t="s">
        <v>340</v>
      </c>
      <c r="B263" s="7" t="s">
        <v>342</v>
      </c>
      <c r="C263" s="7" t="s">
        <v>17</v>
      </c>
      <c r="D263" s="7" t="s">
        <v>311</v>
      </c>
      <c r="E263" s="7">
        <v>2011</v>
      </c>
      <c r="F263" s="7">
        <v>10</v>
      </c>
      <c r="G263" s="7">
        <f t="shared" si="76"/>
        <v>13</v>
      </c>
      <c r="H263" s="7">
        <f t="shared" si="77"/>
        <v>0</v>
      </c>
      <c r="I263" s="13">
        <v>685393</v>
      </c>
      <c r="J263" s="13"/>
      <c r="K263" s="13"/>
      <c r="L263" s="13">
        <f>+I263+J263-K263</f>
        <v>685393</v>
      </c>
      <c r="M263" s="13">
        <f t="shared" si="58"/>
        <v>34269.65</v>
      </c>
      <c r="N263" s="13">
        <f>368339.224685714+282784</f>
        <v>651123.224685714</v>
      </c>
      <c r="O263" s="13">
        <f>+IF(H263&gt;0,((L263-M263)/F263),0)</f>
        <v>0</v>
      </c>
      <c r="P263" s="13">
        <f t="shared" si="78"/>
        <v>651123.224685714</v>
      </c>
      <c r="Q263" s="13"/>
      <c r="R263" s="13">
        <f>+IF(H263&gt;0,(L263-P263-Q263),M263)</f>
        <v>34269.65</v>
      </c>
      <c r="S263" s="54">
        <f t="shared" si="99"/>
        <v>34269.775314286002</v>
      </c>
      <c r="T263" s="54">
        <f t="shared" si="100"/>
        <v>-0.12531428600050276</v>
      </c>
      <c r="U263" s="54"/>
      <c r="V263" s="38"/>
    </row>
    <row r="264" spans="1:24" x14ac:dyDescent="0.25">
      <c r="A264" s="7" t="s">
        <v>340</v>
      </c>
      <c r="B264" s="7" t="s">
        <v>343</v>
      </c>
      <c r="C264" s="7" t="s">
        <v>17</v>
      </c>
      <c r="D264" s="7" t="s">
        <v>311</v>
      </c>
      <c r="E264" s="7">
        <v>2012</v>
      </c>
      <c r="F264" s="7">
        <v>10</v>
      </c>
      <c r="G264" s="7">
        <f t="shared" si="76"/>
        <v>12</v>
      </c>
      <c r="H264" s="7">
        <f t="shared" si="77"/>
        <v>0</v>
      </c>
      <c r="I264" s="13">
        <v>4800</v>
      </c>
      <c r="J264" s="13"/>
      <c r="K264" s="13"/>
      <c r="L264" s="13">
        <f>+I264+J264-K264</f>
        <v>4800</v>
      </c>
      <c r="M264" s="13">
        <f t="shared" si="58"/>
        <v>240</v>
      </c>
      <c r="N264" s="13">
        <f>2152.925+2407</f>
        <v>4559.9250000000002</v>
      </c>
      <c r="O264" s="13">
        <f>+IF(H264&gt;0,((L264-M264)/F264),0)</f>
        <v>0</v>
      </c>
      <c r="P264" s="13">
        <f t="shared" si="78"/>
        <v>4559.9250000000002</v>
      </c>
      <c r="Q264" s="13"/>
      <c r="R264" s="13">
        <f>+IF(H264&gt;0,(L264-P264-Q264),M264)</f>
        <v>240</v>
      </c>
      <c r="S264" s="54">
        <f t="shared" si="99"/>
        <v>240.07499999999982</v>
      </c>
      <c r="T264" s="54">
        <f t="shared" si="100"/>
        <v>-7.4999999999818101E-2</v>
      </c>
      <c r="U264" s="54"/>
      <c r="V264" s="38"/>
    </row>
    <row r="265" spans="1:24" x14ac:dyDescent="0.25">
      <c r="A265" s="7" t="s">
        <v>340</v>
      </c>
      <c r="B265" s="7" t="s">
        <v>344</v>
      </c>
      <c r="C265" s="7" t="s">
        <v>17</v>
      </c>
      <c r="D265" s="7" t="s">
        <v>311</v>
      </c>
      <c r="E265" s="7">
        <v>2013</v>
      </c>
      <c r="F265" s="7">
        <v>10</v>
      </c>
      <c r="G265" s="7">
        <f t="shared" si="76"/>
        <v>11</v>
      </c>
      <c r="H265" s="7">
        <f t="shared" si="77"/>
        <v>0</v>
      </c>
      <c r="I265" s="13">
        <v>8777</v>
      </c>
      <c r="J265" s="13"/>
      <c r="K265" s="13"/>
      <c r="L265" s="13">
        <f>+I265+J265-K265</f>
        <v>8777</v>
      </c>
      <c r="M265" s="13">
        <f t="shared" si="58"/>
        <v>438.85</v>
      </c>
      <c r="N265" s="13">
        <f>3373.77273333333+4964</f>
        <v>8337.7727333333296</v>
      </c>
      <c r="O265" s="13">
        <f>+IF(H265&gt;0,((L265-M265)/F265),0)</f>
        <v>0</v>
      </c>
      <c r="P265" s="13">
        <f t="shared" si="78"/>
        <v>8337.7727333333296</v>
      </c>
      <c r="Q265" s="13"/>
      <c r="R265" s="13">
        <f>+IF(H265&gt;0,(L265-P265-Q265),M265)</f>
        <v>438.85</v>
      </c>
      <c r="S265" s="54">
        <f t="shared" si="99"/>
        <v>439.2272666666704</v>
      </c>
      <c r="T265" s="54">
        <f t="shared" si="100"/>
        <v>-0.37726666667037989</v>
      </c>
      <c r="U265" s="54"/>
      <c r="V265" s="38"/>
    </row>
    <row r="266" spans="1:24" x14ac:dyDescent="0.25">
      <c r="A266" s="7" t="s">
        <v>340</v>
      </c>
      <c r="B266" s="7" t="s">
        <v>345</v>
      </c>
      <c r="C266" s="7" t="s">
        <v>17</v>
      </c>
      <c r="D266" s="7" t="s">
        <v>311</v>
      </c>
      <c r="E266" s="7">
        <v>2014</v>
      </c>
      <c r="F266" s="7">
        <v>10</v>
      </c>
      <c r="G266" s="7">
        <f t="shared" si="76"/>
        <v>10</v>
      </c>
      <c r="H266" s="7">
        <f t="shared" si="77"/>
        <v>0</v>
      </c>
      <c r="I266" s="13">
        <v>32347.5</v>
      </c>
      <c r="J266" s="13"/>
      <c r="K266" s="13"/>
      <c r="L266" s="13">
        <f>+I266+J266-K266</f>
        <v>32347.5</v>
      </c>
      <c r="M266" s="13">
        <f t="shared" si="58"/>
        <v>1617.375</v>
      </c>
      <c r="N266" s="13">
        <f>9577.4375+21153</f>
        <v>30730.4375</v>
      </c>
      <c r="O266" s="13">
        <f>+IF(H266&gt;0,((L266-M266)/F266),0)</f>
        <v>0</v>
      </c>
      <c r="P266" s="13">
        <f t="shared" si="78"/>
        <v>30730.4375</v>
      </c>
      <c r="Q266" s="13"/>
      <c r="R266" s="13">
        <f>+IF(H266&gt;0,(L266-P266-Q266),M266)</f>
        <v>1617.375</v>
      </c>
      <c r="S266" s="54">
        <f t="shared" si="99"/>
        <v>1617.0625</v>
      </c>
      <c r="T266" s="54">
        <f t="shared" si="100"/>
        <v>0.3125</v>
      </c>
      <c r="U266" s="54"/>
    </row>
    <row r="267" spans="1:24" x14ac:dyDescent="0.25">
      <c r="A267" s="24" t="s">
        <v>360</v>
      </c>
      <c r="B267" s="24"/>
      <c r="C267" s="24"/>
      <c r="D267" s="24"/>
      <c r="E267" s="24"/>
      <c r="F267" s="24"/>
      <c r="G267" s="24"/>
      <c r="H267" s="24"/>
      <c r="I267" s="29">
        <f>SUM(I262:I266)</f>
        <v>1400433.5</v>
      </c>
      <c r="J267" s="29">
        <f t="shared" ref="J267:R267" si="101">SUM(J262:J266)</f>
        <v>0</v>
      </c>
      <c r="K267" s="29">
        <f t="shared" si="101"/>
        <v>0</v>
      </c>
      <c r="L267" s="29">
        <f t="shared" si="101"/>
        <v>1400433.5</v>
      </c>
      <c r="M267" s="29">
        <f t="shared" si="101"/>
        <v>70021.675000000017</v>
      </c>
      <c r="N267" s="29">
        <f t="shared" si="101"/>
        <v>1330411.6903716503</v>
      </c>
      <c r="O267" s="29">
        <f t="shared" si="101"/>
        <v>0</v>
      </c>
      <c r="P267" s="29">
        <f t="shared" si="101"/>
        <v>1330411.6903716503</v>
      </c>
      <c r="Q267" s="29">
        <f t="shared" si="101"/>
        <v>0</v>
      </c>
      <c r="R267" s="29">
        <f t="shared" si="101"/>
        <v>70021.675000000017</v>
      </c>
      <c r="S267" s="102"/>
      <c r="T267" s="102"/>
      <c r="U267" s="1"/>
    </row>
    <row r="268" spans="1:24" x14ac:dyDescent="0.25"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4" x14ac:dyDescent="0.25"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</sheetData>
  <mergeCells count="1">
    <mergeCell ref="A1:R1"/>
  </mergeCells>
  <phoneticPr fontId="2" type="noConversion"/>
  <pageMargins left="0.7" right="0.7" top="0.75" bottom="0.75" header="0.3" footer="0.3"/>
  <pageSetup paperSize="9" scale="65" orientation="landscape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BCE58-79CA-40F4-890A-13CA0D2B1CA4}">
  <dimension ref="A1:N48"/>
  <sheetViews>
    <sheetView tabSelected="1" topLeftCell="A13" zoomScale="74" workbookViewId="0">
      <selection activeCell="M36" sqref="M36"/>
    </sheetView>
  </sheetViews>
  <sheetFormatPr defaultRowHeight="14.4" x14ac:dyDescent="0.3"/>
  <cols>
    <col min="1" max="1" width="13.33203125" bestFit="1" customWidth="1"/>
    <col min="2" max="2" width="27.5546875" bestFit="1" customWidth="1"/>
    <col min="3" max="3" width="28.109375" bestFit="1" customWidth="1"/>
    <col min="4" max="5" width="12.44140625" bestFit="1" customWidth="1"/>
    <col min="6" max="6" width="28" bestFit="1" customWidth="1"/>
    <col min="7" max="7" width="15.21875" bestFit="1" customWidth="1"/>
    <col min="8" max="8" width="16.33203125" bestFit="1" customWidth="1"/>
    <col min="9" max="9" width="15.21875" bestFit="1" customWidth="1"/>
    <col min="10" max="10" width="17.6640625" bestFit="1" customWidth="1"/>
    <col min="11" max="11" width="19.77734375" bestFit="1" customWidth="1"/>
    <col min="12" max="12" width="17.21875" bestFit="1" customWidth="1"/>
    <col min="13" max="14" width="13.44140625" bestFit="1" customWidth="1"/>
  </cols>
  <sheetData>
    <row r="1" spans="1:14" x14ac:dyDescent="0.3">
      <c r="A1" s="106" t="s">
        <v>373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4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4" x14ac:dyDescent="0.3">
      <c r="A3" s="34" t="s">
        <v>12</v>
      </c>
      <c r="B3" s="34" t="s">
        <v>361</v>
      </c>
      <c r="C3" s="34" t="s">
        <v>356</v>
      </c>
      <c r="D3" s="34" t="s">
        <v>357</v>
      </c>
      <c r="E3" s="34" t="s">
        <v>358</v>
      </c>
      <c r="F3" s="34" t="s">
        <v>359</v>
      </c>
      <c r="G3" s="34" t="s">
        <v>6</v>
      </c>
      <c r="H3" s="34" t="s">
        <v>7</v>
      </c>
      <c r="I3" s="34" t="s">
        <v>8</v>
      </c>
      <c r="J3" s="34" t="s">
        <v>9</v>
      </c>
      <c r="K3" s="34" t="s">
        <v>471</v>
      </c>
      <c r="L3" s="34" t="s">
        <v>10</v>
      </c>
    </row>
    <row r="4" spans="1:14" x14ac:dyDescent="0.3">
      <c r="A4" s="31" t="s">
        <v>15</v>
      </c>
      <c r="B4" s="31" t="s">
        <v>362</v>
      </c>
      <c r="C4" s="33">
        <f>+'Detailed- HWD'!I6</f>
        <v>27746875</v>
      </c>
      <c r="D4" s="33">
        <f>+'Detailed- HWD'!J6</f>
        <v>0</v>
      </c>
      <c r="E4" s="33">
        <f>+'Detailed- HWD'!K6</f>
        <v>0</v>
      </c>
      <c r="F4" s="33">
        <f>+'Detailed- HWD'!L6</f>
        <v>27746875</v>
      </c>
      <c r="G4" s="33">
        <v>0</v>
      </c>
      <c r="H4" s="33">
        <f>+'Detailed- HWD'!N6</f>
        <v>0</v>
      </c>
      <c r="I4" s="33">
        <f>+'Detailed- HWD'!O6</f>
        <v>0</v>
      </c>
      <c r="J4" s="33">
        <f>+'Detailed- HWD'!P6</f>
        <v>0</v>
      </c>
      <c r="K4" s="33">
        <f>+'Detailed- HWD'!Q6</f>
        <v>0</v>
      </c>
      <c r="L4" s="33">
        <f>+'Detailed- HWD'!R6</f>
        <v>27746875</v>
      </c>
      <c r="M4" s="37"/>
      <c r="N4" s="37"/>
    </row>
    <row r="5" spans="1:14" x14ac:dyDescent="0.3">
      <c r="A5" s="31" t="s">
        <v>21</v>
      </c>
      <c r="B5" s="31" t="s">
        <v>363</v>
      </c>
      <c r="C5" s="33">
        <f>+'Detailed- HWD'!I20</f>
        <v>31366902.100000001</v>
      </c>
      <c r="D5" s="33">
        <f>+'Detailed- HWD'!J20</f>
        <v>0</v>
      </c>
      <c r="E5" s="33">
        <f>+'Detailed- HWD'!K20</f>
        <v>0</v>
      </c>
      <c r="F5" s="33">
        <f>+'Detailed- HWD'!L20</f>
        <v>31366902.100000001</v>
      </c>
      <c r="G5" s="33">
        <f>+'Detailed- HWD'!M20</f>
        <v>1568345.1049999997</v>
      </c>
      <c r="H5" s="33">
        <f>+'Detailed- HWD'!N20</f>
        <v>11760642.069998883</v>
      </c>
      <c r="I5" s="33">
        <f>+'Detailed- HWD'!O20</f>
        <v>993285.2331666667</v>
      </c>
      <c r="J5" s="33">
        <f>+'Detailed- HWD'!P20</f>
        <v>12753927.303165551</v>
      </c>
      <c r="K5" s="33">
        <f>+'Detailed- HWD'!Q20</f>
        <v>0</v>
      </c>
      <c r="L5" s="33">
        <f>+'Detailed- HWD'!R20</f>
        <v>18612974.79683445</v>
      </c>
      <c r="M5" s="37"/>
      <c r="N5" s="37"/>
    </row>
    <row r="6" spans="1:14" x14ac:dyDescent="0.3">
      <c r="A6" s="31" t="s">
        <v>340</v>
      </c>
      <c r="B6" s="31" t="s">
        <v>364</v>
      </c>
      <c r="C6" s="33">
        <f>+'Detailed- HWD'!I267</f>
        <v>1400433.5</v>
      </c>
      <c r="D6" s="33">
        <f>+'Detailed- HWD'!J267</f>
        <v>0</v>
      </c>
      <c r="E6" s="33">
        <f>+'Detailed- HWD'!K267</f>
        <v>0</v>
      </c>
      <c r="F6" s="33">
        <f>+'Detailed- HWD'!L267</f>
        <v>1400433.5</v>
      </c>
      <c r="G6" s="33">
        <f>+'Detailed- HWD'!M267</f>
        <v>70021.675000000017</v>
      </c>
      <c r="H6" s="33">
        <f>+'Detailed- HWD'!N267</f>
        <v>1330411.6903716503</v>
      </c>
      <c r="I6" s="33">
        <f>+'Detailed- HWD'!O267</f>
        <v>0</v>
      </c>
      <c r="J6" s="33">
        <f>+'Detailed- HWD'!P267</f>
        <v>1330411.6903716503</v>
      </c>
      <c r="K6" s="33">
        <f>+'Detailed- HWD'!Q267</f>
        <v>0</v>
      </c>
      <c r="L6" s="33">
        <f>+'Detailed- HWD'!R267</f>
        <v>70021.675000000017</v>
      </c>
      <c r="M6" s="37"/>
      <c r="N6" s="37"/>
    </row>
    <row r="7" spans="1:14" x14ac:dyDescent="0.3">
      <c r="A7" s="31" t="s">
        <v>35</v>
      </c>
      <c r="B7" s="31" t="s">
        <v>365</v>
      </c>
      <c r="C7" s="33">
        <f>+'Detailed- HWD'!I151</f>
        <v>160507847.15999997</v>
      </c>
      <c r="D7" s="33">
        <f>+'Detailed- HWD'!J151</f>
        <v>7884254.0243471498</v>
      </c>
      <c r="E7" s="33">
        <f>+'Detailed- HWD'!K151</f>
        <v>11329658</v>
      </c>
      <c r="F7" s="33">
        <f>+'Detailed- HWD'!L151</f>
        <v>157062443.18434715</v>
      </c>
      <c r="G7" s="33">
        <f>+'Detailed- HWD'!M151</f>
        <v>7853122.1592173567</v>
      </c>
      <c r="H7" s="33">
        <f>+'Detailed- HWD'!N151</f>
        <v>141100774.25793675</v>
      </c>
      <c r="I7" s="33">
        <f>+('Detailed- HWD'!O151)</f>
        <v>2755028.5160660343</v>
      </c>
      <c r="J7" s="33">
        <f>+'Detailed- HWD'!P151</f>
        <v>143855802.77400279</v>
      </c>
      <c r="K7" s="33">
        <f>+'Detailed- HWD'!Q151</f>
        <v>-10662361.188954839</v>
      </c>
      <c r="L7" s="33">
        <f>+'Detailed- HWD'!R151</f>
        <v>23869000.107276838</v>
      </c>
      <c r="M7" s="37"/>
      <c r="N7" s="37"/>
    </row>
    <row r="8" spans="1:14" x14ac:dyDescent="0.3">
      <c r="A8" s="31" t="s">
        <v>220</v>
      </c>
      <c r="B8" s="31" t="s">
        <v>366</v>
      </c>
      <c r="C8" s="33">
        <f>+'Detailed- HWD'!I192</f>
        <v>181538843.20000002</v>
      </c>
      <c r="D8" s="33">
        <f>+'Detailed- HWD'!J192</f>
        <v>0</v>
      </c>
      <c r="E8" s="33">
        <f>+'Detailed- HWD'!K192</f>
        <v>6437474</v>
      </c>
      <c r="F8" s="33">
        <f>+'Detailed- HWD'!L192</f>
        <v>175101369.20000002</v>
      </c>
      <c r="G8" s="33">
        <f>+'Detailed- HWD'!M192</f>
        <v>8755068.4600000009</v>
      </c>
      <c r="H8" s="33">
        <f>+'Detailed- HWD'!N192</f>
        <v>125250150.49672645</v>
      </c>
      <c r="I8" s="33">
        <f>+'Detailed- HWD'!O192</f>
        <v>5187908.6756333336</v>
      </c>
      <c r="J8" s="33">
        <f>+'Detailed- HWD'!P192</f>
        <v>130438059.17235973</v>
      </c>
      <c r="K8" s="33">
        <f>+'Detailed- HWD'!Q192</f>
        <v>-6115809.9031999996</v>
      </c>
      <c r="L8" s="33">
        <f>+'Detailed- HWD'!R192</f>
        <v>50779119.930840217</v>
      </c>
      <c r="M8" s="37"/>
      <c r="N8" s="37"/>
    </row>
    <row r="9" spans="1:14" x14ac:dyDescent="0.3">
      <c r="A9" s="31" t="s">
        <v>272</v>
      </c>
      <c r="B9" s="31" t="s">
        <v>367</v>
      </c>
      <c r="C9" s="33">
        <f>+'Detailed- HWD'!I209</f>
        <v>13321566.58</v>
      </c>
      <c r="D9" s="33">
        <f>+'Detailed- HWD'!J209</f>
        <v>0</v>
      </c>
      <c r="E9" s="33">
        <f>+'Detailed- HWD'!K209</f>
        <v>1222835</v>
      </c>
      <c r="F9" s="33">
        <f>+'Detailed- HWD'!L209</f>
        <v>12098731.58</v>
      </c>
      <c r="G9" s="33">
        <f>+'Detailed- HWD'!M209</f>
        <v>604936.57900000014</v>
      </c>
      <c r="H9" s="33">
        <f>+'Detailed- HWD'!N209</f>
        <v>8474303.2330881692</v>
      </c>
      <c r="I9" s="33">
        <f>+'Detailed- HWD'!O209</f>
        <v>822731.00006666663</v>
      </c>
      <c r="J9" s="33">
        <f>+'Detailed- HWD'!P209</f>
        <v>9297034.2331548352</v>
      </c>
      <c r="K9" s="33">
        <f>+'Detailed- HWD'!Q209</f>
        <v>-992704.30771312001</v>
      </c>
      <c r="L9" s="33">
        <f>+'Detailed- HWD'!R209</f>
        <v>3794401.6545582842</v>
      </c>
      <c r="M9" s="37"/>
      <c r="N9" s="37"/>
    </row>
    <row r="10" spans="1:14" x14ac:dyDescent="0.3">
      <c r="A10" s="31" t="s">
        <v>288</v>
      </c>
      <c r="B10" s="31" t="s">
        <v>368</v>
      </c>
      <c r="C10" s="33">
        <f>+'Detailed- HWD'!I221</f>
        <v>494215.2</v>
      </c>
      <c r="D10" s="33">
        <f>+'Detailed- HWD'!J221</f>
        <v>0</v>
      </c>
      <c r="E10" s="33">
        <f>+'Detailed- HWD'!K221</f>
        <v>0</v>
      </c>
      <c r="F10" s="33">
        <f>+'Detailed- HWD'!L221</f>
        <v>494215.2</v>
      </c>
      <c r="G10" s="33">
        <f>+'Detailed- HWD'!M221</f>
        <v>24710.760000000002</v>
      </c>
      <c r="H10" s="33">
        <f>+'Detailed- HWD'!N221</f>
        <v>494215.03350000002</v>
      </c>
      <c r="I10" s="33">
        <f>+'Detailed- HWD'!O221</f>
        <v>0</v>
      </c>
      <c r="J10" s="33">
        <f>+'Detailed- HWD'!P221</f>
        <v>494215.03350000002</v>
      </c>
      <c r="K10" s="33">
        <f>+'Detailed- HWD'!Q221</f>
        <v>0</v>
      </c>
      <c r="L10" s="33">
        <f>+'Detailed- HWD'!R221</f>
        <v>0.16650000001209264</v>
      </c>
      <c r="M10" s="37"/>
      <c r="N10" s="37"/>
    </row>
    <row r="11" spans="1:14" x14ac:dyDescent="0.3">
      <c r="A11" s="31" t="s">
        <v>302</v>
      </c>
      <c r="B11" s="31" t="s">
        <v>369</v>
      </c>
      <c r="C11" s="33">
        <f>+'Detailed- HWD'!I227</f>
        <v>72854</v>
      </c>
      <c r="D11" s="33">
        <f>+'Detailed- HWD'!J227</f>
        <v>0</v>
      </c>
      <c r="E11" s="33">
        <f>+'Detailed- HWD'!K227</f>
        <v>0</v>
      </c>
      <c r="F11" s="33">
        <f>+'Detailed- HWD'!L227</f>
        <v>72854</v>
      </c>
      <c r="G11" s="33">
        <f>+'Detailed- HWD'!M227</f>
        <v>3642.7000000000003</v>
      </c>
      <c r="H11" s="33">
        <f>+'Detailed- HWD'!N227</f>
        <v>72854.3</v>
      </c>
      <c r="I11" s="33">
        <f>+'Detailed- HWD'!O227</f>
        <v>0</v>
      </c>
      <c r="J11" s="33">
        <f>+'Detailed- HWD'!P227</f>
        <v>72854.3</v>
      </c>
      <c r="K11" s="33">
        <f>+'Detailed- HWD'!Q227</f>
        <v>0</v>
      </c>
      <c r="L11" s="33">
        <f>+'Detailed- HWD'!R227</f>
        <v>-0.30000000000291038</v>
      </c>
      <c r="M11" s="37"/>
      <c r="N11" s="37"/>
    </row>
    <row r="12" spans="1:14" x14ac:dyDescent="0.3">
      <c r="A12" s="31" t="s">
        <v>318</v>
      </c>
      <c r="B12" s="31" t="s">
        <v>370</v>
      </c>
      <c r="C12" s="33">
        <f>+'Detailed- HWD'!I233</f>
        <v>2832176</v>
      </c>
      <c r="D12" s="33">
        <f>+'Detailed- HWD'!J233</f>
        <v>0</v>
      </c>
      <c r="E12" s="33">
        <f>+'Detailed- HWD'!K233</f>
        <v>0</v>
      </c>
      <c r="F12" s="33">
        <f>+'Detailed- HWD'!L233</f>
        <v>2832176</v>
      </c>
      <c r="G12" s="33">
        <f>+'Detailed- HWD'!M233</f>
        <v>141608.80000000002</v>
      </c>
      <c r="H12" s="33">
        <f>+'Detailed- HWD'!N233</f>
        <v>2243890.611111111</v>
      </c>
      <c r="I12" s="33">
        <f>+'Detailed- HWD'!O233</f>
        <v>270757.36250000005</v>
      </c>
      <c r="J12" s="33">
        <f>+'Detailed- HWD'!P233</f>
        <v>2514647.9736111113</v>
      </c>
      <c r="K12" s="33">
        <f>+'Detailed- HWD'!Q233</f>
        <v>0</v>
      </c>
      <c r="L12" s="33">
        <f>+'Detailed- HWD'!R233</f>
        <v>317528.026388889</v>
      </c>
      <c r="M12" s="37"/>
      <c r="N12" s="37"/>
    </row>
    <row r="13" spans="1:14" x14ac:dyDescent="0.3">
      <c r="A13" s="31" t="s">
        <v>355</v>
      </c>
      <c r="B13" s="31" t="s">
        <v>371</v>
      </c>
      <c r="C13" s="33">
        <f>+'Detailed- HWD'!I241</f>
        <v>6257152.9500000002</v>
      </c>
      <c r="D13" s="33">
        <f>+'Detailed- HWD'!J241</f>
        <v>43992</v>
      </c>
      <c r="E13" s="33">
        <f>+'Detailed- HWD'!K241</f>
        <v>0</v>
      </c>
      <c r="F13" s="33">
        <f>+'Detailed- HWD'!L241</f>
        <v>6301144.9500000002</v>
      </c>
      <c r="G13" s="33">
        <f>+'Detailed- HWD'!M241</f>
        <v>315057.2475</v>
      </c>
      <c r="H13" s="33">
        <f>+'Detailed- HWD'!N241</f>
        <v>4408127.1372328596</v>
      </c>
      <c r="I13" s="33">
        <f>+'Detailed- HWD'!O241</f>
        <v>366215.24683333328</v>
      </c>
      <c r="J13" s="33">
        <f>+'Detailed- HWD'!P241</f>
        <v>4774342.3840661915</v>
      </c>
      <c r="K13" s="33">
        <f>+'Detailed- HWD'!Q241</f>
        <v>0</v>
      </c>
      <c r="L13" s="33">
        <f>+'Detailed- HWD'!R241</f>
        <v>1526802.5659338078</v>
      </c>
      <c r="M13" s="37"/>
      <c r="N13" s="37"/>
    </row>
    <row r="14" spans="1:14" x14ac:dyDescent="0.3">
      <c r="A14" s="31" t="s">
        <v>319</v>
      </c>
      <c r="B14" s="31" t="s">
        <v>372</v>
      </c>
      <c r="C14" s="33">
        <f>+'Detailed- HWD'!I260</f>
        <v>741762.51</v>
      </c>
      <c r="D14" s="33">
        <f>+'Detailed- HWD'!J260</f>
        <v>102400</v>
      </c>
      <c r="E14" s="33">
        <f>+'Detailed- HWD'!K260</f>
        <v>0</v>
      </c>
      <c r="F14" s="33">
        <f>+'Detailed- HWD'!L260</f>
        <v>844162.51</v>
      </c>
      <c r="G14" s="33">
        <f>+'Detailed- HWD'!M260</f>
        <v>42208.125500000002</v>
      </c>
      <c r="H14" s="33">
        <f>+'Detailed- HWD'!N260</f>
        <v>575051.96714840189</v>
      </c>
      <c r="I14" s="33">
        <f>+'Detailed- HWD'!O260</f>
        <v>70485.988888888896</v>
      </c>
      <c r="J14" s="33">
        <f>+'Detailed- HWD'!P260</f>
        <v>645537.95603729063</v>
      </c>
      <c r="K14" s="33">
        <f>+'Detailed- HWD'!Q260</f>
        <v>0</v>
      </c>
      <c r="L14" s="33">
        <f>+'Detailed- HWD'!R260</f>
        <v>198624.55396270927</v>
      </c>
      <c r="M14" s="37"/>
      <c r="N14" s="37"/>
    </row>
    <row r="15" spans="1:14" ht="15" thickBot="1" x14ac:dyDescent="0.35">
      <c r="A15" s="35" t="s">
        <v>360</v>
      </c>
      <c r="B15" s="35"/>
      <c r="C15" s="36">
        <f>SUM(C4:C14)</f>
        <v>426280628.19999993</v>
      </c>
      <c r="D15" s="36">
        <f t="shared" ref="D15:L15" si="0">SUM(D4:D14)</f>
        <v>8030646.0243471498</v>
      </c>
      <c r="E15" s="36">
        <f t="shared" si="0"/>
        <v>18989967</v>
      </c>
      <c r="F15" s="36">
        <f t="shared" si="0"/>
        <v>415321307.22434711</v>
      </c>
      <c r="G15" s="36">
        <f t="shared" si="0"/>
        <v>19378721.611217361</v>
      </c>
      <c r="H15" s="36">
        <f t="shared" si="0"/>
        <v>295710420.79711431</v>
      </c>
      <c r="I15" s="36">
        <f t="shared" si="0"/>
        <v>10466412.023154926</v>
      </c>
      <c r="J15" s="36">
        <f t="shared" si="0"/>
        <v>306176832.82026911</v>
      </c>
      <c r="K15" s="36">
        <f t="shared" si="0"/>
        <v>-17770875.399867959</v>
      </c>
      <c r="L15" s="36">
        <f t="shared" si="0"/>
        <v>126915348.17729519</v>
      </c>
    </row>
    <row r="16" spans="1:14" ht="15" thickTop="1" x14ac:dyDescent="0.3">
      <c r="I16">
        <v>10162110</v>
      </c>
      <c r="J16" s="37">
        <f>+I15-I16+53690</f>
        <v>357992.02315492555</v>
      </c>
    </row>
    <row r="17" spans="1:14" x14ac:dyDescent="0.3">
      <c r="A17" s="106" t="s">
        <v>374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</row>
    <row r="18" spans="1:14" x14ac:dyDescent="0.3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4" x14ac:dyDescent="0.3">
      <c r="A19" s="34" t="s">
        <v>12</v>
      </c>
      <c r="B19" s="34" t="s">
        <v>361</v>
      </c>
      <c r="C19" s="34" t="s">
        <v>356</v>
      </c>
      <c r="D19" s="34" t="s">
        <v>357</v>
      </c>
      <c r="E19" s="34" t="s">
        <v>358</v>
      </c>
      <c r="F19" s="34" t="s">
        <v>359</v>
      </c>
      <c r="G19" s="34" t="s">
        <v>6</v>
      </c>
      <c r="H19" s="34" t="s">
        <v>7</v>
      </c>
      <c r="I19" s="34" t="s">
        <v>8</v>
      </c>
      <c r="J19" s="34" t="s">
        <v>9</v>
      </c>
      <c r="K19" s="34" t="s">
        <v>471</v>
      </c>
      <c r="L19" s="34" t="s">
        <v>10</v>
      </c>
    </row>
    <row r="20" spans="1:14" x14ac:dyDescent="0.3">
      <c r="A20" s="31" t="s">
        <v>15</v>
      </c>
      <c r="B20" s="31" t="s">
        <v>362</v>
      </c>
      <c r="C20" s="33">
        <v>27746875</v>
      </c>
      <c r="D20" s="33">
        <v>0</v>
      </c>
      <c r="E20" s="33">
        <f>+'Detailed- HWD'!K22</f>
        <v>0</v>
      </c>
      <c r="F20" s="33">
        <f>+C20+D20-E20</f>
        <v>27746875</v>
      </c>
      <c r="G20" s="33">
        <f>+G4</f>
        <v>0</v>
      </c>
      <c r="H20" s="33">
        <v>0</v>
      </c>
      <c r="I20" s="33">
        <f>+I4</f>
        <v>0</v>
      </c>
      <c r="J20" s="33">
        <f>+H20+I20</f>
        <v>0</v>
      </c>
      <c r="K20" s="33">
        <v>0</v>
      </c>
      <c r="L20" s="33">
        <f t="shared" ref="L20:L22" si="1">+F20-J20-K20</f>
        <v>27746875</v>
      </c>
    </row>
    <row r="21" spans="1:14" x14ac:dyDescent="0.3">
      <c r="A21" s="31" t="s">
        <v>21</v>
      </c>
      <c r="B21" s="31" t="s">
        <v>363</v>
      </c>
      <c r="C21" s="104">
        <v>31366902.100000001</v>
      </c>
      <c r="D21" s="104">
        <v>0</v>
      </c>
      <c r="E21" s="104">
        <f>+'Detailed- HWD'!K36</f>
        <v>0</v>
      </c>
      <c r="F21" s="104">
        <f t="shared" ref="F21:F30" si="2">+C21+D21-E21</f>
        <v>31366902.100000001</v>
      </c>
      <c r="G21" s="104">
        <f t="shared" ref="G21:G30" si="3">+G5</f>
        <v>1568345.1049999997</v>
      </c>
      <c r="H21" s="104">
        <v>11760642.07</v>
      </c>
      <c r="I21" s="104">
        <v>993285</v>
      </c>
      <c r="J21" s="33">
        <f t="shared" ref="J21:J30" si="4">+H21+I21</f>
        <v>12753927.07</v>
      </c>
      <c r="K21" s="33"/>
      <c r="L21" s="33">
        <f t="shared" si="1"/>
        <v>18612975.030000001</v>
      </c>
      <c r="M21" s="37"/>
      <c r="N21" s="37"/>
    </row>
    <row r="22" spans="1:14" x14ac:dyDescent="0.3">
      <c r="A22" s="31" t="s">
        <v>340</v>
      </c>
      <c r="B22" s="31" t="s">
        <v>364</v>
      </c>
      <c r="C22" s="104">
        <v>1400433.5</v>
      </c>
      <c r="D22" s="104">
        <v>0</v>
      </c>
      <c r="E22" s="104">
        <f>+'Detailed- HWD'!K283</f>
        <v>0</v>
      </c>
      <c r="F22" s="104">
        <f t="shared" si="2"/>
        <v>1400433.5</v>
      </c>
      <c r="G22" s="104">
        <f t="shared" si="3"/>
        <v>70021.675000000017</v>
      </c>
      <c r="H22" s="104">
        <v>1330411.0900000001</v>
      </c>
      <c r="I22" s="104">
        <f t="shared" ref="I22:I27" si="5">+I6</f>
        <v>0</v>
      </c>
      <c r="J22" s="33">
        <f t="shared" si="4"/>
        <v>1330411.0900000001</v>
      </c>
      <c r="K22" s="33"/>
      <c r="L22" s="33">
        <f t="shared" si="1"/>
        <v>70022.409999999916</v>
      </c>
      <c r="M22" s="37"/>
    </row>
    <row r="23" spans="1:14" x14ac:dyDescent="0.3">
      <c r="A23" s="31" t="s">
        <v>35</v>
      </c>
      <c r="B23" s="31" t="s">
        <v>365</v>
      </c>
      <c r="C23" s="104">
        <f>160507847.16</f>
        <v>160507847.16</v>
      </c>
      <c r="D23" s="104">
        <v>7884254</v>
      </c>
      <c r="E23" s="104">
        <f>18989967-6437474-1222835</f>
        <v>11329658</v>
      </c>
      <c r="F23" s="104">
        <f t="shared" si="2"/>
        <v>157062443.16</v>
      </c>
      <c r="G23" s="104">
        <f t="shared" si="3"/>
        <v>7853122.1592173567</v>
      </c>
      <c r="H23" s="104">
        <f>141059915+40859</f>
        <v>141100774</v>
      </c>
      <c r="I23" s="104">
        <f>2033543+721486</f>
        <v>2755029</v>
      </c>
      <c r="J23" s="33">
        <f t="shared" si="4"/>
        <v>143855803</v>
      </c>
      <c r="K23" s="33">
        <f>-18404693.5+6115810+1049182+577340</f>
        <v>-10662361.5</v>
      </c>
      <c r="L23" s="33">
        <f>+F23-J23-K23</f>
        <v>23869001.659999996</v>
      </c>
      <c r="M23" s="37"/>
    </row>
    <row r="24" spans="1:14" x14ac:dyDescent="0.3">
      <c r="A24" s="31" t="s">
        <v>220</v>
      </c>
      <c r="B24" s="31" t="s">
        <v>366</v>
      </c>
      <c r="C24" s="104">
        <v>181538843.20000002</v>
      </c>
      <c r="D24" s="104">
        <v>0</v>
      </c>
      <c r="E24" s="104">
        <v>6437474</v>
      </c>
      <c r="F24" s="104">
        <f t="shared" si="2"/>
        <v>175101369.20000002</v>
      </c>
      <c r="G24" s="104">
        <f t="shared" si="3"/>
        <v>8755068.4600000009</v>
      </c>
      <c r="H24" s="104">
        <v>125250150</v>
      </c>
      <c r="I24" s="104">
        <f>5648386-460477</f>
        <v>5187909</v>
      </c>
      <c r="J24" s="33">
        <f t="shared" si="4"/>
        <v>130438059</v>
      </c>
      <c r="K24" s="33">
        <v>-6115810</v>
      </c>
      <c r="L24" s="33">
        <f t="shared" ref="L24:L30" si="6">+F24-J24-K24</f>
        <v>50779120.200000018</v>
      </c>
      <c r="M24" s="37"/>
    </row>
    <row r="25" spans="1:14" x14ac:dyDescent="0.3">
      <c r="A25" s="31" t="s">
        <v>272</v>
      </c>
      <c r="B25" s="31" t="s">
        <v>367</v>
      </c>
      <c r="C25" s="104">
        <v>13321566.58</v>
      </c>
      <c r="D25" s="104">
        <v>0</v>
      </c>
      <c r="E25" s="104">
        <v>1222835</v>
      </c>
      <c r="F25" s="104">
        <f t="shared" si="2"/>
        <v>12098731.58</v>
      </c>
      <c r="G25" s="104">
        <f t="shared" si="3"/>
        <v>604936.57900000014</v>
      </c>
      <c r="H25" s="104">
        <v>8474303</v>
      </c>
      <c r="I25" s="104">
        <v>822731</v>
      </c>
      <c r="J25" s="33">
        <f t="shared" si="4"/>
        <v>9297034</v>
      </c>
      <c r="K25" s="33">
        <f>-1049182+56478</f>
        <v>-992704</v>
      </c>
      <c r="L25" s="33">
        <f t="shared" si="6"/>
        <v>3794401.58</v>
      </c>
      <c r="M25" s="37"/>
    </row>
    <row r="26" spans="1:14" x14ac:dyDescent="0.3">
      <c r="A26" s="31" t="s">
        <v>288</v>
      </c>
      <c r="B26" s="31" t="s">
        <v>368</v>
      </c>
      <c r="C26" s="104">
        <v>494215.2</v>
      </c>
      <c r="D26" s="104">
        <v>0</v>
      </c>
      <c r="E26" s="104">
        <f>+'Detailed- HWD'!K237</f>
        <v>0</v>
      </c>
      <c r="F26" s="104">
        <f t="shared" si="2"/>
        <v>494215.2</v>
      </c>
      <c r="G26" s="104">
        <f t="shared" si="3"/>
        <v>24710.760000000002</v>
      </c>
      <c r="H26" s="104">
        <v>494215</v>
      </c>
      <c r="I26" s="104">
        <f t="shared" si="5"/>
        <v>0</v>
      </c>
      <c r="J26" s="33">
        <f t="shared" si="4"/>
        <v>494215</v>
      </c>
      <c r="K26" s="33"/>
      <c r="L26" s="33">
        <f t="shared" si="6"/>
        <v>0.20000000001164153</v>
      </c>
      <c r="M26" s="37"/>
    </row>
    <row r="27" spans="1:14" x14ac:dyDescent="0.3">
      <c r="A27" s="31" t="s">
        <v>302</v>
      </c>
      <c r="B27" s="31" t="s">
        <v>369</v>
      </c>
      <c r="C27" s="104">
        <v>72854</v>
      </c>
      <c r="D27" s="104">
        <v>0</v>
      </c>
      <c r="E27" s="104">
        <f>+'Detailed- HWD'!K244</f>
        <v>0</v>
      </c>
      <c r="F27" s="104">
        <f t="shared" si="2"/>
        <v>72854</v>
      </c>
      <c r="G27" s="104">
        <f t="shared" si="3"/>
        <v>3642.7000000000003</v>
      </c>
      <c r="H27" s="104">
        <v>72854</v>
      </c>
      <c r="I27" s="104">
        <f t="shared" si="5"/>
        <v>0</v>
      </c>
      <c r="J27" s="33">
        <f t="shared" si="4"/>
        <v>72854</v>
      </c>
      <c r="K27" s="33"/>
      <c r="L27" s="33">
        <f t="shared" si="6"/>
        <v>0</v>
      </c>
      <c r="M27" s="37"/>
    </row>
    <row r="28" spans="1:14" x14ac:dyDescent="0.3">
      <c r="A28" s="31" t="s">
        <v>318</v>
      </c>
      <c r="B28" s="31" t="s">
        <v>370</v>
      </c>
      <c r="C28" s="104">
        <v>2832176</v>
      </c>
      <c r="D28" s="104">
        <v>0</v>
      </c>
      <c r="E28" s="104">
        <f>+'Detailed- HWD'!K249</f>
        <v>0</v>
      </c>
      <c r="F28" s="104">
        <f t="shared" si="2"/>
        <v>2832176</v>
      </c>
      <c r="G28" s="104">
        <f t="shared" si="3"/>
        <v>141608.80000000002</v>
      </c>
      <c r="H28" s="104">
        <v>2243890.62</v>
      </c>
      <c r="I28" s="104">
        <v>270757</v>
      </c>
      <c r="J28" s="33">
        <f t="shared" si="4"/>
        <v>2514647.62</v>
      </c>
      <c r="K28" s="33"/>
      <c r="L28" s="33">
        <f t="shared" si="6"/>
        <v>317528.37999999989</v>
      </c>
    </row>
    <row r="29" spans="1:14" x14ac:dyDescent="0.3">
      <c r="A29" s="31" t="s">
        <v>355</v>
      </c>
      <c r="B29" s="31" t="s">
        <v>371</v>
      </c>
      <c r="C29" s="104">
        <v>6257152.9500000002</v>
      </c>
      <c r="D29" s="104">
        <v>43991.92</v>
      </c>
      <c r="E29" s="104">
        <f>+'Detailed- HWD'!K256</f>
        <v>0</v>
      </c>
      <c r="F29" s="104">
        <f t="shared" si="2"/>
        <v>6301144.8700000001</v>
      </c>
      <c r="G29" s="104">
        <f t="shared" si="3"/>
        <v>315057.2475</v>
      </c>
      <c r="H29" s="104">
        <v>4408127</v>
      </c>
      <c r="I29" s="104">
        <f>364822+1393</f>
        <v>366215</v>
      </c>
      <c r="J29" s="33">
        <f t="shared" si="4"/>
        <v>4774342</v>
      </c>
      <c r="K29" s="33"/>
      <c r="L29" s="33">
        <f t="shared" si="6"/>
        <v>1526802.87</v>
      </c>
      <c r="M29" s="37"/>
    </row>
    <row r="30" spans="1:14" x14ac:dyDescent="0.3">
      <c r="A30" s="31" t="s">
        <v>319</v>
      </c>
      <c r="B30" s="31" t="s">
        <v>372</v>
      </c>
      <c r="C30" s="104">
        <v>741762.51</v>
      </c>
      <c r="D30" s="104">
        <v>102400</v>
      </c>
      <c r="E30" s="104">
        <f>+'Detailed- HWD'!K276</f>
        <v>0</v>
      </c>
      <c r="F30" s="104">
        <f t="shared" si="2"/>
        <v>844162.51</v>
      </c>
      <c r="G30" s="104">
        <f t="shared" si="3"/>
        <v>42208.125500000002</v>
      </c>
      <c r="H30" s="104">
        <v>575052.31999999995</v>
      </c>
      <c r="I30" s="104">
        <f>76381-5895</f>
        <v>70486</v>
      </c>
      <c r="J30" s="33">
        <f t="shared" si="4"/>
        <v>645538.31999999995</v>
      </c>
      <c r="K30" s="33"/>
      <c r="L30" s="33">
        <f t="shared" si="6"/>
        <v>198624.19000000006</v>
      </c>
      <c r="M30" s="37"/>
    </row>
    <row r="31" spans="1:14" ht="15" thickBot="1" x14ac:dyDescent="0.35">
      <c r="A31" s="35" t="s">
        <v>360</v>
      </c>
      <c r="B31" s="35"/>
      <c r="C31" s="36">
        <f>SUM(C20:C30)</f>
        <v>426280628.19999999</v>
      </c>
      <c r="D31" s="36">
        <f t="shared" ref="D31" si="7">SUM(D20:D30)</f>
        <v>8030645.9199999999</v>
      </c>
      <c r="E31" s="36">
        <f t="shared" ref="E31" si="8">SUM(E20:E30)</f>
        <v>18989967</v>
      </c>
      <c r="F31" s="36">
        <f t="shared" ref="F31" si="9">SUM(F20:F30)</f>
        <v>415321307.12</v>
      </c>
      <c r="G31" s="36">
        <f t="shared" ref="G31" si="10">SUM(G20:G30)</f>
        <v>19378721.611217361</v>
      </c>
      <c r="H31" s="36">
        <f t="shared" ref="H31" si="11">SUM(H20:H30)</f>
        <v>295710419.09999996</v>
      </c>
      <c r="I31" s="36">
        <f t="shared" ref="I31" si="12">SUM(I20:I30)</f>
        <v>10466412</v>
      </c>
      <c r="J31" s="36">
        <f t="shared" ref="J31" si="13">SUM(J20:J30)</f>
        <v>306176831.09999996</v>
      </c>
      <c r="K31" s="36">
        <f t="shared" ref="K31" si="14">SUM(K20:K30)</f>
        <v>-17770875.5</v>
      </c>
      <c r="L31" s="36">
        <f t="shared" ref="L31" si="15">SUM(L20:L30)</f>
        <v>126915351.52000001</v>
      </c>
      <c r="M31" s="37"/>
    </row>
    <row r="32" spans="1:14" ht="15" thickTop="1" x14ac:dyDescent="0.3">
      <c r="H32" s="103">
        <v>295710419.55000001</v>
      </c>
      <c r="I32" s="37">
        <f>+H31-H32</f>
        <v>-0.45000004768371582</v>
      </c>
      <c r="N32" s="37"/>
    </row>
    <row r="33" spans="1:12" x14ac:dyDescent="0.3">
      <c r="A33" s="106" t="s">
        <v>375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</row>
    <row r="34" spans="1:12" x14ac:dyDescent="0.3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 x14ac:dyDescent="0.3">
      <c r="A35" s="34" t="s">
        <v>12</v>
      </c>
      <c r="B35" s="34" t="s">
        <v>361</v>
      </c>
      <c r="C35" s="34" t="s">
        <v>356</v>
      </c>
      <c r="D35" s="34" t="s">
        <v>357</v>
      </c>
      <c r="E35" s="34" t="s">
        <v>358</v>
      </c>
      <c r="F35" s="34" t="s">
        <v>359</v>
      </c>
      <c r="G35" s="34" t="s">
        <v>6</v>
      </c>
      <c r="H35" s="34" t="s">
        <v>7</v>
      </c>
      <c r="I35" s="34" t="s">
        <v>8</v>
      </c>
      <c r="J35" s="34" t="s">
        <v>9</v>
      </c>
      <c r="K35" s="34" t="s">
        <v>471</v>
      </c>
      <c r="L35" s="34" t="s">
        <v>10</v>
      </c>
    </row>
    <row r="36" spans="1:12" x14ac:dyDescent="0.3">
      <c r="A36" s="31" t="s">
        <v>15</v>
      </c>
      <c r="B36" s="31" t="s">
        <v>362</v>
      </c>
      <c r="C36" s="33">
        <f>+C4-C20</f>
        <v>0</v>
      </c>
      <c r="D36" s="33">
        <f t="shared" ref="D36:K36" si="16">+D4-D20</f>
        <v>0</v>
      </c>
      <c r="E36" s="33">
        <f t="shared" si="16"/>
        <v>0</v>
      </c>
      <c r="F36" s="33">
        <f t="shared" si="16"/>
        <v>0</v>
      </c>
      <c r="G36" s="33">
        <f t="shared" si="16"/>
        <v>0</v>
      </c>
      <c r="H36" s="33">
        <f t="shared" si="16"/>
        <v>0</v>
      </c>
      <c r="I36" s="33">
        <f t="shared" si="16"/>
        <v>0</v>
      </c>
      <c r="J36" s="33">
        <f t="shared" si="16"/>
        <v>0</v>
      </c>
      <c r="K36" s="33">
        <f t="shared" si="16"/>
        <v>0</v>
      </c>
      <c r="L36" s="33">
        <f>+L4-L20</f>
        <v>0</v>
      </c>
    </row>
    <row r="37" spans="1:12" x14ac:dyDescent="0.3">
      <c r="A37" s="31" t="s">
        <v>21</v>
      </c>
      <c r="B37" s="31" t="s">
        <v>363</v>
      </c>
      <c r="C37" s="33">
        <f t="shared" ref="C37:L37" si="17">+C5-C21</f>
        <v>0</v>
      </c>
      <c r="D37" s="33">
        <f t="shared" si="17"/>
        <v>0</v>
      </c>
      <c r="E37" s="33">
        <f t="shared" si="17"/>
        <v>0</v>
      </c>
      <c r="F37" s="33">
        <f t="shared" si="17"/>
        <v>0</v>
      </c>
      <c r="G37" s="33">
        <f t="shared" si="17"/>
        <v>0</v>
      </c>
      <c r="H37" s="33">
        <f t="shared" si="17"/>
        <v>-1.1175870895385742E-6</v>
      </c>
      <c r="I37" s="33">
        <f t="shared" si="17"/>
        <v>0.23316666670143604</v>
      </c>
      <c r="J37" s="33">
        <f t="shared" si="17"/>
        <v>0.23316555097699165</v>
      </c>
      <c r="K37" s="33">
        <f t="shared" si="17"/>
        <v>0</v>
      </c>
      <c r="L37" s="33">
        <f t="shared" si="17"/>
        <v>-0.23316555097699165</v>
      </c>
    </row>
    <row r="38" spans="1:12" x14ac:dyDescent="0.3">
      <c r="A38" s="31" t="s">
        <v>340</v>
      </c>
      <c r="B38" s="31" t="s">
        <v>364</v>
      </c>
      <c r="C38" s="33">
        <f t="shared" ref="C38:L38" si="18">+C6-C22</f>
        <v>0</v>
      </c>
      <c r="D38" s="33">
        <f t="shared" si="18"/>
        <v>0</v>
      </c>
      <c r="E38" s="33">
        <f t="shared" si="18"/>
        <v>0</v>
      </c>
      <c r="F38" s="33">
        <f t="shared" si="18"/>
        <v>0</v>
      </c>
      <c r="G38" s="33">
        <f t="shared" si="18"/>
        <v>0</v>
      </c>
      <c r="H38" s="33">
        <f t="shared" si="18"/>
        <v>0.60037165018729866</v>
      </c>
      <c r="I38" s="33">
        <f t="shared" si="18"/>
        <v>0</v>
      </c>
      <c r="J38" s="33">
        <f t="shared" si="18"/>
        <v>0.60037165018729866</v>
      </c>
      <c r="K38" s="33">
        <f t="shared" si="18"/>
        <v>0</v>
      </c>
      <c r="L38" s="33">
        <f t="shared" si="18"/>
        <v>-0.73499999989871867</v>
      </c>
    </row>
    <row r="39" spans="1:12" x14ac:dyDescent="0.3">
      <c r="A39" s="31" t="s">
        <v>35</v>
      </c>
      <c r="B39" s="31" t="s">
        <v>365</v>
      </c>
      <c r="C39" s="33">
        <f t="shared" ref="C39:K39" si="19">+C7-C23</f>
        <v>0</v>
      </c>
      <c r="D39" s="33">
        <f t="shared" si="19"/>
        <v>2.4347149766981602E-2</v>
      </c>
      <c r="E39" s="33">
        <f t="shared" si="19"/>
        <v>0</v>
      </c>
      <c r="F39" s="33">
        <f t="shared" si="19"/>
        <v>2.4347156286239624E-2</v>
      </c>
      <c r="G39" s="33">
        <f t="shared" si="19"/>
        <v>0</v>
      </c>
      <c r="H39" s="33">
        <f t="shared" si="19"/>
        <v>0.2579367458820343</v>
      </c>
      <c r="I39" s="33">
        <f t="shared" si="19"/>
        <v>-0.48393396567553282</v>
      </c>
      <c r="J39" s="33">
        <f t="shared" si="19"/>
        <v>-0.2259972095489502</v>
      </c>
      <c r="K39" s="33">
        <f t="shared" si="19"/>
        <v>0.31104516051709652</v>
      </c>
      <c r="L39" s="33">
        <f>+L7-L23</f>
        <v>-1.5527231581509113</v>
      </c>
    </row>
    <row r="40" spans="1:12" x14ac:dyDescent="0.3">
      <c r="A40" s="31" t="s">
        <v>220</v>
      </c>
      <c r="B40" s="31" t="s">
        <v>366</v>
      </c>
      <c r="C40" s="33">
        <f t="shared" ref="C40:K40" si="20">+C8-C24</f>
        <v>0</v>
      </c>
      <c r="D40" s="33">
        <f t="shared" si="20"/>
        <v>0</v>
      </c>
      <c r="E40" s="33">
        <f t="shared" si="20"/>
        <v>0</v>
      </c>
      <c r="F40" s="33">
        <f t="shared" si="20"/>
        <v>0</v>
      </c>
      <c r="G40" s="33">
        <f t="shared" si="20"/>
        <v>0</v>
      </c>
      <c r="H40" s="33">
        <f t="shared" si="20"/>
        <v>0.49672645330429077</v>
      </c>
      <c r="I40" s="33">
        <f t="shared" si="20"/>
        <v>-0.32436666637659073</v>
      </c>
      <c r="J40" s="33">
        <f t="shared" si="20"/>
        <v>0.17235973477363586</v>
      </c>
      <c r="K40" s="33">
        <f t="shared" si="20"/>
        <v>9.6800000406801701E-2</v>
      </c>
      <c r="L40" s="33">
        <f>+L8-L24</f>
        <v>-0.26915980130434036</v>
      </c>
    </row>
    <row r="41" spans="1:12" x14ac:dyDescent="0.3">
      <c r="A41" s="31" t="s">
        <v>272</v>
      </c>
      <c r="B41" s="31" t="s">
        <v>367</v>
      </c>
      <c r="C41" s="33">
        <f t="shared" ref="C41:L41" si="21">+C9-C25</f>
        <v>0</v>
      </c>
      <c r="D41" s="33">
        <f t="shared" si="21"/>
        <v>0</v>
      </c>
      <c r="E41" s="33">
        <f t="shared" si="21"/>
        <v>0</v>
      </c>
      <c r="F41" s="33">
        <f t="shared" si="21"/>
        <v>0</v>
      </c>
      <c r="G41" s="33">
        <f t="shared" si="21"/>
        <v>0</v>
      </c>
      <c r="H41" s="33">
        <f t="shared" si="21"/>
        <v>0.233088169246912</v>
      </c>
      <c r="I41" s="33">
        <f t="shared" si="21"/>
        <v>6.6666631028056145E-5</v>
      </c>
      <c r="J41" s="33">
        <f t="shared" si="21"/>
        <v>0.23315483517944813</v>
      </c>
      <c r="K41" s="33">
        <f t="shared" si="21"/>
        <v>-0.30771312001161277</v>
      </c>
      <c r="L41" s="33">
        <f t="shared" si="21"/>
        <v>7.4558284133672714E-2</v>
      </c>
    </row>
    <row r="42" spans="1:12" x14ac:dyDescent="0.3">
      <c r="A42" s="31" t="s">
        <v>288</v>
      </c>
      <c r="B42" s="31" t="s">
        <v>368</v>
      </c>
      <c r="C42" s="33">
        <f t="shared" ref="C42:L42" si="22">+C10-C26</f>
        <v>0</v>
      </c>
      <c r="D42" s="33">
        <f t="shared" si="22"/>
        <v>0</v>
      </c>
      <c r="E42" s="33">
        <f t="shared" si="22"/>
        <v>0</v>
      </c>
      <c r="F42" s="33">
        <f t="shared" si="22"/>
        <v>0</v>
      </c>
      <c r="G42" s="33">
        <f t="shared" si="22"/>
        <v>0</v>
      </c>
      <c r="H42" s="33">
        <f t="shared" si="22"/>
        <v>3.3500000019557774E-2</v>
      </c>
      <c r="I42" s="33">
        <f t="shared" si="22"/>
        <v>0</v>
      </c>
      <c r="J42" s="33">
        <f t="shared" si="22"/>
        <v>3.3500000019557774E-2</v>
      </c>
      <c r="K42" s="33">
        <f t="shared" si="22"/>
        <v>0</v>
      </c>
      <c r="L42" s="33">
        <f t="shared" si="22"/>
        <v>-3.3499999999548891E-2</v>
      </c>
    </row>
    <row r="43" spans="1:12" x14ac:dyDescent="0.3">
      <c r="A43" s="31" t="s">
        <v>302</v>
      </c>
      <c r="B43" s="31" t="s">
        <v>369</v>
      </c>
      <c r="C43" s="33">
        <f t="shared" ref="C43:L43" si="23">+C11-C27</f>
        <v>0</v>
      </c>
      <c r="D43" s="33">
        <f t="shared" si="23"/>
        <v>0</v>
      </c>
      <c r="E43" s="33">
        <f t="shared" si="23"/>
        <v>0</v>
      </c>
      <c r="F43" s="33">
        <f t="shared" si="23"/>
        <v>0</v>
      </c>
      <c r="G43" s="33">
        <f t="shared" si="23"/>
        <v>0</v>
      </c>
      <c r="H43" s="33">
        <f t="shared" si="23"/>
        <v>0.30000000000291038</v>
      </c>
      <c r="I43" s="33">
        <f t="shared" si="23"/>
        <v>0</v>
      </c>
      <c r="J43" s="33">
        <f t="shared" si="23"/>
        <v>0.30000000000291038</v>
      </c>
      <c r="K43" s="33">
        <f t="shared" si="23"/>
        <v>0</v>
      </c>
      <c r="L43" s="33">
        <f t="shared" si="23"/>
        <v>-0.30000000000291038</v>
      </c>
    </row>
    <row r="44" spans="1:12" x14ac:dyDescent="0.3">
      <c r="A44" s="31" t="s">
        <v>318</v>
      </c>
      <c r="B44" s="31" t="s">
        <v>370</v>
      </c>
      <c r="C44" s="33">
        <f t="shared" ref="C44:L44" si="24">+C12-C28</f>
        <v>0</v>
      </c>
      <c r="D44" s="33">
        <f t="shared" si="24"/>
        <v>0</v>
      </c>
      <c r="E44" s="33">
        <f t="shared" si="24"/>
        <v>0</v>
      </c>
      <c r="F44" s="33">
        <f t="shared" si="24"/>
        <v>0</v>
      </c>
      <c r="G44" s="33">
        <f t="shared" si="24"/>
        <v>0</v>
      </c>
      <c r="H44" s="33">
        <f t="shared" si="24"/>
        <v>-8.8888891041278839E-3</v>
      </c>
      <c r="I44" s="33">
        <f t="shared" si="24"/>
        <v>0.36250000004656613</v>
      </c>
      <c r="J44" s="33">
        <f t="shared" si="24"/>
        <v>0.35361111117526889</v>
      </c>
      <c r="K44" s="33">
        <f t="shared" si="24"/>
        <v>0</v>
      </c>
      <c r="L44" s="33">
        <f t="shared" si="24"/>
        <v>-0.35361111088423058</v>
      </c>
    </row>
    <row r="45" spans="1:12" x14ac:dyDescent="0.3">
      <c r="A45" s="31" t="s">
        <v>355</v>
      </c>
      <c r="B45" s="31" t="s">
        <v>371</v>
      </c>
      <c r="C45" s="33">
        <f t="shared" ref="C45:L45" si="25">+C13-C29</f>
        <v>0</v>
      </c>
      <c r="D45" s="33">
        <f t="shared" si="25"/>
        <v>8.000000000174623E-2</v>
      </c>
      <c r="E45" s="33">
        <f t="shared" si="25"/>
        <v>0</v>
      </c>
      <c r="F45" s="33">
        <f t="shared" si="25"/>
        <v>8.0000000074505806E-2</v>
      </c>
      <c r="G45" s="33">
        <f t="shared" si="25"/>
        <v>0</v>
      </c>
      <c r="H45" s="33">
        <f t="shared" si="25"/>
        <v>0.13723285961896181</v>
      </c>
      <c r="I45" s="33">
        <f t="shared" si="25"/>
        <v>0.24683333327993751</v>
      </c>
      <c r="J45" s="33">
        <f t="shared" si="25"/>
        <v>0.38406619150191545</v>
      </c>
      <c r="K45" s="33">
        <f t="shared" si="25"/>
        <v>0</v>
      </c>
      <c r="L45" s="33">
        <f t="shared" si="25"/>
        <v>-0.30406619235873222</v>
      </c>
    </row>
    <row r="46" spans="1:12" x14ac:dyDescent="0.3">
      <c r="A46" s="31" t="s">
        <v>319</v>
      </c>
      <c r="B46" s="31" t="s">
        <v>372</v>
      </c>
      <c r="C46" s="33">
        <f t="shared" ref="C46:L46" si="26">+C14-C30</f>
        <v>0</v>
      </c>
      <c r="D46" s="33">
        <f t="shared" si="26"/>
        <v>0</v>
      </c>
      <c r="E46" s="33">
        <f t="shared" si="26"/>
        <v>0</v>
      </c>
      <c r="F46" s="33">
        <f t="shared" si="26"/>
        <v>0</v>
      </c>
      <c r="G46" s="33">
        <f t="shared" si="26"/>
        <v>0</v>
      </c>
      <c r="H46" s="33">
        <f t="shared" si="26"/>
        <v>-0.3528515980578959</v>
      </c>
      <c r="I46" s="33">
        <f t="shared" si="26"/>
        <v>-1.1111111103673466E-2</v>
      </c>
      <c r="J46" s="33">
        <f t="shared" si="26"/>
        <v>-0.36396270932164043</v>
      </c>
      <c r="K46" s="33">
        <f t="shared" si="26"/>
        <v>0</v>
      </c>
      <c r="L46" s="33">
        <f t="shared" si="26"/>
        <v>0.36396270920522511</v>
      </c>
    </row>
    <row r="47" spans="1:12" ht="15" thickBot="1" x14ac:dyDescent="0.35">
      <c r="A47" s="35" t="s">
        <v>360</v>
      </c>
      <c r="B47" s="35"/>
      <c r="C47" s="36">
        <f>SUM(C36:C46)</f>
        <v>0</v>
      </c>
      <c r="D47" s="36">
        <f t="shared" ref="D47" si="27">SUM(D36:D46)</f>
        <v>0.10434714976872783</v>
      </c>
      <c r="E47" s="36">
        <f t="shared" ref="E47" si="28">SUM(E36:E46)</f>
        <v>0</v>
      </c>
      <c r="F47" s="36">
        <f t="shared" ref="F47" si="29">SUM(F36:F46)</f>
        <v>0.10434715636074543</v>
      </c>
      <c r="G47" s="36">
        <f t="shared" ref="G47" si="30">SUM(G36:G46)</f>
        <v>0</v>
      </c>
      <c r="H47" s="36">
        <f t="shared" ref="H47" si="31">SUM(H36:H46)</f>
        <v>1.6971142735128524</v>
      </c>
      <c r="I47" s="36">
        <f t="shared" ref="I47" si="32">SUM(I36:I46)</f>
        <v>2.3154923503170721E-2</v>
      </c>
      <c r="J47" s="36">
        <f t="shared" ref="J47" si="33">SUM(J36:J46)</f>
        <v>1.7202691549464362</v>
      </c>
      <c r="K47" s="36">
        <f t="shared" ref="K47" si="34">SUM(K36:K46)</f>
        <v>0.10013204091228545</v>
      </c>
      <c r="L47" s="36">
        <f t="shared" ref="L47" si="35">SUM(L36:L46)</f>
        <v>-3.3427048202374863</v>
      </c>
    </row>
    <row r="48" spans="1:12" ht="15" thickTop="1" x14ac:dyDescent="0.3"/>
  </sheetData>
  <mergeCells count="3">
    <mergeCell ref="A1:L1"/>
    <mergeCell ref="A17:L17"/>
    <mergeCell ref="A33:L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DCA23-6DC5-4083-A803-76A72905BF50}">
  <dimension ref="A1:U20"/>
  <sheetViews>
    <sheetView topLeftCell="F1" zoomScale="97" workbookViewId="0">
      <selection activeCell="O16" sqref="O16"/>
    </sheetView>
  </sheetViews>
  <sheetFormatPr defaultRowHeight="13.8" x14ac:dyDescent="0.25"/>
  <cols>
    <col min="1" max="1" width="11.88671875" style="1" bestFit="1" customWidth="1"/>
    <col min="2" max="2" width="9.5546875" style="1" bestFit="1" customWidth="1"/>
    <col min="3" max="3" width="10.21875" style="1" bestFit="1" customWidth="1"/>
    <col min="4" max="4" width="43.33203125" style="1" bestFit="1" customWidth="1"/>
    <col min="5" max="5" width="18.33203125" style="1" bestFit="1" customWidth="1"/>
    <col min="6" max="6" width="11.88671875" style="1" bestFit="1" customWidth="1"/>
    <col min="7" max="7" width="8.77734375" style="1" bestFit="1" customWidth="1"/>
    <col min="8" max="8" width="12.21875" style="1" bestFit="1" customWidth="1"/>
    <col min="9" max="9" width="12.88671875" style="1" bestFit="1" customWidth="1"/>
    <col min="10" max="10" width="18.109375" style="1" customWidth="1"/>
    <col min="11" max="11" width="25.109375" style="1" bestFit="1" customWidth="1"/>
    <col min="12" max="13" width="12.33203125" style="1" bestFit="1" customWidth="1"/>
    <col min="14" max="16" width="15" style="1" bestFit="1" customWidth="1"/>
    <col min="17" max="17" width="8.77734375" style="1" bestFit="1" customWidth="1"/>
    <col min="18" max="18" width="15" style="1" bestFit="1" customWidth="1"/>
    <col min="19" max="19" width="12.33203125" style="1" bestFit="1" customWidth="1"/>
    <col min="20" max="16384" width="8.88671875" style="1"/>
  </cols>
  <sheetData>
    <row r="1" spans="1:21" x14ac:dyDescent="0.25">
      <c r="A1" s="105" t="s">
        <v>378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21" x14ac:dyDescent="0.25">
      <c r="A2" s="2"/>
      <c r="B2" s="2"/>
      <c r="C2" s="2"/>
      <c r="D2" s="2"/>
      <c r="E2" s="2"/>
      <c r="F2" s="2"/>
      <c r="G2" s="2"/>
      <c r="H2" s="2"/>
      <c r="I2" s="8"/>
      <c r="J2" s="8"/>
      <c r="K2" s="8"/>
      <c r="L2" s="8"/>
      <c r="M2" s="8"/>
      <c r="N2" s="8"/>
      <c r="O2" s="8"/>
      <c r="P2" s="8"/>
      <c r="Q2" s="8"/>
      <c r="R2" s="8"/>
    </row>
    <row r="3" spans="1:21" s="41" customFormat="1" ht="69" x14ac:dyDescent="0.25">
      <c r="A3" s="17" t="s">
        <v>12</v>
      </c>
      <c r="B3" s="17" t="s">
        <v>13</v>
      </c>
      <c r="C3" s="17" t="s">
        <v>11</v>
      </c>
      <c r="D3" s="17" t="s">
        <v>14</v>
      </c>
      <c r="E3" s="17" t="s">
        <v>0</v>
      </c>
      <c r="F3" s="17" t="s">
        <v>1</v>
      </c>
      <c r="G3" s="17" t="s">
        <v>260</v>
      </c>
      <c r="H3" s="17" t="s">
        <v>2</v>
      </c>
      <c r="I3" s="20" t="s">
        <v>3</v>
      </c>
      <c r="J3" s="20" t="s">
        <v>19</v>
      </c>
      <c r="K3" s="20" t="s">
        <v>4</v>
      </c>
      <c r="L3" s="20" t="s">
        <v>5</v>
      </c>
      <c r="M3" s="20" t="s">
        <v>6</v>
      </c>
      <c r="N3" s="20" t="s">
        <v>7</v>
      </c>
      <c r="O3" s="20" t="s">
        <v>8</v>
      </c>
      <c r="P3" s="20" t="s">
        <v>9</v>
      </c>
      <c r="Q3" s="20" t="s">
        <v>20</v>
      </c>
      <c r="R3" s="20" t="s">
        <v>10</v>
      </c>
      <c r="S3" s="40" t="s">
        <v>377</v>
      </c>
    </row>
    <row r="4" spans="1:21" x14ac:dyDescent="0.25">
      <c r="A4" s="7" t="s">
        <v>288</v>
      </c>
      <c r="B4" s="7" t="s">
        <v>292</v>
      </c>
      <c r="C4" s="7"/>
      <c r="D4" s="42" t="s">
        <v>289</v>
      </c>
      <c r="E4" s="7">
        <v>2017</v>
      </c>
      <c r="F4" s="7">
        <v>15</v>
      </c>
      <c r="G4" s="7">
        <f>2024-E4</f>
        <v>7</v>
      </c>
      <c r="H4" s="7">
        <f t="shared" ref="H4:H8" si="0">+IF(G4&lt;=F4,(F4-G4),0)</f>
        <v>8</v>
      </c>
      <c r="I4" s="7">
        <v>36633</v>
      </c>
      <c r="J4" s="7"/>
      <c r="K4" s="7"/>
      <c r="L4" s="13">
        <f t="shared" ref="L4" si="1">+I4+J4-K4</f>
        <v>36633</v>
      </c>
      <c r="M4" s="13">
        <f t="shared" ref="M4" si="2">+L4*0.05</f>
        <v>1831.65</v>
      </c>
      <c r="N4" s="13">
        <v>16365</v>
      </c>
      <c r="O4" s="13">
        <f t="shared" ref="O4" si="3">+IF(H4&gt;0,((L4-M4)/F4),0)</f>
        <v>2320.0899999999997</v>
      </c>
      <c r="P4" s="13">
        <f t="shared" ref="P4" si="4">+N4+O4</f>
        <v>18685.09</v>
      </c>
      <c r="Q4" s="13"/>
      <c r="R4" s="13">
        <f t="shared" ref="R4" si="5">+IF(H4&gt;0,(L4-P4-Q4),M4)</f>
        <v>17947.91</v>
      </c>
    </row>
    <row r="5" spans="1:21" x14ac:dyDescent="0.25">
      <c r="A5" s="7" t="s">
        <v>288</v>
      </c>
      <c r="B5" s="7" t="s">
        <v>293</v>
      </c>
      <c r="C5" s="7"/>
      <c r="D5" s="42" t="s">
        <v>289</v>
      </c>
      <c r="E5" s="7">
        <v>2017</v>
      </c>
      <c r="F5" s="7">
        <v>15</v>
      </c>
      <c r="G5" s="7">
        <f t="shared" ref="G5:G8" si="6">2024-E5</f>
        <v>7</v>
      </c>
      <c r="H5" s="7">
        <f t="shared" si="0"/>
        <v>8</v>
      </c>
      <c r="I5" s="7">
        <v>7547.2</v>
      </c>
      <c r="J5" s="7"/>
      <c r="K5" s="7"/>
      <c r="L5" s="13">
        <f t="shared" ref="L5:L8" si="7">+I5+J5-K5</f>
        <v>7547.2</v>
      </c>
      <c r="M5" s="13">
        <f t="shared" ref="M5:M8" si="8">+L5*0.05</f>
        <v>377.36</v>
      </c>
      <c r="N5" s="13">
        <v>3417</v>
      </c>
      <c r="O5" s="13">
        <f t="shared" ref="O5:O8" si="9">+IF(H5&gt;0,((L5-M5)/F5),0)</f>
        <v>477.98933333333332</v>
      </c>
      <c r="P5" s="13">
        <f t="shared" ref="P5:P8" si="10">+N5+O5</f>
        <v>3894.9893333333334</v>
      </c>
      <c r="Q5" s="13"/>
      <c r="R5" s="13">
        <f t="shared" ref="R5:R8" si="11">+IF(H5&gt;0,(L5-P5-Q5),M5)</f>
        <v>3652.2106666666664</v>
      </c>
    </row>
    <row r="6" spans="1:21" x14ac:dyDescent="0.25">
      <c r="A6" s="7" t="s">
        <v>288</v>
      </c>
      <c r="B6" s="7" t="s">
        <v>294</v>
      </c>
      <c r="C6" s="7"/>
      <c r="D6" s="42" t="s">
        <v>289</v>
      </c>
      <c r="E6" s="7">
        <v>2017</v>
      </c>
      <c r="F6" s="7">
        <v>15</v>
      </c>
      <c r="G6" s="7">
        <f t="shared" si="6"/>
        <v>7</v>
      </c>
      <c r="H6" s="7">
        <f t="shared" si="0"/>
        <v>8</v>
      </c>
      <c r="I6" s="7">
        <v>171950</v>
      </c>
      <c r="J6" s="7"/>
      <c r="K6" s="7"/>
      <c r="L6" s="13">
        <f t="shared" si="7"/>
        <v>171950</v>
      </c>
      <c r="M6" s="13">
        <f t="shared" si="8"/>
        <v>8597.5</v>
      </c>
      <c r="N6" s="13">
        <v>75346.5</v>
      </c>
      <c r="O6" s="13">
        <f t="shared" si="9"/>
        <v>10890.166666666666</v>
      </c>
      <c r="P6" s="13">
        <f t="shared" si="10"/>
        <v>86236.666666666672</v>
      </c>
      <c r="Q6" s="13"/>
      <c r="R6" s="13">
        <f t="shared" si="11"/>
        <v>85713.333333333328</v>
      </c>
    </row>
    <row r="7" spans="1:21" x14ac:dyDescent="0.25">
      <c r="A7" s="7" t="s">
        <v>288</v>
      </c>
      <c r="B7" s="7" t="s">
        <v>295</v>
      </c>
      <c r="C7" s="7"/>
      <c r="D7" s="42" t="s">
        <v>289</v>
      </c>
      <c r="E7" s="7">
        <v>2018</v>
      </c>
      <c r="F7" s="7">
        <v>15</v>
      </c>
      <c r="G7" s="7">
        <f t="shared" si="6"/>
        <v>6</v>
      </c>
      <c r="H7" s="7">
        <f t="shared" si="0"/>
        <v>9</v>
      </c>
      <c r="I7" s="7">
        <v>65656</v>
      </c>
      <c r="J7" s="7"/>
      <c r="K7" s="7"/>
      <c r="L7" s="13">
        <f t="shared" si="7"/>
        <v>65656</v>
      </c>
      <c r="M7" s="13">
        <f t="shared" si="8"/>
        <v>3282.8</v>
      </c>
      <c r="N7" s="13">
        <v>12860.75</v>
      </c>
      <c r="O7" s="13">
        <f t="shared" si="9"/>
        <v>4158.2133333333331</v>
      </c>
      <c r="P7" s="13">
        <f t="shared" si="10"/>
        <v>17018.963333333333</v>
      </c>
      <c r="Q7" s="13"/>
      <c r="R7" s="13">
        <f t="shared" si="11"/>
        <v>48637.036666666667</v>
      </c>
    </row>
    <row r="8" spans="1:21" x14ac:dyDescent="0.25">
      <c r="A8" s="7" t="s">
        <v>288</v>
      </c>
      <c r="B8" s="7" t="s">
        <v>296</v>
      </c>
      <c r="C8" s="7"/>
      <c r="D8" s="42" t="s">
        <v>289</v>
      </c>
      <c r="E8" s="7">
        <v>2019</v>
      </c>
      <c r="F8" s="7">
        <v>15</v>
      </c>
      <c r="G8" s="7">
        <f t="shared" si="6"/>
        <v>5</v>
      </c>
      <c r="H8" s="7">
        <f t="shared" si="0"/>
        <v>10</v>
      </c>
      <c r="I8" s="7">
        <v>13500</v>
      </c>
      <c r="J8" s="7"/>
      <c r="K8" s="7"/>
      <c r="L8" s="13">
        <f t="shared" si="7"/>
        <v>13500</v>
      </c>
      <c r="M8" s="13">
        <f t="shared" si="8"/>
        <v>675</v>
      </c>
      <c r="N8" s="13">
        <v>213.75</v>
      </c>
      <c r="O8" s="13">
        <f t="shared" si="9"/>
        <v>855</v>
      </c>
      <c r="P8" s="13">
        <f t="shared" si="10"/>
        <v>1068.75</v>
      </c>
      <c r="Q8" s="13"/>
      <c r="R8" s="13">
        <f t="shared" si="11"/>
        <v>12431.25</v>
      </c>
    </row>
    <row r="9" spans="1:21" x14ac:dyDescent="0.25">
      <c r="A9" s="24" t="s">
        <v>360</v>
      </c>
      <c r="B9" s="24"/>
      <c r="C9" s="24"/>
      <c r="D9" s="24"/>
      <c r="E9" s="24"/>
      <c r="F9" s="24"/>
      <c r="G9" s="24"/>
      <c r="H9" s="24"/>
      <c r="I9" s="24">
        <f>SUM(I4:I8)</f>
        <v>295286.2</v>
      </c>
      <c r="J9" s="24">
        <f t="shared" ref="J9:R9" si="12">SUM(J4:J8)</f>
        <v>0</v>
      </c>
      <c r="K9" s="24">
        <f t="shared" si="12"/>
        <v>0</v>
      </c>
      <c r="L9" s="24">
        <f t="shared" si="12"/>
        <v>295286.2</v>
      </c>
      <c r="M9" s="24">
        <f t="shared" si="12"/>
        <v>14764.310000000001</v>
      </c>
      <c r="N9" s="24">
        <f t="shared" si="12"/>
        <v>108203</v>
      </c>
      <c r="O9" s="24">
        <f t="shared" si="12"/>
        <v>18701.459333333332</v>
      </c>
      <c r="P9" s="24">
        <f t="shared" si="12"/>
        <v>126904.45933333335</v>
      </c>
      <c r="Q9" s="24">
        <f t="shared" si="12"/>
        <v>0</v>
      </c>
      <c r="R9" s="24">
        <f t="shared" si="12"/>
        <v>168381.74066666665</v>
      </c>
    </row>
    <row r="10" spans="1:2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21" x14ac:dyDescent="0.25">
      <c r="A11" s="7" t="s">
        <v>318</v>
      </c>
      <c r="B11" s="7" t="s">
        <v>320</v>
      </c>
      <c r="C11" s="7"/>
      <c r="D11" s="42" t="s">
        <v>379</v>
      </c>
      <c r="E11" s="43" t="s">
        <v>385</v>
      </c>
      <c r="F11" s="7">
        <v>8</v>
      </c>
      <c r="G11" s="7">
        <f t="shared" ref="G11:G16" si="13">2024-E11</f>
        <v>19</v>
      </c>
      <c r="H11" s="7">
        <f t="shared" ref="H11:H16" si="14">+IF(G11&lt;=F11,(F11-G11),0)</f>
        <v>0</v>
      </c>
      <c r="I11" s="7">
        <v>470240</v>
      </c>
      <c r="J11" s="7"/>
      <c r="K11" s="7"/>
      <c r="L11" s="13">
        <f t="shared" ref="L11:L16" si="15">+I11+J11-K11</f>
        <v>470240</v>
      </c>
      <c r="M11" s="13">
        <f t="shared" ref="M11:M16" si="16">+L11*0.05</f>
        <v>23512</v>
      </c>
      <c r="N11" s="7">
        <f>470240-23512</f>
        <v>446728</v>
      </c>
      <c r="O11" s="13">
        <f t="shared" ref="O11:O16" si="17">+IF(H11&gt;0,((L11-M11)/F11),0)</f>
        <v>0</v>
      </c>
      <c r="P11" s="13">
        <f t="shared" ref="P11:P16" si="18">+N11+O11</f>
        <v>446728</v>
      </c>
      <c r="Q11" s="7"/>
      <c r="R11" s="13">
        <f t="shared" ref="R11:R16" si="19">+IF(H11&gt;0,(L11-P11-Q11),M11)</f>
        <v>23512</v>
      </c>
      <c r="S11" s="38"/>
      <c r="U11" s="38"/>
    </row>
    <row r="12" spans="1:21" x14ac:dyDescent="0.25">
      <c r="A12" s="7" t="s">
        <v>318</v>
      </c>
      <c r="B12" s="7" t="s">
        <v>322</v>
      </c>
      <c r="C12" s="7"/>
      <c r="D12" s="42" t="s">
        <v>380</v>
      </c>
      <c r="E12" s="43" t="s">
        <v>386</v>
      </c>
      <c r="F12" s="7">
        <v>8</v>
      </c>
      <c r="G12" s="7">
        <f t="shared" si="13"/>
        <v>16</v>
      </c>
      <c r="H12" s="7">
        <f t="shared" si="14"/>
        <v>0</v>
      </c>
      <c r="I12" s="7">
        <v>595437</v>
      </c>
      <c r="J12" s="7"/>
      <c r="K12" s="7"/>
      <c r="L12" s="13">
        <f t="shared" si="15"/>
        <v>595437</v>
      </c>
      <c r="M12" s="13">
        <f t="shared" si="16"/>
        <v>29771.850000000002</v>
      </c>
      <c r="N12" s="7">
        <v>565665.09</v>
      </c>
      <c r="O12" s="13">
        <f t="shared" si="17"/>
        <v>0</v>
      </c>
      <c r="P12" s="13">
        <f t="shared" si="18"/>
        <v>565665.09</v>
      </c>
      <c r="Q12" s="7"/>
      <c r="R12" s="13">
        <f t="shared" si="19"/>
        <v>29771.850000000002</v>
      </c>
      <c r="S12" s="38"/>
      <c r="U12" s="38"/>
    </row>
    <row r="13" spans="1:21" x14ac:dyDescent="0.25">
      <c r="A13" s="7" t="s">
        <v>318</v>
      </c>
      <c r="B13" s="7" t="s">
        <v>323</v>
      </c>
      <c r="C13" s="7"/>
      <c r="D13" s="42" t="s">
        <v>381</v>
      </c>
      <c r="E13" s="43" t="s">
        <v>387</v>
      </c>
      <c r="F13" s="7">
        <v>8</v>
      </c>
      <c r="G13" s="7">
        <f t="shared" si="13"/>
        <v>13</v>
      </c>
      <c r="H13" s="7">
        <f t="shared" si="14"/>
        <v>0</v>
      </c>
      <c r="I13" s="7">
        <v>4207081</v>
      </c>
      <c r="J13" s="7"/>
      <c r="K13" s="7"/>
      <c r="L13" s="13">
        <f t="shared" si="15"/>
        <v>4207081</v>
      </c>
      <c r="M13" s="13">
        <f t="shared" si="16"/>
        <v>210354.05000000002</v>
      </c>
      <c r="N13" s="7">
        <f>3182527.085+814200</f>
        <v>3996727.085</v>
      </c>
      <c r="O13" s="13">
        <f t="shared" si="17"/>
        <v>0</v>
      </c>
      <c r="P13" s="13">
        <f t="shared" si="18"/>
        <v>3996727.085</v>
      </c>
      <c r="Q13" s="7"/>
      <c r="R13" s="13">
        <f t="shared" si="19"/>
        <v>210354.05000000002</v>
      </c>
      <c r="S13" s="38"/>
      <c r="U13" s="38"/>
    </row>
    <row r="14" spans="1:21" x14ac:dyDescent="0.25">
      <c r="A14" s="7" t="s">
        <v>318</v>
      </c>
      <c r="B14" s="7" t="s">
        <v>324</v>
      </c>
      <c r="C14" s="7"/>
      <c r="D14" s="42" t="s">
        <v>382</v>
      </c>
      <c r="E14" s="43" t="s">
        <v>385</v>
      </c>
      <c r="F14" s="7">
        <v>8</v>
      </c>
      <c r="G14" s="7">
        <f t="shared" si="13"/>
        <v>19</v>
      </c>
      <c r="H14" s="7">
        <f t="shared" si="14"/>
        <v>0</v>
      </c>
      <c r="I14" s="7">
        <v>482700</v>
      </c>
      <c r="J14" s="7"/>
      <c r="K14" s="7"/>
      <c r="L14" s="13">
        <f t="shared" si="15"/>
        <v>482700</v>
      </c>
      <c r="M14" s="13">
        <f t="shared" si="16"/>
        <v>24135</v>
      </c>
      <c r="N14" s="7">
        <f>437570+20995</f>
        <v>458565</v>
      </c>
      <c r="O14" s="13">
        <f t="shared" si="17"/>
        <v>0</v>
      </c>
      <c r="P14" s="13">
        <f t="shared" si="18"/>
        <v>458565</v>
      </c>
      <c r="Q14" s="7"/>
      <c r="R14" s="13">
        <f t="shared" si="19"/>
        <v>24135</v>
      </c>
      <c r="S14" s="38"/>
      <c r="U14" s="38"/>
    </row>
    <row r="15" spans="1:21" x14ac:dyDescent="0.25">
      <c r="A15" s="7" t="s">
        <v>318</v>
      </c>
      <c r="B15" s="7" t="s">
        <v>390</v>
      </c>
      <c r="C15" s="7"/>
      <c r="D15" s="42" t="s">
        <v>383</v>
      </c>
      <c r="E15" s="43" t="s">
        <v>388</v>
      </c>
      <c r="F15" s="7">
        <v>8</v>
      </c>
      <c r="G15" s="7">
        <f t="shared" si="13"/>
        <v>9</v>
      </c>
      <c r="H15" s="7">
        <f t="shared" si="14"/>
        <v>0</v>
      </c>
      <c r="I15" s="7">
        <v>1100366</v>
      </c>
      <c r="J15" s="7"/>
      <c r="K15" s="7"/>
      <c r="L15" s="13">
        <f t="shared" si="15"/>
        <v>1100366</v>
      </c>
      <c r="M15" s="13">
        <f t="shared" si="16"/>
        <v>55018.3</v>
      </c>
      <c r="N15" s="7">
        <f>784011+261337</f>
        <v>1045348</v>
      </c>
      <c r="O15" s="13">
        <f t="shared" si="17"/>
        <v>0</v>
      </c>
      <c r="P15" s="13">
        <f t="shared" si="18"/>
        <v>1045348</v>
      </c>
      <c r="Q15" s="7"/>
      <c r="R15" s="13">
        <f t="shared" si="19"/>
        <v>55018.3</v>
      </c>
      <c r="S15" s="38"/>
      <c r="U15" s="38"/>
    </row>
    <row r="16" spans="1:21" x14ac:dyDescent="0.25">
      <c r="A16" s="7" t="s">
        <v>318</v>
      </c>
      <c r="B16" s="7" t="s">
        <v>391</v>
      </c>
      <c r="C16" s="7"/>
      <c r="D16" s="42" t="s">
        <v>384</v>
      </c>
      <c r="E16" s="43" t="s">
        <v>389</v>
      </c>
      <c r="F16" s="7">
        <v>8</v>
      </c>
      <c r="G16" s="7">
        <f t="shared" si="13"/>
        <v>6</v>
      </c>
      <c r="H16" s="7">
        <f t="shared" si="14"/>
        <v>2</v>
      </c>
      <c r="I16" s="7">
        <v>731937</v>
      </c>
      <c r="J16" s="7"/>
      <c r="K16" s="7"/>
      <c r="L16" s="13">
        <f t="shared" si="15"/>
        <v>731937</v>
      </c>
      <c r="M16" s="13">
        <f t="shared" si="16"/>
        <v>36596.85</v>
      </c>
      <c r="N16" s="7">
        <f>365633-54818-68</f>
        <v>310747</v>
      </c>
      <c r="O16" s="13">
        <f t="shared" si="17"/>
        <v>86917.518750000003</v>
      </c>
      <c r="P16" s="13">
        <f t="shared" si="18"/>
        <v>397664.51874999999</v>
      </c>
      <c r="Q16" s="7"/>
      <c r="R16" s="13">
        <f t="shared" si="19"/>
        <v>334272.48125000001</v>
      </c>
      <c r="S16" s="38"/>
      <c r="U16" s="38"/>
    </row>
    <row r="17" spans="1:18" x14ac:dyDescent="0.25">
      <c r="A17" s="24" t="s">
        <v>360</v>
      </c>
      <c r="B17" s="24"/>
      <c r="C17" s="24"/>
      <c r="D17" s="24"/>
      <c r="E17" s="24"/>
      <c r="F17" s="24"/>
      <c r="G17" s="24"/>
      <c r="H17" s="24"/>
      <c r="I17" s="24">
        <f>SUM(I11:I16)</f>
        <v>7587761</v>
      </c>
      <c r="J17" s="24">
        <f t="shared" ref="J17:R17" si="20">SUM(J11:J16)</f>
        <v>0</v>
      </c>
      <c r="K17" s="24">
        <f t="shared" si="20"/>
        <v>0</v>
      </c>
      <c r="L17" s="24">
        <f t="shared" si="20"/>
        <v>7587761</v>
      </c>
      <c r="M17" s="24">
        <f t="shared" si="20"/>
        <v>379388.05</v>
      </c>
      <c r="N17" s="24">
        <f t="shared" si="20"/>
        <v>6823780.1749999998</v>
      </c>
      <c r="O17" s="24">
        <f t="shared" si="20"/>
        <v>86917.518750000003</v>
      </c>
      <c r="P17" s="24">
        <f t="shared" si="20"/>
        <v>6910697.6937499996</v>
      </c>
      <c r="Q17" s="24">
        <f t="shared" si="20"/>
        <v>0</v>
      </c>
      <c r="R17" s="24">
        <f t="shared" si="20"/>
        <v>677063.68125000002</v>
      </c>
    </row>
    <row r="18" spans="1:18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x14ac:dyDescent="0.25">
      <c r="A19" s="7" t="s">
        <v>319</v>
      </c>
      <c r="B19" s="7" t="s">
        <v>325</v>
      </c>
      <c r="C19" s="7"/>
      <c r="D19" s="42" t="s">
        <v>392</v>
      </c>
      <c r="E19" s="7">
        <v>2012</v>
      </c>
      <c r="F19" s="7">
        <v>3</v>
      </c>
      <c r="G19" s="7">
        <f>2024-E19</f>
        <v>12</v>
      </c>
      <c r="H19" s="7">
        <f t="shared" ref="H19" si="21">+IF(G19&lt;=F19,(F19-G19),0)</f>
        <v>0</v>
      </c>
      <c r="I19" s="7">
        <v>92615</v>
      </c>
      <c r="J19" s="7"/>
      <c r="K19" s="7"/>
      <c r="L19" s="13">
        <f t="shared" ref="L19" si="22">+I19+J19-K19</f>
        <v>92615</v>
      </c>
      <c r="M19" s="13">
        <f t="shared" ref="M19" si="23">+L19*0.05</f>
        <v>4630.75</v>
      </c>
      <c r="N19" s="7">
        <v>87984</v>
      </c>
      <c r="O19" s="13">
        <f t="shared" ref="O19" si="24">+IF(H19&gt;0,((L19-M19)/F19),0)</f>
        <v>0</v>
      </c>
      <c r="P19" s="13">
        <f t="shared" ref="P19" si="25">+N19+O19</f>
        <v>87984</v>
      </c>
      <c r="Q19" s="7"/>
      <c r="R19" s="13">
        <f t="shared" ref="R19" si="26">+IF(H19&gt;0,(L19-P19-Q19),M19)</f>
        <v>4630.75</v>
      </c>
    </row>
    <row r="20" spans="1:18" x14ac:dyDescent="0.25">
      <c r="A20" s="24" t="s">
        <v>360</v>
      </c>
      <c r="B20" s="24"/>
      <c r="C20" s="24"/>
      <c r="D20" s="24"/>
      <c r="E20" s="24"/>
      <c r="F20" s="24"/>
      <c r="G20" s="24"/>
      <c r="H20" s="24"/>
      <c r="I20" s="24">
        <f>SUM(I19)</f>
        <v>92615</v>
      </c>
      <c r="J20" s="24">
        <f t="shared" ref="J20:R20" si="27">SUM(J19)</f>
        <v>0</v>
      </c>
      <c r="K20" s="24">
        <f t="shared" si="27"/>
        <v>0</v>
      </c>
      <c r="L20" s="24">
        <f t="shared" si="27"/>
        <v>92615</v>
      </c>
      <c r="M20" s="24">
        <f t="shared" si="27"/>
        <v>4630.75</v>
      </c>
      <c r="N20" s="24">
        <f t="shared" si="27"/>
        <v>87984</v>
      </c>
      <c r="O20" s="24">
        <f t="shared" si="27"/>
        <v>0</v>
      </c>
      <c r="P20" s="24">
        <f t="shared" si="27"/>
        <v>87984</v>
      </c>
      <c r="Q20" s="24">
        <f t="shared" si="27"/>
        <v>0</v>
      </c>
      <c r="R20" s="24">
        <f t="shared" si="27"/>
        <v>4630.75</v>
      </c>
    </row>
  </sheetData>
  <mergeCells count="1">
    <mergeCell ref="A1:R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E7158-5E1E-429F-9A0E-8D3192DC259A}">
  <dimension ref="A1:L24"/>
  <sheetViews>
    <sheetView workbookViewId="0">
      <selection activeCell="I14" sqref="I14"/>
    </sheetView>
  </sheetViews>
  <sheetFormatPr defaultRowHeight="14.4" x14ac:dyDescent="0.3"/>
  <cols>
    <col min="1" max="1" width="12.6640625" bestFit="1" customWidth="1"/>
    <col min="2" max="2" width="26.109375" bestFit="1" customWidth="1"/>
    <col min="3" max="3" width="26.33203125" bestFit="1" customWidth="1"/>
    <col min="4" max="4" width="9.44140625" bestFit="1" customWidth="1"/>
    <col min="5" max="5" width="8" bestFit="1" customWidth="1"/>
    <col min="6" max="6" width="26.109375" bestFit="1" customWidth="1"/>
    <col min="7" max="7" width="13.33203125" bestFit="1" customWidth="1"/>
    <col min="8" max="8" width="14.21875" bestFit="1" customWidth="1"/>
    <col min="9" max="9" width="14.33203125" bestFit="1" customWidth="1"/>
    <col min="10" max="10" width="16.44140625" bestFit="1" customWidth="1"/>
    <col min="11" max="11" width="18.5546875" bestFit="1" customWidth="1"/>
    <col min="12" max="12" width="16.21875" bestFit="1" customWidth="1"/>
  </cols>
  <sheetData>
    <row r="1" spans="1:12" x14ac:dyDescent="0.3">
      <c r="A1" s="106" t="s">
        <v>373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x14ac:dyDescent="0.3">
      <c r="A3" s="34" t="s">
        <v>12</v>
      </c>
      <c r="B3" s="34" t="s">
        <v>361</v>
      </c>
      <c r="C3" s="34" t="s">
        <v>356</v>
      </c>
      <c r="D3" s="34" t="s">
        <v>357</v>
      </c>
      <c r="E3" s="34" t="s">
        <v>358</v>
      </c>
      <c r="F3" s="34" t="s">
        <v>359</v>
      </c>
      <c r="G3" s="34" t="s">
        <v>6</v>
      </c>
      <c r="H3" s="34" t="s">
        <v>7</v>
      </c>
      <c r="I3" s="34" t="s">
        <v>8</v>
      </c>
      <c r="J3" s="34" t="s">
        <v>9</v>
      </c>
      <c r="K3" s="34" t="s">
        <v>20</v>
      </c>
      <c r="L3" s="34" t="s">
        <v>10</v>
      </c>
    </row>
    <row r="4" spans="1:12" x14ac:dyDescent="0.3">
      <c r="A4" s="31" t="s">
        <v>288</v>
      </c>
      <c r="B4" s="31" t="s">
        <v>368</v>
      </c>
      <c r="C4" s="33">
        <f>+'Detailed-AWB'!I9</f>
        <v>295286.2</v>
      </c>
      <c r="D4" s="33">
        <f>+'Detailed-AWB'!J9</f>
        <v>0</v>
      </c>
      <c r="E4" s="33">
        <f>+'Detailed-AWB'!K9</f>
        <v>0</v>
      </c>
      <c r="F4" s="33">
        <f>+'Detailed-AWB'!L9</f>
        <v>295286.2</v>
      </c>
      <c r="G4" s="33">
        <f>+'Detailed-AWB'!M9</f>
        <v>14764.310000000001</v>
      </c>
      <c r="H4" s="33">
        <f>+'Detailed-AWB'!N9</f>
        <v>108203</v>
      </c>
      <c r="I4" s="33">
        <f>+'Detailed-AWB'!O9</f>
        <v>18701.459333333332</v>
      </c>
      <c r="J4" s="33">
        <f>+'Detailed-AWB'!P9</f>
        <v>126904.45933333335</v>
      </c>
      <c r="K4" s="33">
        <f>+'Detailed-AWB'!Q9</f>
        <v>0</v>
      </c>
      <c r="L4" s="33">
        <f>+'Detailed-AWB'!R9</f>
        <v>168381.74066666665</v>
      </c>
    </row>
    <row r="5" spans="1:12" x14ac:dyDescent="0.3">
      <c r="A5" s="31" t="s">
        <v>318</v>
      </c>
      <c r="B5" s="31" t="s">
        <v>370</v>
      </c>
      <c r="C5" s="33">
        <f>+'Detailed-AWB'!I17</f>
        <v>7587761</v>
      </c>
      <c r="D5" s="33">
        <f>+'Detailed-AWB'!J17</f>
        <v>0</v>
      </c>
      <c r="E5" s="33">
        <f>+'Detailed-AWB'!K17</f>
        <v>0</v>
      </c>
      <c r="F5" s="33">
        <f>+'Detailed-AWB'!L17</f>
        <v>7587761</v>
      </c>
      <c r="G5" s="33">
        <f>+'Detailed-AWB'!M17</f>
        <v>379388.05</v>
      </c>
      <c r="H5" s="33">
        <f>+'Detailed-AWB'!N17</f>
        <v>6823780.1749999998</v>
      </c>
      <c r="I5" s="33">
        <f>+'Detailed-AWB'!O17</f>
        <v>86917.518750000003</v>
      </c>
      <c r="J5" s="33">
        <f>+'Detailed-AWB'!P17</f>
        <v>6910697.6937499996</v>
      </c>
      <c r="K5" s="33">
        <f>+'Detailed-AWB'!Q17</f>
        <v>0</v>
      </c>
      <c r="L5" s="33">
        <f>+'Detailed-AWB'!R17</f>
        <v>677063.68125000002</v>
      </c>
    </row>
    <row r="6" spans="1:12" x14ac:dyDescent="0.3">
      <c r="A6" s="31" t="s">
        <v>319</v>
      </c>
      <c r="B6" s="31" t="s">
        <v>372</v>
      </c>
      <c r="C6" s="33">
        <f>+'Detailed-AWB'!I20</f>
        <v>92615</v>
      </c>
      <c r="D6" s="33">
        <f>+'Detailed-AWB'!J20</f>
        <v>0</v>
      </c>
      <c r="E6" s="33">
        <f>+'Detailed-AWB'!K20</f>
        <v>0</v>
      </c>
      <c r="F6" s="33">
        <f>+'Detailed-AWB'!L20</f>
        <v>92615</v>
      </c>
      <c r="G6" s="33">
        <f>+'Detailed-AWB'!M20</f>
        <v>4630.75</v>
      </c>
      <c r="H6" s="33">
        <f>+'Detailed-AWB'!N20</f>
        <v>87984</v>
      </c>
      <c r="I6" s="33">
        <f>+'Detailed-AWB'!O20</f>
        <v>0</v>
      </c>
      <c r="J6" s="33">
        <f>+'Detailed-AWB'!P20</f>
        <v>87984</v>
      </c>
      <c r="K6" s="33">
        <f>+'Detailed-AWB'!Q20</f>
        <v>0</v>
      </c>
      <c r="L6" s="33">
        <f>+'Detailed-AWB'!R20</f>
        <v>4630.75</v>
      </c>
    </row>
    <row r="7" spans="1:12" ht="15" thickBot="1" x14ac:dyDescent="0.35">
      <c r="A7" s="35" t="s">
        <v>360</v>
      </c>
      <c r="B7" s="35"/>
      <c r="C7" s="36">
        <f t="shared" ref="C7:L7" si="0">SUM(C4:C6)</f>
        <v>7975662.2000000002</v>
      </c>
      <c r="D7" s="36">
        <f t="shared" si="0"/>
        <v>0</v>
      </c>
      <c r="E7" s="36">
        <f t="shared" si="0"/>
        <v>0</v>
      </c>
      <c r="F7" s="36">
        <f t="shared" si="0"/>
        <v>7975662.2000000002</v>
      </c>
      <c r="G7" s="36">
        <f t="shared" si="0"/>
        <v>398783.11</v>
      </c>
      <c r="H7" s="36">
        <f t="shared" si="0"/>
        <v>7019967.1749999998</v>
      </c>
      <c r="I7" s="36">
        <f t="shared" si="0"/>
        <v>105618.97808333334</v>
      </c>
      <c r="J7" s="36">
        <f t="shared" si="0"/>
        <v>7125586.1530833328</v>
      </c>
      <c r="K7" s="36">
        <f t="shared" si="0"/>
        <v>0</v>
      </c>
      <c r="L7" s="36">
        <f t="shared" si="0"/>
        <v>850076.17191666667</v>
      </c>
    </row>
    <row r="8" spans="1:12" ht="15" thickTop="1" x14ac:dyDescent="0.3"/>
    <row r="9" spans="1:12" x14ac:dyDescent="0.3">
      <c r="A9" s="106" t="s">
        <v>374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</row>
    <row r="10" spans="1:12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2" x14ac:dyDescent="0.3">
      <c r="A11" s="34" t="s">
        <v>12</v>
      </c>
      <c r="B11" s="34" t="s">
        <v>361</v>
      </c>
      <c r="C11" s="34" t="s">
        <v>356</v>
      </c>
      <c r="D11" s="34" t="s">
        <v>357</v>
      </c>
      <c r="E11" s="34" t="s">
        <v>358</v>
      </c>
      <c r="F11" s="34" t="s">
        <v>359</v>
      </c>
      <c r="G11" s="34" t="s">
        <v>6</v>
      </c>
      <c r="H11" s="34" t="s">
        <v>7</v>
      </c>
      <c r="I11" s="34" t="s">
        <v>8</v>
      </c>
      <c r="J11" s="34" t="s">
        <v>9</v>
      </c>
      <c r="K11" s="34" t="s">
        <v>20</v>
      </c>
      <c r="L11" s="34" t="s">
        <v>10</v>
      </c>
    </row>
    <row r="12" spans="1:12" x14ac:dyDescent="0.3">
      <c r="A12" s="31" t="s">
        <v>288</v>
      </c>
      <c r="B12" s="31" t="s">
        <v>368</v>
      </c>
      <c r="C12" s="33">
        <v>295286</v>
      </c>
      <c r="D12" s="33">
        <v>0</v>
      </c>
      <c r="E12" s="33">
        <f>+'Detailed- HWD'!K237</f>
        <v>0</v>
      </c>
      <c r="F12" s="33">
        <f t="shared" ref="F12:F14" si="1">+C12+D12-E12</f>
        <v>295286</v>
      </c>
      <c r="G12" s="33">
        <f>+G4</f>
        <v>14764.310000000001</v>
      </c>
      <c r="H12" s="33">
        <v>108202.67</v>
      </c>
      <c r="I12" s="33">
        <v>18701</v>
      </c>
      <c r="J12" s="33">
        <f t="shared" ref="J12:J14" si="2">+H12+I12</f>
        <v>126903.67</v>
      </c>
      <c r="K12" s="33"/>
      <c r="L12" s="33">
        <f t="shared" ref="L12:L14" si="3">+F12-J12</f>
        <v>168382.33000000002</v>
      </c>
    </row>
    <row r="13" spans="1:12" x14ac:dyDescent="0.3">
      <c r="A13" s="31" t="s">
        <v>318</v>
      </c>
      <c r="B13" s="31" t="s">
        <v>370</v>
      </c>
      <c r="C13" s="33">
        <v>7587761</v>
      </c>
      <c r="D13" s="33">
        <v>0</v>
      </c>
      <c r="E13" s="33">
        <f>+'Detailed- HWD'!K249</f>
        <v>0</v>
      </c>
      <c r="F13" s="33">
        <f t="shared" si="1"/>
        <v>7587761</v>
      </c>
      <c r="G13" s="33">
        <f t="shared" ref="G13:G14" si="4">+G5</f>
        <v>379388.05</v>
      </c>
      <c r="H13" s="33">
        <v>6823780.4500000002</v>
      </c>
      <c r="I13" s="33">
        <v>86918</v>
      </c>
      <c r="J13" s="33">
        <f t="shared" si="2"/>
        <v>6910698.4500000002</v>
      </c>
      <c r="K13" s="33"/>
      <c r="L13" s="33">
        <f t="shared" si="3"/>
        <v>677062.54999999981</v>
      </c>
    </row>
    <row r="14" spans="1:12" x14ac:dyDescent="0.3">
      <c r="A14" s="31" t="s">
        <v>319</v>
      </c>
      <c r="B14" s="31" t="s">
        <v>372</v>
      </c>
      <c r="C14" s="33">
        <v>92615</v>
      </c>
      <c r="D14" s="33">
        <v>0</v>
      </c>
      <c r="E14" s="33">
        <f>+'Detailed- HWD'!K276</f>
        <v>0</v>
      </c>
      <c r="F14" s="33">
        <f t="shared" si="1"/>
        <v>92615</v>
      </c>
      <c r="G14" s="33">
        <f t="shared" si="4"/>
        <v>4630.75</v>
      </c>
      <c r="H14" s="33">
        <v>87984</v>
      </c>
      <c r="I14" s="33">
        <f>+I6</f>
        <v>0</v>
      </c>
      <c r="J14" s="33">
        <f t="shared" si="2"/>
        <v>87984</v>
      </c>
      <c r="K14" s="33"/>
      <c r="L14" s="33">
        <f t="shared" si="3"/>
        <v>4631</v>
      </c>
    </row>
    <row r="15" spans="1:12" ht="15" thickBot="1" x14ac:dyDescent="0.35">
      <c r="A15" s="35" t="s">
        <v>360</v>
      </c>
      <c r="B15" s="35"/>
      <c r="C15" s="36">
        <f t="shared" ref="C15:L15" si="5">SUM(C12:C14)</f>
        <v>7975662</v>
      </c>
      <c r="D15" s="36">
        <f t="shared" si="5"/>
        <v>0</v>
      </c>
      <c r="E15" s="36">
        <f t="shared" si="5"/>
        <v>0</v>
      </c>
      <c r="F15" s="36">
        <f t="shared" si="5"/>
        <v>7975662</v>
      </c>
      <c r="G15" s="36">
        <f t="shared" si="5"/>
        <v>398783.11</v>
      </c>
      <c r="H15" s="36">
        <f t="shared" si="5"/>
        <v>7019967.1200000001</v>
      </c>
      <c r="I15" s="36">
        <f t="shared" si="5"/>
        <v>105619</v>
      </c>
      <c r="J15" s="36">
        <f t="shared" si="5"/>
        <v>7125586.1200000001</v>
      </c>
      <c r="K15" s="36">
        <f t="shared" si="5"/>
        <v>0</v>
      </c>
      <c r="L15" s="36">
        <f t="shared" si="5"/>
        <v>850075.87999999989</v>
      </c>
    </row>
    <row r="16" spans="1:12" ht="15" thickTop="1" x14ac:dyDescent="0.3"/>
    <row r="17" spans="1:12" x14ac:dyDescent="0.3">
      <c r="A17" s="106" t="s">
        <v>375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</row>
    <row r="18" spans="1:12" x14ac:dyDescent="0.3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x14ac:dyDescent="0.3">
      <c r="A19" s="34" t="s">
        <v>12</v>
      </c>
      <c r="B19" s="34" t="s">
        <v>361</v>
      </c>
      <c r="C19" s="34" t="s">
        <v>356</v>
      </c>
      <c r="D19" s="34" t="s">
        <v>357</v>
      </c>
      <c r="E19" s="34" t="s">
        <v>358</v>
      </c>
      <c r="F19" s="34" t="s">
        <v>359</v>
      </c>
      <c r="G19" s="34" t="s">
        <v>6</v>
      </c>
      <c r="H19" s="34" t="s">
        <v>7</v>
      </c>
      <c r="I19" s="34" t="s">
        <v>8</v>
      </c>
      <c r="J19" s="34" t="s">
        <v>9</v>
      </c>
      <c r="K19" s="34" t="s">
        <v>20</v>
      </c>
      <c r="L19" s="34" t="s">
        <v>10</v>
      </c>
    </row>
    <row r="20" spans="1:12" x14ac:dyDescent="0.3">
      <c r="A20" s="31" t="s">
        <v>288</v>
      </c>
      <c r="B20" s="31" t="s">
        <v>368</v>
      </c>
      <c r="C20" s="33">
        <f t="shared" ref="C20:L20" si="6">+C4-C12</f>
        <v>0.20000000001164153</v>
      </c>
      <c r="D20" s="33">
        <f t="shared" si="6"/>
        <v>0</v>
      </c>
      <c r="E20" s="33">
        <f t="shared" si="6"/>
        <v>0</v>
      </c>
      <c r="F20" s="33">
        <f t="shared" si="6"/>
        <v>0.20000000001164153</v>
      </c>
      <c r="G20" s="33">
        <f t="shared" si="6"/>
        <v>0</v>
      </c>
      <c r="H20" s="33">
        <f t="shared" si="6"/>
        <v>0.33000000000174623</v>
      </c>
      <c r="I20" s="33">
        <f t="shared" si="6"/>
        <v>0.4593333333323244</v>
      </c>
      <c r="J20" s="33">
        <f t="shared" si="6"/>
        <v>0.78933333334862255</v>
      </c>
      <c r="K20" s="33">
        <f t="shared" si="6"/>
        <v>0</v>
      </c>
      <c r="L20" s="33">
        <f t="shared" si="6"/>
        <v>-0.58933333336608484</v>
      </c>
    </row>
    <row r="21" spans="1:12" x14ac:dyDescent="0.3">
      <c r="A21" s="31" t="s">
        <v>318</v>
      </c>
      <c r="B21" s="31" t="s">
        <v>370</v>
      </c>
      <c r="C21" s="33">
        <f t="shared" ref="C21:L21" si="7">+C5-C13</f>
        <v>0</v>
      </c>
      <c r="D21" s="33">
        <f t="shared" si="7"/>
        <v>0</v>
      </c>
      <c r="E21" s="33">
        <f t="shared" si="7"/>
        <v>0</v>
      </c>
      <c r="F21" s="33">
        <f t="shared" si="7"/>
        <v>0</v>
      </c>
      <c r="G21" s="33">
        <f t="shared" si="7"/>
        <v>0</v>
      </c>
      <c r="H21" s="33">
        <f t="shared" si="7"/>
        <v>-0.27500000037252903</v>
      </c>
      <c r="I21" s="33">
        <f t="shared" si="7"/>
        <v>-0.48124999999708962</v>
      </c>
      <c r="J21" s="33">
        <f t="shared" si="7"/>
        <v>-0.75625000055879354</v>
      </c>
      <c r="K21" s="33">
        <f t="shared" si="7"/>
        <v>0</v>
      </c>
      <c r="L21" s="33">
        <f t="shared" si="7"/>
        <v>1.1312500002095476</v>
      </c>
    </row>
    <row r="22" spans="1:12" x14ac:dyDescent="0.3">
      <c r="A22" s="31" t="s">
        <v>319</v>
      </c>
      <c r="B22" s="31" t="s">
        <v>372</v>
      </c>
      <c r="C22" s="33">
        <f t="shared" ref="C22:L22" si="8">+C6-C14</f>
        <v>0</v>
      </c>
      <c r="D22" s="33">
        <f t="shared" si="8"/>
        <v>0</v>
      </c>
      <c r="E22" s="33">
        <f t="shared" si="8"/>
        <v>0</v>
      </c>
      <c r="F22" s="33">
        <f t="shared" si="8"/>
        <v>0</v>
      </c>
      <c r="G22" s="33">
        <f t="shared" si="8"/>
        <v>0</v>
      </c>
      <c r="H22" s="33">
        <f t="shared" si="8"/>
        <v>0</v>
      </c>
      <c r="I22" s="33">
        <f t="shared" si="8"/>
        <v>0</v>
      </c>
      <c r="J22" s="33">
        <f t="shared" si="8"/>
        <v>0</v>
      </c>
      <c r="K22" s="33">
        <f t="shared" si="8"/>
        <v>0</v>
      </c>
      <c r="L22" s="33">
        <f t="shared" si="8"/>
        <v>-0.25</v>
      </c>
    </row>
    <row r="23" spans="1:12" ht="15" thickBot="1" x14ac:dyDescent="0.35">
      <c r="A23" s="35" t="s">
        <v>360</v>
      </c>
      <c r="B23" s="35"/>
      <c r="C23" s="36">
        <f t="shared" ref="C23:L23" si="9">SUM(C20:C22)</f>
        <v>0.20000000001164153</v>
      </c>
      <c r="D23" s="36">
        <f t="shared" si="9"/>
        <v>0</v>
      </c>
      <c r="E23" s="36">
        <f t="shared" si="9"/>
        <v>0</v>
      </c>
      <c r="F23" s="36">
        <f t="shared" si="9"/>
        <v>0.20000000001164153</v>
      </c>
      <c r="G23" s="36">
        <f t="shared" si="9"/>
        <v>0</v>
      </c>
      <c r="H23" s="36">
        <f t="shared" si="9"/>
        <v>5.49999996292172E-2</v>
      </c>
      <c r="I23" s="36">
        <f t="shared" si="9"/>
        <v>-2.1916666664765216E-2</v>
      </c>
      <c r="J23" s="36">
        <f t="shared" si="9"/>
        <v>3.3083332789829001E-2</v>
      </c>
      <c r="K23" s="36">
        <f t="shared" si="9"/>
        <v>0</v>
      </c>
      <c r="L23" s="36">
        <f t="shared" si="9"/>
        <v>0.29191666684346274</v>
      </c>
    </row>
    <row r="24" spans="1:12" ht="15" thickTop="1" x14ac:dyDescent="0.3"/>
  </sheetData>
  <mergeCells count="3">
    <mergeCell ref="A1:L1"/>
    <mergeCell ref="A9:L9"/>
    <mergeCell ref="A17:L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BF28A-3B4F-492A-85C0-F0BCF1225941}">
  <dimension ref="A1:P48"/>
  <sheetViews>
    <sheetView workbookViewId="0">
      <selection sqref="A1:L1"/>
    </sheetView>
  </sheetViews>
  <sheetFormatPr defaultRowHeight="14.4" x14ac:dyDescent="0.3"/>
  <cols>
    <col min="1" max="1" width="12.6640625" bestFit="1" customWidth="1"/>
    <col min="2" max="2" width="26.109375" bestFit="1" customWidth="1"/>
    <col min="3" max="3" width="26.33203125" bestFit="1" customWidth="1"/>
    <col min="4" max="5" width="12" bestFit="1" customWidth="1"/>
    <col min="6" max="6" width="26.109375" bestFit="1" customWidth="1"/>
    <col min="7" max="7" width="13.33203125" bestFit="1" customWidth="1"/>
    <col min="8" max="8" width="14.21875" bestFit="1" customWidth="1"/>
    <col min="9" max="9" width="14.33203125" bestFit="1" customWidth="1"/>
    <col min="10" max="10" width="16.44140625" bestFit="1" customWidth="1"/>
    <col min="11" max="11" width="18.5546875" bestFit="1" customWidth="1"/>
    <col min="12" max="12" width="16.21875" bestFit="1" customWidth="1"/>
    <col min="13" max="13" width="12.44140625" bestFit="1" customWidth="1"/>
    <col min="14" max="14" width="10.5546875" bestFit="1" customWidth="1"/>
    <col min="16" max="16" width="10.5546875" bestFit="1" customWidth="1"/>
  </cols>
  <sheetData>
    <row r="1" spans="1:16" x14ac:dyDescent="0.3">
      <c r="A1" s="106" t="s">
        <v>393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6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6" x14ac:dyDescent="0.3">
      <c r="A3" s="34" t="s">
        <v>12</v>
      </c>
      <c r="B3" s="34" t="s">
        <v>361</v>
      </c>
      <c r="C3" s="34" t="s">
        <v>356</v>
      </c>
      <c r="D3" s="34" t="s">
        <v>357</v>
      </c>
      <c r="E3" s="34" t="s">
        <v>358</v>
      </c>
      <c r="F3" s="34" t="s">
        <v>359</v>
      </c>
      <c r="G3" s="34" t="s">
        <v>6</v>
      </c>
      <c r="H3" s="34" t="s">
        <v>7</v>
      </c>
      <c r="I3" s="34" t="s">
        <v>8</v>
      </c>
      <c r="J3" s="34" t="s">
        <v>9</v>
      </c>
      <c r="K3" s="34" t="s">
        <v>20</v>
      </c>
      <c r="L3" s="34" t="s">
        <v>10</v>
      </c>
    </row>
    <row r="4" spans="1:16" x14ac:dyDescent="0.3">
      <c r="A4" s="31" t="s">
        <v>15</v>
      </c>
      <c r="B4" s="31" t="s">
        <v>362</v>
      </c>
      <c r="C4" s="33">
        <f>+'Summarised-HWD'!C4</f>
        <v>27746875</v>
      </c>
      <c r="D4" s="33">
        <f>+'Summarised-HWD'!D4</f>
        <v>0</v>
      </c>
      <c r="E4" s="33">
        <f>+'Summarised-HWD'!E4</f>
        <v>0</v>
      </c>
      <c r="F4" s="33">
        <f>+'Summarised-HWD'!F4</f>
        <v>27746875</v>
      </c>
      <c r="G4" s="33">
        <f>+'Summarised-HWD'!G4</f>
        <v>0</v>
      </c>
      <c r="H4" s="33">
        <f>+'Summarised-HWD'!H4</f>
        <v>0</v>
      </c>
      <c r="I4" s="33">
        <f>+'Summarised-HWD'!I4</f>
        <v>0</v>
      </c>
      <c r="J4" s="33">
        <f>+'Summarised-HWD'!J4</f>
        <v>0</v>
      </c>
      <c r="K4" s="33">
        <f>+'Summarised-HWD'!K4</f>
        <v>0</v>
      </c>
      <c r="L4" s="33">
        <f>+'Summarised-HWD'!L4</f>
        <v>27746875</v>
      </c>
      <c r="P4" s="37"/>
    </row>
    <row r="5" spans="1:16" x14ac:dyDescent="0.3">
      <c r="A5" s="31" t="s">
        <v>21</v>
      </c>
      <c r="B5" s="31" t="s">
        <v>363</v>
      </c>
      <c r="C5" s="33">
        <f>+'Summarised-HWD'!C5</f>
        <v>31366902.100000001</v>
      </c>
      <c r="D5" s="33">
        <f>+'Summarised-HWD'!D5</f>
        <v>0</v>
      </c>
      <c r="E5" s="33">
        <f>+'Summarised-HWD'!E5</f>
        <v>0</v>
      </c>
      <c r="F5" s="33">
        <f>+'Summarised-HWD'!F5</f>
        <v>31366902.100000001</v>
      </c>
      <c r="G5" s="33">
        <f>+'Summarised-HWD'!G5</f>
        <v>1568345.1049999997</v>
      </c>
      <c r="H5" s="33">
        <f>+'Summarised-HWD'!H5</f>
        <v>11760642.069998883</v>
      </c>
      <c r="I5" s="33">
        <f>+'Summarised-HWD'!I5</f>
        <v>993285.2331666667</v>
      </c>
      <c r="J5" s="33">
        <f>+'Summarised-HWD'!J5</f>
        <v>12753927.303165551</v>
      </c>
      <c r="K5" s="33">
        <f>+'Summarised-HWD'!K5</f>
        <v>0</v>
      </c>
      <c r="L5" s="33">
        <f>+'Summarised-HWD'!L5</f>
        <v>18612974.79683445</v>
      </c>
      <c r="M5" s="37"/>
      <c r="P5" s="37"/>
    </row>
    <row r="6" spans="1:16" x14ac:dyDescent="0.3">
      <c r="A6" s="31" t="s">
        <v>340</v>
      </c>
      <c r="B6" s="31" t="s">
        <v>364</v>
      </c>
      <c r="C6" s="33">
        <f>+'Summarised-HWD'!C6</f>
        <v>1400433.5</v>
      </c>
      <c r="D6" s="33">
        <f>+'Summarised-HWD'!D6</f>
        <v>0</v>
      </c>
      <c r="E6" s="33">
        <f>+'Summarised-HWD'!E6</f>
        <v>0</v>
      </c>
      <c r="F6" s="33">
        <f>+'Summarised-HWD'!F6</f>
        <v>1400433.5</v>
      </c>
      <c r="G6" s="33">
        <f>+'Summarised-HWD'!G6</f>
        <v>70021.675000000017</v>
      </c>
      <c r="H6" s="33">
        <f>+'Summarised-HWD'!H6</f>
        <v>1330411.6903716503</v>
      </c>
      <c r="I6" s="33">
        <f>+'Summarised-HWD'!I6</f>
        <v>0</v>
      </c>
      <c r="J6" s="33">
        <f>+'Summarised-HWD'!J6</f>
        <v>1330411.6903716503</v>
      </c>
      <c r="K6" s="33">
        <f>+'Summarised-HWD'!K6</f>
        <v>0</v>
      </c>
      <c r="L6" s="33">
        <f>+'Summarised-HWD'!L6</f>
        <v>70021.675000000017</v>
      </c>
      <c r="M6" s="37"/>
      <c r="P6" s="37"/>
    </row>
    <row r="7" spans="1:16" x14ac:dyDescent="0.3">
      <c r="A7" s="31" t="s">
        <v>35</v>
      </c>
      <c r="B7" s="31" t="s">
        <v>365</v>
      </c>
      <c r="C7" s="33">
        <f>+'Summarised-HWD'!C7</f>
        <v>160507847.15999997</v>
      </c>
      <c r="D7" s="33">
        <f>+'Summarised-HWD'!D7</f>
        <v>7884254.0243471498</v>
      </c>
      <c r="E7" s="33">
        <f>+'Summarised-HWD'!E7</f>
        <v>11329658</v>
      </c>
      <c r="F7" s="33">
        <f>+'Summarised-HWD'!F7</f>
        <v>157062443.18434715</v>
      </c>
      <c r="G7" s="33">
        <f>+'Summarised-HWD'!G7</f>
        <v>7853122.1592173567</v>
      </c>
      <c r="H7" s="33">
        <f>+'Summarised-HWD'!H7</f>
        <v>141100774.25793675</v>
      </c>
      <c r="I7" s="33">
        <f>+'Summarised-HWD'!I7</f>
        <v>2755028.5160660343</v>
      </c>
      <c r="J7" s="33">
        <f>+'Summarised-HWD'!J7</f>
        <v>143855802.77400279</v>
      </c>
      <c r="K7" s="33">
        <f>+'Summarised-HWD'!K7</f>
        <v>-10662361.188954839</v>
      </c>
      <c r="L7" s="33">
        <f>+'Summarised-HWD'!L7</f>
        <v>23869000.107276838</v>
      </c>
      <c r="M7" s="37"/>
      <c r="N7" s="37"/>
      <c r="P7" s="37"/>
    </row>
    <row r="8" spans="1:16" x14ac:dyDescent="0.3">
      <c r="A8" s="31" t="s">
        <v>220</v>
      </c>
      <c r="B8" s="31" t="s">
        <v>366</v>
      </c>
      <c r="C8" s="33">
        <f>+'Summarised-HWD'!C8</f>
        <v>181538843.20000002</v>
      </c>
      <c r="D8" s="33">
        <f>+'Summarised-HWD'!D8</f>
        <v>0</v>
      </c>
      <c r="E8" s="33">
        <f>+'Summarised-HWD'!E8</f>
        <v>6437474</v>
      </c>
      <c r="F8" s="33">
        <f>+'Summarised-HWD'!F8</f>
        <v>175101369.20000002</v>
      </c>
      <c r="G8" s="33">
        <f>+'Summarised-HWD'!G8</f>
        <v>8755068.4600000009</v>
      </c>
      <c r="H8" s="33">
        <f>+'Summarised-HWD'!H8</f>
        <v>125250150.49672645</v>
      </c>
      <c r="I8" s="33">
        <f>+'Summarised-HWD'!I8</f>
        <v>5187908.6756333336</v>
      </c>
      <c r="J8" s="33">
        <f>+'Summarised-HWD'!J8</f>
        <v>130438059.17235973</v>
      </c>
      <c r="K8" s="33">
        <f>+'Summarised-HWD'!K8</f>
        <v>-6115809.9031999996</v>
      </c>
      <c r="L8" s="33">
        <f>+'Summarised-HWD'!L8</f>
        <v>50779119.930840217</v>
      </c>
      <c r="M8" s="37"/>
      <c r="N8" s="37"/>
      <c r="P8" s="37"/>
    </row>
    <row r="9" spans="1:16" x14ac:dyDescent="0.3">
      <c r="A9" s="31" t="s">
        <v>272</v>
      </c>
      <c r="B9" s="31" t="s">
        <v>367</v>
      </c>
      <c r="C9" s="33">
        <f>+'Summarised-HWD'!C9</f>
        <v>13321566.58</v>
      </c>
      <c r="D9" s="33">
        <f>+'Summarised-HWD'!D9</f>
        <v>0</v>
      </c>
      <c r="E9" s="33">
        <f>+'Summarised-HWD'!E9</f>
        <v>1222835</v>
      </c>
      <c r="F9" s="33">
        <f>+'Summarised-HWD'!F9</f>
        <v>12098731.58</v>
      </c>
      <c r="G9" s="33">
        <f>+'Summarised-HWD'!G9</f>
        <v>604936.57900000014</v>
      </c>
      <c r="H9" s="33">
        <f>+'Summarised-HWD'!H9</f>
        <v>8474303.2330881692</v>
      </c>
      <c r="I9" s="33">
        <f>+'Summarised-HWD'!I9</f>
        <v>822731.00006666663</v>
      </c>
      <c r="J9" s="33">
        <f>+'Summarised-HWD'!J9</f>
        <v>9297034.2331548352</v>
      </c>
      <c r="K9" s="33">
        <f>+'Summarised-HWD'!K9</f>
        <v>-992704.30771312001</v>
      </c>
      <c r="L9" s="33">
        <f>+'Summarised-HWD'!L9</f>
        <v>3794401.6545582842</v>
      </c>
      <c r="M9" s="37"/>
      <c r="N9" s="37"/>
      <c r="P9" s="37"/>
    </row>
    <row r="10" spans="1:16" x14ac:dyDescent="0.3">
      <c r="A10" s="31" t="s">
        <v>288</v>
      </c>
      <c r="B10" s="31" t="s">
        <v>368</v>
      </c>
      <c r="C10" s="33">
        <f>+'Summarised-HWD'!C10+'Summarised-AWB'!C4</f>
        <v>789501.4</v>
      </c>
      <c r="D10" s="33">
        <f>+'Summarised-HWD'!D10+'Summarised-AWB'!D4</f>
        <v>0</v>
      </c>
      <c r="E10" s="33">
        <f>+'Summarised-HWD'!E10+'Summarised-AWB'!E4</f>
        <v>0</v>
      </c>
      <c r="F10" s="33">
        <f>+'Summarised-HWD'!F10+'Summarised-AWB'!F4</f>
        <v>789501.4</v>
      </c>
      <c r="G10" s="33">
        <f>+'Summarised-HWD'!G10+'Summarised-AWB'!G4</f>
        <v>39475.070000000007</v>
      </c>
      <c r="H10" s="33">
        <f>+'Summarised-HWD'!H10+'Summarised-AWB'!H4</f>
        <v>602418.03350000002</v>
      </c>
      <c r="I10" s="33">
        <f>+'Summarised-HWD'!I10+'Summarised-AWB'!I4</f>
        <v>18701.459333333332</v>
      </c>
      <c r="J10" s="33">
        <f>+'Summarised-HWD'!J10+'Summarised-AWB'!J4</f>
        <v>621119.49283333332</v>
      </c>
      <c r="K10" s="33">
        <f>+'Summarised-HWD'!K10+'Summarised-AWB'!K4</f>
        <v>0</v>
      </c>
      <c r="L10" s="33">
        <f>+'Summarised-HWD'!L10+'Summarised-AWB'!L4</f>
        <v>168381.90716666667</v>
      </c>
      <c r="M10" s="37"/>
      <c r="P10" s="37"/>
    </row>
    <row r="11" spans="1:16" x14ac:dyDescent="0.3">
      <c r="A11" s="31" t="s">
        <v>302</v>
      </c>
      <c r="B11" s="31" t="s">
        <v>369</v>
      </c>
      <c r="C11" s="33">
        <f>+'Summarised-HWD'!C11</f>
        <v>72854</v>
      </c>
      <c r="D11" s="33">
        <f>+'Summarised-HWD'!D11</f>
        <v>0</v>
      </c>
      <c r="E11" s="33">
        <f>+'Summarised-HWD'!E11</f>
        <v>0</v>
      </c>
      <c r="F11" s="33">
        <f>+'Summarised-HWD'!F11</f>
        <v>72854</v>
      </c>
      <c r="G11" s="33">
        <f>+'Summarised-HWD'!G11</f>
        <v>3642.7000000000003</v>
      </c>
      <c r="H11" s="33">
        <f>+'Summarised-HWD'!H11</f>
        <v>72854.3</v>
      </c>
      <c r="I11" s="33">
        <f>+'Summarised-HWD'!I11</f>
        <v>0</v>
      </c>
      <c r="J11" s="33">
        <f>+'Summarised-HWD'!J11</f>
        <v>72854.3</v>
      </c>
      <c r="K11" s="33">
        <f>+'Summarised-HWD'!K11</f>
        <v>0</v>
      </c>
      <c r="L11" s="33">
        <f>+'Summarised-HWD'!L11</f>
        <v>-0.30000000000291038</v>
      </c>
      <c r="M11" s="37"/>
      <c r="P11" s="37"/>
    </row>
    <row r="12" spans="1:16" x14ac:dyDescent="0.3">
      <c r="A12" s="31" t="s">
        <v>318</v>
      </c>
      <c r="B12" s="31" t="s">
        <v>370</v>
      </c>
      <c r="C12" s="33">
        <f>+'Summarised-HWD'!C12+'Summarised-AWB'!C5</f>
        <v>10419937</v>
      </c>
      <c r="D12" s="33">
        <f>+'Summarised-HWD'!D12+'Summarised-AWB'!D5</f>
        <v>0</v>
      </c>
      <c r="E12" s="33">
        <f>+'Summarised-HWD'!E12+'Summarised-AWB'!E5</f>
        <v>0</v>
      </c>
      <c r="F12" s="33">
        <f>+'Summarised-HWD'!F12+'Summarised-AWB'!F5</f>
        <v>10419937</v>
      </c>
      <c r="G12" s="33">
        <f>+'Summarised-HWD'!G12+'Summarised-AWB'!G5</f>
        <v>520996.85</v>
      </c>
      <c r="H12" s="33">
        <f>+'Summarised-HWD'!H12+'Summarised-AWB'!H5</f>
        <v>9067670.7861111108</v>
      </c>
      <c r="I12" s="33">
        <f>+'Summarised-HWD'!I12+'Summarised-AWB'!I5</f>
        <v>357674.88125000003</v>
      </c>
      <c r="J12" s="33">
        <f>+'Summarised-HWD'!J12+'Summarised-AWB'!J5</f>
        <v>9425345.6673611104</v>
      </c>
      <c r="K12" s="33">
        <f>+'Summarised-HWD'!K12+'Summarised-AWB'!K5</f>
        <v>0</v>
      </c>
      <c r="L12" s="33">
        <f>+'Summarised-HWD'!L12+'Summarised-AWB'!L5</f>
        <v>994591.70763888909</v>
      </c>
      <c r="M12" s="37"/>
      <c r="P12" s="37"/>
    </row>
    <row r="13" spans="1:16" x14ac:dyDescent="0.3">
      <c r="A13" s="31" t="s">
        <v>355</v>
      </c>
      <c r="B13" s="31" t="s">
        <v>371</v>
      </c>
      <c r="C13" s="33">
        <f>+'Summarised-HWD'!C13</f>
        <v>6257152.9500000002</v>
      </c>
      <c r="D13" s="33">
        <f>+'Summarised-HWD'!D13</f>
        <v>43992</v>
      </c>
      <c r="E13" s="33">
        <f>+'Summarised-HWD'!E13</f>
        <v>0</v>
      </c>
      <c r="F13" s="33">
        <f>+'Summarised-HWD'!F13</f>
        <v>6301144.9500000002</v>
      </c>
      <c r="G13" s="33">
        <f>+'Summarised-HWD'!G13</f>
        <v>315057.2475</v>
      </c>
      <c r="H13" s="33">
        <f>+'Summarised-HWD'!H13</f>
        <v>4408127.1372328596</v>
      </c>
      <c r="I13" s="33">
        <f>+'Summarised-HWD'!I13</f>
        <v>366215.24683333328</v>
      </c>
      <c r="J13" s="33">
        <f>+'Summarised-HWD'!J13</f>
        <v>4774342.3840661915</v>
      </c>
      <c r="K13" s="33">
        <f>+'Summarised-HWD'!K13</f>
        <v>0</v>
      </c>
      <c r="L13" s="33">
        <f>+'Summarised-HWD'!L13</f>
        <v>1526802.5659338078</v>
      </c>
      <c r="M13" s="37"/>
      <c r="P13" s="37"/>
    </row>
    <row r="14" spans="1:16" x14ac:dyDescent="0.3">
      <c r="A14" s="31" t="s">
        <v>319</v>
      </c>
      <c r="B14" s="31" t="s">
        <v>372</v>
      </c>
      <c r="C14" s="33">
        <f>+'Summarised-HWD'!C14+'Summarised-AWB'!C6</f>
        <v>834377.51</v>
      </c>
      <c r="D14" s="33">
        <f>+'Summarised-HWD'!D14+'Summarised-AWB'!D6</f>
        <v>102400</v>
      </c>
      <c r="E14" s="33">
        <f>+'Summarised-HWD'!E14+'Summarised-AWB'!E6</f>
        <v>0</v>
      </c>
      <c r="F14" s="33">
        <f>+'Summarised-HWD'!F14+'Summarised-AWB'!F6</f>
        <v>936777.51</v>
      </c>
      <c r="G14" s="33">
        <f>+'Summarised-HWD'!G14+'Summarised-AWB'!G6</f>
        <v>46838.875500000002</v>
      </c>
      <c r="H14" s="33">
        <f>+'Summarised-HWD'!H14+'Summarised-AWB'!H6</f>
        <v>663035.96714840189</v>
      </c>
      <c r="I14" s="33">
        <f>+'Summarised-HWD'!I14+'Summarised-AWB'!I6</f>
        <v>70485.988888888896</v>
      </c>
      <c r="J14" s="33">
        <f>+'Summarised-HWD'!J14+'Summarised-AWB'!J6</f>
        <v>733521.95603729063</v>
      </c>
      <c r="K14" s="33">
        <f>+'Summarised-HWD'!K14+'Summarised-AWB'!K6</f>
        <v>0</v>
      </c>
      <c r="L14" s="33">
        <f>+'Summarised-HWD'!L14+'Summarised-AWB'!L6</f>
        <v>203255.30396270927</v>
      </c>
      <c r="M14" s="37"/>
      <c r="P14" s="37"/>
    </row>
    <row r="15" spans="1:16" ht="15" thickBot="1" x14ac:dyDescent="0.35">
      <c r="A15" s="35" t="s">
        <v>360</v>
      </c>
      <c r="B15" s="35"/>
      <c r="C15" s="36">
        <f>SUM(C4:C14)</f>
        <v>434256290.39999992</v>
      </c>
      <c r="D15" s="36">
        <f t="shared" ref="D15:L15" si="0">SUM(D4:D14)</f>
        <v>8030646.0243471498</v>
      </c>
      <c r="E15" s="36">
        <f t="shared" si="0"/>
        <v>18989967</v>
      </c>
      <c r="F15" s="36">
        <f t="shared" si="0"/>
        <v>423296969.4243471</v>
      </c>
      <c r="G15" s="36">
        <f t="shared" si="0"/>
        <v>19777504.72121736</v>
      </c>
      <c r="H15" s="36">
        <f t="shared" si="0"/>
        <v>302730387.97211432</v>
      </c>
      <c r="I15" s="36">
        <f t="shared" si="0"/>
        <v>10572031.001238259</v>
      </c>
      <c r="J15" s="36">
        <f t="shared" si="0"/>
        <v>313302418.97335237</v>
      </c>
      <c r="K15" s="36">
        <f t="shared" si="0"/>
        <v>-17770875.399867959</v>
      </c>
      <c r="L15" s="36">
        <f t="shared" si="0"/>
        <v>127765424.34921186</v>
      </c>
      <c r="M15" s="37"/>
    </row>
    <row r="16" spans="1:16" ht="15" thickTop="1" x14ac:dyDescent="0.3"/>
    <row r="17" spans="1:12" x14ac:dyDescent="0.3">
      <c r="A17" s="106" t="s">
        <v>394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</row>
    <row r="18" spans="1:12" x14ac:dyDescent="0.3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x14ac:dyDescent="0.3">
      <c r="A19" s="34" t="s">
        <v>12</v>
      </c>
      <c r="B19" s="34" t="s">
        <v>361</v>
      </c>
      <c r="C19" s="34" t="s">
        <v>356</v>
      </c>
      <c r="D19" s="34" t="s">
        <v>357</v>
      </c>
      <c r="E19" s="34" t="s">
        <v>358</v>
      </c>
      <c r="F19" s="34" t="s">
        <v>359</v>
      </c>
      <c r="G19" s="34" t="s">
        <v>6</v>
      </c>
      <c r="H19" s="34" t="s">
        <v>7</v>
      </c>
      <c r="I19" s="34" t="s">
        <v>8</v>
      </c>
      <c r="J19" s="34" t="s">
        <v>9</v>
      </c>
      <c r="K19" s="34" t="s">
        <v>20</v>
      </c>
      <c r="L19" s="34" t="s">
        <v>10</v>
      </c>
    </row>
    <row r="20" spans="1:12" x14ac:dyDescent="0.3">
      <c r="A20" s="31" t="s">
        <v>15</v>
      </c>
      <c r="B20" s="31" t="s">
        <v>362</v>
      </c>
      <c r="C20" s="33">
        <f>+'Summarised-HWD'!C20</f>
        <v>27746875</v>
      </c>
      <c r="D20" s="33">
        <f>+'Summarised-HWD'!D20</f>
        <v>0</v>
      </c>
      <c r="E20" s="33">
        <f>+'Summarised-HWD'!E20</f>
        <v>0</v>
      </c>
      <c r="F20" s="33">
        <f>+'Summarised-HWD'!F20</f>
        <v>27746875</v>
      </c>
      <c r="G20" s="33">
        <f>+'Summarised-HWD'!G20</f>
        <v>0</v>
      </c>
      <c r="H20" s="33">
        <f>+'Summarised-HWD'!H20</f>
        <v>0</v>
      </c>
      <c r="I20" s="33">
        <f>+'Summarised-HWD'!I20</f>
        <v>0</v>
      </c>
      <c r="J20" s="33">
        <f>+'Summarised-HWD'!J20</f>
        <v>0</v>
      </c>
      <c r="K20" s="33">
        <f>+'Summarised-HWD'!K20</f>
        <v>0</v>
      </c>
      <c r="L20" s="33">
        <f>+'Summarised-HWD'!L20</f>
        <v>27746875</v>
      </c>
    </row>
    <row r="21" spans="1:12" x14ac:dyDescent="0.3">
      <c r="A21" s="31" t="s">
        <v>21</v>
      </c>
      <c r="B21" s="31" t="s">
        <v>363</v>
      </c>
      <c r="C21" s="33">
        <f>+'Summarised-HWD'!C21</f>
        <v>31366902.100000001</v>
      </c>
      <c r="D21" s="33">
        <f>+'Summarised-HWD'!D21</f>
        <v>0</v>
      </c>
      <c r="E21" s="33">
        <f>+'Summarised-HWD'!E21</f>
        <v>0</v>
      </c>
      <c r="F21" s="33">
        <f>+'Summarised-HWD'!F21</f>
        <v>31366902.100000001</v>
      </c>
      <c r="G21" s="33">
        <f>+'Summarised-HWD'!G21</f>
        <v>1568345.1049999997</v>
      </c>
      <c r="H21" s="33">
        <f>+'Summarised-HWD'!H21</f>
        <v>11760642.07</v>
      </c>
      <c r="I21" s="33">
        <f>+'Summarised-HWD'!I21</f>
        <v>993285</v>
      </c>
      <c r="J21" s="33">
        <f>+'Summarised-HWD'!J21</f>
        <v>12753927.07</v>
      </c>
      <c r="K21" s="33">
        <f>+'Summarised-HWD'!K21</f>
        <v>0</v>
      </c>
      <c r="L21" s="33">
        <f>+'Summarised-HWD'!L21</f>
        <v>18612975.030000001</v>
      </c>
    </row>
    <row r="22" spans="1:12" x14ac:dyDescent="0.3">
      <c r="A22" s="31" t="s">
        <v>340</v>
      </c>
      <c r="B22" s="31" t="s">
        <v>364</v>
      </c>
      <c r="C22" s="33">
        <f>+'Summarised-HWD'!C22</f>
        <v>1400433.5</v>
      </c>
      <c r="D22" s="33">
        <f>+'Summarised-HWD'!D22</f>
        <v>0</v>
      </c>
      <c r="E22" s="33">
        <f>+'Summarised-HWD'!E22</f>
        <v>0</v>
      </c>
      <c r="F22" s="33">
        <f>+'Summarised-HWD'!F22</f>
        <v>1400433.5</v>
      </c>
      <c r="G22" s="33">
        <f>+'Summarised-HWD'!G22</f>
        <v>70021.675000000017</v>
      </c>
      <c r="H22" s="33">
        <f>+'Summarised-HWD'!H22</f>
        <v>1330411.0900000001</v>
      </c>
      <c r="I22" s="33">
        <f>+'Summarised-HWD'!I22</f>
        <v>0</v>
      </c>
      <c r="J22" s="33">
        <f>+'Summarised-HWD'!J22</f>
        <v>1330411.0900000001</v>
      </c>
      <c r="K22" s="33">
        <f>+'Summarised-HWD'!K22</f>
        <v>0</v>
      </c>
      <c r="L22" s="33">
        <f>+'Summarised-HWD'!L22</f>
        <v>70022.409999999916</v>
      </c>
    </row>
    <row r="23" spans="1:12" x14ac:dyDescent="0.3">
      <c r="A23" s="31" t="s">
        <v>35</v>
      </c>
      <c r="B23" s="31" t="s">
        <v>365</v>
      </c>
      <c r="C23" s="33">
        <f>+'Summarised-HWD'!C23</f>
        <v>160507847.16</v>
      </c>
      <c r="D23" s="33">
        <f>+'Summarised-HWD'!D23</f>
        <v>7884254</v>
      </c>
      <c r="E23" s="33">
        <f>+'Summarised-HWD'!E23</f>
        <v>11329658</v>
      </c>
      <c r="F23" s="33">
        <f>+'Summarised-HWD'!F23</f>
        <v>157062443.16</v>
      </c>
      <c r="G23" s="33">
        <f>+'Summarised-HWD'!G23</f>
        <v>7853122.1592173567</v>
      </c>
      <c r="H23" s="33">
        <f>+'Summarised-HWD'!H23</f>
        <v>141100774</v>
      </c>
      <c r="I23" s="33">
        <f>+'Summarised-HWD'!I23</f>
        <v>2755029</v>
      </c>
      <c r="J23" s="33">
        <f>+'Summarised-HWD'!J23</f>
        <v>143855803</v>
      </c>
      <c r="K23" s="33">
        <f>+'Summarised-HWD'!K23</f>
        <v>-10662361.5</v>
      </c>
      <c r="L23" s="33">
        <f>+'Summarised-HWD'!L23</f>
        <v>23869001.659999996</v>
      </c>
    </row>
    <row r="24" spans="1:12" x14ac:dyDescent="0.3">
      <c r="A24" s="31" t="s">
        <v>220</v>
      </c>
      <c r="B24" s="31" t="s">
        <v>366</v>
      </c>
      <c r="C24" s="33">
        <f>+'Summarised-HWD'!C24</f>
        <v>181538843.20000002</v>
      </c>
      <c r="D24" s="33">
        <f>+'Summarised-HWD'!D24</f>
        <v>0</v>
      </c>
      <c r="E24" s="33">
        <f>+'Summarised-HWD'!E24</f>
        <v>6437474</v>
      </c>
      <c r="F24" s="33">
        <f>+'Summarised-HWD'!F24</f>
        <v>175101369.20000002</v>
      </c>
      <c r="G24" s="33">
        <f>+'Summarised-HWD'!G24</f>
        <v>8755068.4600000009</v>
      </c>
      <c r="H24" s="33">
        <f>+'Summarised-HWD'!H24</f>
        <v>125250150</v>
      </c>
      <c r="I24" s="33">
        <f>+'Summarised-HWD'!I24</f>
        <v>5187909</v>
      </c>
      <c r="J24" s="33">
        <f>+'Summarised-HWD'!J24</f>
        <v>130438059</v>
      </c>
      <c r="K24" s="33">
        <f>+'Summarised-HWD'!K24</f>
        <v>-6115810</v>
      </c>
      <c r="L24" s="33">
        <f>+'Summarised-HWD'!L24</f>
        <v>50779120.200000018</v>
      </c>
    </row>
    <row r="25" spans="1:12" x14ac:dyDescent="0.3">
      <c r="A25" s="31" t="s">
        <v>272</v>
      </c>
      <c r="B25" s="31" t="s">
        <v>367</v>
      </c>
      <c r="C25" s="33">
        <f>+'Summarised-HWD'!C25</f>
        <v>13321566.58</v>
      </c>
      <c r="D25" s="33">
        <f>+'Summarised-HWD'!D25</f>
        <v>0</v>
      </c>
      <c r="E25" s="33">
        <f>+'Summarised-HWD'!E25</f>
        <v>1222835</v>
      </c>
      <c r="F25" s="33">
        <f>+'Summarised-HWD'!F25</f>
        <v>12098731.58</v>
      </c>
      <c r="G25" s="33">
        <f>+'Summarised-HWD'!G25</f>
        <v>604936.57900000014</v>
      </c>
      <c r="H25" s="33">
        <f>+'Summarised-HWD'!H25</f>
        <v>8474303</v>
      </c>
      <c r="I25" s="33">
        <f>+'Summarised-HWD'!I25</f>
        <v>822731</v>
      </c>
      <c r="J25" s="33">
        <f>+'Summarised-HWD'!J25</f>
        <v>9297034</v>
      </c>
      <c r="K25" s="33">
        <f>+'Summarised-HWD'!K25</f>
        <v>-992704</v>
      </c>
      <c r="L25" s="33">
        <f>+'Summarised-HWD'!L25</f>
        <v>3794401.58</v>
      </c>
    </row>
    <row r="26" spans="1:12" x14ac:dyDescent="0.3">
      <c r="A26" s="31" t="s">
        <v>288</v>
      </c>
      <c r="B26" s="31" t="s">
        <v>368</v>
      </c>
      <c r="C26" s="33">
        <f>+'Summarised-HWD'!C26+'Summarised-AWB'!C12</f>
        <v>789501.2</v>
      </c>
      <c r="D26" s="33">
        <f>+'Summarised-HWD'!D26+'Summarised-AWB'!D12</f>
        <v>0</v>
      </c>
      <c r="E26" s="33">
        <f>+'Summarised-HWD'!E26+'Summarised-AWB'!E12</f>
        <v>0</v>
      </c>
      <c r="F26" s="33">
        <f>+'Summarised-HWD'!F26+'Summarised-AWB'!F12</f>
        <v>789501.2</v>
      </c>
      <c r="G26" s="33">
        <f>+'Summarised-HWD'!G26+'Summarised-AWB'!G12</f>
        <v>39475.070000000007</v>
      </c>
      <c r="H26" s="33">
        <f>+'Summarised-HWD'!H26+'Summarised-AWB'!H12</f>
        <v>602417.67000000004</v>
      </c>
      <c r="I26" s="33">
        <f>+'Summarised-HWD'!I26+'Summarised-AWB'!I12</f>
        <v>18701</v>
      </c>
      <c r="J26" s="33">
        <f>+'Summarised-HWD'!J26+'Summarised-AWB'!J12</f>
        <v>621118.67000000004</v>
      </c>
      <c r="K26" s="33">
        <f>+'Summarised-HWD'!K26+'Summarised-AWB'!K12</f>
        <v>0</v>
      </c>
      <c r="L26" s="33">
        <f>+'Summarised-HWD'!L26+'Summarised-AWB'!L12</f>
        <v>168382.53000000003</v>
      </c>
    </row>
    <row r="27" spans="1:12" x14ac:dyDescent="0.3">
      <c r="A27" s="31" t="s">
        <v>302</v>
      </c>
      <c r="B27" s="31" t="s">
        <v>369</v>
      </c>
      <c r="C27" s="33">
        <f>+'Summarised-HWD'!C27</f>
        <v>72854</v>
      </c>
      <c r="D27" s="33">
        <f>+'Summarised-HWD'!D27</f>
        <v>0</v>
      </c>
      <c r="E27" s="33">
        <f>+'Summarised-HWD'!E27</f>
        <v>0</v>
      </c>
      <c r="F27" s="33">
        <f>+'Summarised-HWD'!F27</f>
        <v>72854</v>
      </c>
      <c r="G27" s="33">
        <f>+'Summarised-HWD'!G27</f>
        <v>3642.7000000000003</v>
      </c>
      <c r="H27" s="33">
        <f>+'Summarised-HWD'!H27</f>
        <v>72854</v>
      </c>
      <c r="I27" s="33">
        <f>+'Summarised-HWD'!I27</f>
        <v>0</v>
      </c>
      <c r="J27" s="33">
        <f>+'Summarised-HWD'!J27</f>
        <v>72854</v>
      </c>
      <c r="K27" s="33">
        <f>+'Summarised-HWD'!K27</f>
        <v>0</v>
      </c>
      <c r="L27" s="33">
        <f>+'Summarised-HWD'!L27</f>
        <v>0</v>
      </c>
    </row>
    <row r="28" spans="1:12" x14ac:dyDescent="0.3">
      <c r="A28" s="31" t="s">
        <v>318</v>
      </c>
      <c r="B28" s="31" t="s">
        <v>370</v>
      </c>
      <c r="C28" s="33">
        <f>+'Summarised-HWD'!C28+'Summarised-AWB'!C13</f>
        <v>10419937</v>
      </c>
      <c r="D28" s="33">
        <f>+'Summarised-HWD'!D28+'Summarised-AWB'!D13</f>
        <v>0</v>
      </c>
      <c r="E28" s="33">
        <f>+'Summarised-HWD'!E28+'Summarised-AWB'!E13</f>
        <v>0</v>
      </c>
      <c r="F28" s="33">
        <f>+'Summarised-HWD'!F28+'Summarised-AWB'!F13</f>
        <v>10419937</v>
      </c>
      <c r="G28" s="33">
        <f>+'Summarised-HWD'!G28+'Summarised-AWB'!G13</f>
        <v>520996.85</v>
      </c>
      <c r="H28" s="33">
        <f>+'Summarised-HWD'!H28+'Summarised-AWB'!H13</f>
        <v>9067671.0700000003</v>
      </c>
      <c r="I28" s="33">
        <f>+'Summarised-HWD'!I28+'Summarised-AWB'!I13</f>
        <v>357675</v>
      </c>
      <c r="J28" s="33">
        <f>+'Summarised-HWD'!J28+'Summarised-AWB'!J13</f>
        <v>9425346.0700000003</v>
      </c>
      <c r="K28" s="33">
        <f>+'Summarised-HWD'!K28+'Summarised-AWB'!K13</f>
        <v>0</v>
      </c>
      <c r="L28" s="33">
        <f>+'Summarised-HWD'!L28+'Summarised-AWB'!L13</f>
        <v>994590.9299999997</v>
      </c>
    </row>
    <row r="29" spans="1:12" x14ac:dyDescent="0.3">
      <c r="A29" s="31" t="s">
        <v>355</v>
      </c>
      <c r="B29" s="31" t="s">
        <v>371</v>
      </c>
      <c r="C29" s="33">
        <f>+'Summarised-HWD'!C29</f>
        <v>6257152.9500000002</v>
      </c>
      <c r="D29" s="33">
        <f>+'Summarised-HWD'!D29</f>
        <v>43991.92</v>
      </c>
      <c r="E29" s="33">
        <f>+'Summarised-HWD'!E29</f>
        <v>0</v>
      </c>
      <c r="F29" s="33">
        <f>+'Summarised-HWD'!F29</f>
        <v>6301144.8700000001</v>
      </c>
      <c r="G29" s="33">
        <f>+'Summarised-HWD'!G29</f>
        <v>315057.2475</v>
      </c>
      <c r="H29" s="33">
        <f>+'Summarised-HWD'!H29</f>
        <v>4408127</v>
      </c>
      <c r="I29" s="33">
        <f>+'Summarised-HWD'!I29</f>
        <v>366215</v>
      </c>
      <c r="J29" s="33">
        <f>+'Summarised-HWD'!J29</f>
        <v>4774342</v>
      </c>
      <c r="K29" s="33">
        <f>+'Summarised-HWD'!K29</f>
        <v>0</v>
      </c>
      <c r="L29" s="33">
        <f>+'Summarised-HWD'!L29</f>
        <v>1526802.87</v>
      </c>
    </row>
    <row r="30" spans="1:12" x14ac:dyDescent="0.3">
      <c r="A30" s="31" t="s">
        <v>319</v>
      </c>
      <c r="B30" s="31" t="s">
        <v>372</v>
      </c>
      <c r="C30" s="33">
        <f>+'Summarised-HWD'!C30+'Summarised-AWB'!C14</f>
        <v>834377.51</v>
      </c>
      <c r="D30" s="33">
        <f>+'Summarised-HWD'!D30+'Summarised-AWB'!D14</f>
        <v>102400</v>
      </c>
      <c r="E30" s="33">
        <f>+'Summarised-HWD'!E30+'Summarised-AWB'!E14</f>
        <v>0</v>
      </c>
      <c r="F30" s="33">
        <f>+'Summarised-HWD'!F30+'Summarised-AWB'!F14</f>
        <v>936777.51</v>
      </c>
      <c r="G30" s="33">
        <f>+'Summarised-HWD'!G30+'Summarised-AWB'!G14</f>
        <v>46838.875500000002</v>
      </c>
      <c r="H30" s="33">
        <f>+'Summarised-HWD'!H30+'Summarised-AWB'!H14</f>
        <v>663036.31999999995</v>
      </c>
      <c r="I30" s="33">
        <f>+'Summarised-HWD'!I30+'Summarised-AWB'!I14</f>
        <v>70486</v>
      </c>
      <c r="J30" s="33">
        <f>+'Summarised-HWD'!J30+'Summarised-AWB'!J14</f>
        <v>733522.32</v>
      </c>
      <c r="K30" s="33">
        <f>+'Summarised-HWD'!K30+'Summarised-AWB'!K14</f>
        <v>0</v>
      </c>
      <c r="L30" s="33">
        <f>+'Summarised-HWD'!L30+'Summarised-AWB'!L14</f>
        <v>203255.19000000006</v>
      </c>
    </row>
    <row r="31" spans="1:12" ht="15" thickBot="1" x14ac:dyDescent="0.35">
      <c r="A31" s="35" t="s">
        <v>360</v>
      </c>
      <c r="B31" s="35"/>
      <c r="C31" s="36">
        <f>SUM(C20:C30)</f>
        <v>434256290.19999999</v>
      </c>
      <c r="D31" s="36">
        <f t="shared" ref="D31:L31" si="1">SUM(D20:D30)</f>
        <v>8030645.9199999999</v>
      </c>
      <c r="E31" s="36">
        <f t="shared" si="1"/>
        <v>18989967</v>
      </c>
      <c r="F31" s="36">
        <f t="shared" si="1"/>
        <v>423296969.12</v>
      </c>
      <c r="G31" s="36">
        <f t="shared" si="1"/>
        <v>19777504.72121736</v>
      </c>
      <c r="H31" s="36">
        <f t="shared" si="1"/>
        <v>302730386.21999997</v>
      </c>
      <c r="I31" s="36">
        <f t="shared" si="1"/>
        <v>10572031</v>
      </c>
      <c r="J31" s="36">
        <f t="shared" si="1"/>
        <v>313302417.21999997</v>
      </c>
      <c r="K31" s="36">
        <f t="shared" si="1"/>
        <v>-17770875.5</v>
      </c>
      <c r="L31" s="36">
        <f t="shared" si="1"/>
        <v>127765427.40000001</v>
      </c>
    </row>
    <row r="32" spans="1:12" ht="15" thickTop="1" x14ac:dyDescent="0.3"/>
    <row r="33" spans="1:12" x14ac:dyDescent="0.3">
      <c r="A33" s="106" t="s">
        <v>375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</row>
    <row r="34" spans="1:12" x14ac:dyDescent="0.3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 x14ac:dyDescent="0.3">
      <c r="A35" s="34" t="s">
        <v>12</v>
      </c>
      <c r="B35" s="34" t="s">
        <v>361</v>
      </c>
      <c r="C35" s="34" t="s">
        <v>356</v>
      </c>
      <c r="D35" s="34" t="s">
        <v>357</v>
      </c>
      <c r="E35" s="34" t="s">
        <v>358</v>
      </c>
      <c r="F35" s="34" t="s">
        <v>359</v>
      </c>
      <c r="G35" s="34" t="s">
        <v>6</v>
      </c>
      <c r="H35" s="34" t="s">
        <v>7</v>
      </c>
      <c r="I35" s="34" t="s">
        <v>8</v>
      </c>
      <c r="J35" s="34" t="s">
        <v>9</v>
      </c>
      <c r="K35" s="34" t="s">
        <v>20</v>
      </c>
      <c r="L35" s="34" t="s">
        <v>10</v>
      </c>
    </row>
    <row r="36" spans="1:12" x14ac:dyDescent="0.3">
      <c r="A36" s="31" t="s">
        <v>15</v>
      </c>
      <c r="B36" s="31" t="s">
        <v>362</v>
      </c>
      <c r="C36" s="33">
        <f>+C4-C20</f>
        <v>0</v>
      </c>
      <c r="D36" s="33">
        <f t="shared" ref="D36:K36" si="2">+D4-D20</f>
        <v>0</v>
      </c>
      <c r="E36" s="33">
        <f t="shared" si="2"/>
        <v>0</v>
      </c>
      <c r="F36" s="33">
        <f t="shared" si="2"/>
        <v>0</v>
      </c>
      <c r="G36" s="33">
        <f t="shared" si="2"/>
        <v>0</v>
      </c>
      <c r="H36" s="33">
        <f t="shared" si="2"/>
        <v>0</v>
      </c>
      <c r="I36" s="33">
        <f t="shared" si="2"/>
        <v>0</v>
      </c>
      <c r="J36" s="33">
        <f t="shared" si="2"/>
        <v>0</v>
      </c>
      <c r="K36" s="33">
        <f t="shared" si="2"/>
        <v>0</v>
      </c>
      <c r="L36" s="33">
        <f>+L4-L20</f>
        <v>0</v>
      </c>
    </row>
    <row r="37" spans="1:12" x14ac:dyDescent="0.3">
      <c r="A37" s="31" t="s">
        <v>21</v>
      </c>
      <c r="B37" s="31" t="s">
        <v>363</v>
      </c>
      <c r="C37" s="33">
        <f t="shared" ref="C37:L46" si="3">+C5-C21</f>
        <v>0</v>
      </c>
      <c r="D37" s="33">
        <f t="shared" si="3"/>
        <v>0</v>
      </c>
      <c r="E37" s="33">
        <f t="shared" si="3"/>
        <v>0</v>
      </c>
      <c r="F37" s="33">
        <f t="shared" si="3"/>
        <v>0</v>
      </c>
      <c r="G37" s="33">
        <f t="shared" si="3"/>
        <v>0</v>
      </c>
      <c r="H37" s="33">
        <f t="shared" si="3"/>
        <v>-1.1175870895385742E-6</v>
      </c>
      <c r="I37" s="33">
        <f t="shared" si="3"/>
        <v>0.23316666670143604</v>
      </c>
      <c r="J37" s="33">
        <f t="shared" si="3"/>
        <v>0.23316555097699165</v>
      </c>
      <c r="K37" s="33">
        <f t="shared" si="3"/>
        <v>0</v>
      </c>
      <c r="L37" s="33">
        <f t="shared" si="3"/>
        <v>-0.23316555097699165</v>
      </c>
    </row>
    <row r="38" spans="1:12" x14ac:dyDescent="0.3">
      <c r="A38" s="31" t="s">
        <v>340</v>
      </c>
      <c r="B38" s="31" t="s">
        <v>364</v>
      </c>
      <c r="C38" s="33">
        <f t="shared" si="3"/>
        <v>0</v>
      </c>
      <c r="D38" s="33">
        <f t="shared" si="3"/>
        <v>0</v>
      </c>
      <c r="E38" s="33">
        <f t="shared" si="3"/>
        <v>0</v>
      </c>
      <c r="F38" s="33">
        <f t="shared" si="3"/>
        <v>0</v>
      </c>
      <c r="G38" s="33">
        <f t="shared" si="3"/>
        <v>0</v>
      </c>
      <c r="H38" s="33">
        <f t="shared" si="3"/>
        <v>0.60037165018729866</v>
      </c>
      <c r="I38" s="33">
        <f t="shared" si="3"/>
        <v>0</v>
      </c>
      <c r="J38" s="33">
        <f t="shared" si="3"/>
        <v>0.60037165018729866</v>
      </c>
      <c r="K38" s="33">
        <f t="shared" si="3"/>
        <v>0</v>
      </c>
      <c r="L38" s="33">
        <f t="shared" si="3"/>
        <v>-0.73499999989871867</v>
      </c>
    </row>
    <row r="39" spans="1:12" x14ac:dyDescent="0.3">
      <c r="A39" s="31" t="s">
        <v>35</v>
      </c>
      <c r="B39" s="31" t="s">
        <v>365</v>
      </c>
      <c r="C39" s="33">
        <f t="shared" si="3"/>
        <v>0</v>
      </c>
      <c r="D39" s="33">
        <f t="shared" si="3"/>
        <v>2.4347149766981602E-2</v>
      </c>
      <c r="E39" s="33">
        <f t="shared" si="3"/>
        <v>0</v>
      </c>
      <c r="F39" s="33">
        <f t="shared" si="3"/>
        <v>2.4347156286239624E-2</v>
      </c>
      <c r="G39" s="33">
        <f t="shared" si="3"/>
        <v>0</v>
      </c>
      <c r="H39" s="33">
        <f t="shared" si="3"/>
        <v>0.2579367458820343</v>
      </c>
      <c r="I39" s="33">
        <f t="shared" si="3"/>
        <v>-0.48393396567553282</v>
      </c>
      <c r="J39" s="33">
        <f t="shared" si="3"/>
        <v>-0.2259972095489502</v>
      </c>
      <c r="K39" s="33">
        <f t="shared" si="3"/>
        <v>0.31104516051709652</v>
      </c>
      <c r="L39" s="33">
        <f t="shared" si="3"/>
        <v>-1.5527231581509113</v>
      </c>
    </row>
    <row r="40" spans="1:12" x14ac:dyDescent="0.3">
      <c r="A40" s="31" t="s">
        <v>220</v>
      </c>
      <c r="B40" s="31" t="s">
        <v>366</v>
      </c>
      <c r="C40" s="33">
        <f t="shared" si="3"/>
        <v>0</v>
      </c>
      <c r="D40" s="33">
        <f t="shared" si="3"/>
        <v>0</v>
      </c>
      <c r="E40" s="33">
        <f t="shared" si="3"/>
        <v>0</v>
      </c>
      <c r="F40" s="33">
        <f t="shared" si="3"/>
        <v>0</v>
      </c>
      <c r="G40" s="33">
        <f t="shared" si="3"/>
        <v>0</v>
      </c>
      <c r="H40" s="33">
        <f t="shared" si="3"/>
        <v>0.49672645330429077</v>
      </c>
      <c r="I40" s="33">
        <f t="shared" si="3"/>
        <v>-0.32436666637659073</v>
      </c>
      <c r="J40" s="33">
        <f t="shared" si="3"/>
        <v>0.17235973477363586</v>
      </c>
      <c r="K40" s="33">
        <f t="shared" si="3"/>
        <v>9.6800000406801701E-2</v>
      </c>
      <c r="L40" s="33">
        <f t="shared" si="3"/>
        <v>-0.26915980130434036</v>
      </c>
    </row>
    <row r="41" spans="1:12" x14ac:dyDescent="0.3">
      <c r="A41" s="31" t="s">
        <v>272</v>
      </c>
      <c r="B41" s="31" t="s">
        <v>367</v>
      </c>
      <c r="C41" s="33">
        <f t="shared" si="3"/>
        <v>0</v>
      </c>
      <c r="D41" s="33">
        <f t="shared" si="3"/>
        <v>0</v>
      </c>
      <c r="E41" s="33">
        <f t="shared" si="3"/>
        <v>0</v>
      </c>
      <c r="F41" s="33">
        <f t="shared" si="3"/>
        <v>0</v>
      </c>
      <c r="G41" s="33">
        <f t="shared" si="3"/>
        <v>0</v>
      </c>
      <c r="H41" s="33">
        <f t="shared" si="3"/>
        <v>0.233088169246912</v>
      </c>
      <c r="I41" s="33">
        <f t="shared" si="3"/>
        <v>6.6666631028056145E-5</v>
      </c>
      <c r="J41" s="33">
        <f t="shared" si="3"/>
        <v>0.23315483517944813</v>
      </c>
      <c r="K41" s="33">
        <f t="shared" si="3"/>
        <v>-0.30771312001161277</v>
      </c>
      <c r="L41" s="33">
        <f t="shared" si="3"/>
        <v>7.4558284133672714E-2</v>
      </c>
    </row>
    <row r="42" spans="1:12" x14ac:dyDescent="0.3">
      <c r="A42" s="31" t="s">
        <v>288</v>
      </c>
      <c r="B42" s="31" t="s">
        <v>368</v>
      </c>
      <c r="C42" s="33">
        <f t="shared" si="3"/>
        <v>0.20000000006984919</v>
      </c>
      <c r="D42" s="33">
        <f t="shared" si="3"/>
        <v>0</v>
      </c>
      <c r="E42" s="33">
        <f t="shared" si="3"/>
        <v>0</v>
      </c>
      <c r="F42" s="33">
        <f t="shared" si="3"/>
        <v>0.20000000006984919</v>
      </c>
      <c r="G42" s="33">
        <f t="shared" si="3"/>
        <v>0</v>
      </c>
      <c r="H42" s="33">
        <f t="shared" si="3"/>
        <v>0.36349999997764826</v>
      </c>
      <c r="I42" s="33">
        <f t="shared" si="3"/>
        <v>0.4593333333323244</v>
      </c>
      <c r="J42" s="33">
        <f t="shared" si="3"/>
        <v>0.82283333328086883</v>
      </c>
      <c r="K42" s="33">
        <f t="shared" si="3"/>
        <v>0</v>
      </c>
      <c r="L42" s="33">
        <f t="shared" si="3"/>
        <v>-0.62283333335653879</v>
      </c>
    </row>
    <row r="43" spans="1:12" x14ac:dyDescent="0.3">
      <c r="A43" s="31" t="s">
        <v>302</v>
      </c>
      <c r="B43" s="31" t="s">
        <v>369</v>
      </c>
      <c r="C43" s="33">
        <f t="shared" si="3"/>
        <v>0</v>
      </c>
      <c r="D43" s="33">
        <f t="shared" si="3"/>
        <v>0</v>
      </c>
      <c r="E43" s="33">
        <f t="shared" si="3"/>
        <v>0</v>
      </c>
      <c r="F43" s="33">
        <f t="shared" si="3"/>
        <v>0</v>
      </c>
      <c r="G43" s="33">
        <f t="shared" si="3"/>
        <v>0</v>
      </c>
      <c r="H43" s="33">
        <f t="shared" si="3"/>
        <v>0.30000000000291038</v>
      </c>
      <c r="I43" s="33">
        <f t="shared" si="3"/>
        <v>0</v>
      </c>
      <c r="J43" s="33">
        <f t="shared" si="3"/>
        <v>0.30000000000291038</v>
      </c>
      <c r="K43" s="33">
        <f t="shared" si="3"/>
        <v>0</v>
      </c>
      <c r="L43" s="33">
        <f t="shared" si="3"/>
        <v>-0.30000000000291038</v>
      </c>
    </row>
    <row r="44" spans="1:12" x14ac:dyDescent="0.3">
      <c r="A44" s="31" t="s">
        <v>318</v>
      </c>
      <c r="B44" s="31" t="s">
        <v>370</v>
      </c>
      <c r="C44" s="33">
        <f t="shared" si="3"/>
        <v>0</v>
      </c>
      <c r="D44" s="33">
        <f t="shared" si="3"/>
        <v>0</v>
      </c>
      <c r="E44" s="33">
        <f t="shared" si="3"/>
        <v>0</v>
      </c>
      <c r="F44" s="33">
        <f t="shared" si="3"/>
        <v>0</v>
      </c>
      <c r="G44" s="33">
        <f t="shared" si="3"/>
        <v>0</v>
      </c>
      <c r="H44" s="33">
        <f t="shared" si="3"/>
        <v>-0.28388888947665691</v>
      </c>
      <c r="I44" s="33">
        <f t="shared" si="3"/>
        <v>-0.1187499999650754</v>
      </c>
      <c r="J44" s="33">
        <f t="shared" si="3"/>
        <v>-0.40263888984918594</v>
      </c>
      <c r="K44" s="33">
        <f t="shared" si="3"/>
        <v>0</v>
      </c>
      <c r="L44" s="33">
        <f t="shared" si="3"/>
        <v>0.77763888938352466</v>
      </c>
    </row>
    <row r="45" spans="1:12" x14ac:dyDescent="0.3">
      <c r="A45" s="31" t="s">
        <v>355</v>
      </c>
      <c r="B45" s="31" t="s">
        <v>371</v>
      </c>
      <c r="C45" s="33">
        <f t="shared" si="3"/>
        <v>0</v>
      </c>
      <c r="D45" s="33">
        <f t="shared" si="3"/>
        <v>8.000000000174623E-2</v>
      </c>
      <c r="E45" s="33">
        <f t="shared" si="3"/>
        <v>0</v>
      </c>
      <c r="F45" s="33">
        <f t="shared" si="3"/>
        <v>8.0000000074505806E-2</v>
      </c>
      <c r="G45" s="33">
        <f t="shared" si="3"/>
        <v>0</v>
      </c>
      <c r="H45" s="33">
        <f t="shared" si="3"/>
        <v>0.13723285961896181</v>
      </c>
      <c r="I45" s="33">
        <f t="shared" si="3"/>
        <v>0.24683333327993751</v>
      </c>
      <c r="J45" s="33">
        <f t="shared" si="3"/>
        <v>0.38406619150191545</v>
      </c>
      <c r="K45" s="33">
        <f t="shared" si="3"/>
        <v>0</v>
      </c>
      <c r="L45" s="33">
        <f t="shared" si="3"/>
        <v>-0.30406619235873222</v>
      </c>
    </row>
    <row r="46" spans="1:12" x14ac:dyDescent="0.3">
      <c r="A46" s="31" t="s">
        <v>319</v>
      </c>
      <c r="B46" s="31" t="s">
        <v>372</v>
      </c>
      <c r="C46" s="33">
        <f t="shared" si="3"/>
        <v>0</v>
      </c>
      <c r="D46" s="33">
        <f t="shared" si="3"/>
        <v>0</v>
      </c>
      <c r="E46" s="33">
        <f t="shared" si="3"/>
        <v>0</v>
      </c>
      <c r="F46" s="33">
        <f t="shared" si="3"/>
        <v>0</v>
      </c>
      <c r="G46" s="33">
        <f t="shared" si="3"/>
        <v>0</v>
      </c>
      <c r="H46" s="33">
        <f t="shared" si="3"/>
        <v>-0.3528515980578959</v>
      </c>
      <c r="I46" s="33">
        <f t="shared" si="3"/>
        <v>-1.1111111103673466E-2</v>
      </c>
      <c r="J46" s="33">
        <f t="shared" si="3"/>
        <v>-0.36396270932164043</v>
      </c>
      <c r="K46" s="33">
        <f t="shared" si="3"/>
        <v>0</v>
      </c>
      <c r="L46" s="33">
        <f t="shared" si="3"/>
        <v>0.11396270920522511</v>
      </c>
    </row>
    <row r="47" spans="1:12" ht="15" thickBot="1" x14ac:dyDescent="0.35">
      <c r="A47" s="35" t="s">
        <v>360</v>
      </c>
      <c r="B47" s="35"/>
      <c r="C47" s="36">
        <f>SUM(C36:C46)</f>
        <v>0.20000000006984919</v>
      </c>
      <c r="D47" s="36">
        <f t="shared" ref="D47:L47" si="4">SUM(D36:D46)</f>
        <v>0.10434714976872783</v>
      </c>
      <c r="E47" s="36">
        <f t="shared" si="4"/>
        <v>0</v>
      </c>
      <c r="F47" s="36">
        <f t="shared" si="4"/>
        <v>0.30434715643059462</v>
      </c>
      <c r="G47" s="36">
        <f t="shared" si="4"/>
        <v>0</v>
      </c>
      <c r="H47" s="36">
        <f t="shared" si="4"/>
        <v>1.7521142730984138</v>
      </c>
      <c r="I47" s="36">
        <f t="shared" si="4"/>
        <v>1.2382568238535896E-3</v>
      </c>
      <c r="J47" s="36">
        <f t="shared" si="4"/>
        <v>1.7533524871832924</v>
      </c>
      <c r="K47" s="36">
        <f t="shared" si="4"/>
        <v>0.10013204091228545</v>
      </c>
      <c r="L47" s="36">
        <f t="shared" si="4"/>
        <v>-3.0507881533267209</v>
      </c>
    </row>
    <row r="48" spans="1:12" ht="15" thickTop="1" x14ac:dyDescent="0.3"/>
  </sheetData>
  <mergeCells count="3">
    <mergeCell ref="A1:L1"/>
    <mergeCell ref="A17:L17"/>
    <mergeCell ref="A33:L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Detailed- HWD</vt:lpstr>
      <vt:lpstr>Summarised-HWD</vt:lpstr>
      <vt:lpstr>Detailed-AWB</vt:lpstr>
      <vt:lpstr>Summarised-AWB</vt:lpstr>
      <vt:lpstr>CONSO</vt:lpstr>
      <vt:lpstr>'Detailed- HWD'!Print_Area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2024-05-12T20:35:30Z</cp:lastPrinted>
  <dcterms:created xsi:type="dcterms:W3CDTF">2024-03-04T11:15:47Z</dcterms:created>
  <dcterms:modified xsi:type="dcterms:W3CDTF">2024-06-23T18:32:58Z</dcterms:modified>
</cp:coreProperties>
</file>