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MMBS Hospitality\Report\"/>
    </mc:Choice>
  </mc:AlternateContent>
  <xr:revisionPtr revIDLastSave="0" documentId="13_ncr:1_{F0B1324B-032D-42E7-AC35-08C540A3D44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Sheet1" sheetId="1" r:id="rId1"/>
    <sheet name="Sanction Plan" sheetId="2" r:id="rId2"/>
    <sheet name="Measurement" sheetId="3" r:id="rId3"/>
    <sheet name="Sheet4" sheetId="4" r:id="rId4"/>
    <sheet name="Sheet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4" l="1"/>
  <c r="K7" i="4"/>
  <c r="K8" i="4"/>
  <c r="K9" i="4"/>
  <c r="K10" i="4"/>
  <c r="K11" i="4"/>
  <c r="K12" i="4"/>
  <c r="K13" i="4"/>
  <c r="E6" i="4"/>
  <c r="E13" i="4" s="1"/>
  <c r="E7" i="4"/>
  <c r="E8" i="4"/>
  <c r="E9" i="4"/>
  <c r="E10" i="4"/>
  <c r="E11" i="4"/>
  <c r="E12" i="4"/>
  <c r="J6" i="4"/>
  <c r="J13" i="4" s="1"/>
  <c r="J7" i="4"/>
  <c r="J8" i="4"/>
  <c r="J9" i="4"/>
  <c r="J10" i="4"/>
  <c r="J11" i="4"/>
  <c r="J12" i="4"/>
  <c r="G13" i="4"/>
  <c r="G21" i="3"/>
  <c r="F21" i="3"/>
  <c r="G17" i="3"/>
  <c r="G11" i="3"/>
  <c r="L6" i="3"/>
  <c r="L5" i="3"/>
  <c r="K6" i="3"/>
  <c r="K5" i="3"/>
  <c r="G16" i="3"/>
  <c r="G10" i="3"/>
  <c r="H16" i="2"/>
  <c r="I16" i="2" s="1"/>
  <c r="H9" i="2"/>
  <c r="I9" i="2" s="1"/>
  <c r="G14" i="2"/>
  <c r="G13" i="2"/>
  <c r="G12" i="2"/>
  <c r="G11" i="2"/>
  <c r="G9" i="2"/>
  <c r="G8" i="2"/>
  <c r="G7" i="2"/>
  <c r="G6" i="2"/>
  <c r="M15" i="3"/>
  <c r="M16" i="3" s="1"/>
  <c r="M14" i="3"/>
  <c r="M8" i="3"/>
  <c r="M7" i="3"/>
  <c r="M6" i="3"/>
  <c r="M5" i="3"/>
  <c r="M10" i="3" s="1"/>
  <c r="E16" i="2"/>
  <c r="F17" i="3"/>
  <c r="L17" i="4"/>
  <c r="I2" i="4"/>
  <c r="D2" i="4"/>
  <c r="I13" i="4"/>
  <c r="J14" i="3"/>
  <c r="J6" i="3"/>
  <c r="J5" i="3"/>
  <c r="J7" i="3" s="1"/>
  <c r="E9" i="2"/>
  <c r="D13" i="4"/>
  <c r="A7" i="4"/>
  <c r="A8" i="4" s="1"/>
  <c r="A9" i="4" s="1"/>
  <c r="A10" i="4" s="1"/>
  <c r="A11" i="4" s="1"/>
  <c r="A12" i="4" s="1"/>
  <c r="C13" i="4"/>
  <c r="F16" i="3"/>
  <c r="F11" i="3"/>
  <c r="F10" i="3"/>
  <c r="D16" i="2"/>
  <c r="D9" i="2"/>
  <c r="C13" i="2"/>
  <c r="C8" i="2"/>
  <c r="F6" i="1"/>
  <c r="F5" i="1"/>
  <c r="F4" i="1"/>
  <c r="L7" i="4" l="1"/>
  <c r="L12" i="4"/>
  <c r="L10" i="4"/>
  <c r="L9" i="4"/>
  <c r="L8" i="4" l="1"/>
  <c r="L11" i="4"/>
  <c r="L6" i="4"/>
  <c r="L13" i="4" l="1"/>
</calcChain>
</file>

<file path=xl/sharedStrings.xml><?xml version="1.0" encoding="utf-8"?>
<sst xmlns="http://schemas.openxmlformats.org/spreadsheetml/2006/main" count="98" uniqueCount="73">
  <si>
    <t>Total</t>
  </si>
  <si>
    <t>Pending Invoice of Work Done at site</t>
  </si>
  <si>
    <t>Grand Total</t>
  </si>
  <si>
    <t>sqm</t>
  </si>
  <si>
    <t>Plot Area as Sale deed)</t>
  </si>
  <si>
    <t>Plot Area as Site</t>
  </si>
  <si>
    <t>Net Plot Area</t>
  </si>
  <si>
    <t>Road Widening Area</t>
  </si>
  <si>
    <t>Block-1</t>
  </si>
  <si>
    <t>Proposed G.F. Covered Area (without staircase &amp; Lift)</t>
  </si>
  <si>
    <t>GF Starirecase &amp; Lift Area</t>
  </si>
  <si>
    <t>Total GF Covered Area</t>
  </si>
  <si>
    <t>Total FF Covered Area</t>
  </si>
  <si>
    <t>Block-2</t>
  </si>
  <si>
    <t>total Mezzabibe F. Cov. Area</t>
  </si>
  <si>
    <t>Total SF Covered Area</t>
  </si>
  <si>
    <t>Total covered area  (for DC)</t>
  </si>
  <si>
    <t>Total covered area  (for FAR)</t>
  </si>
  <si>
    <t>Ground Coverage (Per. 30%</t>
  </si>
  <si>
    <t>FAR Achieved (Per. 1.50)</t>
  </si>
  <si>
    <t xml:space="preserve">Boundary </t>
  </si>
  <si>
    <t>RMT</t>
  </si>
  <si>
    <t>Height</t>
  </si>
  <si>
    <t>6 ft</t>
  </si>
  <si>
    <t>RCC Area</t>
  </si>
  <si>
    <t>181'6"</t>
  </si>
  <si>
    <t>35'9"</t>
  </si>
  <si>
    <t>Length</t>
  </si>
  <si>
    <t>width</t>
  </si>
  <si>
    <t>area sqft</t>
  </si>
  <si>
    <t>Banquet Hall</t>
  </si>
  <si>
    <t>Main Area</t>
  </si>
  <si>
    <t>Commmunity Hall</t>
  </si>
  <si>
    <t>90'9"</t>
  </si>
  <si>
    <t>101'6"</t>
  </si>
  <si>
    <t>51'6"</t>
  </si>
  <si>
    <t>GF</t>
  </si>
  <si>
    <t>FF</t>
  </si>
  <si>
    <t>First Floor</t>
  </si>
  <si>
    <t>Kitchen</t>
  </si>
  <si>
    <t>RCC Wall &amp; Shed</t>
  </si>
  <si>
    <t>RCC Wall (proposed) &amp; Shed</t>
  </si>
  <si>
    <t>GF +Mezza</t>
  </si>
  <si>
    <t>RCC</t>
  </si>
  <si>
    <t>108'</t>
  </si>
  <si>
    <t>51'4"</t>
  </si>
  <si>
    <t>Back Area</t>
  </si>
  <si>
    <t>52'6"</t>
  </si>
  <si>
    <t>43'3"</t>
  </si>
  <si>
    <t>Boundary Wall</t>
  </si>
  <si>
    <t>Ft</t>
  </si>
  <si>
    <t>RCC Area &amp; Beam above</t>
  </si>
  <si>
    <t xml:space="preserve">Main Area </t>
  </si>
  <si>
    <t>S. No.</t>
  </si>
  <si>
    <t>Different Parameters</t>
  </si>
  <si>
    <t>Weightage</t>
  </si>
  <si>
    <t>Block-A</t>
  </si>
  <si>
    <t>Block-B</t>
  </si>
  <si>
    <t>Flooring</t>
  </si>
  <si>
    <t>Completion status (in %)</t>
  </si>
  <si>
    <t>Excavation, Concrete for Foundation and Plinth</t>
  </si>
  <si>
    <t>Super structure concrete &amp; Brickwork</t>
  </si>
  <si>
    <t>Roof Slab</t>
  </si>
  <si>
    <t>Plasterring &amp; Painting</t>
  </si>
  <si>
    <t>Doors, Windows &amp; Woodwork</t>
  </si>
  <si>
    <t>Water supply, sanitary fittings electrification &amp;others</t>
  </si>
  <si>
    <t>RCC Structure</t>
  </si>
  <si>
    <t>% Completion</t>
  </si>
  <si>
    <t>Shed</t>
  </si>
  <si>
    <t>Shed Structure</t>
  </si>
  <si>
    <t>Total Cost Incurred</t>
  </si>
  <si>
    <t>Height Ft</t>
  </si>
  <si>
    <t>Actual Saction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</si>
</sst>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10" fontId="0" fillId="0" borderId="0" xfId="1" applyNumberFormat="1" applyFont="1"/>
    <xf numFmtId="10" fontId="0" fillId="0" borderId="0" xfId="2" applyNumberFormat="1" applyFont="1"/>
    <xf numFmtId="16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5" xfId="0" applyNumberFormat="1" applyFont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9" fontId="0" fillId="0" borderId="0" xfId="2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F14"/>
  <sheetViews>
    <sheetView workbookViewId="0">
      <selection activeCell="E6" sqref="E6"/>
    </sheetView>
  </sheetViews>
  <sheetFormatPr defaultRowHeight="15" x14ac:dyDescent="0.25"/>
  <cols>
    <col min="4" max="4" width="34.42578125" style="2" bestFit="1" customWidth="1"/>
    <col min="5" max="5" width="11.5703125" style="5" bestFit="1" customWidth="1"/>
  </cols>
  <sheetData>
    <row r="4" spans="4:6" x14ac:dyDescent="0.25">
      <c r="D4" s="1" t="s">
        <v>0</v>
      </c>
      <c r="E4" s="5">
        <v>80404238</v>
      </c>
      <c r="F4" s="7">
        <f>E4/10^7</f>
        <v>8.0404237999999992</v>
      </c>
    </row>
    <row r="5" spans="4:6" x14ac:dyDescent="0.25">
      <c r="D5" s="3" t="s">
        <v>1</v>
      </c>
      <c r="E5" s="5">
        <v>8062698</v>
      </c>
      <c r="F5" s="7">
        <f>E5/10^7</f>
        <v>0.80626980000000004</v>
      </c>
    </row>
    <row r="6" spans="4:6" x14ac:dyDescent="0.25">
      <c r="D6" s="1" t="s">
        <v>2</v>
      </c>
      <c r="E6" s="5">
        <v>88466936</v>
      </c>
      <c r="F6" s="7">
        <f>E6/10^7</f>
        <v>8.8466936</v>
      </c>
    </row>
    <row r="13" spans="4:6" x14ac:dyDescent="0.25">
      <c r="D13" s="2" t="s">
        <v>20</v>
      </c>
      <c r="E13" s="5">
        <v>310</v>
      </c>
      <c r="F13" t="s">
        <v>21</v>
      </c>
    </row>
    <row r="14" spans="4:6" x14ac:dyDescent="0.25">
      <c r="D14" s="2" t="s">
        <v>22</v>
      </c>
      <c r="E14" s="10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98E7-E0B0-4B09-8A05-3EE7964CA73B}">
  <dimension ref="B1:I22"/>
  <sheetViews>
    <sheetView workbookViewId="0">
      <selection activeCell="H17" sqref="H17"/>
    </sheetView>
  </sheetViews>
  <sheetFormatPr defaultRowHeight="15" x14ac:dyDescent="0.25"/>
  <cols>
    <col min="2" max="2" width="49.140625" bestFit="1" customWidth="1"/>
    <col min="3" max="3" width="10" style="4" bestFit="1" customWidth="1"/>
    <col min="5" max="6" width="10" bestFit="1" customWidth="1"/>
  </cols>
  <sheetData>
    <row r="1" spans="2:9" x14ac:dyDescent="0.25">
      <c r="B1" t="s">
        <v>4</v>
      </c>
      <c r="C1" s="4">
        <v>10000.98</v>
      </c>
      <c r="D1" t="s">
        <v>3</v>
      </c>
    </row>
    <row r="2" spans="2:9" x14ac:dyDescent="0.25">
      <c r="B2" t="s">
        <v>5</v>
      </c>
      <c r="C2" s="4">
        <v>10000.91</v>
      </c>
      <c r="D2" t="s">
        <v>3</v>
      </c>
    </row>
    <row r="3" spans="2:9" x14ac:dyDescent="0.25">
      <c r="B3" t="s">
        <v>7</v>
      </c>
      <c r="C3" s="4">
        <v>0</v>
      </c>
    </row>
    <row r="4" spans="2:9" x14ac:dyDescent="0.25">
      <c r="B4" t="s">
        <v>6</v>
      </c>
      <c r="C4" s="4">
        <v>1000.91</v>
      </c>
      <c r="D4" t="s">
        <v>3</v>
      </c>
    </row>
    <row r="5" spans="2:9" x14ac:dyDescent="0.25">
      <c r="B5" s="24" t="s">
        <v>8</v>
      </c>
      <c r="C5" s="24"/>
      <c r="D5" s="24"/>
    </row>
    <row r="6" spans="2:9" x14ac:dyDescent="0.25">
      <c r="B6" t="s">
        <v>9</v>
      </c>
      <c r="C6" s="4">
        <v>2077.98</v>
      </c>
      <c r="G6" s="7">
        <f>C6</f>
        <v>2077.98</v>
      </c>
    </row>
    <row r="7" spans="2:9" x14ac:dyDescent="0.25">
      <c r="B7" t="s">
        <v>10</v>
      </c>
      <c r="C7" s="4">
        <v>58.74</v>
      </c>
      <c r="G7" s="7">
        <f t="shared" ref="G7:G9" si="0">C7</f>
        <v>58.74</v>
      </c>
    </row>
    <row r="8" spans="2:9" x14ac:dyDescent="0.25">
      <c r="B8" t="s">
        <v>11</v>
      </c>
      <c r="C8" s="4">
        <f>SUM(C6:C7)</f>
        <v>2136.7199999999998</v>
      </c>
      <c r="G8" s="7">
        <f t="shared" si="0"/>
        <v>2136.7199999999998</v>
      </c>
    </row>
    <row r="9" spans="2:9" x14ac:dyDescent="0.25">
      <c r="B9" t="s">
        <v>12</v>
      </c>
      <c r="C9" s="4">
        <v>469.73</v>
      </c>
      <c r="D9" s="7">
        <f>C9+C8</f>
        <v>2606.4499999999998</v>
      </c>
      <c r="E9" s="5">
        <f>D9*10.764</f>
        <v>28055.827799999995</v>
      </c>
      <c r="G9" s="7">
        <f t="shared" si="0"/>
        <v>469.73</v>
      </c>
      <c r="H9" s="7">
        <f>G9+G8</f>
        <v>2606.4499999999998</v>
      </c>
      <c r="I9" s="5">
        <f>H9*10.764</f>
        <v>28055.827799999995</v>
      </c>
    </row>
    <row r="10" spans="2:9" x14ac:dyDescent="0.25">
      <c r="B10" s="24" t="s">
        <v>13</v>
      </c>
      <c r="C10" s="24"/>
      <c r="D10" s="24"/>
    </row>
    <row r="11" spans="2:9" x14ac:dyDescent="0.25">
      <c r="B11" t="s">
        <v>9</v>
      </c>
      <c r="C11" s="4">
        <v>710.73</v>
      </c>
      <c r="E11" s="7"/>
      <c r="F11" s="9"/>
      <c r="G11" s="7">
        <f t="shared" ref="G11:G14" si="1">C11</f>
        <v>710.73</v>
      </c>
    </row>
    <row r="12" spans="2:9" x14ac:dyDescent="0.25">
      <c r="B12" t="s">
        <v>10</v>
      </c>
      <c r="C12" s="4">
        <v>51.26</v>
      </c>
      <c r="G12" s="7">
        <f t="shared" si="1"/>
        <v>51.26</v>
      </c>
    </row>
    <row r="13" spans="2:9" x14ac:dyDescent="0.25">
      <c r="B13" t="s">
        <v>11</v>
      </c>
      <c r="C13" s="4">
        <f>SUM(C11:C12)</f>
        <v>761.99</v>
      </c>
      <c r="G13" s="7">
        <f t="shared" si="1"/>
        <v>761.99</v>
      </c>
    </row>
    <row r="14" spans="2:9" x14ac:dyDescent="0.25">
      <c r="B14" t="s">
        <v>14</v>
      </c>
      <c r="C14" s="4">
        <v>234.48</v>
      </c>
      <c r="G14" s="7">
        <f t="shared" si="1"/>
        <v>234.48</v>
      </c>
    </row>
    <row r="15" spans="2:9" x14ac:dyDescent="0.25">
      <c r="B15" t="s">
        <v>12</v>
      </c>
      <c r="C15" s="4">
        <v>710.73</v>
      </c>
      <c r="G15" s="7">
        <v>0</v>
      </c>
    </row>
    <row r="16" spans="2:9" x14ac:dyDescent="0.25">
      <c r="B16" t="s">
        <v>15</v>
      </c>
      <c r="C16" s="4">
        <v>601.80999999999995</v>
      </c>
      <c r="D16" s="7">
        <f>SUM(C13:C16)</f>
        <v>2309.0100000000002</v>
      </c>
      <c r="E16" s="5">
        <f>D16*10.764</f>
        <v>24854.183639999999</v>
      </c>
      <c r="F16" s="5"/>
      <c r="G16" s="7">
        <v>0</v>
      </c>
      <c r="H16" s="7">
        <f>SUM(G13:G16)</f>
        <v>996.47</v>
      </c>
      <c r="I16" s="5">
        <f>H16*10.764</f>
        <v>10726.00308</v>
      </c>
    </row>
    <row r="18" spans="2:3" x14ac:dyDescent="0.25">
      <c r="B18" t="s">
        <v>16</v>
      </c>
      <c r="C18" s="4">
        <v>4915.46</v>
      </c>
    </row>
    <row r="19" spans="2:3" x14ac:dyDescent="0.25">
      <c r="B19" t="s">
        <v>17</v>
      </c>
      <c r="C19" s="4">
        <v>4805.46</v>
      </c>
    </row>
    <row r="21" spans="2:3" x14ac:dyDescent="0.25">
      <c r="B21" t="s">
        <v>18</v>
      </c>
      <c r="C21" s="8">
        <v>0.2898</v>
      </c>
    </row>
    <row r="22" spans="2:3" x14ac:dyDescent="0.25">
      <c r="B22" t="s">
        <v>19</v>
      </c>
      <c r="C22" s="4">
        <v>0.48</v>
      </c>
    </row>
  </sheetData>
  <mergeCells count="2">
    <mergeCell ref="B5:D5"/>
    <mergeCell ref="B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8170-5146-4057-BFF6-CC2554FC5EB6}">
  <dimension ref="A3:M21"/>
  <sheetViews>
    <sheetView workbookViewId="0">
      <selection activeCell="G16" sqref="G16"/>
    </sheetView>
  </sheetViews>
  <sheetFormatPr defaultRowHeight="15" x14ac:dyDescent="0.25"/>
  <cols>
    <col min="1" max="1" width="10.28515625" bestFit="1" customWidth="1"/>
    <col min="2" max="2" width="18.7109375" bestFit="1" customWidth="1"/>
    <col min="3" max="3" width="26.42578125" bestFit="1" customWidth="1"/>
    <col min="4" max="5" width="9.140625" style="2"/>
    <col min="6" max="6" width="9.140625" style="5"/>
    <col min="7" max="7" width="18" style="5" bestFit="1" customWidth="1"/>
    <col min="8" max="8" width="10" bestFit="1" customWidth="1"/>
    <col min="12" max="12" width="10" bestFit="1" customWidth="1"/>
    <col min="13" max="13" width="10" style="5" bestFit="1" customWidth="1"/>
  </cols>
  <sheetData>
    <row r="3" spans="1:13" x14ac:dyDescent="0.25">
      <c r="A3" s="25" t="s">
        <v>8</v>
      </c>
      <c r="B3" s="25"/>
      <c r="C3" s="25"/>
      <c r="D3" s="25"/>
      <c r="E3" s="25"/>
      <c r="F3" s="25"/>
    </row>
    <row r="4" spans="1:13" x14ac:dyDescent="0.25">
      <c r="D4" s="11" t="s">
        <v>27</v>
      </c>
      <c r="E4" s="11" t="s">
        <v>28</v>
      </c>
      <c r="F4" s="12" t="s">
        <v>29</v>
      </c>
      <c r="G4" s="5" t="s">
        <v>72</v>
      </c>
    </row>
    <row r="5" spans="1:13" x14ac:dyDescent="0.25">
      <c r="A5" t="s">
        <v>36</v>
      </c>
      <c r="B5" s="3" t="s">
        <v>31</v>
      </c>
      <c r="C5" s="3" t="s">
        <v>24</v>
      </c>
      <c r="D5" s="2" t="s">
        <v>25</v>
      </c>
      <c r="E5" s="2" t="s">
        <v>26</v>
      </c>
      <c r="F5" s="5">
        <v>6488.625</v>
      </c>
      <c r="I5" t="s">
        <v>43</v>
      </c>
      <c r="J5" s="6">
        <f>F5+F8</f>
        <v>12977.25</v>
      </c>
      <c r="K5" s="23">
        <f>J5/J7</f>
        <v>0.44905468318586123</v>
      </c>
      <c r="L5" s="5">
        <f>K5*G10</f>
        <v>12598.600864246077</v>
      </c>
      <c r="M5" s="5">
        <f>181*36</f>
        <v>6516</v>
      </c>
    </row>
    <row r="6" spans="1:13" x14ac:dyDescent="0.25">
      <c r="A6" t="s">
        <v>36</v>
      </c>
      <c r="B6" t="s">
        <v>30</v>
      </c>
      <c r="C6" s="13" t="s">
        <v>40</v>
      </c>
      <c r="D6" s="2" t="s">
        <v>33</v>
      </c>
      <c r="E6" s="2" t="s">
        <v>34</v>
      </c>
      <c r="F6" s="5">
        <v>9211.125</v>
      </c>
      <c r="I6" t="s">
        <v>68</v>
      </c>
      <c r="J6" s="6">
        <f>F6+F7+F9</f>
        <v>15921.791666666661</v>
      </c>
      <c r="K6" s="23">
        <f>J6/J7</f>
        <v>0.55094531681413883</v>
      </c>
      <c r="L6" s="5">
        <f>K6*G10</f>
        <v>15457.226935753921</v>
      </c>
      <c r="M6" s="5">
        <f>91*101</f>
        <v>9191</v>
      </c>
    </row>
    <row r="7" spans="1:13" x14ac:dyDescent="0.25">
      <c r="A7" t="s">
        <v>36</v>
      </c>
      <c r="B7" t="s">
        <v>32</v>
      </c>
      <c r="C7" s="13" t="s">
        <v>40</v>
      </c>
      <c r="D7" s="2" t="s">
        <v>33</v>
      </c>
      <c r="E7" s="2" t="s">
        <v>35</v>
      </c>
      <c r="F7" s="5">
        <v>4641</v>
      </c>
      <c r="J7" s="6">
        <f>SUM(J5:J6)</f>
        <v>28899.041666666661</v>
      </c>
      <c r="M7" s="5">
        <f>91*51</f>
        <v>4641</v>
      </c>
    </row>
    <row r="8" spans="1:13" x14ac:dyDescent="0.25">
      <c r="A8" t="s">
        <v>37</v>
      </c>
      <c r="B8" t="s">
        <v>38</v>
      </c>
      <c r="C8" s="3" t="s">
        <v>51</v>
      </c>
      <c r="D8" s="2" t="s">
        <v>25</v>
      </c>
      <c r="E8" s="2" t="s">
        <v>26</v>
      </c>
      <c r="F8" s="5">
        <v>6488.625</v>
      </c>
      <c r="M8" s="5">
        <f>181*36</f>
        <v>6516</v>
      </c>
    </row>
    <row r="9" spans="1:13" x14ac:dyDescent="0.25">
      <c r="A9" t="s">
        <v>36</v>
      </c>
      <c r="B9" t="s">
        <v>39</v>
      </c>
      <c r="C9" s="13" t="s">
        <v>41</v>
      </c>
      <c r="F9" s="5">
        <v>2069.6666666666597</v>
      </c>
      <c r="M9" s="5">
        <v>2070</v>
      </c>
    </row>
    <row r="10" spans="1:13" x14ac:dyDescent="0.25">
      <c r="F10" s="6">
        <f>SUM(F5:F9)</f>
        <v>28899.041666666661</v>
      </c>
      <c r="G10" s="5">
        <f>'Sanction Plan'!I9</f>
        <v>28055.827799999995</v>
      </c>
      <c r="H10" s="5"/>
      <c r="M10" s="5">
        <f>SUM(M5:M9)</f>
        <v>28934</v>
      </c>
    </row>
    <row r="11" spans="1:13" x14ac:dyDescent="0.25">
      <c r="F11" s="5">
        <f>F10/10.764</f>
        <v>2684.7864796234358</v>
      </c>
      <c r="G11" s="5">
        <f>G10/10.764</f>
        <v>2606.4499999999998</v>
      </c>
    </row>
    <row r="13" spans="1:13" x14ac:dyDescent="0.25">
      <c r="A13" s="25" t="s">
        <v>13</v>
      </c>
      <c r="B13" s="25"/>
      <c r="C13" s="25"/>
      <c r="D13" s="25"/>
      <c r="E13" s="25"/>
      <c r="F13" s="25"/>
    </row>
    <row r="14" spans="1:13" x14ac:dyDescent="0.25">
      <c r="A14" t="s">
        <v>42</v>
      </c>
      <c r="B14" t="s">
        <v>52</v>
      </c>
      <c r="C14" t="s">
        <v>43</v>
      </c>
      <c r="D14" s="2" t="s">
        <v>44</v>
      </c>
      <c r="E14" s="2" t="s">
        <v>45</v>
      </c>
      <c r="F14" s="5">
        <v>5544</v>
      </c>
      <c r="I14" t="s">
        <v>43</v>
      </c>
      <c r="J14" s="6">
        <f>F16</f>
        <v>7814.625</v>
      </c>
      <c r="M14" s="5">
        <f>108*51</f>
        <v>5508</v>
      </c>
    </row>
    <row r="15" spans="1:13" x14ac:dyDescent="0.25">
      <c r="B15" t="s">
        <v>46</v>
      </c>
      <c r="C15" t="s">
        <v>43</v>
      </c>
      <c r="D15" s="2" t="s">
        <v>47</v>
      </c>
      <c r="E15" s="2" t="s">
        <v>48</v>
      </c>
      <c r="F15" s="5">
        <v>2270.625</v>
      </c>
      <c r="J15" s="6"/>
      <c r="M15" s="5">
        <f>52*43</f>
        <v>2236</v>
      </c>
    </row>
    <row r="16" spans="1:13" x14ac:dyDescent="0.25">
      <c r="F16" s="6">
        <f>SUM(F14:F15)</f>
        <v>7814.625</v>
      </c>
      <c r="G16" s="5">
        <f>'Sanction Plan'!I16</f>
        <v>10726.00308</v>
      </c>
      <c r="J16" s="6"/>
      <c r="M16" s="5">
        <f>SUM(M14:M15)</f>
        <v>7744</v>
      </c>
    </row>
    <row r="17" spans="2:7" x14ac:dyDescent="0.25">
      <c r="F17" s="5">
        <f>F16/10.764</f>
        <v>725.99637681159425</v>
      </c>
      <c r="G17" s="5">
        <f>G16/10.764</f>
        <v>996.47000000000014</v>
      </c>
    </row>
    <row r="18" spans="2:7" x14ac:dyDescent="0.25">
      <c r="D18" s="2" t="s">
        <v>21</v>
      </c>
      <c r="E18" s="2" t="s">
        <v>50</v>
      </c>
    </row>
    <row r="19" spans="2:7" x14ac:dyDescent="0.25">
      <c r="B19" t="s">
        <v>49</v>
      </c>
      <c r="C19" t="s">
        <v>43</v>
      </c>
      <c r="D19" s="2">
        <v>310</v>
      </c>
      <c r="E19" s="2">
        <v>7</v>
      </c>
    </row>
    <row r="21" spans="2:7" x14ac:dyDescent="0.25">
      <c r="F21" s="5">
        <f>F17+F11</f>
        <v>3410.7828564350302</v>
      </c>
      <c r="G21" s="5">
        <f>G17+G11</f>
        <v>3602.92</v>
      </c>
    </row>
  </sheetData>
  <mergeCells count="2">
    <mergeCell ref="A3:F3"/>
    <mergeCell ref="A13:F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A358-68F0-4BDD-9345-4C5E2BF9645E}">
  <dimension ref="A2:L17"/>
  <sheetViews>
    <sheetView tabSelected="1" zoomScaleNormal="100" workbookViewId="0">
      <selection activeCell="D19" sqref="D19"/>
    </sheetView>
  </sheetViews>
  <sheetFormatPr defaultRowHeight="15" x14ac:dyDescent="0.25"/>
  <cols>
    <col min="1" max="1" width="6.140625" bestFit="1" customWidth="1"/>
    <col min="2" max="2" width="49.140625" bestFit="1" customWidth="1"/>
    <col min="3" max="3" width="10.7109375" bestFit="1" customWidth="1"/>
    <col min="4" max="4" width="13.5703125" bestFit="1" customWidth="1"/>
    <col min="5" max="5" width="6.42578125" customWidth="1"/>
    <col min="6" max="6" width="11.5703125" bestFit="1" customWidth="1"/>
    <col min="7" max="7" width="13.5703125" bestFit="1" customWidth="1"/>
    <col min="8" max="8" width="11.5703125" bestFit="1" customWidth="1"/>
    <col min="9" max="9" width="13.5703125" bestFit="1" customWidth="1"/>
    <col min="10" max="10" width="7.5703125" customWidth="1"/>
    <col min="11" max="11" width="14.28515625" style="5" bestFit="1" customWidth="1"/>
    <col min="12" max="12" width="11.85546875" customWidth="1"/>
  </cols>
  <sheetData>
    <row r="2" spans="1:12" ht="15.75" thickBot="1" x14ac:dyDescent="0.3">
      <c r="D2" s="5">
        <f>E5*10.764</f>
        <v>24757.199999999997</v>
      </c>
      <c r="I2" s="5">
        <f>J5*10.764</f>
        <v>21528</v>
      </c>
    </row>
    <row r="3" spans="1:12" x14ac:dyDescent="0.25">
      <c r="A3" s="35" t="s">
        <v>53</v>
      </c>
      <c r="B3" s="35" t="s">
        <v>54</v>
      </c>
      <c r="C3" s="35" t="s">
        <v>55</v>
      </c>
      <c r="D3" s="29" t="s">
        <v>66</v>
      </c>
      <c r="E3" s="30"/>
      <c r="F3" s="30"/>
      <c r="G3" s="30"/>
      <c r="H3" s="34"/>
      <c r="I3" s="29" t="s">
        <v>69</v>
      </c>
      <c r="J3" s="30"/>
      <c r="K3" s="30"/>
      <c r="L3" s="31" t="s">
        <v>70</v>
      </c>
    </row>
    <row r="4" spans="1:12" ht="15.75" thickBot="1" x14ac:dyDescent="0.3">
      <c r="A4" s="37"/>
      <c r="B4" s="37"/>
      <c r="C4" s="37"/>
      <c r="D4" s="26" t="s">
        <v>56</v>
      </c>
      <c r="E4" s="27"/>
      <c r="F4" s="28"/>
      <c r="G4" s="26" t="s">
        <v>57</v>
      </c>
      <c r="H4" s="28"/>
      <c r="I4" s="26" t="s">
        <v>56</v>
      </c>
      <c r="J4" s="27"/>
      <c r="K4" s="28"/>
      <c r="L4" s="31"/>
    </row>
    <row r="5" spans="1:12" ht="15.75" thickBot="1" x14ac:dyDescent="0.3">
      <c r="A5" s="36"/>
      <c r="B5" s="36"/>
      <c r="C5" s="36"/>
      <c r="D5" s="21" t="s">
        <v>67</v>
      </c>
      <c r="E5" s="20">
        <v>2300</v>
      </c>
      <c r="F5" s="20"/>
      <c r="G5" s="21" t="s">
        <v>67</v>
      </c>
      <c r="H5" s="20"/>
      <c r="I5" s="21" t="s">
        <v>67</v>
      </c>
      <c r="J5" s="20">
        <v>2000</v>
      </c>
      <c r="K5" s="22"/>
      <c r="L5" s="31"/>
    </row>
    <row r="6" spans="1:12" ht="15.75" thickBot="1" x14ac:dyDescent="0.3">
      <c r="A6" s="14">
        <v>1</v>
      </c>
      <c r="B6" s="15" t="s">
        <v>60</v>
      </c>
      <c r="C6" s="16">
        <v>0.15</v>
      </c>
      <c r="D6" s="16">
        <v>1</v>
      </c>
      <c r="E6" s="18">
        <f>$E$5*C6</f>
        <v>345</v>
      </c>
      <c r="F6" s="18">
        <v>4346517.2981648967</v>
      </c>
      <c r="G6" s="16">
        <v>1</v>
      </c>
      <c r="H6" s="18">
        <v>3700471.0626000003</v>
      </c>
      <c r="I6" s="16">
        <v>1</v>
      </c>
      <c r="J6">
        <f>$J$5*C6</f>
        <v>300</v>
      </c>
      <c r="K6" s="5">
        <f>J6*I6*Measurement!$L$6</f>
        <v>4637168.0807261765</v>
      </c>
      <c r="L6" s="6">
        <f>K6+H6+F6</f>
        <v>12684156.441491073</v>
      </c>
    </row>
    <row r="7" spans="1:12" ht="15.75" thickBot="1" x14ac:dyDescent="0.3">
      <c r="A7" s="14">
        <f>A6+1</f>
        <v>2</v>
      </c>
      <c r="B7" s="15" t="s">
        <v>61</v>
      </c>
      <c r="C7" s="16">
        <v>0.3</v>
      </c>
      <c r="D7" s="16">
        <v>1</v>
      </c>
      <c r="E7" s="18">
        <f t="shared" ref="E7:E12" si="0">$E$5*C7</f>
        <v>690</v>
      </c>
      <c r="F7" s="18">
        <v>8693034.5963297933</v>
      </c>
      <c r="G7" s="16">
        <v>1</v>
      </c>
      <c r="H7" s="18">
        <v>7400942.1252000006</v>
      </c>
      <c r="I7" s="16">
        <v>0.9</v>
      </c>
      <c r="J7">
        <f>$J$5*C7</f>
        <v>600</v>
      </c>
      <c r="K7" s="5">
        <f>J7*I7*Measurement!$L$6</f>
        <v>8346902.5453071175</v>
      </c>
      <c r="L7" s="6">
        <f>K7+H7+F7</f>
        <v>24440879.266836911</v>
      </c>
    </row>
    <row r="8" spans="1:12" ht="15.75" thickBot="1" x14ac:dyDescent="0.3">
      <c r="A8" s="14">
        <f t="shared" ref="A8:A12" si="1">A7+1</f>
        <v>3</v>
      </c>
      <c r="B8" s="15" t="s">
        <v>62</v>
      </c>
      <c r="C8" s="16">
        <v>0.15</v>
      </c>
      <c r="D8" s="16">
        <v>1</v>
      </c>
      <c r="E8" s="18">
        <f t="shared" si="0"/>
        <v>345</v>
      </c>
      <c r="F8" s="18">
        <v>4346517.2981648967</v>
      </c>
      <c r="G8" s="16">
        <v>1</v>
      </c>
      <c r="H8" s="18">
        <v>3700471.0626000003</v>
      </c>
      <c r="I8" s="16">
        <v>1</v>
      </c>
      <c r="J8">
        <f>$J$5*C8</f>
        <v>300</v>
      </c>
      <c r="K8" s="5">
        <f>J8*I8*Measurement!$L$6</f>
        <v>4637168.0807261765</v>
      </c>
      <c r="L8" s="6">
        <f>K8+H8+F8</f>
        <v>12684156.441491073</v>
      </c>
    </row>
    <row r="9" spans="1:12" ht="15.75" thickBot="1" x14ac:dyDescent="0.3">
      <c r="A9" s="14">
        <f t="shared" si="1"/>
        <v>4</v>
      </c>
      <c r="B9" s="15" t="s">
        <v>58</v>
      </c>
      <c r="C9" s="16">
        <v>0.05</v>
      </c>
      <c r="D9" s="16">
        <v>0</v>
      </c>
      <c r="E9" s="18">
        <f t="shared" si="0"/>
        <v>115</v>
      </c>
      <c r="F9" s="18">
        <v>0</v>
      </c>
      <c r="G9" s="16">
        <v>0</v>
      </c>
      <c r="H9" s="18">
        <v>0</v>
      </c>
      <c r="I9" s="16">
        <v>0</v>
      </c>
      <c r="J9">
        <f>$J$5*C9</f>
        <v>100</v>
      </c>
      <c r="K9" s="5">
        <f>J9*I9*Measurement!$L$6</f>
        <v>0</v>
      </c>
      <c r="L9" s="6">
        <f>K9+H9+F9</f>
        <v>0</v>
      </c>
    </row>
    <row r="10" spans="1:12" ht="15.75" thickBot="1" x14ac:dyDescent="0.3">
      <c r="A10" s="14">
        <f t="shared" si="1"/>
        <v>5</v>
      </c>
      <c r="B10" s="15" t="s">
        <v>63</v>
      </c>
      <c r="C10" s="16">
        <v>0.1</v>
      </c>
      <c r="D10" s="16">
        <v>0</v>
      </c>
      <c r="E10" s="18">
        <f t="shared" si="0"/>
        <v>230</v>
      </c>
      <c r="F10" s="18">
        <v>0</v>
      </c>
      <c r="G10" s="16">
        <v>0</v>
      </c>
      <c r="H10" s="18">
        <v>0</v>
      </c>
      <c r="I10" s="16">
        <v>0.7</v>
      </c>
      <c r="J10">
        <f>$J$5*C10</f>
        <v>200</v>
      </c>
      <c r="K10" s="5">
        <f>J10*I10*Measurement!$L$6</f>
        <v>2164011.771005549</v>
      </c>
      <c r="L10" s="6">
        <f>K10+H10+F10</f>
        <v>2164011.771005549</v>
      </c>
    </row>
    <row r="11" spans="1:12" ht="15.75" thickBot="1" x14ac:dyDescent="0.3">
      <c r="A11" s="14">
        <f t="shared" si="1"/>
        <v>6</v>
      </c>
      <c r="B11" s="15" t="s">
        <v>64</v>
      </c>
      <c r="C11" s="16">
        <v>0.1</v>
      </c>
      <c r="D11" s="16">
        <v>0</v>
      </c>
      <c r="E11" s="18">
        <f t="shared" si="0"/>
        <v>230</v>
      </c>
      <c r="F11" s="18">
        <v>0</v>
      </c>
      <c r="G11" s="16">
        <v>0</v>
      </c>
      <c r="H11" s="18">
        <v>0</v>
      </c>
      <c r="I11" s="16">
        <v>0</v>
      </c>
      <c r="J11">
        <f>$J$5*C11</f>
        <v>200</v>
      </c>
      <c r="K11" s="5">
        <f>J11*I11*Measurement!$L$6</f>
        <v>0</v>
      </c>
      <c r="L11" s="6">
        <f>K11+H11+F11</f>
        <v>0</v>
      </c>
    </row>
    <row r="12" spans="1:12" ht="15.75" thickBot="1" x14ac:dyDescent="0.3">
      <c r="A12" s="14">
        <f t="shared" si="1"/>
        <v>7</v>
      </c>
      <c r="B12" s="15" t="s">
        <v>65</v>
      </c>
      <c r="C12" s="16">
        <v>0.15</v>
      </c>
      <c r="D12" s="16">
        <v>0.2</v>
      </c>
      <c r="E12" s="18">
        <f t="shared" si="0"/>
        <v>345</v>
      </c>
      <c r="F12" s="18">
        <v>869303.45963297924</v>
      </c>
      <c r="G12" s="16">
        <v>0</v>
      </c>
      <c r="H12" s="18">
        <v>0</v>
      </c>
      <c r="I12" s="16">
        <v>0</v>
      </c>
      <c r="J12">
        <f>$J$5*C12</f>
        <v>300</v>
      </c>
      <c r="K12" s="5">
        <f>J12*I12*Measurement!$L$6</f>
        <v>0</v>
      </c>
      <c r="L12" s="6">
        <f>K12+H12+F12</f>
        <v>869303.45963297924</v>
      </c>
    </row>
    <row r="13" spans="1:12" ht="15.75" thickBot="1" x14ac:dyDescent="0.3">
      <c r="A13" s="32" t="s">
        <v>59</v>
      </c>
      <c r="B13" s="33"/>
      <c r="C13" s="17">
        <f>SUM(C6:C12)</f>
        <v>1</v>
      </c>
      <c r="D13" s="17">
        <f>SUMPRODUCT(C6:C12,D6:D12)</f>
        <v>0.63</v>
      </c>
      <c r="E13" s="19">
        <f>SUM(E6:E12)</f>
        <v>2300</v>
      </c>
      <c r="F13" s="19">
        <v>18255372.652292565</v>
      </c>
      <c r="G13" s="17">
        <f>SUMPRODUCT(C6:C12,G6:G12)</f>
        <v>0.6</v>
      </c>
      <c r="H13" s="19">
        <v>14801884.250400001</v>
      </c>
      <c r="I13" s="17">
        <f>SUMPRODUCT(C6:C12,I6:I12)</f>
        <v>0.64</v>
      </c>
      <c r="J13" s="19">
        <f>SUM(J6:J12)</f>
        <v>2000</v>
      </c>
      <c r="K13" s="19">
        <f>SUM(K6:K12)</f>
        <v>19785250.47776502</v>
      </c>
      <c r="L13" s="19">
        <f>SUM(L6:L12)</f>
        <v>52842507.380457588</v>
      </c>
    </row>
    <row r="16" spans="1:12" x14ac:dyDescent="0.25">
      <c r="C16" t="s">
        <v>21</v>
      </c>
      <c r="D16" t="s">
        <v>71</v>
      </c>
    </row>
    <row r="17" spans="2:12" x14ac:dyDescent="0.25">
      <c r="B17" t="s">
        <v>49</v>
      </c>
      <c r="C17">
        <v>310</v>
      </c>
      <c r="D17">
        <v>7</v>
      </c>
      <c r="I17">
        <v>6000</v>
      </c>
      <c r="L17" s="5">
        <f>I17*C17</f>
        <v>1860000</v>
      </c>
    </row>
  </sheetData>
  <mergeCells count="10">
    <mergeCell ref="I4:K4"/>
    <mergeCell ref="I3:K3"/>
    <mergeCell ref="L3:L5"/>
    <mergeCell ref="A13:B13"/>
    <mergeCell ref="D3:H3"/>
    <mergeCell ref="D4:F4"/>
    <mergeCell ref="G4:H4"/>
    <mergeCell ref="A3:A5"/>
    <mergeCell ref="B3:B5"/>
    <mergeCell ref="C3:C5"/>
  </mergeCells>
  <pageMargins left="0.7" right="0.7" top="0.75" bottom="0.75" header="0.3" footer="0.3"/>
  <ignoredErrors>
    <ignoredError sqref="I13 D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2A0C-6C01-4239-B7EB-CC999CC588C2}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Sanction Plan</vt:lpstr>
      <vt:lpstr>Measurement</vt:lpstr>
      <vt:lpstr>Sheet4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2024-06-28T10:35:17Z</dcterms:modified>
</cp:coreProperties>
</file>