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bhinav Chaturvedi's Assignments\In-Progress\Draft Shared\VIS(2024-25)-PL198-166-219_Auro Mines\Report\"/>
    </mc:Choice>
  </mc:AlternateContent>
  <xr:revisionPtr revIDLastSave="0" documentId="13_ncr:1_{9DD9C2A9-B7C8-42C5-BF5F-D3D14804DB43}" xr6:coauthVersionLast="47" xr6:coauthVersionMax="47" xr10:uidLastSave="{00000000-0000-0000-0000-000000000000}"/>
  <bookViews>
    <workbookView xWindow="-120" yWindow="-120" windowWidth="24240" windowHeight="13140" activeTab="2" xr2:uid="{00000000-000D-0000-FFFF-FFFF00000000}"/>
  </bookViews>
  <sheets>
    <sheet name="Sheet1" sheetId="1" r:id="rId1"/>
    <sheet name="Valuation" sheetId="2" r:id="rId2"/>
    <sheet name="Sheet3" sheetId="3" r:id="rId3"/>
    <sheet name="Land Area" sheetId="4" r:id="rId4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1" i="3" l="1"/>
  <c r="C20" i="3"/>
  <c r="C19" i="3"/>
  <c r="D17" i="3"/>
  <c r="D16" i="3"/>
  <c r="D15" i="3"/>
  <c r="C17" i="3"/>
  <c r="D12" i="3"/>
  <c r="D11" i="3"/>
  <c r="A30" i="2"/>
  <c r="A29" i="2"/>
  <c r="D15" i="2"/>
  <c r="B35" i="2" l="1"/>
  <c r="B36" i="2" s="1"/>
  <c r="L4" i="4"/>
  <c r="J4" i="4"/>
  <c r="A28" i="2"/>
  <c r="AF4" i="2"/>
  <c r="AG4" i="2" s="1"/>
  <c r="AB4" i="2"/>
  <c r="AC4" i="2" s="1"/>
  <c r="AD4" i="2" s="1"/>
  <c r="AE4" i="2" s="1"/>
  <c r="X4" i="2"/>
  <c r="Y4" i="2" s="1"/>
  <c r="Z4" i="2" s="1"/>
  <c r="AA4" i="2" s="1"/>
  <c r="V4" i="2"/>
  <c r="W4" i="2" s="1"/>
  <c r="U4" i="2"/>
  <c r="T4" i="2"/>
  <c r="R4" i="2"/>
  <c r="S4" i="2" s="1"/>
  <c r="Q4" i="2"/>
  <c r="P4" i="2"/>
  <c r="N4" i="2"/>
  <c r="O4" i="2" s="1"/>
  <c r="M4" i="2"/>
  <c r="L4" i="2"/>
  <c r="E15" i="2"/>
  <c r="F15" i="2" s="1"/>
  <c r="G15" i="2" s="1"/>
  <c r="H15" i="2" s="1"/>
  <c r="M15" i="2" s="1"/>
  <c r="I15" i="2"/>
  <c r="G10" i="2"/>
  <c r="F10" i="2"/>
  <c r="H10" i="2"/>
  <c r="I10" i="2" s="1"/>
  <c r="D14" i="2"/>
  <c r="E14" i="2"/>
  <c r="F14" i="2"/>
  <c r="G14" i="2"/>
  <c r="H14" i="2"/>
  <c r="I14" i="2"/>
  <c r="J14" i="2"/>
  <c r="K14" i="2"/>
  <c r="K15" i="2" l="1"/>
  <c r="L15" i="2"/>
  <c r="J15" i="2"/>
  <c r="E10" i="2"/>
  <c r="Q9" i="4"/>
  <c r="A23" i="2"/>
  <c r="Q8" i="4"/>
  <c r="K23" i="4"/>
  <c r="E28" i="4"/>
  <c r="G14" i="4"/>
  <c r="G13" i="4"/>
  <c r="G12" i="4"/>
  <c r="G11" i="4"/>
  <c r="G10" i="4"/>
  <c r="G9" i="4"/>
  <c r="G8" i="4"/>
  <c r="G7" i="4"/>
  <c r="G6" i="4"/>
  <c r="G5" i="4"/>
  <c r="G4" i="4"/>
  <c r="F15" i="4"/>
  <c r="E15" i="4"/>
  <c r="AL16" i="2"/>
  <c r="B148" i="3"/>
  <c r="B151" i="3" s="1"/>
  <c r="B157" i="3"/>
  <c r="B159" i="3" s="1"/>
  <c r="AG17" i="2"/>
  <c r="AF17" i="2"/>
  <c r="AE17" i="2"/>
  <c r="AD17" i="2"/>
  <c r="AC17" i="2"/>
  <c r="AB17" i="2"/>
  <c r="AA17" i="2"/>
  <c r="Z17" i="2"/>
  <c r="Y17" i="2"/>
  <c r="X17" i="2"/>
  <c r="W17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AK13" i="2"/>
  <c r="AJ13" i="2"/>
  <c r="AI13" i="2"/>
  <c r="AH13" i="2"/>
  <c r="AK17" i="2"/>
  <c r="AJ17" i="2"/>
  <c r="AH17" i="2"/>
  <c r="AI17" i="2"/>
  <c r="J10" i="2"/>
  <c r="K10" i="2" s="1"/>
  <c r="D4" i="3"/>
  <c r="E4" i="3" s="1"/>
  <c r="F4" i="3" s="1"/>
  <c r="G4" i="3" s="1"/>
  <c r="AH7" i="2"/>
  <c r="AH9" i="2" s="1"/>
  <c r="D4" i="2"/>
  <c r="D7" i="2" s="1"/>
  <c r="C7" i="2"/>
  <c r="C8" i="2" s="1"/>
  <c r="L10" i="2" l="1"/>
  <c r="M10" i="2" s="1"/>
  <c r="N10" i="2" s="1"/>
  <c r="O10" i="2" s="1"/>
  <c r="P10" i="2" s="1"/>
  <c r="Q10" i="2" s="1"/>
  <c r="R10" i="2" s="1"/>
  <c r="S10" i="2" s="1"/>
  <c r="T10" i="2" s="1"/>
  <c r="U10" i="2" s="1"/>
  <c r="V10" i="2" s="1"/>
  <c r="W10" i="2" s="1"/>
  <c r="X10" i="2" s="1"/>
  <c r="Y10" i="2" s="1"/>
  <c r="Z10" i="2" s="1"/>
  <c r="AA10" i="2" s="1"/>
  <c r="AB10" i="2" s="1"/>
  <c r="AC10" i="2" s="1"/>
  <c r="AD10" i="2" s="1"/>
  <c r="AE10" i="2" s="1"/>
  <c r="AF10" i="2" s="1"/>
  <c r="AG10" i="2" s="1"/>
  <c r="G15" i="4"/>
  <c r="AL17" i="2"/>
  <c r="B162" i="3"/>
  <c r="E4" i="2"/>
  <c r="E5" i="2" s="1"/>
  <c r="D8" i="2"/>
  <c r="D9" i="2"/>
  <c r="AH8" i="2"/>
  <c r="C9" i="2"/>
  <c r="C11" i="2" s="1"/>
  <c r="D5" i="2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B4" i="1"/>
  <c r="B5" i="1" s="1"/>
  <c r="B6" i="1" s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D2" i="1"/>
  <c r="C4" i="1"/>
  <c r="C5" i="1" s="1"/>
  <c r="C6" i="1" s="1"/>
  <c r="C7" i="1" s="1"/>
  <c r="C8" i="1" s="1"/>
  <c r="C9" i="1" s="1"/>
  <c r="C10" i="1" s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C32" i="1" s="1"/>
  <c r="C33" i="1" s="1"/>
  <c r="C34" i="1" s="1"/>
  <c r="C35" i="1" s="1"/>
  <c r="C36" i="1" s="1"/>
  <c r="E2" i="1" l="1"/>
  <c r="F4" i="2"/>
  <c r="D11" i="2"/>
  <c r="E7" i="2"/>
  <c r="AL3" i="2"/>
  <c r="D12" i="2" l="1"/>
  <c r="G4" i="2"/>
  <c r="F7" i="2"/>
  <c r="F5" i="2"/>
  <c r="E9" i="2"/>
  <c r="E8" i="2"/>
  <c r="D13" i="2" l="1"/>
  <c r="D18" i="2" s="1"/>
  <c r="H4" i="2"/>
  <c r="E11" i="2"/>
  <c r="G7" i="2"/>
  <c r="G5" i="2"/>
  <c r="F9" i="2"/>
  <c r="F8" i="2"/>
  <c r="I4" i="2" l="1"/>
  <c r="J4" i="2" s="1"/>
  <c r="K4" i="2" s="1"/>
  <c r="E12" i="2"/>
  <c r="F11" i="2"/>
  <c r="F12" i="2" s="1"/>
  <c r="F13" i="2" s="1"/>
  <c r="F18" i="2" s="1"/>
  <c r="G8" i="2"/>
  <c r="G9" i="2"/>
  <c r="H7" i="2"/>
  <c r="H5" i="2"/>
  <c r="E13" i="2" l="1"/>
  <c r="E18" i="2" s="1"/>
  <c r="G11" i="2"/>
  <c r="I7" i="2"/>
  <c r="I5" i="2"/>
  <c r="H9" i="2"/>
  <c r="H8" i="2"/>
  <c r="G12" i="2" l="1"/>
  <c r="H11" i="2"/>
  <c r="H12" i="2" s="1"/>
  <c r="H13" i="2" s="1"/>
  <c r="H18" i="2" s="1"/>
  <c r="J7" i="2"/>
  <c r="J5" i="2"/>
  <c r="I9" i="2"/>
  <c r="I8" i="2"/>
  <c r="G13" i="2" l="1"/>
  <c r="G18" i="2" s="1"/>
  <c r="I11" i="2"/>
  <c r="K7" i="2"/>
  <c r="K5" i="2"/>
  <c r="J9" i="2"/>
  <c r="J8" i="2"/>
  <c r="I12" i="2" l="1"/>
  <c r="J11" i="2"/>
  <c r="J12" i="2" s="1"/>
  <c r="J13" i="2" s="1"/>
  <c r="J18" i="2" s="1"/>
  <c r="L7" i="2"/>
  <c r="L5" i="2"/>
  <c r="L14" i="2" s="1"/>
  <c r="K8" i="2"/>
  <c r="K9" i="2"/>
  <c r="I13" i="2" l="1"/>
  <c r="I18" i="2" s="1"/>
  <c r="K11" i="2"/>
  <c r="K12" i="2" s="1"/>
  <c r="K13" i="2" s="1"/>
  <c r="K18" i="2" s="1"/>
  <c r="M7" i="2"/>
  <c r="M5" i="2"/>
  <c r="M14" i="2" s="1"/>
  <c r="L9" i="2"/>
  <c r="L8" i="2"/>
  <c r="L11" i="2" l="1"/>
  <c r="L12" i="2" s="1"/>
  <c r="L13" i="2" s="1"/>
  <c r="L18" i="2" s="1"/>
  <c r="N7" i="2"/>
  <c r="N5" i="2"/>
  <c r="N14" i="2" s="1"/>
  <c r="M9" i="2"/>
  <c r="M8" i="2"/>
  <c r="M11" i="2" l="1"/>
  <c r="M12" i="2" s="1"/>
  <c r="M13" i="2" s="1"/>
  <c r="M18" i="2" s="1"/>
  <c r="O7" i="2"/>
  <c r="O5" i="2"/>
  <c r="O14" i="2" s="1"/>
  <c r="N9" i="2"/>
  <c r="N8" i="2"/>
  <c r="N11" i="2" l="1"/>
  <c r="N12" i="2" s="1"/>
  <c r="N13" i="2" s="1"/>
  <c r="N18" i="2" s="1"/>
  <c r="P7" i="2"/>
  <c r="P5" i="2"/>
  <c r="P14" i="2" s="1"/>
  <c r="O8" i="2"/>
  <c r="O9" i="2"/>
  <c r="O11" i="2" l="1"/>
  <c r="O12" i="2" s="1"/>
  <c r="O13" i="2" s="1"/>
  <c r="O18" i="2" s="1"/>
  <c r="Q7" i="2"/>
  <c r="Q5" i="2"/>
  <c r="Q14" i="2" s="1"/>
  <c r="P9" i="2"/>
  <c r="P8" i="2"/>
  <c r="P11" i="2" l="1"/>
  <c r="P12" i="2" s="1"/>
  <c r="P13" i="2" s="1"/>
  <c r="P18" i="2" s="1"/>
  <c r="R7" i="2"/>
  <c r="R5" i="2"/>
  <c r="R14" i="2" s="1"/>
  <c r="Q9" i="2"/>
  <c r="Q8" i="2"/>
  <c r="Q11" i="2" l="1"/>
  <c r="Q12" i="2" s="1"/>
  <c r="Q13" i="2" s="1"/>
  <c r="Q18" i="2" s="1"/>
  <c r="S7" i="2"/>
  <c r="S5" i="2"/>
  <c r="S14" i="2" s="1"/>
  <c r="R9" i="2"/>
  <c r="R8" i="2"/>
  <c r="R11" i="2" l="1"/>
  <c r="R12" i="2" s="1"/>
  <c r="R13" i="2" s="1"/>
  <c r="R18" i="2" s="1"/>
  <c r="T7" i="2"/>
  <c r="T5" i="2"/>
  <c r="T14" i="2" s="1"/>
  <c r="S8" i="2"/>
  <c r="S9" i="2"/>
  <c r="S11" i="2" l="1"/>
  <c r="S12" i="2" s="1"/>
  <c r="S13" i="2" s="1"/>
  <c r="S18" i="2" s="1"/>
  <c r="U7" i="2"/>
  <c r="U5" i="2"/>
  <c r="U14" i="2" s="1"/>
  <c r="T9" i="2"/>
  <c r="T8" i="2"/>
  <c r="T11" i="2" l="1"/>
  <c r="T12" i="2" s="1"/>
  <c r="T13" i="2" s="1"/>
  <c r="T18" i="2" s="1"/>
  <c r="V7" i="2"/>
  <c r="V5" i="2"/>
  <c r="V14" i="2" s="1"/>
  <c r="U9" i="2"/>
  <c r="U8" i="2"/>
  <c r="U11" i="2" l="1"/>
  <c r="U12" i="2" s="1"/>
  <c r="U13" i="2" s="1"/>
  <c r="U18" i="2" s="1"/>
  <c r="W7" i="2"/>
  <c r="W5" i="2"/>
  <c r="W14" i="2" s="1"/>
  <c r="V9" i="2"/>
  <c r="V8" i="2"/>
  <c r="V11" i="2" l="1"/>
  <c r="V12" i="2" s="1"/>
  <c r="V13" i="2" s="1"/>
  <c r="V18" i="2" s="1"/>
  <c r="X7" i="2"/>
  <c r="X5" i="2"/>
  <c r="X14" i="2" s="1"/>
  <c r="W8" i="2"/>
  <c r="W9" i="2"/>
  <c r="W11" i="2" l="1"/>
  <c r="W12" i="2" s="1"/>
  <c r="W13" i="2" s="1"/>
  <c r="W18" i="2" s="1"/>
  <c r="Y7" i="2"/>
  <c r="Y5" i="2"/>
  <c r="Y14" i="2" s="1"/>
  <c r="X9" i="2"/>
  <c r="X8" i="2"/>
  <c r="X11" i="2" l="1"/>
  <c r="X12" i="2" s="1"/>
  <c r="X13" i="2" s="1"/>
  <c r="X18" i="2" s="1"/>
  <c r="Z7" i="2"/>
  <c r="Z5" i="2"/>
  <c r="Z14" i="2" s="1"/>
  <c r="Y9" i="2"/>
  <c r="Y8" i="2"/>
  <c r="Y11" i="2" l="1"/>
  <c r="Y12" i="2" s="1"/>
  <c r="Y13" i="2" s="1"/>
  <c r="Y18" i="2" s="1"/>
  <c r="AA7" i="2"/>
  <c r="AA5" i="2"/>
  <c r="AA14" i="2" s="1"/>
  <c r="Z9" i="2"/>
  <c r="Z8" i="2"/>
  <c r="Z11" i="2" l="1"/>
  <c r="Z12" i="2" s="1"/>
  <c r="Z13" i="2" s="1"/>
  <c r="Z18" i="2" s="1"/>
  <c r="AB7" i="2"/>
  <c r="AB5" i="2"/>
  <c r="AB14" i="2" s="1"/>
  <c r="AA8" i="2"/>
  <c r="AA9" i="2"/>
  <c r="AA11" i="2" l="1"/>
  <c r="AA12" i="2" s="1"/>
  <c r="AA13" i="2" s="1"/>
  <c r="AA18" i="2" s="1"/>
  <c r="AC7" i="2"/>
  <c r="AC5" i="2"/>
  <c r="AC14" i="2" s="1"/>
  <c r="AB9" i="2"/>
  <c r="AB8" i="2"/>
  <c r="AB11" i="2" l="1"/>
  <c r="AB12" i="2" s="1"/>
  <c r="AB13" i="2" s="1"/>
  <c r="AB18" i="2" s="1"/>
  <c r="AD7" i="2"/>
  <c r="AD5" i="2"/>
  <c r="AD14" i="2" s="1"/>
  <c r="AC9" i="2"/>
  <c r="AC8" i="2"/>
  <c r="AC11" i="2" l="1"/>
  <c r="AC12" i="2" s="1"/>
  <c r="AC13" i="2" s="1"/>
  <c r="AC18" i="2" s="1"/>
  <c r="AH11" i="2"/>
  <c r="AE7" i="2"/>
  <c r="AE5" i="2"/>
  <c r="AE14" i="2" s="1"/>
  <c r="AD8" i="2"/>
  <c r="AD9" i="2"/>
  <c r="AD11" i="2" l="1"/>
  <c r="AD12" i="2" s="1"/>
  <c r="AD13" i="2" s="1"/>
  <c r="AD18" i="2" s="1"/>
  <c r="AF7" i="2"/>
  <c r="AF5" i="2"/>
  <c r="AF14" i="2" s="1"/>
  <c r="AE8" i="2"/>
  <c r="AE9" i="2"/>
  <c r="AH5" i="2"/>
  <c r="AI7" i="2"/>
  <c r="AH14" i="2" l="1"/>
  <c r="AH18" i="2" s="1"/>
  <c r="AE11" i="2"/>
  <c r="AE12" i="2" s="1"/>
  <c r="AE13" i="2" s="1"/>
  <c r="AE18" i="2" s="1"/>
  <c r="AK10" i="2"/>
  <c r="AL10" i="2" s="1"/>
  <c r="AG7" i="2"/>
  <c r="AG5" i="2"/>
  <c r="AG14" i="2" s="1"/>
  <c r="AF9" i="2"/>
  <c r="AF8" i="2"/>
  <c r="AI8" i="2"/>
  <c r="AI9" i="2"/>
  <c r="AJ7" i="2"/>
  <c r="AI5" i="2"/>
  <c r="AI14" i="2" l="1"/>
  <c r="AI18" i="2" s="1"/>
  <c r="AI11" i="2"/>
  <c r="AF11" i="2"/>
  <c r="AF12" i="2" s="1"/>
  <c r="AF13" i="2" s="1"/>
  <c r="AF18" i="2" s="1"/>
  <c r="AG9" i="2"/>
  <c r="AG8" i="2"/>
  <c r="AJ9" i="2"/>
  <c r="AJ8" i="2"/>
  <c r="AJ5" i="2"/>
  <c r="AJ14" i="2" l="1"/>
  <c r="AJ18" i="2" s="1"/>
  <c r="AJ11" i="2"/>
  <c r="AG11" i="2"/>
  <c r="AG12" i="2" s="1"/>
  <c r="AK5" i="2"/>
  <c r="AK14" i="2" s="1"/>
  <c r="AK7" i="2"/>
  <c r="AL7" i="2" s="1"/>
  <c r="AL5" i="2" l="1"/>
  <c r="AK18" i="2"/>
  <c r="AG13" i="2"/>
  <c r="AG18" i="2" s="1"/>
  <c r="AL12" i="2"/>
  <c r="AK9" i="2"/>
  <c r="AL9" i="2" s="1"/>
  <c r="AK8" i="2"/>
  <c r="AL13" i="2" l="1"/>
  <c r="AK11" i="2"/>
  <c r="AL11" i="2" s="1"/>
  <c r="AL8" i="2"/>
  <c r="AL14" i="2"/>
  <c r="D20" i="2" l="1"/>
  <c r="D21" i="2" s="1"/>
  <c r="E20" i="2" l="1"/>
  <c r="A25" i="2"/>
  <c r="A27" i="2" s="1"/>
  <c r="A26" i="2" l="1"/>
</calcChain>
</file>

<file path=xl/sharedStrings.xml><?xml version="1.0" encoding="utf-8"?>
<sst xmlns="http://schemas.openxmlformats.org/spreadsheetml/2006/main" count="121" uniqueCount="109">
  <si>
    <t>Year</t>
  </si>
  <si>
    <t>FY</t>
  </si>
  <si>
    <t>Total</t>
  </si>
  <si>
    <t>Extractable Reserve (MTPA)</t>
  </si>
  <si>
    <t>National Mineral Exploration Trust (NMET)</t>
  </si>
  <si>
    <t>Mining Cost per Ton</t>
  </si>
  <si>
    <t>Coal rate Per Ton</t>
  </si>
  <si>
    <t>District Mineral Foundation (DMF)</t>
  </si>
  <si>
    <t>Cost of Activities to be taken up for closure of the mine</t>
  </si>
  <si>
    <t>Abandonment Cost (In Rs. Cr.)</t>
  </si>
  <si>
    <t>Average Grade</t>
  </si>
  <si>
    <t>Values</t>
  </si>
  <si>
    <t>Coal Price Per Ton</t>
  </si>
  <si>
    <t>Total Income (In Rs. Cr.)</t>
  </si>
  <si>
    <t>Total Cost (In Rs./Ton)</t>
  </si>
  <si>
    <t>Total Revenue (In Rs. Cr.)</t>
  </si>
  <si>
    <t>Net Revenue(In Rs. Cr.)</t>
  </si>
  <si>
    <t>NPV</t>
  </si>
  <si>
    <t>RK</t>
  </si>
  <si>
    <t>Operational Exp. (In Rs. Cr.) 2% of Income</t>
  </si>
  <si>
    <t>Profit Rs. Per Ton</t>
  </si>
  <si>
    <t>Year-1</t>
  </si>
  <si>
    <t>Year-2</t>
  </si>
  <si>
    <t>Year-3</t>
  </si>
  <si>
    <t>Year-4</t>
  </si>
  <si>
    <t>Year-5</t>
  </si>
  <si>
    <t>Year-6</t>
  </si>
  <si>
    <t>Year-7</t>
  </si>
  <si>
    <t>Year-8</t>
  </si>
  <si>
    <t>Year-9</t>
  </si>
  <si>
    <t>Year-10</t>
  </si>
  <si>
    <t>Year-11</t>
  </si>
  <si>
    <t>Year-12</t>
  </si>
  <si>
    <t>Year-13</t>
  </si>
  <si>
    <t>Year-14</t>
  </si>
  <si>
    <t>Year-15</t>
  </si>
  <si>
    <t>Year-16</t>
  </si>
  <si>
    <t>Year-17</t>
  </si>
  <si>
    <t>Year-18</t>
  </si>
  <si>
    <t>Year-19</t>
  </si>
  <si>
    <t>Year-20</t>
  </si>
  <si>
    <t>Year-21</t>
  </si>
  <si>
    <t>Year-22</t>
  </si>
  <si>
    <t>Year-23</t>
  </si>
  <si>
    <t>Year-24</t>
  </si>
  <si>
    <t>Year-25</t>
  </si>
  <si>
    <t>Year-26</t>
  </si>
  <si>
    <t>Year-27</t>
  </si>
  <si>
    <t>Year-28</t>
  </si>
  <si>
    <t>Year-29</t>
  </si>
  <si>
    <t>Year-30</t>
  </si>
  <si>
    <t>Year-31</t>
  </si>
  <si>
    <t>Year-32</t>
  </si>
  <si>
    <t>Year-33</t>
  </si>
  <si>
    <t>Year-34</t>
  </si>
  <si>
    <t>Vi</t>
  </si>
  <si>
    <t>Sa</t>
  </si>
  <si>
    <t>Pu</t>
  </si>
  <si>
    <t>Af</t>
  </si>
  <si>
    <t>Neu</t>
  </si>
  <si>
    <t>Rent</t>
  </si>
  <si>
    <t>EMI</t>
  </si>
  <si>
    <t>HDFC</t>
  </si>
  <si>
    <t>SBI</t>
  </si>
  <si>
    <t>District</t>
  </si>
  <si>
    <t>Tehsil</t>
  </si>
  <si>
    <t>Village</t>
  </si>
  <si>
    <t>Private Land</t>
  </si>
  <si>
    <t>Government Land</t>
  </si>
  <si>
    <t>Panwadala</t>
  </si>
  <si>
    <t>takli</t>
  </si>
  <si>
    <t>Bellora</t>
  </si>
  <si>
    <t>Jena Nivali</t>
  </si>
  <si>
    <t>Ashti Rith</t>
  </si>
  <si>
    <t>Gotala Rith</t>
  </si>
  <si>
    <t>Govardip Rith</t>
  </si>
  <si>
    <t>Khandala Rith</t>
  </si>
  <si>
    <t>Kiloni</t>
  </si>
  <si>
    <t>Dongargaon Khardi</t>
  </si>
  <si>
    <t>Somnala</t>
  </si>
  <si>
    <t>Chandrapur</t>
  </si>
  <si>
    <t>Bhadrawati</t>
  </si>
  <si>
    <t>External Dump Area</t>
  </si>
  <si>
    <t>Topsoil Dump Area</t>
  </si>
  <si>
    <t>Open pit/excavation</t>
  </si>
  <si>
    <t>roads</t>
  </si>
  <si>
    <t>infrastuctre/built-up area</t>
  </si>
  <si>
    <t>greenbelt</t>
  </si>
  <si>
    <t>settlement</t>
  </si>
  <si>
    <t>agriculture land</t>
  </si>
  <si>
    <t>surface water bodies</t>
  </si>
  <si>
    <t>others</t>
  </si>
  <si>
    <t>Capex (In Rs. Cr.)</t>
  </si>
  <si>
    <t>Ha</t>
  </si>
  <si>
    <t>Acre</t>
  </si>
  <si>
    <t>per Acre</t>
  </si>
  <si>
    <t>Royalty Charges (14% of coal rate)</t>
  </si>
  <si>
    <t>DMF Charges of Royalty (30% of Royalty)</t>
  </si>
  <si>
    <t>NMET Charges of Royalty (2% of Royalty)</t>
  </si>
  <si>
    <t>per Ha</t>
  </si>
  <si>
    <t>for 128.35 Ha</t>
  </si>
  <si>
    <t>KILONI</t>
  </si>
  <si>
    <t>BELLORA</t>
  </si>
  <si>
    <t>FV</t>
  </si>
  <si>
    <t>Description</t>
  </si>
  <si>
    <t>Per Acre</t>
  </si>
  <si>
    <t>Belora</t>
  </si>
  <si>
    <t>Per Ha</t>
  </si>
  <si>
    <t>acre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</si>
</sst>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₹&quot;\ #,##0.00;[Red]&quot;₹&quot;\ \-#,##0.00"/>
    <numFmt numFmtId="43" formatCode="_ * #,##0.00_ ;_ * \-#,##0.00_ ;_ * &quot;-&quot;??_ ;_ @_ "/>
    <numFmt numFmtId="164" formatCode="_ * #,##0_ ;_ * \-#,##0_ ;_ * &quot;-&quot;??_ ;_ @_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1">
    <xf numFmtId="0" fontId="0" fillId="0" borderId="0" xfId="0"/>
    <xf numFmtId="43" fontId="0" fillId="0" borderId="0" xfId="1" applyFont="1"/>
    <xf numFmtId="43" fontId="0" fillId="0" borderId="0" xfId="0" applyNumberFormat="1"/>
    <xf numFmtId="0" fontId="0" fillId="0" borderId="0" xfId="0" applyAlignment="1">
      <alignment horizontal="center" vertical="center"/>
    </xf>
    <xf numFmtId="14" fontId="3" fillId="2" borderId="1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/>
    <xf numFmtId="0" fontId="0" fillId="0" borderId="0" xfId="0" applyAlignment="1">
      <alignment horizontal="left" vertical="center" wrapText="1"/>
    </xf>
    <xf numFmtId="164" fontId="0" fillId="0" borderId="0" xfId="1" applyNumberFormat="1" applyFont="1" applyAlignment="1">
      <alignment horizontal="center" vertical="center"/>
    </xf>
    <xf numFmtId="164" fontId="0" fillId="0" borderId="0" xfId="0" applyNumberFormat="1"/>
    <xf numFmtId="0" fontId="0" fillId="0" borderId="0" xfId="0" applyAlignment="1">
      <alignment horizontal="left" vertical="center"/>
    </xf>
    <xf numFmtId="164" fontId="0" fillId="0" borderId="0" xfId="1" applyNumberFormat="1" applyFont="1"/>
    <xf numFmtId="17" fontId="0" fillId="0" borderId="0" xfId="0" applyNumberFormat="1"/>
    <xf numFmtId="164" fontId="4" fillId="3" borderId="1" xfId="1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8" fontId="4" fillId="0" borderId="0" xfId="1" applyNumberFormat="1" applyFont="1"/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43" fontId="0" fillId="0" borderId="1" xfId="0" applyNumberFormat="1" applyBorder="1"/>
    <xf numFmtId="43" fontId="4" fillId="0" borderId="1" xfId="0" applyNumberFormat="1" applyFont="1" applyBorder="1" applyAlignment="1">
      <alignment horizontal="right" vertical="center"/>
    </xf>
    <xf numFmtId="164" fontId="0" fillId="0" borderId="1" xfId="0" applyNumberFormat="1" applyBorder="1"/>
    <xf numFmtId="0" fontId="4" fillId="0" borderId="1" xfId="0" applyFont="1" applyBorder="1" applyAlignment="1">
      <alignment horizontal="right" vertical="center"/>
    </xf>
    <xf numFmtId="0" fontId="5" fillId="4" borderId="1" xfId="0" applyFont="1" applyFill="1" applyBorder="1" applyAlignment="1">
      <alignment horizontal="right" vertical="center"/>
    </xf>
    <xf numFmtId="164" fontId="4" fillId="4" borderId="1" xfId="1" applyNumberFormat="1" applyFont="1" applyFill="1" applyBorder="1" applyAlignment="1">
      <alignment horizontal="center" vertical="center"/>
    </xf>
    <xf numFmtId="43" fontId="4" fillId="4" borderId="1" xfId="1" applyFont="1" applyFill="1" applyBorder="1"/>
    <xf numFmtId="0" fontId="0" fillId="0" borderId="1" xfId="0" applyBorder="1"/>
    <xf numFmtId="43" fontId="4" fillId="3" borderId="1" xfId="1" applyFont="1" applyFill="1" applyBorder="1" applyAlignment="1">
      <alignment horizontal="center" vertical="center"/>
    </xf>
    <xf numFmtId="164" fontId="0" fillId="0" borderId="1" xfId="1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right" vertical="center"/>
    </xf>
    <xf numFmtId="164" fontId="0" fillId="0" borderId="1" xfId="1" applyNumberFormat="1" applyFont="1" applyBorder="1"/>
    <xf numFmtId="0" fontId="0" fillId="0" borderId="1" xfId="0" applyBorder="1" applyAlignment="1">
      <alignment horizontal="right" vertical="center"/>
    </xf>
    <xf numFmtId="43" fontId="0" fillId="0" borderId="1" xfId="1" applyFont="1" applyBorder="1" applyAlignment="1">
      <alignment horizontal="center" vertical="center"/>
    </xf>
    <xf numFmtId="9" fontId="0" fillId="0" borderId="1" xfId="2" applyFont="1" applyBorder="1" applyAlignment="1">
      <alignment horizontal="right" vertical="center"/>
    </xf>
    <xf numFmtId="9" fontId="0" fillId="0" borderId="1" xfId="0" applyNumberFormat="1" applyBorder="1" applyAlignment="1">
      <alignment horizontal="right" vertical="center"/>
    </xf>
    <xf numFmtId="9" fontId="4" fillId="0" borderId="1" xfId="2" applyFont="1" applyBorder="1" applyAlignment="1">
      <alignment horizontal="right" vertical="center"/>
    </xf>
    <xf numFmtId="43" fontId="4" fillId="4" borderId="1" xfId="0" applyNumberFormat="1" applyFont="1" applyFill="1" applyBorder="1"/>
    <xf numFmtId="43" fontId="0" fillId="0" borderId="0" xfId="1" applyFont="1" applyAlignment="1">
      <alignment horizontal="left" vertical="center" wrapText="1"/>
    </xf>
    <xf numFmtId="164" fontId="0" fillId="0" borderId="0" xfId="1" applyNumberFormat="1" applyFont="1" applyAlignment="1">
      <alignment horizontal="left" vertical="center" wrapText="1"/>
    </xf>
    <xf numFmtId="0" fontId="0" fillId="0" borderId="0" xfId="0" applyAlignment="1">
      <alignment horizontal="right" vertical="center" wrapText="1"/>
    </xf>
    <xf numFmtId="8" fontId="0" fillId="0" borderId="0" xfId="0" applyNumberFormat="1"/>
    <xf numFmtId="0" fontId="4" fillId="4" borderId="1" xfId="0" applyFont="1" applyFill="1" applyBorder="1" applyAlignment="1">
      <alignment horizontal="right" vertical="center"/>
    </xf>
    <xf numFmtId="0" fontId="4" fillId="0" borderId="1" xfId="0" applyFont="1" applyBorder="1"/>
    <xf numFmtId="164" fontId="0" fillId="0" borderId="0" xfId="0" applyNumberFormat="1" applyAlignment="1">
      <alignment horizontal="left" vertical="center" wrapText="1"/>
    </xf>
    <xf numFmtId="0" fontId="4" fillId="0" borderId="0" xfId="0" applyFont="1" applyAlignment="1">
      <alignment vertical="center"/>
    </xf>
    <xf numFmtId="43" fontId="4" fillId="0" borderId="0" xfId="1" applyFont="1" applyAlignment="1">
      <alignment vertical="center"/>
    </xf>
    <xf numFmtId="164" fontId="0" fillId="0" borderId="0" xfId="1" applyNumberFormat="1" applyFont="1" applyAlignment="1">
      <alignment vertical="center"/>
    </xf>
    <xf numFmtId="0" fontId="0" fillId="0" borderId="1" xfId="0" applyBorder="1" applyAlignment="1">
      <alignment horizontal="left" vertical="center"/>
    </xf>
    <xf numFmtId="43" fontId="4" fillId="0" borderId="1" xfId="1" applyFont="1" applyBorder="1" applyAlignment="1">
      <alignment horizontal="center" vertical="center"/>
    </xf>
    <xf numFmtId="8" fontId="4" fillId="0" borderId="0" xfId="0" applyNumberFormat="1" applyFont="1"/>
    <xf numFmtId="10" fontId="0" fillId="0" borderId="0" xfId="0" applyNumberFormat="1" applyAlignment="1">
      <alignment vertical="center"/>
    </xf>
    <xf numFmtId="0" fontId="0" fillId="0" borderId="0" xfId="0" applyAlignment="1">
      <alignment horizontal="right" vertical="center"/>
    </xf>
    <xf numFmtId="0" fontId="0" fillId="0" borderId="0" xfId="1" applyNumberFormat="1" applyFont="1" applyBorder="1" applyAlignment="1">
      <alignment horizontal="left" vertical="center"/>
    </xf>
    <xf numFmtId="0" fontId="4" fillId="0" borderId="0" xfId="1" applyNumberFormat="1" applyFont="1" applyBorder="1" applyAlignment="1">
      <alignment horizontal="left" vertical="center"/>
    </xf>
    <xf numFmtId="0" fontId="0" fillId="0" borderId="0" xfId="1" applyNumberFormat="1" applyFont="1" applyAlignment="1">
      <alignment horizontal="left" vertical="center"/>
    </xf>
    <xf numFmtId="164" fontId="0" fillId="0" borderId="0" xfId="1" applyNumberFormat="1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center" vertical="center" wrapText="1"/>
    </xf>
    <xf numFmtId="164" fontId="4" fillId="0" borderId="0" xfId="0" applyNumberFormat="1" applyFont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152400</xdr:colOff>
      <xdr:row>0</xdr:row>
      <xdr:rowOff>0</xdr:rowOff>
    </xdr:from>
    <xdr:to>
      <xdr:col>17</xdr:col>
      <xdr:colOff>314325</xdr:colOff>
      <xdr:row>16</xdr:row>
      <xdr:rowOff>9526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C5367EB-EFEC-9A43-D1D2-66176016C41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8521" t="9172" r="19964" b="15333"/>
        <a:stretch/>
      </xdr:blipFill>
      <xdr:spPr>
        <a:xfrm>
          <a:off x="6858000" y="0"/>
          <a:ext cx="4429125" cy="3057526"/>
        </a:xfrm>
        <a:prstGeom prst="rect">
          <a:avLst/>
        </a:prstGeom>
      </xdr:spPr>
    </xdr:pic>
    <xdr:clientData/>
  </xdr:twoCellAnchor>
  <xdr:twoCellAnchor editAs="oneCell">
    <xdr:from>
      <xdr:col>10</xdr:col>
      <xdr:colOff>219074</xdr:colOff>
      <xdr:row>16</xdr:row>
      <xdr:rowOff>47624</xdr:rowOff>
    </xdr:from>
    <xdr:to>
      <xdr:col>17</xdr:col>
      <xdr:colOff>285749</xdr:colOff>
      <xdr:row>33</xdr:row>
      <xdr:rowOff>142875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B686CD8-9D09-6FEB-6539-1E99340879A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19183" t="12465" r="20624" b="5220"/>
        <a:stretch/>
      </xdr:blipFill>
      <xdr:spPr>
        <a:xfrm>
          <a:off x="6924674" y="3095624"/>
          <a:ext cx="4333875" cy="3333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I36"/>
  <sheetViews>
    <sheetView topLeftCell="A9" workbookViewId="0">
      <selection activeCell="D37" sqref="D37"/>
    </sheetView>
  </sheetViews>
  <sheetFormatPr defaultRowHeight="15" x14ac:dyDescent="0.25"/>
  <cols>
    <col min="2" max="3" width="9.140625" style="3"/>
  </cols>
  <sheetData>
    <row r="2" spans="2:9" x14ac:dyDescent="0.25">
      <c r="B2" s="6" t="s">
        <v>0</v>
      </c>
      <c r="C2" s="6" t="s">
        <v>1</v>
      </c>
      <c r="D2" s="7">
        <f>SUM(D3:D36)</f>
        <v>37.97</v>
      </c>
      <c r="E2" s="7">
        <f>SUM(E3:E36)</f>
        <v>33.35</v>
      </c>
    </row>
    <row r="3" spans="2:9" x14ac:dyDescent="0.25">
      <c r="B3" s="3">
        <v>1</v>
      </c>
      <c r="C3" s="3">
        <v>26</v>
      </c>
      <c r="D3" s="1">
        <v>0.5</v>
      </c>
      <c r="E3" s="2">
        <f>D3</f>
        <v>0.5</v>
      </c>
    </row>
    <row r="4" spans="2:9" x14ac:dyDescent="0.25">
      <c r="B4" s="3">
        <f>B3+1</f>
        <v>2</v>
      </c>
      <c r="C4" s="3">
        <f>C3+1</f>
        <v>27</v>
      </c>
      <c r="D4" s="1">
        <v>0.75</v>
      </c>
      <c r="E4" s="2">
        <f t="shared" ref="E4:E27" si="0">D4</f>
        <v>0.75</v>
      </c>
      <c r="H4" t="s">
        <v>10</v>
      </c>
      <c r="I4">
        <v>4450</v>
      </c>
    </row>
    <row r="5" spans="2:9" x14ac:dyDescent="0.25">
      <c r="B5" s="3">
        <f t="shared" ref="B5:B36" si="1">B4+1</f>
        <v>3</v>
      </c>
      <c r="C5" s="3">
        <f t="shared" ref="C5:C36" si="2">C4+1</f>
        <v>28</v>
      </c>
      <c r="D5" s="1">
        <v>0.9</v>
      </c>
      <c r="E5" s="2">
        <f t="shared" si="0"/>
        <v>0.9</v>
      </c>
    </row>
    <row r="6" spans="2:9" x14ac:dyDescent="0.25">
      <c r="B6" s="3">
        <f t="shared" si="1"/>
        <v>4</v>
      </c>
      <c r="C6" s="3">
        <f t="shared" si="2"/>
        <v>29</v>
      </c>
      <c r="D6" s="1">
        <v>1.31</v>
      </c>
      <c r="E6" s="2">
        <f t="shared" si="0"/>
        <v>1.31</v>
      </c>
    </row>
    <row r="7" spans="2:9" x14ac:dyDescent="0.25">
      <c r="B7" s="3">
        <f t="shared" si="1"/>
        <v>5</v>
      </c>
      <c r="C7" s="3">
        <f t="shared" si="2"/>
        <v>30</v>
      </c>
      <c r="D7" s="1">
        <v>1.4</v>
      </c>
      <c r="E7" s="2">
        <f t="shared" si="0"/>
        <v>1.4</v>
      </c>
    </row>
    <row r="8" spans="2:9" x14ac:dyDescent="0.25">
      <c r="B8" s="3">
        <f t="shared" si="1"/>
        <v>6</v>
      </c>
      <c r="C8" s="3">
        <f t="shared" si="2"/>
        <v>31</v>
      </c>
      <c r="D8" s="1">
        <v>1.5</v>
      </c>
      <c r="E8" s="2">
        <f t="shared" si="0"/>
        <v>1.5</v>
      </c>
    </row>
    <row r="9" spans="2:9" x14ac:dyDescent="0.25">
      <c r="B9" s="3">
        <f t="shared" si="1"/>
        <v>7</v>
      </c>
      <c r="C9" s="3">
        <f t="shared" si="2"/>
        <v>32</v>
      </c>
      <c r="D9" s="1">
        <v>1.5</v>
      </c>
      <c r="E9" s="2">
        <f t="shared" si="0"/>
        <v>1.5</v>
      </c>
    </row>
    <row r="10" spans="2:9" x14ac:dyDescent="0.25">
      <c r="B10" s="3">
        <f t="shared" si="1"/>
        <v>8</v>
      </c>
      <c r="C10" s="3">
        <f t="shared" si="2"/>
        <v>33</v>
      </c>
      <c r="D10" s="1">
        <v>1.5</v>
      </c>
      <c r="E10" s="2">
        <f t="shared" si="0"/>
        <v>1.5</v>
      </c>
    </row>
    <row r="11" spans="2:9" x14ac:dyDescent="0.25">
      <c r="B11" s="3">
        <f t="shared" si="1"/>
        <v>9</v>
      </c>
      <c r="C11" s="3">
        <f t="shared" si="2"/>
        <v>34</v>
      </c>
      <c r="D11" s="1">
        <v>1.5</v>
      </c>
      <c r="E11" s="2">
        <f t="shared" si="0"/>
        <v>1.5</v>
      </c>
    </row>
    <row r="12" spans="2:9" x14ac:dyDescent="0.25">
      <c r="B12" s="3">
        <f t="shared" si="1"/>
        <v>10</v>
      </c>
      <c r="C12" s="3">
        <f t="shared" si="2"/>
        <v>35</v>
      </c>
      <c r="D12" s="1">
        <v>1.5</v>
      </c>
      <c r="E12" s="2">
        <f t="shared" si="0"/>
        <v>1.5</v>
      </c>
    </row>
    <row r="13" spans="2:9" x14ac:dyDescent="0.25">
      <c r="B13" s="3">
        <f t="shared" si="1"/>
        <v>11</v>
      </c>
      <c r="C13" s="3">
        <f t="shared" si="2"/>
        <v>36</v>
      </c>
      <c r="D13" s="1">
        <v>1.5</v>
      </c>
      <c r="E13" s="2">
        <f t="shared" si="0"/>
        <v>1.5</v>
      </c>
    </row>
    <row r="14" spans="2:9" x14ac:dyDescent="0.25">
      <c r="B14" s="3">
        <f t="shared" si="1"/>
        <v>12</v>
      </c>
      <c r="C14" s="3">
        <f t="shared" si="2"/>
        <v>37</v>
      </c>
      <c r="D14" s="1">
        <v>1.5</v>
      </c>
      <c r="E14" s="2">
        <f t="shared" si="0"/>
        <v>1.5</v>
      </c>
    </row>
    <row r="15" spans="2:9" x14ac:dyDescent="0.25">
      <c r="B15" s="3">
        <f t="shared" si="1"/>
        <v>13</v>
      </c>
      <c r="C15" s="3">
        <f t="shared" si="2"/>
        <v>38</v>
      </c>
      <c r="D15" s="1">
        <v>1.5</v>
      </c>
      <c r="E15" s="2">
        <f t="shared" si="0"/>
        <v>1.5</v>
      </c>
    </row>
    <row r="16" spans="2:9" x14ac:dyDescent="0.25">
      <c r="B16" s="3">
        <f t="shared" si="1"/>
        <v>14</v>
      </c>
      <c r="C16" s="3">
        <f t="shared" si="2"/>
        <v>39</v>
      </c>
      <c r="D16" s="1">
        <v>1.5</v>
      </c>
      <c r="E16" s="2">
        <f t="shared" si="0"/>
        <v>1.5</v>
      </c>
    </row>
    <row r="17" spans="2:5" x14ac:dyDescent="0.25">
      <c r="B17" s="3">
        <f t="shared" si="1"/>
        <v>15</v>
      </c>
      <c r="C17" s="3">
        <f t="shared" si="2"/>
        <v>40</v>
      </c>
      <c r="D17" s="1">
        <v>1.5</v>
      </c>
      <c r="E17" s="2">
        <f t="shared" si="0"/>
        <v>1.5</v>
      </c>
    </row>
    <row r="18" spans="2:5" x14ac:dyDescent="0.25">
      <c r="B18" s="3">
        <f t="shared" si="1"/>
        <v>16</v>
      </c>
      <c r="C18" s="3">
        <f t="shared" si="2"/>
        <v>41</v>
      </c>
      <c r="D18" s="1">
        <v>1.5</v>
      </c>
      <c r="E18" s="2">
        <f t="shared" si="0"/>
        <v>1.5</v>
      </c>
    </row>
    <row r="19" spans="2:5" x14ac:dyDescent="0.25">
      <c r="B19" s="3">
        <f t="shared" si="1"/>
        <v>17</v>
      </c>
      <c r="C19" s="3">
        <f t="shared" si="2"/>
        <v>42</v>
      </c>
      <c r="D19" s="1">
        <v>1.5</v>
      </c>
      <c r="E19" s="2">
        <f t="shared" si="0"/>
        <v>1.5</v>
      </c>
    </row>
    <row r="20" spans="2:5" x14ac:dyDescent="0.25">
      <c r="B20" s="3">
        <f t="shared" si="1"/>
        <v>18</v>
      </c>
      <c r="C20" s="3">
        <f t="shared" si="2"/>
        <v>43</v>
      </c>
      <c r="D20" s="1">
        <v>1.25</v>
      </c>
      <c r="E20" s="2">
        <f t="shared" si="0"/>
        <v>1.25</v>
      </c>
    </row>
    <row r="21" spans="2:5" x14ac:dyDescent="0.25">
      <c r="B21" s="3">
        <f t="shared" si="1"/>
        <v>19</v>
      </c>
      <c r="C21" s="3">
        <f t="shared" si="2"/>
        <v>44</v>
      </c>
      <c r="D21" s="1">
        <v>1</v>
      </c>
      <c r="E21" s="2">
        <f t="shared" si="0"/>
        <v>1</v>
      </c>
    </row>
    <row r="22" spans="2:5" x14ac:dyDescent="0.25">
      <c r="B22" s="3">
        <f t="shared" si="1"/>
        <v>20</v>
      </c>
      <c r="C22" s="3">
        <f t="shared" si="2"/>
        <v>45</v>
      </c>
      <c r="D22" s="1">
        <v>1</v>
      </c>
      <c r="E22" s="2">
        <f t="shared" si="0"/>
        <v>1</v>
      </c>
    </row>
    <row r="23" spans="2:5" x14ac:dyDescent="0.25">
      <c r="B23" s="3">
        <f t="shared" si="1"/>
        <v>21</v>
      </c>
      <c r="C23" s="3">
        <f t="shared" si="2"/>
        <v>46</v>
      </c>
      <c r="D23" s="1">
        <v>1</v>
      </c>
      <c r="E23" s="2">
        <f t="shared" si="0"/>
        <v>1</v>
      </c>
    </row>
    <row r="24" spans="2:5" x14ac:dyDescent="0.25">
      <c r="B24" s="3">
        <f t="shared" si="1"/>
        <v>22</v>
      </c>
      <c r="C24" s="3">
        <f t="shared" si="2"/>
        <v>47</v>
      </c>
      <c r="D24" s="1">
        <v>1</v>
      </c>
      <c r="E24" s="2">
        <f t="shared" si="0"/>
        <v>1</v>
      </c>
    </row>
    <row r="25" spans="2:5" x14ac:dyDescent="0.25">
      <c r="B25" s="3">
        <f t="shared" si="1"/>
        <v>23</v>
      </c>
      <c r="C25" s="3">
        <f t="shared" si="2"/>
        <v>48</v>
      </c>
      <c r="D25" s="1">
        <v>1</v>
      </c>
      <c r="E25" s="2">
        <f t="shared" si="0"/>
        <v>1</v>
      </c>
    </row>
    <row r="26" spans="2:5" x14ac:dyDescent="0.25">
      <c r="B26" s="3">
        <f t="shared" si="1"/>
        <v>24</v>
      </c>
      <c r="C26" s="3">
        <f t="shared" si="2"/>
        <v>49</v>
      </c>
      <c r="D26" s="1">
        <v>1</v>
      </c>
      <c r="E26" s="2">
        <f t="shared" si="0"/>
        <v>1</v>
      </c>
    </row>
    <row r="27" spans="2:5" x14ac:dyDescent="0.25">
      <c r="B27" s="3">
        <f t="shared" si="1"/>
        <v>25</v>
      </c>
      <c r="C27" s="3">
        <f t="shared" si="2"/>
        <v>50</v>
      </c>
      <c r="D27" s="1">
        <v>1</v>
      </c>
      <c r="E27" s="2">
        <f t="shared" si="0"/>
        <v>1</v>
      </c>
    </row>
    <row r="28" spans="2:5" x14ac:dyDescent="0.25">
      <c r="B28" s="3">
        <f t="shared" si="1"/>
        <v>26</v>
      </c>
      <c r="C28" s="3">
        <f t="shared" si="2"/>
        <v>51</v>
      </c>
      <c r="D28" s="1">
        <v>1</v>
      </c>
      <c r="E28" s="2">
        <v>0.5</v>
      </c>
    </row>
    <row r="29" spans="2:5" x14ac:dyDescent="0.25">
      <c r="B29" s="3">
        <f t="shared" si="1"/>
        <v>27</v>
      </c>
      <c r="C29" s="3">
        <f t="shared" si="2"/>
        <v>52</v>
      </c>
      <c r="D29" s="1">
        <v>1</v>
      </c>
      <c r="E29" s="2">
        <v>0.5</v>
      </c>
    </row>
    <row r="30" spans="2:5" x14ac:dyDescent="0.25">
      <c r="B30" s="3">
        <f t="shared" si="1"/>
        <v>28</v>
      </c>
      <c r="C30" s="3">
        <f t="shared" si="2"/>
        <v>53</v>
      </c>
      <c r="D30" s="1">
        <v>1</v>
      </c>
      <c r="E30" s="2">
        <v>0.5</v>
      </c>
    </row>
    <row r="31" spans="2:5" x14ac:dyDescent="0.25">
      <c r="B31" s="3">
        <f t="shared" si="1"/>
        <v>29</v>
      </c>
      <c r="C31" s="3">
        <f t="shared" si="2"/>
        <v>54</v>
      </c>
      <c r="D31" s="1">
        <v>1</v>
      </c>
      <c r="E31" s="2">
        <v>0.5</v>
      </c>
    </row>
    <row r="32" spans="2:5" x14ac:dyDescent="0.25">
      <c r="B32" s="3">
        <f t="shared" si="1"/>
        <v>30</v>
      </c>
      <c r="C32" s="3">
        <f t="shared" si="2"/>
        <v>55</v>
      </c>
      <c r="D32" s="1">
        <v>1</v>
      </c>
      <c r="E32" s="2">
        <v>0.24</v>
      </c>
    </row>
    <row r="33" spans="2:5" x14ac:dyDescent="0.25">
      <c r="B33" s="3">
        <f t="shared" si="1"/>
        <v>31</v>
      </c>
      <c r="C33" s="3">
        <f t="shared" si="2"/>
        <v>56</v>
      </c>
      <c r="D33" s="1">
        <v>0.65</v>
      </c>
      <c r="E33" s="2"/>
    </row>
    <row r="34" spans="2:5" x14ac:dyDescent="0.25">
      <c r="B34" s="3">
        <f t="shared" si="1"/>
        <v>32</v>
      </c>
      <c r="C34" s="3">
        <f t="shared" si="2"/>
        <v>57</v>
      </c>
      <c r="D34" s="1">
        <v>0.5</v>
      </c>
      <c r="E34" s="2"/>
    </row>
    <row r="35" spans="2:5" x14ac:dyDescent="0.25">
      <c r="B35" s="3">
        <f t="shared" si="1"/>
        <v>33</v>
      </c>
      <c r="C35" s="3">
        <f t="shared" si="2"/>
        <v>58</v>
      </c>
      <c r="D35" s="1">
        <v>0.5</v>
      </c>
      <c r="E35" s="2"/>
    </row>
    <row r="36" spans="2:5" x14ac:dyDescent="0.25">
      <c r="B36" s="3">
        <f t="shared" si="1"/>
        <v>34</v>
      </c>
      <c r="C36" s="3">
        <f t="shared" si="2"/>
        <v>59</v>
      </c>
      <c r="D36" s="1">
        <v>0.21</v>
      </c>
      <c r="E36" s="2"/>
    </row>
  </sheetData>
  <phoneticPr fontId="2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L36"/>
  <sheetViews>
    <sheetView topLeftCell="A11" workbookViewId="0">
      <selection activeCell="D26" sqref="D26"/>
    </sheetView>
  </sheetViews>
  <sheetFormatPr defaultRowHeight="15" x14ac:dyDescent="0.25"/>
  <cols>
    <col min="1" max="1" width="21.42578125" style="8" customWidth="1"/>
    <col min="2" max="2" width="38.42578125" style="5" bestFit="1" customWidth="1"/>
    <col min="3" max="3" width="10" style="9" bestFit="1" customWidth="1"/>
    <col min="4" max="30" width="10.42578125" customWidth="1"/>
    <col min="31" max="37" width="10.42578125" bestFit="1" customWidth="1"/>
    <col min="38" max="38" width="10" style="15" bestFit="1" customWidth="1"/>
  </cols>
  <sheetData>
    <row r="2" spans="1:38" x14ac:dyDescent="0.25">
      <c r="B2" s="4" t="s">
        <v>104</v>
      </c>
      <c r="C2" s="14" t="s">
        <v>11</v>
      </c>
      <c r="D2" s="4" t="s">
        <v>21</v>
      </c>
      <c r="E2" s="4" t="s">
        <v>22</v>
      </c>
      <c r="F2" s="4" t="s">
        <v>23</v>
      </c>
      <c r="G2" s="4" t="s">
        <v>24</v>
      </c>
      <c r="H2" s="4" t="s">
        <v>25</v>
      </c>
      <c r="I2" s="4" t="s">
        <v>26</v>
      </c>
      <c r="J2" s="4" t="s">
        <v>27</v>
      </c>
      <c r="K2" s="4" t="s">
        <v>28</v>
      </c>
      <c r="L2" s="4" t="s">
        <v>29</v>
      </c>
      <c r="M2" s="4" t="s">
        <v>30</v>
      </c>
      <c r="N2" s="4" t="s">
        <v>31</v>
      </c>
      <c r="O2" s="4" t="s">
        <v>32</v>
      </c>
      <c r="P2" s="4" t="s">
        <v>33</v>
      </c>
      <c r="Q2" s="4" t="s">
        <v>34</v>
      </c>
      <c r="R2" s="4" t="s">
        <v>35</v>
      </c>
      <c r="S2" s="4" t="s">
        <v>36</v>
      </c>
      <c r="T2" s="4" t="s">
        <v>37</v>
      </c>
      <c r="U2" s="4" t="s">
        <v>38</v>
      </c>
      <c r="V2" s="4" t="s">
        <v>39</v>
      </c>
      <c r="W2" s="4" t="s">
        <v>40</v>
      </c>
      <c r="X2" s="4" t="s">
        <v>41</v>
      </c>
      <c r="Y2" s="4" t="s">
        <v>42</v>
      </c>
      <c r="Z2" s="4" t="s">
        <v>43</v>
      </c>
      <c r="AA2" s="4" t="s">
        <v>44</v>
      </c>
      <c r="AB2" s="4" t="s">
        <v>45</v>
      </c>
      <c r="AC2" s="4" t="s">
        <v>46</v>
      </c>
      <c r="AD2" s="4" t="s">
        <v>47</v>
      </c>
      <c r="AE2" s="4" t="s">
        <v>48</v>
      </c>
      <c r="AF2" s="4" t="s">
        <v>49</v>
      </c>
      <c r="AG2" s="4" t="s">
        <v>50</v>
      </c>
      <c r="AH2" s="4" t="s">
        <v>51</v>
      </c>
      <c r="AI2" s="4" t="s">
        <v>52</v>
      </c>
      <c r="AJ2" s="4" t="s">
        <v>53</v>
      </c>
      <c r="AK2" s="4" t="s">
        <v>54</v>
      </c>
      <c r="AL2" s="17" t="s">
        <v>2</v>
      </c>
    </row>
    <row r="3" spans="1:38" x14ac:dyDescent="0.25">
      <c r="A3" s="2"/>
      <c r="B3" s="18" t="s">
        <v>3</v>
      </c>
      <c r="C3" s="14"/>
      <c r="D3" s="19">
        <v>0.5</v>
      </c>
      <c r="E3" s="19">
        <v>0.75</v>
      </c>
      <c r="F3" s="19">
        <v>0.9</v>
      </c>
      <c r="G3" s="19">
        <v>1.31</v>
      </c>
      <c r="H3" s="19">
        <v>1.4</v>
      </c>
      <c r="I3" s="19">
        <v>1.5</v>
      </c>
      <c r="J3" s="19">
        <v>1.5</v>
      </c>
      <c r="K3" s="19">
        <v>1.5</v>
      </c>
      <c r="L3" s="19">
        <v>1.5</v>
      </c>
      <c r="M3" s="19">
        <v>1.5</v>
      </c>
      <c r="N3" s="19">
        <v>1.5</v>
      </c>
      <c r="O3" s="19">
        <v>1.5</v>
      </c>
      <c r="P3" s="19">
        <v>1.5</v>
      </c>
      <c r="Q3" s="19">
        <v>1.5</v>
      </c>
      <c r="R3" s="19">
        <v>1.5</v>
      </c>
      <c r="S3" s="19">
        <v>1.5</v>
      </c>
      <c r="T3" s="19">
        <v>1.5</v>
      </c>
      <c r="U3" s="19">
        <v>1.25</v>
      </c>
      <c r="V3" s="19">
        <v>1</v>
      </c>
      <c r="W3" s="19">
        <v>1</v>
      </c>
      <c r="X3" s="19">
        <v>1</v>
      </c>
      <c r="Y3" s="19">
        <v>1</v>
      </c>
      <c r="Z3" s="19">
        <v>1</v>
      </c>
      <c r="AA3" s="19">
        <v>1</v>
      </c>
      <c r="AB3" s="19">
        <v>1</v>
      </c>
      <c r="AC3" s="19">
        <v>0.5</v>
      </c>
      <c r="AD3" s="19">
        <v>0.5</v>
      </c>
      <c r="AE3" s="19">
        <v>0.5</v>
      </c>
      <c r="AF3" s="19">
        <v>0.5</v>
      </c>
      <c r="AG3" s="19">
        <v>0.24</v>
      </c>
      <c r="AH3" s="19">
        <v>0</v>
      </c>
      <c r="AI3" s="19">
        <v>0</v>
      </c>
      <c r="AJ3" s="19">
        <v>0</v>
      </c>
      <c r="AK3" s="19">
        <v>0</v>
      </c>
      <c r="AL3" s="20">
        <f>SUM(D3:AK3)</f>
        <v>33.35</v>
      </c>
    </row>
    <row r="4" spans="1:38" x14ac:dyDescent="0.25">
      <c r="B4" s="18" t="s">
        <v>6</v>
      </c>
      <c r="C4" s="14">
        <v>2700</v>
      </c>
      <c r="D4" s="21">
        <f>C4</f>
        <v>2700</v>
      </c>
      <c r="E4" s="21">
        <f>D4</f>
        <v>2700</v>
      </c>
      <c r="F4" s="21">
        <f t="shared" ref="F4:G4" si="0">E4</f>
        <v>2700</v>
      </c>
      <c r="G4" s="21">
        <f t="shared" si="0"/>
        <v>2700</v>
      </c>
      <c r="H4" s="21">
        <f>G4*1.1</f>
        <v>2970.0000000000005</v>
      </c>
      <c r="I4" s="21">
        <f>H4</f>
        <v>2970.0000000000005</v>
      </c>
      <c r="J4" s="21">
        <f>I4</f>
        <v>2970.0000000000005</v>
      </c>
      <c r="K4" s="21">
        <f t="shared" ref="K4" si="1">J4</f>
        <v>2970.0000000000005</v>
      </c>
      <c r="L4" s="21">
        <f>K4*1.1</f>
        <v>3267.0000000000009</v>
      </c>
      <c r="M4" s="21">
        <f>L4</f>
        <v>3267.0000000000009</v>
      </c>
      <c r="N4" s="21">
        <f t="shared" ref="N4:O4" si="2">M4</f>
        <v>3267.0000000000009</v>
      </c>
      <c r="O4" s="21">
        <f t="shared" si="2"/>
        <v>3267.0000000000009</v>
      </c>
      <c r="P4" s="21">
        <f>O4*1.1</f>
        <v>3593.7000000000012</v>
      </c>
      <c r="Q4" s="21">
        <f>P4</f>
        <v>3593.7000000000012</v>
      </c>
      <c r="R4" s="21">
        <f t="shared" ref="R4:S4" si="3">Q4</f>
        <v>3593.7000000000012</v>
      </c>
      <c r="S4" s="21">
        <f t="shared" si="3"/>
        <v>3593.7000000000012</v>
      </c>
      <c r="T4" s="21">
        <f>S4*1.1</f>
        <v>3953.0700000000015</v>
      </c>
      <c r="U4" s="21">
        <f>T4</f>
        <v>3953.0700000000015</v>
      </c>
      <c r="V4" s="21">
        <f t="shared" ref="V4:W4" si="4">U4</f>
        <v>3953.0700000000015</v>
      </c>
      <c r="W4" s="21">
        <f t="shared" si="4"/>
        <v>3953.0700000000015</v>
      </c>
      <c r="X4" s="21">
        <f>W4*1.1</f>
        <v>4348.3770000000022</v>
      </c>
      <c r="Y4" s="21">
        <f>X4</f>
        <v>4348.3770000000022</v>
      </c>
      <c r="Z4" s="21">
        <f t="shared" ref="Z4:AA4" si="5">Y4</f>
        <v>4348.3770000000022</v>
      </c>
      <c r="AA4" s="21">
        <f t="shared" si="5"/>
        <v>4348.3770000000022</v>
      </c>
      <c r="AB4" s="21">
        <f>AA4*1.1</f>
        <v>4783.2147000000032</v>
      </c>
      <c r="AC4" s="21">
        <f>AB4</f>
        <v>4783.2147000000032</v>
      </c>
      <c r="AD4" s="21">
        <f t="shared" ref="AD4:AE4" si="6">AC4</f>
        <v>4783.2147000000032</v>
      </c>
      <c r="AE4" s="21">
        <f t="shared" si="6"/>
        <v>4783.2147000000032</v>
      </c>
      <c r="AF4" s="21">
        <f>AE4*1.1</f>
        <v>5261.5361700000039</v>
      </c>
      <c r="AG4" s="21">
        <f>AF4</f>
        <v>5261.5361700000039</v>
      </c>
      <c r="AH4" s="21"/>
      <c r="AI4" s="21"/>
      <c r="AJ4" s="21"/>
      <c r="AK4" s="21"/>
      <c r="AL4" s="22"/>
    </row>
    <row r="5" spans="1:38" x14ac:dyDescent="0.25">
      <c r="B5" s="23" t="s">
        <v>13</v>
      </c>
      <c r="C5" s="24"/>
      <c r="D5" s="25">
        <f>D3*10^6*D4/10^7</f>
        <v>135</v>
      </c>
      <c r="E5" s="25">
        <f t="shared" ref="E5:AK5" si="7">E3*10^6*E4/10^7</f>
        <v>202.5</v>
      </c>
      <c r="F5" s="25">
        <f t="shared" si="7"/>
        <v>243</v>
      </c>
      <c r="G5" s="25">
        <f t="shared" si="7"/>
        <v>353.7</v>
      </c>
      <c r="H5" s="25">
        <f t="shared" si="7"/>
        <v>415.80000000000007</v>
      </c>
      <c r="I5" s="25">
        <f t="shared" si="7"/>
        <v>445.50000000000011</v>
      </c>
      <c r="J5" s="25">
        <f t="shared" si="7"/>
        <v>445.50000000000011</v>
      </c>
      <c r="K5" s="25">
        <f t="shared" si="7"/>
        <v>445.50000000000011</v>
      </c>
      <c r="L5" s="25">
        <f t="shared" si="7"/>
        <v>490.05000000000007</v>
      </c>
      <c r="M5" s="25">
        <f t="shared" si="7"/>
        <v>490.05000000000007</v>
      </c>
      <c r="N5" s="25">
        <f t="shared" si="7"/>
        <v>490.05000000000007</v>
      </c>
      <c r="O5" s="25">
        <f t="shared" si="7"/>
        <v>490.05000000000007</v>
      </c>
      <c r="P5" s="25">
        <f t="shared" si="7"/>
        <v>539.05500000000018</v>
      </c>
      <c r="Q5" s="25">
        <f t="shared" si="7"/>
        <v>539.05500000000018</v>
      </c>
      <c r="R5" s="25">
        <f t="shared" si="7"/>
        <v>539.05500000000018</v>
      </c>
      <c r="S5" s="25">
        <f t="shared" si="7"/>
        <v>539.05500000000018</v>
      </c>
      <c r="T5" s="25">
        <f t="shared" si="7"/>
        <v>592.96050000000014</v>
      </c>
      <c r="U5" s="25">
        <f t="shared" si="7"/>
        <v>494.13375000000019</v>
      </c>
      <c r="V5" s="25">
        <f t="shared" si="7"/>
        <v>395.30700000000013</v>
      </c>
      <c r="W5" s="25">
        <f t="shared" si="7"/>
        <v>395.30700000000013</v>
      </c>
      <c r="X5" s="25">
        <f t="shared" si="7"/>
        <v>434.83770000000021</v>
      </c>
      <c r="Y5" s="25">
        <f t="shared" si="7"/>
        <v>434.83770000000021</v>
      </c>
      <c r="Z5" s="25">
        <f t="shared" si="7"/>
        <v>434.83770000000021</v>
      </c>
      <c r="AA5" s="25">
        <f t="shared" si="7"/>
        <v>434.83770000000021</v>
      </c>
      <c r="AB5" s="25">
        <f t="shared" si="7"/>
        <v>478.32147000000026</v>
      </c>
      <c r="AC5" s="25">
        <f t="shared" si="7"/>
        <v>239.16073500000013</v>
      </c>
      <c r="AD5" s="25">
        <f t="shared" si="7"/>
        <v>239.16073500000013</v>
      </c>
      <c r="AE5" s="25">
        <f t="shared" si="7"/>
        <v>239.16073500000013</v>
      </c>
      <c r="AF5" s="25">
        <f t="shared" si="7"/>
        <v>263.0768085000002</v>
      </c>
      <c r="AG5" s="25">
        <f t="shared" si="7"/>
        <v>126.27686808000009</v>
      </c>
      <c r="AH5" s="25">
        <f t="shared" si="7"/>
        <v>0</v>
      </c>
      <c r="AI5" s="25">
        <f t="shared" si="7"/>
        <v>0</v>
      </c>
      <c r="AJ5" s="25">
        <f t="shared" si="7"/>
        <v>0</v>
      </c>
      <c r="AK5" s="25">
        <f t="shared" si="7"/>
        <v>0</v>
      </c>
      <c r="AL5" s="20">
        <f>SUM(D5:AK5)</f>
        <v>12005.136401580003</v>
      </c>
    </row>
    <row r="6" spans="1:38" x14ac:dyDescent="0.25">
      <c r="B6" s="18"/>
      <c r="C6" s="14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2"/>
    </row>
    <row r="7" spans="1:38" x14ac:dyDescent="0.25">
      <c r="B7" s="47" t="s">
        <v>96</v>
      </c>
      <c r="C7" s="14">
        <f>C4*14%</f>
        <v>378.00000000000006</v>
      </c>
      <c r="D7" s="28">
        <f>D4*14%</f>
        <v>378.00000000000006</v>
      </c>
      <c r="E7" s="28">
        <f t="shared" ref="E7:AK7" si="8">E4*14%</f>
        <v>378.00000000000006</v>
      </c>
      <c r="F7" s="28">
        <f t="shared" si="8"/>
        <v>378.00000000000006</v>
      </c>
      <c r="G7" s="28">
        <f t="shared" si="8"/>
        <v>378.00000000000006</v>
      </c>
      <c r="H7" s="28">
        <f t="shared" si="8"/>
        <v>415.80000000000013</v>
      </c>
      <c r="I7" s="28">
        <f t="shared" si="8"/>
        <v>415.80000000000013</v>
      </c>
      <c r="J7" s="28">
        <f t="shared" si="8"/>
        <v>415.80000000000013</v>
      </c>
      <c r="K7" s="28">
        <f t="shared" si="8"/>
        <v>415.80000000000013</v>
      </c>
      <c r="L7" s="28">
        <f t="shared" si="8"/>
        <v>457.38000000000017</v>
      </c>
      <c r="M7" s="28">
        <f t="shared" si="8"/>
        <v>457.38000000000017</v>
      </c>
      <c r="N7" s="28">
        <f t="shared" si="8"/>
        <v>457.38000000000017</v>
      </c>
      <c r="O7" s="28">
        <f t="shared" si="8"/>
        <v>457.38000000000017</v>
      </c>
      <c r="P7" s="28">
        <f t="shared" si="8"/>
        <v>503.11800000000022</v>
      </c>
      <c r="Q7" s="28">
        <f t="shared" si="8"/>
        <v>503.11800000000022</v>
      </c>
      <c r="R7" s="28">
        <f t="shared" si="8"/>
        <v>503.11800000000022</v>
      </c>
      <c r="S7" s="28">
        <f t="shared" si="8"/>
        <v>503.11800000000022</v>
      </c>
      <c r="T7" s="28">
        <f t="shared" si="8"/>
        <v>553.42980000000023</v>
      </c>
      <c r="U7" s="28">
        <f t="shared" si="8"/>
        <v>553.42980000000023</v>
      </c>
      <c r="V7" s="28">
        <f t="shared" si="8"/>
        <v>553.42980000000023</v>
      </c>
      <c r="W7" s="28">
        <f t="shared" si="8"/>
        <v>553.42980000000023</v>
      </c>
      <c r="X7" s="28">
        <f t="shared" si="8"/>
        <v>608.77278000000035</v>
      </c>
      <c r="Y7" s="28">
        <f t="shared" si="8"/>
        <v>608.77278000000035</v>
      </c>
      <c r="Z7" s="28">
        <f t="shared" si="8"/>
        <v>608.77278000000035</v>
      </c>
      <c r="AA7" s="28">
        <f t="shared" si="8"/>
        <v>608.77278000000035</v>
      </c>
      <c r="AB7" s="28">
        <f t="shared" si="8"/>
        <v>669.65005800000051</v>
      </c>
      <c r="AC7" s="28">
        <f t="shared" si="8"/>
        <v>669.65005800000051</v>
      </c>
      <c r="AD7" s="28">
        <f t="shared" si="8"/>
        <v>669.65005800000051</v>
      </c>
      <c r="AE7" s="28">
        <f t="shared" si="8"/>
        <v>669.65005800000051</v>
      </c>
      <c r="AF7" s="28">
        <f t="shared" si="8"/>
        <v>736.6150638000006</v>
      </c>
      <c r="AG7" s="28">
        <f t="shared" si="8"/>
        <v>736.6150638000006</v>
      </c>
      <c r="AH7" s="28">
        <f t="shared" si="8"/>
        <v>0</v>
      </c>
      <c r="AI7" s="28">
        <f t="shared" si="8"/>
        <v>0</v>
      </c>
      <c r="AJ7" s="28">
        <f t="shared" si="8"/>
        <v>0</v>
      </c>
      <c r="AK7" s="28">
        <f t="shared" si="8"/>
        <v>0</v>
      </c>
      <c r="AL7" s="29">
        <f t="shared" ref="AL7:AL17" si="9">SUM(D7:AK7)</f>
        <v>15817.832679600011</v>
      </c>
    </row>
    <row r="8" spans="1:38" x14ac:dyDescent="0.25">
      <c r="A8" s="11" t="s">
        <v>7</v>
      </c>
      <c r="B8" s="47" t="s">
        <v>97</v>
      </c>
      <c r="C8" s="14">
        <f>C7*30%</f>
        <v>113.40000000000002</v>
      </c>
      <c r="D8" s="28">
        <f t="shared" ref="D8:AK8" si="10">D7*30%</f>
        <v>113.40000000000002</v>
      </c>
      <c r="E8" s="28">
        <f t="shared" si="10"/>
        <v>113.40000000000002</v>
      </c>
      <c r="F8" s="28">
        <f t="shared" si="10"/>
        <v>113.40000000000002</v>
      </c>
      <c r="G8" s="28">
        <f t="shared" si="10"/>
        <v>113.40000000000002</v>
      </c>
      <c r="H8" s="28">
        <f t="shared" si="10"/>
        <v>124.74000000000004</v>
      </c>
      <c r="I8" s="28">
        <f t="shared" si="10"/>
        <v>124.74000000000004</v>
      </c>
      <c r="J8" s="28">
        <f t="shared" si="10"/>
        <v>124.74000000000004</v>
      </c>
      <c r="K8" s="28">
        <f t="shared" si="10"/>
        <v>124.74000000000004</v>
      </c>
      <c r="L8" s="28">
        <f t="shared" si="10"/>
        <v>137.21400000000006</v>
      </c>
      <c r="M8" s="28">
        <f t="shared" si="10"/>
        <v>137.21400000000006</v>
      </c>
      <c r="N8" s="28">
        <f t="shared" si="10"/>
        <v>137.21400000000006</v>
      </c>
      <c r="O8" s="28">
        <f t="shared" si="10"/>
        <v>137.21400000000006</v>
      </c>
      <c r="P8" s="28">
        <f t="shared" si="10"/>
        <v>150.93540000000007</v>
      </c>
      <c r="Q8" s="28">
        <f t="shared" si="10"/>
        <v>150.93540000000007</v>
      </c>
      <c r="R8" s="28">
        <f t="shared" si="10"/>
        <v>150.93540000000007</v>
      </c>
      <c r="S8" s="28">
        <f t="shared" si="10"/>
        <v>150.93540000000007</v>
      </c>
      <c r="T8" s="28">
        <f t="shared" si="10"/>
        <v>166.02894000000006</v>
      </c>
      <c r="U8" s="28">
        <f t="shared" si="10"/>
        <v>166.02894000000006</v>
      </c>
      <c r="V8" s="28">
        <f t="shared" si="10"/>
        <v>166.02894000000006</v>
      </c>
      <c r="W8" s="28">
        <f t="shared" si="10"/>
        <v>166.02894000000006</v>
      </c>
      <c r="X8" s="28">
        <f t="shared" si="10"/>
        <v>182.63183400000011</v>
      </c>
      <c r="Y8" s="28">
        <f t="shared" si="10"/>
        <v>182.63183400000011</v>
      </c>
      <c r="Z8" s="28">
        <f t="shared" si="10"/>
        <v>182.63183400000011</v>
      </c>
      <c r="AA8" s="28">
        <f t="shared" si="10"/>
        <v>182.63183400000011</v>
      </c>
      <c r="AB8" s="28">
        <f t="shared" si="10"/>
        <v>200.89501740000014</v>
      </c>
      <c r="AC8" s="28">
        <f t="shared" si="10"/>
        <v>200.89501740000014</v>
      </c>
      <c r="AD8" s="28">
        <f t="shared" si="10"/>
        <v>200.89501740000014</v>
      </c>
      <c r="AE8" s="28">
        <f t="shared" si="10"/>
        <v>200.89501740000014</v>
      </c>
      <c r="AF8" s="28">
        <f t="shared" si="10"/>
        <v>220.98451914000017</v>
      </c>
      <c r="AG8" s="28">
        <f t="shared" si="10"/>
        <v>220.98451914000017</v>
      </c>
      <c r="AH8" s="28">
        <f t="shared" si="10"/>
        <v>0</v>
      </c>
      <c r="AI8" s="28">
        <f t="shared" si="10"/>
        <v>0</v>
      </c>
      <c r="AJ8" s="28">
        <f t="shared" si="10"/>
        <v>0</v>
      </c>
      <c r="AK8" s="28">
        <f t="shared" si="10"/>
        <v>0</v>
      </c>
      <c r="AL8" s="29">
        <f t="shared" si="9"/>
        <v>4745.3498038800026</v>
      </c>
    </row>
    <row r="9" spans="1:38" x14ac:dyDescent="0.25">
      <c r="A9" s="11" t="s">
        <v>4</v>
      </c>
      <c r="B9" s="47" t="s">
        <v>98</v>
      </c>
      <c r="C9" s="14">
        <f>C7*2%</f>
        <v>7.5600000000000014</v>
      </c>
      <c r="D9" s="28">
        <f t="shared" ref="D9:AK9" si="11">D7*2%</f>
        <v>7.5600000000000014</v>
      </c>
      <c r="E9" s="28">
        <f t="shared" si="11"/>
        <v>7.5600000000000014</v>
      </c>
      <c r="F9" s="28">
        <f t="shared" si="11"/>
        <v>7.5600000000000014</v>
      </c>
      <c r="G9" s="28">
        <f t="shared" si="11"/>
        <v>7.5600000000000014</v>
      </c>
      <c r="H9" s="28">
        <f t="shared" si="11"/>
        <v>8.3160000000000025</v>
      </c>
      <c r="I9" s="28">
        <f t="shared" si="11"/>
        <v>8.3160000000000025</v>
      </c>
      <c r="J9" s="28">
        <f t="shared" si="11"/>
        <v>8.3160000000000025</v>
      </c>
      <c r="K9" s="28">
        <f t="shared" si="11"/>
        <v>8.3160000000000025</v>
      </c>
      <c r="L9" s="28">
        <f t="shared" si="11"/>
        <v>9.1476000000000042</v>
      </c>
      <c r="M9" s="28">
        <f t="shared" si="11"/>
        <v>9.1476000000000042</v>
      </c>
      <c r="N9" s="28">
        <f t="shared" si="11"/>
        <v>9.1476000000000042</v>
      </c>
      <c r="O9" s="28">
        <f t="shared" si="11"/>
        <v>9.1476000000000042</v>
      </c>
      <c r="P9" s="28">
        <f t="shared" si="11"/>
        <v>10.062360000000005</v>
      </c>
      <c r="Q9" s="28">
        <f t="shared" si="11"/>
        <v>10.062360000000005</v>
      </c>
      <c r="R9" s="28">
        <f t="shared" si="11"/>
        <v>10.062360000000005</v>
      </c>
      <c r="S9" s="28">
        <f t="shared" si="11"/>
        <v>10.062360000000005</v>
      </c>
      <c r="T9" s="28">
        <f t="shared" si="11"/>
        <v>11.068596000000005</v>
      </c>
      <c r="U9" s="28">
        <f t="shared" si="11"/>
        <v>11.068596000000005</v>
      </c>
      <c r="V9" s="28">
        <f t="shared" si="11"/>
        <v>11.068596000000005</v>
      </c>
      <c r="W9" s="28">
        <f t="shared" si="11"/>
        <v>11.068596000000005</v>
      </c>
      <c r="X9" s="28">
        <f t="shared" si="11"/>
        <v>12.175455600000006</v>
      </c>
      <c r="Y9" s="28">
        <f t="shared" si="11"/>
        <v>12.175455600000006</v>
      </c>
      <c r="Z9" s="28">
        <f t="shared" si="11"/>
        <v>12.175455600000006</v>
      </c>
      <c r="AA9" s="28">
        <f t="shared" si="11"/>
        <v>12.175455600000006</v>
      </c>
      <c r="AB9" s="28">
        <f t="shared" si="11"/>
        <v>13.393001160000011</v>
      </c>
      <c r="AC9" s="28">
        <f t="shared" si="11"/>
        <v>13.393001160000011</v>
      </c>
      <c r="AD9" s="28">
        <f t="shared" si="11"/>
        <v>13.393001160000011</v>
      </c>
      <c r="AE9" s="28">
        <f t="shared" si="11"/>
        <v>13.393001160000011</v>
      </c>
      <c r="AF9" s="28">
        <f t="shared" si="11"/>
        <v>14.732301276000012</v>
      </c>
      <c r="AG9" s="28">
        <f t="shared" si="11"/>
        <v>14.732301276000012</v>
      </c>
      <c r="AH9" s="28">
        <f t="shared" si="11"/>
        <v>0</v>
      </c>
      <c r="AI9" s="28">
        <f t="shared" si="11"/>
        <v>0</v>
      </c>
      <c r="AJ9" s="28">
        <f t="shared" si="11"/>
        <v>0</v>
      </c>
      <c r="AK9" s="28">
        <f t="shared" si="11"/>
        <v>0</v>
      </c>
      <c r="AL9" s="29">
        <f t="shared" si="9"/>
        <v>316.35665359200027</v>
      </c>
    </row>
    <row r="10" spans="1:38" x14ac:dyDescent="0.25">
      <c r="B10" s="47" t="s">
        <v>5</v>
      </c>
      <c r="C10" s="14">
        <v>1200</v>
      </c>
      <c r="D10" s="30">
        <v>1200</v>
      </c>
      <c r="E10" s="30">
        <f>D10</f>
        <v>1200</v>
      </c>
      <c r="F10" s="30">
        <f t="shared" ref="F10:AK10" si="12">E10*1.05</f>
        <v>1260</v>
      </c>
      <c r="G10" s="30">
        <f>F10</f>
        <v>1260</v>
      </c>
      <c r="H10" s="30">
        <f t="shared" si="12"/>
        <v>1323</v>
      </c>
      <c r="I10" s="30">
        <f>H10</f>
        <v>1323</v>
      </c>
      <c r="J10" s="30">
        <f t="shared" si="12"/>
        <v>1389.15</v>
      </c>
      <c r="K10" s="30">
        <f>J10</f>
        <v>1389.15</v>
      </c>
      <c r="L10" s="30">
        <f t="shared" si="12"/>
        <v>1458.6075000000001</v>
      </c>
      <c r="M10" s="30">
        <f>L10</f>
        <v>1458.6075000000001</v>
      </c>
      <c r="N10" s="30">
        <f t="shared" si="12"/>
        <v>1531.5378750000002</v>
      </c>
      <c r="O10" s="30">
        <f>N10</f>
        <v>1531.5378750000002</v>
      </c>
      <c r="P10" s="30">
        <f t="shared" si="12"/>
        <v>1608.1147687500004</v>
      </c>
      <c r="Q10" s="30">
        <f>P10</f>
        <v>1608.1147687500004</v>
      </c>
      <c r="R10" s="30">
        <f t="shared" si="12"/>
        <v>1688.5205071875005</v>
      </c>
      <c r="S10" s="30">
        <f>R10</f>
        <v>1688.5205071875005</v>
      </c>
      <c r="T10" s="30">
        <f t="shared" si="12"/>
        <v>1772.9465325468755</v>
      </c>
      <c r="U10" s="30">
        <f>T10</f>
        <v>1772.9465325468755</v>
      </c>
      <c r="V10" s="30">
        <f t="shared" si="12"/>
        <v>1861.5938591742192</v>
      </c>
      <c r="W10" s="30">
        <f>V10</f>
        <v>1861.5938591742192</v>
      </c>
      <c r="X10" s="30">
        <f t="shared" si="12"/>
        <v>1954.6735521329304</v>
      </c>
      <c r="Y10" s="30">
        <f>X10</f>
        <v>1954.6735521329304</v>
      </c>
      <c r="Z10" s="30">
        <f t="shared" si="12"/>
        <v>2052.4072297395769</v>
      </c>
      <c r="AA10" s="30">
        <f>Z10</f>
        <v>2052.4072297395769</v>
      </c>
      <c r="AB10" s="30">
        <f t="shared" si="12"/>
        <v>2155.0275912265561</v>
      </c>
      <c r="AC10" s="30">
        <f>AB10</f>
        <v>2155.0275912265561</v>
      </c>
      <c r="AD10" s="30">
        <f t="shared" si="12"/>
        <v>2262.7789707878842</v>
      </c>
      <c r="AE10" s="30">
        <f>AD10</f>
        <v>2262.7789707878842</v>
      </c>
      <c r="AF10" s="30">
        <f t="shared" si="12"/>
        <v>2375.9179193272785</v>
      </c>
      <c r="AG10" s="30">
        <f>AF10</f>
        <v>2375.9179193272785</v>
      </c>
      <c r="AH10" s="30">
        <v>0</v>
      </c>
      <c r="AI10" s="30">
        <v>0</v>
      </c>
      <c r="AJ10" s="30">
        <v>0</v>
      </c>
      <c r="AK10" s="30">
        <f t="shared" si="12"/>
        <v>0</v>
      </c>
      <c r="AL10" s="20">
        <f t="shared" si="9"/>
        <v>51788.552611745647</v>
      </c>
    </row>
    <row r="11" spans="1:38" x14ac:dyDescent="0.25">
      <c r="B11" s="22" t="s">
        <v>14</v>
      </c>
      <c r="C11" s="14">
        <f>SUM(C7:C10)</f>
        <v>1698.96</v>
      </c>
      <c r="D11" s="28">
        <f t="shared" ref="D11:AK11" si="13">SUM(D7:D10)</f>
        <v>1698.96</v>
      </c>
      <c r="E11" s="28">
        <f t="shared" si="13"/>
        <v>1698.96</v>
      </c>
      <c r="F11" s="28">
        <f t="shared" si="13"/>
        <v>1758.96</v>
      </c>
      <c r="G11" s="28">
        <f t="shared" si="13"/>
        <v>1758.96</v>
      </c>
      <c r="H11" s="28">
        <f t="shared" si="13"/>
        <v>1871.8560000000002</v>
      </c>
      <c r="I11" s="28">
        <f t="shared" si="13"/>
        <v>1871.8560000000002</v>
      </c>
      <c r="J11" s="28">
        <f t="shared" si="13"/>
        <v>1938.0060000000003</v>
      </c>
      <c r="K11" s="28">
        <f t="shared" si="13"/>
        <v>1938.0060000000003</v>
      </c>
      <c r="L11" s="28">
        <f t="shared" si="13"/>
        <v>2062.3491000000004</v>
      </c>
      <c r="M11" s="28">
        <f t="shared" si="13"/>
        <v>2062.3491000000004</v>
      </c>
      <c r="N11" s="28">
        <f t="shared" si="13"/>
        <v>2135.2794750000003</v>
      </c>
      <c r="O11" s="28">
        <f t="shared" si="13"/>
        <v>2135.2794750000003</v>
      </c>
      <c r="P11" s="28">
        <f t="shared" si="13"/>
        <v>2272.2305287500008</v>
      </c>
      <c r="Q11" s="28">
        <f t="shared" si="13"/>
        <v>2272.2305287500008</v>
      </c>
      <c r="R11" s="28">
        <f t="shared" si="13"/>
        <v>2352.6362671875008</v>
      </c>
      <c r="S11" s="28">
        <f t="shared" si="13"/>
        <v>2352.6362671875008</v>
      </c>
      <c r="T11" s="28">
        <f t="shared" si="13"/>
        <v>2503.4738685468756</v>
      </c>
      <c r="U11" s="28">
        <f t="shared" si="13"/>
        <v>2503.4738685468756</v>
      </c>
      <c r="V11" s="28">
        <f t="shared" si="13"/>
        <v>2592.1211951742193</v>
      </c>
      <c r="W11" s="28">
        <f t="shared" si="13"/>
        <v>2592.1211951742193</v>
      </c>
      <c r="X11" s="28">
        <f t="shared" si="13"/>
        <v>2758.2536217329307</v>
      </c>
      <c r="Y11" s="28">
        <f t="shared" si="13"/>
        <v>2758.2536217329307</v>
      </c>
      <c r="Z11" s="28">
        <f t="shared" si="13"/>
        <v>2855.9872993395775</v>
      </c>
      <c r="AA11" s="28">
        <f t="shared" si="13"/>
        <v>2855.9872993395775</v>
      </c>
      <c r="AB11" s="28">
        <f t="shared" si="13"/>
        <v>3038.9656677865569</v>
      </c>
      <c r="AC11" s="28">
        <f t="shared" si="13"/>
        <v>3038.9656677865569</v>
      </c>
      <c r="AD11" s="28">
        <f t="shared" si="13"/>
        <v>3146.717047347885</v>
      </c>
      <c r="AE11" s="28">
        <f t="shared" si="13"/>
        <v>3146.717047347885</v>
      </c>
      <c r="AF11" s="28">
        <f t="shared" si="13"/>
        <v>3348.2498035432791</v>
      </c>
      <c r="AG11" s="28">
        <f t="shared" si="13"/>
        <v>3348.2498035432791</v>
      </c>
      <c r="AH11" s="28">
        <f t="shared" si="13"/>
        <v>0</v>
      </c>
      <c r="AI11" s="28">
        <f t="shared" si="13"/>
        <v>0</v>
      </c>
      <c r="AJ11" s="28">
        <f t="shared" si="13"/>
        <v>0</v>
      </c>
      <c r="AK11" s="28">
        <f t="shared" si="13"/>
        <v>0</v>
      </c>
      <c r="AL11" s="29">
        <f t="shared" si="9"/>
        <v>72668.091748817664</v>
      </c>
    </row>
    <row r="12" spans="1:38" x14ac:dyDescent="0.25">
      <c r="B12" s="31" t="s">
        <v>20</v>
      </c>
      <c r="C12" s="27"/>
      <c r="D12" s="28">
        <f>D4-D11</f>
        <v>1001.04</v>
      </c>
      <c r="E12" s="28">
        <f t="shared" ref="E12:AG12" si="14">E4-E11</f>
        <v>1001.04</v>
      </c>
      <c r="F12" s="28">
        <f t="shared" si="14"/>
        <v>941.04</v>
      </c>
      <c r="G12" s="28">
        <f t="shared" si="14"/>
        <v>941.04</v>
      </c>
      <c r="H12" s="28">
        <f t="shared" si="14"/>
        <v>1098.1440000000002</v>
      </c>
      <c r="I12" s="28">
        <f t="shared" si="14"/>
        <v>1098.1440000000002</v>
      </c>
      <c r="J12" s="28">
        <f t="shared" si="14"/>
        <v>1031.9940000000001</v>
      </c>
      <c r="K12" s="28">
        <f t="shared" si="14"/>
        <v>1031.9940000000001</v>
      </c>
      <c r="L12" s="28">
        <f t="shared" si="14"/>
        <v>1204.6509000000005</v>
      </c>
      <c r="M12" s="28">
        <f t="shared" si="14"/>
        <v>1204.6509000000005</v>
      </c>
      <c r="N12" s="28">
        <f t="shared" si="14"/>
        <v>1131.7205250000006</v>
      </c>
      <c r="O12" s="28">
        <f t="shared" si="14"/>
        <v>1131.7205250000006</v>
      </c>
      <c r="P12" s="28">
        <f t="shared" si="14"/>
        <v>1321.4694712500004</v>
      </c>
      <c r="Q12" s="28">
        <f t="shared" si="14"/>
        <v>1321.4694712500004</v>
      </c>
      <c r="R12" s="28">
        <f t="shared" si="14"/>
        <v>1241.0637328125003</v>
      </c>
      <c r="S12" s="28">
        <f t="shared" si="14"/>
        <v>1241.0637328125003</v>
      </c>
      <c r="T12" s="28">
        <f t="shared" si="14"/>
        <v>1449.596131453126</v>
      </c>
      <c r="U12" s="28">
        <f t="shared" si="14"/>
        <v>1449.596131453126</v>
      </c>
      <c r="V12" s="28">
        <f t="shared" si="14"/>
        <v>1360.9488048257822</v>
      </c>
      <c r="W12" s="28">
        <f t="shared" si="14"/>
        <v>1360.9488048257822</v>
      </c>
      <c r="X12" s="28">
        <f t="shared" si="14"/>
        <v>1590.1233782670715</v>
      </c>
      <c r="Y12" s="28">
        <f t="shared" si="14"/>
        <v>1590.1233782670715</v>
      </c>
      <c r="Z12" s="28">
        <f t="shared" si="14"/>
        <v>1492.3897006604248</v>
      </c>
      <c r="AA12" s="28">
        <f t="shared" si="14"/>
        <v>1492.3897006604248</v>
      </c>
      <c r="AB12" s="28">
        <f t="shared" si="14"/>
        <v>1744.2490322134463</v>
      </c>
      <c r="AC12" s="28">
        <f t="shared" si="14"/>
        <v>1744.2490322134463</v>
      </c>
      <c r="AD12" s="28">
        <f t="shared" si="14"/>
        <v>1636.4976526521182</v>
      </c>
      <c r="AE12" s="28">
        <f t="shared" si="14"/>
        <v>1636.4976526521182</v>
      </c>
      <c r="AF12" s="28">
        <f t="shared" si="14"/>
        <v>1913.2863664567249</v>
      </c>
      <c r="AG12" s="28">
        <f t="shared" si="14"/>
        <v>1913.2863664567249</v>
      </c>
      <c r="AH12" s="28"/>
      <c r="AI12" s="28"/>
      <c r="AJ12" s="28"/>
      <c r="AK12" s="28"/>
      <c r="AL12" s="29">
        <f t="shared" si="9"/>
        <v>40316.427391182398</v>
      </c>
    </row>
    <row r="13" spans="1:38" x14ac:dyDescent="0.25">
      <c r="B13" s="22" t="s">
        <v>15</v>
      </c>
      <c r="C13" s="27"/>
      <c r="D13" s="48">
        <f>D12*D3*10^6/10^7</f>
        <v>50.052</v>
      </c>
      <c r="E13" s="48">
        <f t="shared" ref="E13:AK13" si="15">E12*E3*10^6/10^7</f>
        <v>75.078000000000003</v>
      </c>
      <c r="F13" s="48">
        <f t="shared" si="15"/>
        <v>84.693600000000004</v>
      </c>
      <c r="G13" s="48">
        <f t="shared" si="15"/>
        <v>123.27624</v>
      </c>
      <c r="H13" s="48">
        <f t="shared" si="15"/>
        <v>153.74016000000003</v>
      </c>
      <c r="I13" s="48">
        <f t="shared" si="15"/>
        <v>164.72160000000002</v>
      </c>
      <c r="J13" s="48">
        <f t="shared" si="15"/>
        <v>154.79910000000001</v>
      </c>
      <c r="K13" s="48">
        <f t="shared" si="15"/>
        <v>154.79910000000001</v>
      </c>
      <c r="L13" s="48">
        <f t="shared" si="15"/>
        <v>180.69763500000008</v>
      </c>
      <c r="M13" s="48">
        <f t="shared" si="15"/>
        <v>180.69763500000008</v>
      </c>
      <c r="N13" s="48">
        <f t="shared" si="15"/>
        <v>169.7580787500001</v>
      </c>
      <c r="O13" s="48">
        <f t="shared" si="15"/>
        <v>169.7580787500001</v>
      </c>
      <c r="P13" s="48">
        <f t="shared" si="15"/>
        <v>198.22042068750008</v>
      </c>
      <c r="Q13" s="48">
        <f t="shared" si="15"/>
        <v>198.22042068750008</v>
      </c>
      <c r="R13" s="48">
        <f t="shared" si="15"/>
        <v>186.15955992187506</v>
      </c>
      <c r="S13" s="48">
        <f t="shared" si="15"/>
        <v>186.15955992187506</v>
      </c>
      <c r="T13" s="48">
        <f t="shared" si="15"/>
        <v>217.43941971796889</v>
      </c>
      <c r="U13" s="48">
        <f t="shared" si="15"/>
        <v>181.19951643164075</v>
      </c>
      <c r="V13" s="48">
        <f t="shared" si="15"/>
        <v>136.09488048257822</v>
      </c>
      <c r="W13" s="48">
        <f t="shared" si="15"/>
        <v>136.09488048257822</v>
      </c>
      <c r="X13" s="48">
        <f t="shared" si="15"/>
        <v>159.01233782670715</v>
      </c>
      <c r="Y13" s="48">
        <f t="shared" si="15"/>
        <v>159.01233782670715</v>
      </c>
      <c r="Z13" s="48">
        <f t="shared" si="15"/>
        <v>149.23897006604247</v>
      </c>
      <c r="AA13" s="48">
        <f t="shared" si="15"/>
        <v>149.23897006604247</v>
      </c>
      <c r="AB13" s="48">
        <f t="shared" si="15"/>
        <v>174.42490322134464</v>
      </c>
      <c r="AC13" s="48">
        <f t="shared" si="15"/>
        <v>87.212451610672318</v>
      </c>
      <c r="AD13" s="48">
        <f t="shared" si="15"/>
        <v>81.824882632605906</v>
      </c>
      <c r="AE13" s="48">
        <f t="shared" si="15"/>
        <v>81.824882632605906</v>
      </c>
      <c r="AF13" s="48">
        <f t="shared" si="15"/>
        <v>95.664318322836237</v>
      </c>
      <c r="AG13" s="48">
        <f t="shared" si="15"/>
        <v>45.918872794961402</v>
      </c>
      <c r="AH13" s="48">
        <f t="shared" si="15"/>
        <v>0</v>
      </c>
      <c r="AI13" s="48">
        <f t="shared" si="15"/>
        <v>0</v>
      </c>
      <c r="AJ13" s="48">
        <f t="shared" si="15"/>
        <v>0</v>
      </c>
      <c r="AK13" s="48">
        <f t="shared" si="15"/>
        <v>0</v>
      </c>
      <c r="AL13" s="20">
        <f t="shared" si="9"/>
        <v>4285.0328128340416</v>
      </c>
    </row>
    <row r="14" spans="1:38" x14ac:dyDescent="0.25">
      <c r="B14" s="47" t="s">
        <v>19</v>
      </c>
      <c r="C14" s="27"/>
      <c r="D14" s="32">
        <f>D5*0.02</f>
        <v>2.7</v>
      </c>
      <c r="E14" s="32">
        <f t="shared" ref="E14:AK14" si="16">E5*0.02</f>
        <v>4.05</v>
      </c>
      <c r="F14" s="32">
        <f t="shared" si="16"/>
        <v>4.8600000000000003</v>
      </c>
      <c r="G14" s="32">
        <f t="shared" si="16"/>
        <v>7.0739999999999998</v>
      </c>
      <c r="H14" s="32">
        <f t="shared" si="16"/>
        <v>8.3160000000000007</v>
      </c>
      <c r="I14" s="32">
        <f t="shared" si="16"/>
        <v>8.9100000000000019</v>
      </c>
      <c r="J14" s="32">
        <f t="shared" si="16"/>
        <v>8.9100000000000019</v>
      </c>
      <c r="K14" s="32">
        <f t="shared" si="16"/>
        <v>8.9100000000000019</v>
      </c>
      <c r="L14" s="32">
        <f t="shared" si="16"/>
        <v>9.8010000000000019</v>
      </c>
      <c r="M14" s="32">
        <f t="shared" si="16"/>
        <v>9.8010000000000019</v>
      </c>
      <c r="N14" s="32">
        <f t="shared" si="16"/>
        <v>9.8010000000000019</v>
      </c>
      <c r="O14" s="32">
        <f t="shared" si="16"/>
        <v>9.8010000000000019</v>
      </c>
      <c r="P14" s="32">
        <f t="shared" si="16"/>
        <v>10.781100000000004</v>
      </c>
      <c r="Q14" s="32">
        <f t="shared" si="16"/>
        <v>10.781100000000004</v>
      </c>
      <c r="R14" s="32">
        <f t="shared" si="16"/>
        <v>10.781100000000004</v>
      </c>
      <c r="S14" s="32">
        <f t="shared" si="16"/>
        <v>10.781100000000004</v>
      </c>
      <c r="T14" s="32">
        <f t="shared" si="16"/>
        <v>11.859210000000003</v>
      </c>
      <c r="U14" s="32">
        <f t="shared" si="16"/>
        <v>9.8826750000000043</v>
      </c>
      <c r="V14" s="32">
        <f t="shared" si="16"/>
        <v>7.9061400000000024</v>
      </c>
      <c r="W14" s="32">
        <f t="shared" si="16"/>
        <v>7.9061400000000024</v>
      </c>
      <c r="X14" s="32">
        <f t="shared" si="16"/>
        <v>8.6967540000000039</v>
      </c>
      <c r="Y14" s="32">
        <f t="shared" si="16"/>
        <v>8.6967540000000039</v>
      </c>
      <c r="Z14" s="32">
        <f t="shared" si="16"/>
        <v>8.6967540000000039</v>
      </c>
      <c r="AA14" s="32">
        <f t="shared" si="16"/>
        <v>8.6967540000000039</v>
      </c>
      <c r="AB14" s="32">
        <f t="shared" si="16"/>
        <v>9.5664294000000059</v>
      </c>
      <c r="AC14" s="32">
        <f t="shared" si="16"/>
        <v>4.7832147000000029</v>
      </c>
      <c r="AD14" s="32">
        <f t="shared" si="16"/>
        <v>4.7832147000000029</v>
      </c>
      <c r="AE14" s="32">
        <f t="shared" si="16"/>
        <v>4.7832147000000029</v>
      </c>
      <c r="AF14" s="32">
        <f t="shared" si="16"/>
        <v>5.2615361700000038</v>
      </c>
      <c r="AG14" s="32">
        <f t="shared" si="16"/>
        <v>2.5255373616000019</v>
      </c>
      <c r="AH14" s="32">
        <f t="shared" si="16"/>
        <v>0</v>
      </c>
      <c r="AI14" s="32">
        <f t="shared" si="16"/>
        <v>0</v>
      </c>
      <c r="AJ14" s="32">
        <f t="shared" si="16"/>
        <v>0</v>
      </c>
      <c r="AK14" s="32">
        <f t="shared" si="16"/>
        <v>0</v>
      </c>
      <c r="AL14" s="20">
        <f t="shared" si="9"/>
        <v>240.10272803160007</v>
      </c>
    </row>
    <row r="15" spans="1:38" x14ac:dyDescent="0.25">
      <c r="B15" s="47" t="s">
        <v>92</v>
      </c>
      <c r="C15" s="27">
        <v>655.20000000000005</v>
      </c>
      <c r="D15" s="32">
        <f>C15*0.1</f>
        <v>65.52000000000001</v>
      </c>
      <c r="E15" s="32">
        <f>D15</f>
        <v>65.52000000000001</v>
      </c>
      <c r="F15" s="32">
        <f t="shared" ref="F15:H15" si="17">E15</f>
        <v>65.52000000000001</v>
      </c>
      <c r="G15" s="32">
        <f t="shared" si="17"/>
        <v>65.52000000000001</v>
      </c>
      <c r="H15" s="32">
        <f t="shared" si="17"/>
        <v>65.52000000000001</v>
      </c>
      <c r="I15" s="32">
        <f>D15</f>
        <v>65.52000000000001</v>
      </c>
      <c r="J15" s="32">
        <f t="shared" ref="J15:M15" si="18">E15</f>
        <v>65.52000000000001</v>
      </c>
      <c r="K15" s="32">
        <f t="shared" si="18"/>
        <v>65.52000000000001</v>
      </c>
      <c r="L15" s="32">
        <f t="shared" si="18"/>
        <v>65.52000000000001</v>
      </c>
      <c r="M15" s="32">
        <f t="shared" si="18"/>
        <v>65.52000000000001</v>
      </c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  <c r="AF15" s="32"/>
      <c r="AG15" s="32"/>
      <c r="AH15" s="32"/>
      <c r="AI15" s="32"/>
      <c r="AJ15" s="32"/>
      <c r="AK15" s="32"/>
      <c r="AL15" s="20"/>
    </row>
    <row r="16" spans="1:38" x14ac:dyDescent="0.25">
      <c r="A16" s="57" t="s">
        <v>8</v>
      </c>
      <c r="B16" s="58" t="s">
        <v>9</v>
      </c>
      <c r="C16" s="14"/>
      <c r="D16" s="33">
        <v>0</v>
      </c>
      <c r="E16" s="33">
        <v>0</v>
      </c>
      <c r="F16" s="33">
        <v>0</v>
      </c>
      <c r="G16" s="33">
        <v>0</v>
      </c>
      <c r="H16" s="33">
        <v>0</v>
      </c>
      <c r="I16" s="33">
        <v>0</v>
      </c>
      <c r="J16" s="33">
        <v>0</v>
      </c>
      <c r="K16" s="33">
        <v>0</v>
      </c>
      <c r="L16" s="33">
        <v>0</v>
      </c>
      <c r="M16" s="33">
        <v>0</v>
      </c>
      <c r="N16" s="33">
        <v>0</v>
      </c>
      <c r="O16" s="33">
        <v>0</v>
      </c>
      <c r="P16" s="33">
        <v>0</v>
      </c>
      <c r="Q16" s="33">
        <v>0</v>
      </c>
      <c r="R16" s="33">
        <v>0</v>
      </c>
      <c r="S16" s="33">
        <v>0</v>
      </c>
      <c r="T16" s="33">
        <v>0</v>
      </c>
      <c r="U16" s="33">
        <v>0</v>
      </c>
      <c r="V16" s="33">
        <v>0</v>
      </c>
      <c r="W16" s="33">
        <v>0</v>
      </c>
      <c r="X16" s="33">
        <v>0</v>
      </c>
      <c r="Y16" s="33">
        <v>0</v>
      </c>
      <c r="Z16" s="33">
        <v>0</v>
      </c>
      <c r="AA16" s="33">
        <v>0</v>
      </c>
      <c r="AB16" s="33">
        <v>0</v>
      </c>
      <c r="AC16" s="33">
        <v>0</v>
      </c>
      <c r="AD16" s="33">
        <v>0</v>
      </c>
      <c r="AE16" s="33">
        <v>0</v>
      </c>
      <c r="AF16" s="33">
        <v>0</v>
      </c>
      <c r="AG16" s="33">
        <v>0</v>
      </c>
      <c r="AH16" s="34">
        <v>0.2</v>
      </c>
      <c r="AI16" s="34">
        <v>0.3</v>
      </c>
      <c r="AJ16" s="34">
        <v>0.3</v>
      </c>
      <c r="AK16" s="34">
        <v>0.2</v>
      </c>
      <c r="AL16" s="35">
        <f t="shared" si="9"/>
        <v>1</v>
      </c>
    </row>
    <row r="17" spans="1:38" x14ac:dyDescent="0.25">
      <c r="A17" s="57"/>
      <c r="B17" s="58"/>
      <c r="C17" s="27">
        <v>97.02</v>
      </c>
      <c r="D17" s="19">
        <f t="shared" ref="D17:AG17" si="19">$C$17*D16</f>
        <v>0</v>
      </c>
      <c r="E17" s="19">
        <f t="shared" si="19"/>
        <v>0</v>
      </c>
      <c r="F17" s="19">
        <f t="shared" si="19"/>
        <v>0</v>
      </c>
      <c r="G17" s="19">
        <f t="shared" si="19"/>
        <v>0</v>
      </c>
      <c r="H17" s="19">
        <f t="shared" si="19"/>
        <v>0</v>
      </c>
      <c r="I17" s="19">
        <f t="shared" si="19"/>
        <v>0</v>
      </c>
      <c r="J17" s="19">
        <f t="shared" si="19"/>
        <v>0</v>
      </c>
      <c r="K17" s="19">
        <f t="shared" si="19"/>
        <v>0</v>
      </c>
      <c r="L17" s="19">
        <f t="shared" si="19"/>
        <v>0</v>
      </c>
      <c r="M17" s="19">
        <f t="shared" si="19"/>
        <v>0</v>
      </c>
      <c r="N17" s="19">
        <f t="shared" si="19"/>
        <v>0</v>
      </c>
      <c r="O17" s="19">
        <f t="shared" si="19"/>
        <v>0</v>
      </c>
      <c r="P17" s="19">
        <f t="shared" si="19"/>
        <v>0</v>
      </c>
      <c r="Q17" s="19">
        <f t="shared" si="19"/>
        <v>0</v>
      </c>
      <c r="R17" s="19">
        <f t="shared" si="19"/>
        <v>0</v>
      </c>
      <c r="S17" s="19">
        <f t="shared" si="19"/>
        <v>0</v>
      </c>
      <c r="T17" s="19">
        <f t="shared" si="19"/>
        <v>0</v>
      </c>
      <c r="U17" s="19">
        <f t="shared" si="19"/>
        <v>0</v>
      </c>
      <c r="V17" s="19">
        <f t="shared" si="19"/>
        <v>0</v>
      </c>
      <c r="W17" s="19">
        <f t="shared" si="19"/>
        <v>0</v>
      </c>
      <c r="X17" s="19">
        <f t="shared" si="19"/>
        <v>0</v>
      </c>
      <c r="Y17" s="19">
        <f t="shared" si="19"/>
        <v>0</v>
      </c>
      <c r="Z17" s="19">
        <f t="shared" si="19"/>
        <v>0</v>
      </c>
      <c r="AA17" s="19">
        <f t="shared" si="19"/>
        <v>0</v>
      </c>
      <c r="AB17" s="19">
        <f t="shared" si="19"/>
        <v>0</v>
      </c>
      <c r="AC17" s="19">
        <f t="shared" si="19"/>
        <v>0</v>
      </c>
      <c r="AD17" s="19">
        <f t="shared" si="19"/>
        <v>0</v>
      </c>
      <c r="AE17" s="19">
        <f t="shared" si="19"/>
        <v>0</v>
      </c>
      <c r="AF17" s="19">
        <f t="shared" si="19"/>
        <v>0</v>
      </c>
      <c r="AG17" s="19">
        <f t="shared" si="19"/>
        <v>0</v>
      </c>
      <c r="AH17" s="19">
        <f>$C$17*AH16</f>
        <v>19.404</v>
      </c>
      <c r="AI17" s="19">
        <f>$C$17*AI16</f>
        <v>29.105999999999998</v>
      </c>
      <c r="AJ17" s="19">
        <f>$C$17*AJ16</f>
        <v>29.105999999999998</v>
      </c>
      <c r="AK17" s="19">
        <f>$C$17*AK16</f>
        <v>19.404</v>
      </c>
      <c r="AL17" s="20">
        <f t="shared" si="9"/>
        <v>97.02</v>
      </c>
    </row>
    <row r="18" spans="1:38" x14ac:dyDescent="0.25">
      <c r="B18" s="41" t="s">
        <v>16</v>
      </c>
      <c r="C18" s="24"/>
      <c r="D18" s="36">
        <f>D13-D14-D17-D15</f>
        <v>-18.168000000000013</v>
      </c>
      <c r="E18" s="36">
        <f t="shared" ref="E18:AK18" si="20">E13-E14-E17-E15</f>
        <v>5.5079999999999956</v>
      </c>
      <c r="F18" s="36">
        <f t="shared" si="20"/>
        <v>14.313599999999994</v>
      </c>
      <c r="G18" s="36">
        <f t="shared" si="20"/>
        <v>50.682239999999993</v>
      </c>
      <c r="H18" s="36">
        <f t="shared" si="20"/>
        <v>79.904160000000019</v>
      </c>
      <c r="I18" s="36">
        <f t="shared" si="20"/>
        <v>90.291600000000017</v>
      </c>
      <c r="J18" s="36">
        <f t="shared" si="20"/>
        <v>80.369100000000003</v>
      </c>
      <c r="K18" s="36">
        <f t="shared" si="20"/>
        <v>80.369100000000003</v>
      </c>
      <c r="L18" s="36">
        <f t="shared" si="20"/>
        <v>105.37663500000005</v>
      </c>
      <c r="M18" s="36">
        <f t="shared" si="20"/>
        <v>105.37663500000005</v>
      </c>
      <c r="N18" s="36">
        <f t="shared" si="20"/>
        <v>159.95707875000011</v>
      </c>
      <c r="O18" s="36">
        <f t="shared" si="20"/>
        <v>159.95707875000011</v>
      </c>
      <c r="P18" s="36">
        <f t="shared" si="20"/>
        <v>187.43932068750007</v>
      </c>
      <c r="Q18" s="36">
        <f t="shared" si="20"/>
        <v>187.43932068750007</v>
      </c>
      <c r="R18" s="36">
        <f t="shared" si="20"/>
        <v>175.37845992187505</v>
      </c>
      <c r="S18" s="36">
        <f t="shared" si="20"/>
        <v>175.37845992187505</v>
      </c>
      <c r="T18" s="36">
        <f t="shared" si="20"/>
        <v>205.5802097179689</v>
      </c>
      <c r="U18" s="36">
        <f t="shared" si="20"/>
        <v>171.31684143164074</v>
      </c>
      <c r="V18" s="36">
        <f t="shared" si="20"/>
        <v>128.18874048257823</v>
      </c>
      <c r="W18" s="36">
        <f t="shared" si="20"/>
        <v>128.18874048257823</v>
      </c>
      <c r="X18" s="36">
        <f t="shared" si="20"/>
        <v>150.31558382670715</v>
      </c>
      <c r="Y18" s="36">
        <f t="shared" si="20"/>
        <v>150.31558382670715</v>
      </c>
      <c r="Z18" s="36">
        <f t="shared" si="20"/>
        <v>140.54221606604247</v>
      </c>
      <c r="AA18" s="36">
        <f t="shared" si="20"/>
        <v>140.54221606604247</v>
      </c>
      <c r="AB18" s="36">
        <f t="shared" si="20"/>
        <v>164.85847382134463</v>
      </c>
      <c r="AC18" s="36">
        <f t="shared" si="20"/>
        <v>82.429236910672316</v>
      </c>
      <c r="AD18" s="36">
        <f t="shared" si="20"/>
        <v>77.041667932605904</v>
      </c>
      <c r="AE18" s="36">
        <f t="shared" si="20"/>
        <v>77.041667932605904</v>
      </c>
      <c r="AF18" s="36">
        <f t="shared" si="20"/>
        <v>90.402782152836238</v>
      </c>
      <c r="AG18" s="36">
        <f t="shared" si="20"/>
        <v>43.393335433361401</v>
      </c>
      <c r="AH18" s="36">
        <f t="shared" si="20"/>
        <v>-19.404</v>
      </c>
      <c r="AI18" s="36">
        <f t="shared" si="20"/>
        <v>-29.105999999999998</v>
      </c>
      <c r="AJ18" s="36">
        <f t="shared" si="20"/>
        <v>-29.105999999999998</v>
      </c>
      <c r="AK18" s="36">
        <f t="shared" si="20"/>
        <v>-19.404</v>
      </c>
      <c r="AL18" s="22"/>
    </row>
    <row r="19" spans="1:38" x14ac:dyDescent="0.25">
      <c r="B19" s="50">
        <v>0.1416</v>
      </c>
    </row>
    <row r="20" spans="1:38" x14ac:dyDescent="0.25">
      <c r="B20" s="15" t="s">
        <v>17</v>
      </c>
      <c r="D20" s="16">
        <f>NPV($B$19,D18:AK18)</f>
        <v>508.37996290524677</v>
      </c>
      <c r="E20" s="49">
        <f>D20*0.2</f>
        <v>101.67599258104936</v>
      </c>
    </row>
    <row r="21" spans="1:38" x14ac:dyDescent="0.25">
      <c r="A21" s="37"/>
      <c r="D21" s="16">
        <f>D20*0.8</f>
        <v>406.70397032419743</v>
      </c>
      <c r="E21" s="40"/>
    </row>
    <row r="22" spans="1:38" x14ac:dyDescent="0.25">
      <c r="A22" s="39">
        <v>936</v>
      </c>
      <c r="B22" s="44" t="s">
        <v>93</v>
      </c>
    </row>
    <row r="23" spans="1:38" x14ac:dyDescent="0.25">
      <c r="A23" s="37">
        <f>A22*2.471</f>
        <v>2312.8560000000002</v>
      </c>
      <c r="B23" s="5" t="s">
        <v>94</v>
      </c>
    </row>
    <row r="24" spans="1:38" x14ac:dyDescent="0.25"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</row>
    <row r="25" spans="1:38" x14ac:dyDescent="0.25">
      <c r="A25" s="38">
        <f>D21*10^7/A22</f>
        <v>4345127.8880790323</v>
      </c>
      <c r="B25" s="44" t="s">
        <v>99</v>
      </c>
      <c r="C25" s="38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</row>
    <row r="26" spans="1:38" x14ac:dyDescent="0.25">
      <c r="A26" s="38">
        <f>A25/2.471</f>
        <v>1758449.1655520163</v>
      </c>
      <c r="B26" s="45" t="s">
        <v>95</v>
      </c>
      <c r="D26" s="16"/>
    </row>
    <row r="27" spans="1:38" x14ac:dyDescent="0.25">
      <c r="A27" s="38">
        <f>A25*B35</f>
        <v>557697164.4349438</v>
      </c>
      <c r="B27" s="44" t="s">
        <v>100</v>
      </c>
    </row>
    <row r="28" spans="1:38" x14ac:dyDescent="0.25">
      <c r="A28" s="43">
        <f>55.77*10^7</f>
        <v>557700000</v>
      </c>
      <c r="B28" s="56" t="s">
        <v>103</v>
      </c>
    </row>
    <row r="29" spans="1:38" x14ac:dyDescent="0.25">
      <c r="A29" s="38">
        <f>A28*0.9</f>
        <v>501930000</v>
      </c>
      <c r="I29" s="1"/>
    </row>
    <row r="30" spans="1:38" x14ac:dyDescent="0.25">
      <c r="A30" s="38">
        <f>A28*0.8</f>
        <v>446160000</v>
      </c>
    </row>
    <row r="31" spans="1:38" x14ac:dyDescent="0.25">
      <c r="A31" s="38"/>
    </row>
    <row r="32" spans="1:38" x14ac:dyDescent="0.25">
      <c r="A32" s="38"/>
      <c r="B32" s="46"/>
    </row>
    <row r="33" spans="1:3" x14ac:dyDescent="0.25">
      <c r="A33" s="51" t="s">
        <v>102</v>
      </c>
      <c r="B33" s="52">
        <v>122.65</v>
      </c>
    </row>
    <row r="34" spans="1:3" x14ac:dyDescent="0.25">
      <c r="A34" s="51" t="s">
        <v>101</v>
      </c>
      <c r="B34" s="52">
        <v>5.7</v>
      </c>
    </row>
    <row r="35" spans="1:3" x14ac:dyDescent="0.25">
      <c r="A35"/>
      <c r="B35" s="53">
        <f>SUM(B33:B34)</f>
        <v>128.35</v>
      </c>
      <c r="C35" s="55" t="s">
        <v>93</v>
      </c>
    </row>
    <row r="36" spans="1:3" x14ac:dyDescent="0.25">
      <c r="A36"/>
      <c r="B36" s="54">
        <f>B35*2.471</f>
        <v>317.15285</v>
      </c>
      <c r="C36" s="55" t="s">
        <v>94</v>
      </c>
    </row>
  </sheetData>
  <mergeCells count="2">
    <mergeCell ref="A16:A17"/>
    <mergeCell ref="B16:B17"/>
  </mergeCells>
  <phoneticPr fontId="2" type="noConversion"/>
  <pageMargins left="0.7" right="0.7" top="0.75" bottom="0.75" header="0.3" footer="0.3"/>
  <pageSetup paperSize="9" orientation="portrait" r:id="rId1"/>
  <ignoredErrors>
    <ignoredError sqref="F10:G10 H10:I10 H4 M10 J10:K10 O10 Q10 S10 U10 W10 Y10 AA10 AC10 AE10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4:G162"/>
  <sheetViews>
    <sheetView tabSelected="1" topLeftCell="A2" workbookViewId="0">
      <selection activeCell="H24" sqref="H24"/>
    </sheetView>
  </sheetViews>
  <sheetFormatPr defaultRowHeight="15" x14ac:dyDescent="0.25"/>
  <cols>
    <col min="2" max="2" width="17" bestFit="1" customWidth="1"/>
    <col min="3" max="3" width="12.5703125" bestFit="1" customWidth="1"/>
    <col min="4" max="4" width="11.5703125" bestFit="1" customWidth="1"/>
  </cols>
  <sheetData>
    <row r="4" spans="2:7" x14ac:dyDescent="0.25">
      <c r="C4" s="13">
        <v>43891</v>
      </c>
      <c r="D4" s="13">
        <f t="shared" ref="D4:G4" si="0">EDATE(C4,12)</f>
        <v>44256</v>
      </c>
      <c r="E4" s="13">
        <f t="shared" si="0"/>
        <v>44621</v>
      </c>
      <c r="F4" s="13">
        <f t="shared" si="0"/>
        <v>44986</v>
      </c>
      <c r="G4" s="13">
        <f t="shared" si="0"/>
        <v>45352</v>
      </c>
    </row>
    <row r="5" spans="2:7" x14ac:dyDescent="0.25">
      <c r="B5" t="s">
        <v>12</v>
      </c>
      <c r="C5" s="12">
        <v>1975</v>
      </c>
      <c r="D5" s="12">
        <v>1925</v>
      </c>
      <c r="E5" s="12">
        <v>3403</v>
      </c>
      <c r="F5" s="12">
        <v>2862</v>
      </c>
      <c r="G5" s="12">
        <v>2576</v>
      </c>
    </row>
    <row r="6" spans="2:7" x14ac:dyDescent="0.25">
      <c r="C6" s="1"/>
      <c r="D6" s="1"/>
      <c r="E6" s="1"/>
      <c r="F6" s="1"/>
      <c r="G6" s="1"/>
    </row>
    <row r="10" spans="2:7" x14ac:dyDescent="0.25">
      <c r="C10" t="s">
        <v>107</v>
      </c>
      <c r="D10" t="s">
        <v>105</v>
      </c>
    </row>
    <row r="11" spans="2:7" x14ac:dyDescent="0.25">
      <c r="B11" t="s">
        <v>106</v>
      </c>
      <c r="C11" s="12">
        <v>589640</v>
      </c>
      <c r="D11" s="10">
        <f>C11/2.471</f>
        <v>238624.03885066774</v>
      </c>
    </row>
    <row r="12" spans="2:7" x14ac:dyDescent="0.25">
      <c r="B12" t="s">
        <v>77</v>
      </c>
      <c r="C12" s="12">
        <v>1009030</v>
      </c>
      <c r="D12" s="10">
        <f>C12/2.471</f>
        <v>408348.84662080125</v>
      </c>
    </row>
    <row r="14" spans="2:7" x14ac:dyDescent="0.25">
      <c r="C14" t="s">
        <v>93</v>
      </c>
      <c r="D14" t="s">
        <v>108</v>
      </c>
    </row>
    <row r="15" spans="2:7" x14ac:dyDescent="0.25">
      <c r="B15" t="s">
        <v>102</v>
      </c>
      <c r="C15" s="26">
        <v>122.65</v>
      </c>
      <c r="D15" s="1">
        <f>C15*2.71</f>
        <v>332.38150000000002</v>
      </c>
    </row>
    <row r="16" spans="2:7" x14ac:dyDescent="0.25">
      <c r="B16" t="s">
        <v>101</v>
      </c>
      <c r="C16" s="26">
        <v>5.7</v>
      </c>
      <c r="D16" s="1">
        <f>C16*2.71</f>
        <v>15.447000000000001</v>
      </c>
    </row>
    <row r="17" spans="3:4" x14ac:dyDescent="0.25">
      <c r="C17">
        <f>SUM(C15:C16)</f>
        <v>128.35</v>
      </c>
      <c r="D17" s="1">
        <f>SUM(D15:D16)</f>
        <v>347.82850000000002</v>
      </c>
    </row>
    <row r="19" spans="3:4" x14ac:dyDescent="0.25">
      <c r="C19" s="10">
        <f>C15*C11</f>
        <v>72319346</v>
      </c>
    </row>
    <row r="20" spans="3:4" x14ac:dyDescent="0.25">
      <c r="C20" s="10">
        <f>C16*C12</f>
        <v>5751471</v>
      </c>
    </row>
    <row r="21" spans="3:4" x14ac:dyDescent="0.25">
      <c r="C21" s="60">
        <f>SUM(C19:C20)</f>
        <v>78070817</v>
      </c>
    </row>
    <row r="146" spans="2:3" x14ac:dyDescent="0.25">
      <c r="B146" s="12">
        <v>3000</v>
      </c>
      <c r="C146" t="s">
        <v>55</v>
      </c>
    </row>
    <row r="147" spans="2:3" x14ac:dyDescent="0.25">
      <c r="B147" s="12">
        <v>1000</v>
      </c>
      <c r="C147" t="s">
        <v>56</v>
      </c>
    </row>
    <row r="148" spans="2:3" x14ac:dyDescent="0.25">
      <c r="B148" s="12">
        <f>5508-1800</f>
        <v>3708</v>
      </c>
      <c r="C148" t="s">
        <v>57</v>
      </c>
    </row>
    <row r="149" spans="2:3" x14ac:dyDescent="0.25">
      <c r="B149" s="12">
        <v>2000</v>
      </c>
      <c r="C149" t="s">
        <v>18</v>
      </c>
    </row>
    <row r="150" spans="2:3" x14ac:dyDescent="0.25">
      <c r="B150" s="12">
        <v>10000</v>
      </c>
      <c r="C150" t="s">
        <v>58</v>
      </c>
    </row>
    <row r="151" spans="2:3" x14ac:dyDescent="0.25">
      <c r="B151" s="12">
        <f>SUM(B146:B150)</f>
        <v>19708</v>
      </c>
    </row>
    <row r="152" spans="2:3" x14ac:dyDescent="0.25">
      <c r="B152" s="12"/>
    </row>
    <row r="154" spans="2:3" x14ac:dyDescent="0.25">
      <c r="B154" s="12">
        <v>62000</v>
      </c>
      <c r="C154" t="s">
        <v>2</v>
      </c>
    </row>
    <row r="155" spans="2:3" x14ac:dyDescent="0.25">
      <c r="B155" s="12">
        <v>32800</v>
      </c>
      <c r="C155" t="s">
        <v>59</v>
      </c>
    </row>
    <row r="156" spans="2:3" x14ac:dyDescent="0.25">
      <c r="B156" s="12">
        <v>8000</v>
      </c>
      <c r="C156" t="s">
        <v>60</v>
      </c>
    </row>
    <row r="157" spans="2:3" x14ac:dyDescent="0.25">
      <c r="B157" s="12">
        <f>B154-B155-B156</f>
        <v>21200</v>
      </c>
    </row>
    <row r="158" spans="2:3" x14ac:dyDescent="0.25">
      <c r="B158" s="12">
        <v>8879</v>
      </c>
      <c r="C158" t="s">
        <v>61</v>
      </c>
    </row>
    <row r="159" spans="2:3" x14ac:dyDescent="0.25">
      <c r="B159" s="10">
        <f>B157-B158</f>
        <v>12321</v>
      </c>
    </row>
    <row r="160" spans="2:3" x14ac:dyDescent="0.25">
      <c r="B160" s="10">
        <v>881.67</v>
      </c>
      <c r="C160" t="s">
        <v>62</v>
      </c>
    </row>
    <row r="161" spans="2:3" x14ac:dyDescent="0.25">
      <c r="B161" s="10">
        <v>6034</v>
      </c>
      <c r="C161" t="s">
        <v>63</v>
      </c>
    </row>
    <row r="162" spans="2:3" x14ac:dyDescent="0.25">
      <c r="B162" s="10">
        <f>B161+B160+B159+B151</f>
        <v>38944.67</v>
      </c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3:R28"/>
  <sheetViews>
    <sheetView topLeftCell="G1" workbookViewId="0">
      <selection activeCell="P6" sqref="P6:Q7"/>
    </sheetView>
  </sheetViews>
  <sheetFormatPr defaultRowHeight="15" x14ac:dyDescent="0.25"/>
  <cols>
    <col min="2" max="2" width="7.28515625" bestFit="1" customWidth="1"/>
    <col min="3" max="3" width="6.28515625" bestFit="1" customWidth="1"/>
    <col min="4" max="4" width="18" bestFit="1" customWidth="1"/>
    <col min="5" max="5" width="17" style="1" bestFit="1" customWidth="1"/>
    <col min="6" max="6" width="12" style="1" bestFit="1" customWidth="1"/>
    <col min="7" max="7" width="7.42578125" style="1" bestFit="1" customWidth="1"/>
    <col min="9" max="9" width="11.5703125" bestFit="1" customWidth="1"/>
    <col min="10" max="10" width="9.28515625" bestFit="1" customWidth="1"/>
    <col min="12" max="12" width="12.5703125" bestFit="1" customWidth="1"/>
    <col min="17" max="17" width="7" bestFit="1" customWidth="1"/>
  </cols>
  <sheetData>
    <row r="3" spans="2:17" x14ac:dyDescent="0.25">
      <c r="B3" t="s">
        <v>64</v>
      </c>
      <c r="C3" t="s">
        <v>65</v>
      </c>
      <c r="D3" t="s">
        <v>66</v>
      </c>
      <c r="E3" s="1" t="s">
        <v>68</v>
      </c>
      <c r="F3" s="1" t="s">
        <v>67</v>
      </c>
      <c r="G3" s="1" t="s">
        <v>2</v>
      </c>
      <c r="I3" s="1" t="s">
        <v>99</v>
      </c>
      <c r="J3" s="1" t="s">
        <v>105</v>
      </c>
    </row>
    <row r="4" spans="2:17" x14ac:dyDescent="0.25">
      <c r="B4" s="59" t="s">
        <v>80</v>
      </c>
      <c r="C4" s="59" t="s">
        <v>81</v>
      </c>
      <c r="D4" t="s">
        <v>69</v>
      </c>
      <c r="E4" s="1">
        <v>2.2000000000000002</v>
      </c>
      <c r="F4" s="1">
        <v>122.21</v>
      </c>
      <c r="G4" s="1">
        <f>SUM(E4:F4)</f>
        <v>124.41</v>
      </c>
      <c r="I4" s="12">
        <v>589640</v>
      </c>
      <c r="J4" s="12">
        <f>I4/2.471</f>
        <v>238624.03885066774</v>
      </c>
      <c r="K4">
        <v>970</v>
      </c>
      <c r="L4" s="12">
        <f>K4*4047</f>
        <v>3925590</v>
      </c>
    </row>
    <row r="5" spans="2:17" x14ac:dyDescent="0.25">
      <c r="B5" s="59"/>
      <c r="C5" s="59"/>
      <c r="D5" t="s">
        <v>70</v>
      </c>
      <c r="E5" s="1">
        <v>1.32</v>
      </c>
      <c r="F5" s="1">
        <v>38.700000000000003</v>
      </c>
      <c r="G5" s="1">
        <f t="shared" ref="G5:G14" si="0">SUM(E5:F5)</f>
        <v>40.020000000000003</v>
      </c>
    </row>
    <row r="6" spans="2:17" x14ac:dyDescent="0.25">
      <c r="B6" s="59"/>
      <c r="C6" s="59"/>
      <c r="D6" t="s">
        <v>71</v>
      </c>
      <c r="E6" s="1">
        <v>12.65</v>
      </c>
      <c r="F6" s="1">
        <v>271.58</v>
      </c>
      <c r="G6" s="1">
        <f t="shared" si="0"/>
        <v>284.22999999999996</v>
      </c>
      <c r="P6" t="s">
        <v>102</v>
      </c>
      <c r="Q6" s="26">
        <v>122.65</v>
      </c>
    </row>
    <row r="7" spans="2:17" x14ac:dyDescent="0.25">
      <c r="B7" s="59"/>
      <c r="C7" s="59"/>
      <c r="D7" t="s">
        <v>72</v>
      </c>
      <c r="E7" s="1">
        <v>2.2000000000000002</v>
      </c>
      <c r="F7" s="1">
        <v>66.400000000000006</v>
      </c>
      <c r="G7" s="1">
        <f t="shared" si="0"/>
        <v>68.600000000000009</v>
      </c>
      <c r="P7" t="s">
        <v>101</v>
      </c>
      <c r="Q7" s="26">
        <v>5.7</v>
      </c>
    </row>
    <row r="8" spans="2:17" x14ac:dyDescent="0.25">
      <c r="B8" s="59"/>
      <c r="C8" s="59"/>
      <c r="D8" t="s">
        <v>73</v>
      </c>
      <c r="E8" s="1">
        <v>5.2</v>
      </c>
      <c r="F8" s="1">
        <v>237.79</v>
      </c>
      <c r="G8" s="1">
        <f t="shared" si="0"/>
        <v>242.98999999999998</v>
      </c>
      <c r="Q8" s="42">
        <f>SUM(Q6:Q7)</f>
        <v>128.35</v>
      </c>
    </row>
    <row r="9" spans="2:17" x14ac:dyDescent="0.25">
      <c r="B9" s="59"/>
      <c r="C9" s="59"/>
      <c r="D9" t="s">
        <v>74</v>
      </c>
      <c r="E9" s="1">
        <v>0</v>
      </c>
      <c r="F9" s="1">
        <v>59.41</v>
      </c>
      <c r="G9" s="1">
        <f t="shared" si="0"/>
        <v>59.41</v>
      </c>
      <c r="Q9">
        <f>Q8*2.471</f>
        <v>317.15285</v>
      </c>
    </row>
    <row r="10" spans="2:17" x14ac:dyDescent="0.25">
      <c r="B10" s="59"/>
      <c r="C10" s="59"/>
      <c r="D10" t="s">
        <v>75</v>
      </c>
      <c r="E10" s="1">
        <v>1.23</v>
      </c>
      <c r="F10" s="1">
        <v>35.909999999999997</v>
      </c>
      <c r="G10" s="1">
        <f t="shared" si="0"/>
        <v>37.139999999999993</v>
      </c>
    </row>
    <row r="11" spans="2:17" x14ac:dyDescent="0.25">
      <c r="B11" s="59"/>
      <c r="C11" s="59"/>
      <c r="D11" t="s">
        <v>76</v>
      </c>
      <c r="E11" s="1">
        <v>0.43</v>
      </c>
      <c r="F11" s="1">
        <v>30.01</v>
      </c>
      <c r="G11" s="1">
        <f t="shared" si="0"/>
        <v>30.44</v>
      </c>
    </row>
    <row r="12" spans="2:17" x14ac:dyDescent="0.25">
      <c r="B12" s="59"/>
      <c r="C12" s="59"/>
      <c r="D12" t="s">
        <v>77</v>
      </c>
      <c r="E12" s="1">
        <v>0</v>
      </c>
      <c r="F12" s="1">
        <v>0.65</v>
      </c>
      <c r="G12" s="1">
        <f t="shared" si="0"/>
        <v>0.65</v>
      </c>
    </row>
    <row r="13" spans="2:17" x14ac:dyDescent="0.25">
      <c r="B13" s="59"/>
      <c r="C13" s="59"/>
      <c r="D13" t="s">
        <v>78</v>
      </c>
      <c r="E13" s="1">
        <v>0.51</v>
      </c>
      <c r="F13" s="1">
        <v>1.04</v>
      </c>
      <c r="G13" s="1">
        <f t="shared" si="0"/>
        <v>1.55</v>
      </c>
    </row>
    <row r="14" spans="2:17" x14ac:dyDescent="0.25">
      <c r="B14" s="59"/>
      <c r="C14" s="59"/>
      <c r="D14" t="s">
        <v>79</v>
      </c>
      <c r="E14" s="1">
        <v>0</v>
      </c>
      <c r="F14" s="1">
        <v>46.56</v>
      </c>
      <c r="G14" s="1">
        <f t="shared" si="0"/>
        <v>46.56</v>
      </c>
    </row>
    <row r="15" spans="2:17" x14ac:dyDescent="0.25">
      <c r="E15" s="1">
        <f>SUM(E4:E14)</f>
        <v>25.740000000000002</v>
      </c>
      <c r="F15" s="1">
        <f>SUM(F4:F14)</f>
        <v>910.25999999999976</v>
      </c>
      <c r="G15" s="1">
        <f>SUM(G4:G14)</f>
        <v>936</v>
      </c>
    </row>
    <row r="18" spans="4:18" x14ac:dyDescent="0.25">
      <c r="D18" t="s">
        <v>82</v>
      </c>
      <c r="E18" s="1">
        <v>8.1</v>
      </c>
    </row>
    <row r="19" spans="4:18" x14ac:dyDescent="0.25">
      <c r="D19" t="s">
        <v>83</v>
      </c>
      <c r="E19" s="1">
        <v>0</v>
      </c>
      <c r="R19" s="1"/>
    </row>
    <row r="20" spans="4:18" x14ac:dyDescent="0.25">
      <c r="D20" t="s">
        <v>84</v>
      </c>
      <c r="E20" s="1">
        <v>6.4</v>
      </c>
    </row>
    <row r="21" spans="4:18" x14ac:dyDescent="0.25">
      <c r="D21" t="s">
        <v>85</v>
      </c>
      <c r="E21" s="1">
        <v>5</v>
      </c>
      <c r="K21">
        <v>86.83</v>
      </c>
    </row>
    <row r="22" spans="4:18" x14ac:dyDescent="0.25">
      <c r="D22" t="s">
        <v>86</v>
      </c>
      <c r="E22" s="1">
        <v>0</v>
      </c>
      <c r="K22">
        <v>12.9</v>
      </c>
    </row>
    <row r="23" spans="4:18" x14ac:dyDescent="0.25">
      <c r="D23" t="s">
        <v>87</v>
      </c>
      <c r="E23" s="1">
        <v>0</v>
      </c>
      <c r="K23">
        <f>K21/K22</f>
        <v>6.7310077519379838</v>
      </c>
    </row>
    <row r="24" spans="4:18" x14ac:dyDescent="0.25">
      <c r="D24" t="s">
        <v>88</v>
      </c>
      <c r="E24" s="1">
        <v>11</v>
      </c>
    </row>
    <row r="25" spans="4:18" x14ac:dyDescent="0.25">
      <c r="D25" t="s">
        <v>89</v>
      </c>
      <c r="E25" s="1">
        <v>893</v>
      </c>
    </row>
    <row r="26" spans="4:18" x14ac:dyDescent="0.25">
      <c r="D26" t="s">
        <v>90</v>
      </c>
      <c r="E26" s="1">
        <v>12.5</v>
      </c>
    </row>
    <row r="27" spans="4:18" x14ac:dyDescent="0.25">
      <c r="D27" t="s">
        <v>91</v>
      </c>
      <c r="E27" s="1">
        <v>0</v>
      </c>
    </row>
    <row r="28" spans="4:18" x14ac:dyDescent="0.25">
      <c r="E28" s="1">
        <f>SUM(E18:E27)</f>
        <v>936</v>
      </c>
    </row>
  </sheetData>
  <mergeCells count="2">
    <mergeCell ref="B4:B14"/>
    <mergeCell ref="C4:C1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Valuation</vt:lpstr>
      <vt:lpstr>Sheet3</vt:lpstr>
      <vt:lpstr>Land 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Abhinav Chaturvedi</dc:creator>
  <cp:lastModifiedBy>Abhinav Chaturvedi</cp:lastModifiedBy>
  <dcterms:created xsi:type="dcterms:W3CDTF">2024-07-03T11:06:25Z</dcterms:created>
  <dcterms:modified xsi:type="dcterms:W3CDTF">2024-07-22T13:18:24Z</dcterms:modified>
</cp:coreProperties>
</file>