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mc:AlternateContent xmlns:mc="http://schemas.openxmlformats.org/markup-compatibility/2006">
    <mc:Choice Requires="x15">
      <x15ac:absPath xmlns:x15ac="http://schemas.microsoft.com/office/spreadsheetml/2010/11/ac" url="F:\Anwar\TEV\MAIL_6\"/>
    </mc:Choice>
  </mc:AlternateContent>
  <xr:revisionPtr revIDLastSave="0" documentId="13_ncr:1_{E6803266-FB9E-4E0C-9272-120547226F0B}" xr6:coauthVersionLast="47" xr6:coauthVersionMax="47" xr10:uidLastSave="{00000000-0000-0000-0000-000000000000}"/>
  <bookViews>
    <workbookView xWindow="-120" yWindow="-120" windowWidth="24240" windowHeight="13140" tabRatio="599" firstSheet="4" activeTab="5" xr2:uid="{00000000-000D-0000-FFFF-FFFF00000000}"/>
  </bookViews>
  <sheets>
    <sheet name="Result 1" sheetId="36" state="hidden" r:id="rId1"/>
    <sheet name="Result 2" sheetId="33" state="hidden" r:id="rId2"/>
    <sheet name="Result1" sheetId="34" state="hidden" r:id="rId3"/>
    <sheet name="Result 3" sheetId="35" state="hidden" r:id="rId4"/>
    <sheet name="Cash Flow" sheetId="18" r:id="rId5"/>
    <sheet name="BSPL" sheetId="2" r:id="rId6"/>
    <sheet name="Pivot" sheetId="4" r:id="rId7"/>
    <sheet name="TB final" sheetId="12" r:id="rId8"/>
    <sheet name="Trial Balance" sheetId="13" r:id="rId9"/>
    <sheet name="CLOSING STOCK AS ON 31-03-21" sheetId="7" r:id="rId10"/>
    <sheet name="PPE" sheetId="3" r:id="rId11"/>
    <sheet name="DT" sheetId="22" r:id="rId12"/>
    <sheet name="COI" sheetId="5" r:id="rId13"/>
    <sheet name="IT Dep" sheetId="21" r:id="rId14"/>
    <sheet name="Prepaid Ins" sheetId="31" r:id="rId15"/>
    <sheet name="Advance for Capital Goods" sheetId="28" r:id="rId16"/>
    <sheet name="FDR" sheetId="27" r:id="rId17"/>
    <sheet name="Ratios" sheetId="26" r:id="rId18"/>
    <sheet name="FG Valuation" sheetId="6" r:id="rId19"/>
    <sheet name="Loans to staff" sheetId="20" r:id="rId20"/>
    <sheet name="PSI Bifurcation" sheetId="1" r:id="rId21"/>
    <sheet name="Cost Sheet" sheetId="8" r:id="rId22"/>
    <sheet name="Term Loan" sheetId="9" r:id="rId23"/>
    <sheet name="Share Holding" sheetId="10" r:id="rId24"/>
    <sheet name="Unsecured Loan" sheetId="11" r:id="rId25"/>
    <sheet name="Debtor's Ageing 2020-21" sheetId="19" r:id="rId26"/>
    <sheet name="TB18.06" sheetId="32" r:id="rId27"/>
    <sheet name="TB09.06.21" sheetId="23" r:id="rId28"/>
    <sheet name="TB 28.5.21" sheetId="14" r:id="rId29"/>
    <sheet name="TB 03.06.21" sheetId="15" r:id="rId30"/>
    <sheet name="TB2019-20" sheetId="16" r:id="rId31"/>
    <sheet name="Requirements" sheetId="17"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a" localSheetId="0">#REF!</definedName>
    <definedName name="\a">#REF!</definedName>
    <definedName name="\B" localSheetId="0">#REF!</definedName>
    <definedName name="\B">#REF!</definedName>
    <definedName name="\C" localSheetId="0">#REF!</definedName>
    <definedName name="\C">#REF!</definedName>
    <definedName name="\D">#REF!</definedName>
    <definedName name="\E">#REF!</definedName>
    <definedName name="\F">#REF!</definedName>
    <definedName name="\G">#REF!</definedName>
    <definedName name="\I">#REF!</definedName>
    <definedName name="\J">#REF!</definedName>
    <definedName name="\M">#REF!</definedName>
    <definedName name="\P">#REF!</definedName>
    <definedName name="\Q">#REF!</definedName>
    <definedName name="\S">#REF!</definedName>
    <definedName name="\T">#REF!</definedName>
    <definedName name="\U">#REF!</definedName>
    <definedName name="\Z">#REF!</definedName>
    <definedName name="___________________crc1">[1]combined!$B$176:$H$232</definedName>
    <definedName name="___________________crc2">[1]combined!$B$236:$H$301</definedName>
    <definedName name="___________________crc3">[1]combined!$B$329:$H$387</definedName>
    <definedName name="___________________GRP1">'[2]BS 590'!$B$313:$G$386</definedName>
    <definedName name="___________________GRP3">'[3]BS&amp;PLA'!#REF!</definedName>
    <definedName name="___________________GRP4">'[3]BS&amp;PLA'!#REF!</definedName>
    <definedName name="___________________sch1">'[2]BS 590'!$B$125:$H$165</definedName>
    <definedName name="___________________sch2">'[2]BS 590'!$B$166:$H$193</definedName>
    <definedName name="___________________sch3">'[2]BS 590'!$B$194:$H$231</definedName>
    <definedName name="___________________sch4">'[2]BS 590'!$B$233:$H$280</definedName>
    <definedName name="___________________sch5">'[2]BS 590'!$B$281:$H$312</definedName>
    <definedName name="___________________STK1" localSheetId="15">#REF!</definedName>
    <definedName name="___________________STK1" localSheetId="25">#REF!</definedName>
    <definedName name="___________________STK1" localSheetId="16">#REF!</definedName>
    <definedName name="___________________STK1" localSheetId="19">#REF!</definedName>
    <definedName name="___________________STK1">#REF!</definedName>
    <definedName name="___________________STK2" localSheetId="15">#REF!</definedName>
    <definedName name="___________________STK2" localSheetId="25">#REF!</definedName>
    <definedName name="___________________STK2" localSheetId="16">#REF!</definedName>
    <definedName name="___________________STK2" localSheetId="19">#REF!</definedName>
    <definedName name="___________________STK2">#REF!</definedName>
    <definedName name="___________________STK3" localSheetId="15">#REF!</definedName>
    <definedName name="___________________STK3" localSheetId="25">#REF!</definedName>
    <definedName name="___________________STK3" localSheetId="16">#REF!</definedName>
    <definedName name="___________________STK3" localSheetId="19">#REF!</definedName>
    <definedName name="___________________STK3">#REF!</definedName>
    <definedName name="__________________crc1">[1]combined!$B$176:$H$232</definedName>
    <definedName name="__________________crc2">[1]combined!$B$236:$H$301</definedName>
    <definedName name="__________________crc3">[1]combined!$B$329:$H$387</definedName>
    <definedName name="__________________GRP1">'[2]BS 590'!$B$313:$G$386</definedName>
    <definedName name="__________________GRP2">'[3]BS&amp;PLA'!#REF!</definedName>
    <definedName name="__________________GRP3" localSheetId="15">'[4]BS&amp;PLA'!#REF!</definedName>
    <definedName name="__________________GRP3" localSheetId="25">'[4]BS&amp;PLA'!#REF!</definedName>
    <definedName name="__________________GRP3" localSheetId="16">'[4]BS&amp;PLA'!#REF!</definedName>
    <definedName name="__________________GRP3" localSheetId="19">'[4]BS&amp;PLA'!#REF!</definedName>
    <definedName name="__________________GRP3">'[4]BS&amp;PLA'!#REF!</definedName>
    <definedName name="__________________GRP4" localSheetId="15">'[4]BS&amp;PLA'!#REF!</definedName>
    <definedName name="__________________GRP4" localSheetId="25">'[4]BS&amp;PLA'!#REF!</definedName>
    <definedName name="__________________GRP4" localSheetId="16">'[4]BS&amp;PLA'!#REF!</definedName>
    <definedName name="__________________GRP4" localSheetId="19">'[4]BS&amp;PLA'!#REF!</definedName>
    <definedName name="__________________GRP4">'[4]BS&amp;PLA'!#REF!</definedName>
    <definedName name="__________________sch1">'[2]BS 590'!$B$125:$H$165</definedName>
    <definedName name="__________________sch2">'[2]BS 590'!$B$166:$H$193</definedName>
    <definedName name="__________________sch3">'[2]BS 590'!$B$194:$H$231</definedName>
    <definedName name="__________________sch4">'[2]BS 590'!$B$233:$H$280</definedName>
    <definedName name="__________________sch5">'[2]BS 590'!$B$281:$H$312</definedName>
    <definedName name="__________________STK1" localSheetId="15">#REF!</definedName>
    <definedName name="__________________STK1" localSheetId="25">#REF!</definedName>
    <definedName name="__________________STK1" localSheetId="16">#REF!</definedName>
    <definedName name="__________________STK1" localSheetId="19">#REF!</definedName>
    <definedName name="__________________STK1">#REF!</definedName>
    <definedName name="__________________STK2" localSheetId="15">#REF!</definedName>
    <definedName name="__________________STK2" localSheetId="25">#REF!</definedName>
    <definedName name="__________________STK2" localSheetId="16">#REF!</definedName>
    <definedName name="__________________STK2" localSheetId="19">#REF!</definedName>
    <definedName name="__________________STK2">#REF!</definedName>
    <definedName name="__________________STK3" localSheetId="15">#REF!</definedName>
    <definedName name="__________________STK3" localSheetId="25">#REF!</definedName>
    <definedName name="__________________STK3" localSheetId="16">#REF!</definedName>
    <definedName name="__________________STK3" localSheetId="19">#REF!</definedName>
    <definedName name="__________________STK3">#REF!</definedName>
    <definedName name="_________________cha1" localSheetId="15">#REF!</definedName>
    <definedName name="_________________cha1" localSheetId="16">#REF!</definedName>
    <definedName name="_________________cha1">#REF!</definedName>
    <definedName name="_________________cha2" localSheetId="15">#REF!</definedName>
    <definedName name="_________________cha2" localSheetId="16">#REF!</definedName>
    <definedName name="_________________cha2">#REF!</definedName>
    <definedName name="_________________cha3" localSheetId="15">#REF!</definedName>
    <definedName name="_________________cha3" localSheetId="16">#REF!</definedName>
    <definedName name="_________________cha3">#REF!</definedName>
    <definedName name="_________________cha4" localSheetId="15">#REF!</definedName>
    <definedName name="_________________cha4" localSheetId="16">#REF!</definedName>
    <definedName name="_________________cha4">#REF!</definedName>
    <definedName name="_________________cha5" localSheetId="15">#REF!</definedName>
    <definedName name="_________________cha5" localSheetId="16">#REF!</definedName>
    <definedName name="_________________cha5">#REF!</definedName>
    <definedName name="_________________cha6" localSheetId="15">#REF!</definedName>
    <definedName name="_________________cha6" localSheetId="16">#REF!</definedName>
    <definedName name="_________________cha6">#REF!</definedName>
    <definedName name="_________________crc1">[1]combined!$B$176:$H$232</definedName>
    <definedName name="_________________crc2">[1]combined!$B$236:$H$301</definedName>
    <definedName name="_________________crc3">[1]combined!$B$329:$H$387</definedName>
    <definedName name="_________________GRP1">'[2]BS 590'!$B$313:$G$386</definedName>
    <definedName name="_________________GRP2">'[2]BS 590'!$B$388:$G$427</definedName>
    <definedName name="_________________GRP3" localSheetId="15">'[4]BS&amp;PLA'!#REF!</definedName>
    <definedName name="_________________GRP3" localSheetId="25">'[4]BS&amp;PLA'!#REF!</definedName>
    <definedName name="_________________GRP3" localSheetId="16">'[4]BS&amp;PLA'!#REF!</definedName>
    <definedName name="_________________GRP3" localSheetId="19">'[4]BS&amp;PLA'!#REF!</definedName>
    <definedName name="_________________GRP3">'[4]BS&amp;PLA'!#REF!</definedName>
    <definedName name="_________________GRP4" localSheetId="15">'[4]BS&amp;PLA'!#REF!</definedName>
    <definedName name="_________________GRP4" localSheetId="25">'[4]BS&amp;PLA'!#REF!</definedName>
    <definedName name="_________________GRP4" localSheetId="16">'[4]BS&amp;PLA'!#REF!</definedName>
    <definedName name="_________________GRP4" localSheetId="19">'[4]BS&amp;PLA'!#REF!</definedName>
    <definedName name="_________________GRP4">'[4]BS&amp;PLA'!#REF!</definedName>
    <definedName name="_________________sch1">'[2]BS 590'!$B$125:$H$165</definedName>
    <definedName name="_________________sch2">'[2]BS 590'!$B$166:$H$193</definedName>
    <definedName name="_________________sch3">'[2]BS 590'!$B$194:$H$231</definedName>
    <definedName name="_________________sch4">'[2]BS 590'!$B$233:$H$280</definedName>
    <definedName name="_________________sch5">'[2]BS 590'!$B$281:$H$312</definedName>
    <definedName name="_________________STK1" localSheetId="15">#REF!</definedName>
    <definedName name="_________________STK1" localSheetId="25">#REF!</definedName>
    <definedName name="_________________STK1" localSheetId="16">#REF!</definedName>
    <definedName name="_________________STK1" localSheetId="19">#REF!</definedName>
    <definedName name="_________________STK1">#REF!</definedName>
    <definedName name="_________________STK2" localSheetId="15">#REF!</definedName>
    <definedName name="_________________STK2" localSheetId="25">#REF!</definedName>
    <definedName name="_________________STK2" localSheetId="16">#REF!</definedName>
    <definedName name="_________________STK2" localSheetId="19">#REF!</definedName>
    <definedName name="_________________STK2">#REF!</definedName>
    <definedName name="_________________STK3" localSheetId="15">#REF!</definedName>
    <definedName name="_________________STK3" localSheetId="25">#REF!</definedName>
    <definedName name="_________________STK3" localSheetId="16">#REF!</definedName>
    <definedName name="_________________STK3" localSheetId="19">#REF!</definedName>
    <definedName name="_________________STK3">#REF!</definedName>
    <definedName name="________________cha1" localSheetId="15">#REF!</definedName>
    <definedName name="________________cha1" localSheetId="16">#REF!</definedName>
    <definedName name="________________cha1">#REF!</definedName>
    <definedName name="________________cha2" localSheetId="15">#REF!</definedName>
    <definedName name="________________cha2" localSheetId="16">#REF!</definedName>
    <definedName name="________________cha2">#REF!</definedName>
    <definedName name="________________cha3" localSheetId="15">#REF!</definedName>
    <definedName name="________________cha3" localSheetId="16">#REF!</definedName>
    <definedName name="________________cha3">#REF!</definedName>
    <definedName name="________________cha4" localSheetId="15">#REF!</definedName>
    <definedName name="________________cha4" localSheetId="16">#REF!</definedName>
    <definedName name="________________cha4">#REF!</definedName>
    <definedName name="________________cha5" localSheetId="15">#REF!</definedName>
    <definedName name="________________cha5" localSheetId="16">#REF!</definedName>
    <definedName name="________________cha5">#REF!</definedName>
    <definedName name="________________cha6" localSheetId="15">#REF!</definedName>
    <definedName name="________________cha6" localSheetId="16">#REF!</definedName>
    <definedName name="________________cha6">#REF!</definedName>
    <definedName name="________________crc1">[1]combined!$B$176:$H$232</definedName>
    <definedName name="________________crc2">[1]combined!$B$236:$H$301</definedName>
    <definedName name="________________crc3">[1]combined!$B$329:$H$387</definedName>
    <definedName name="________________GRP1">'[2]BS 590'!$B$313:$G$386</definedName>
    <definedName name="________________GRP2">'[2]BS 590'!$B$388:$G$427</definedName>
    <definedName name="________________GRP3" localSheetId="15">'[4]BS&amp;PLA'!#REF!</definedName>
    <definedName name="________________GRP3" localSheetId="25">'[4]BS&amp;PLA'!#REF!</definedName>
    <definedName name="________________GRP3" localSheetId="16">'[4]BS&amp;PLA'!#REF!</definedName>
    <definedName name="________________GRP3" localSheetId="19">'[4]BS&amp;PLA'!#REF!</definedName>
    <definedName name="________________GRP3">'[4]BS&amp;PLA'!#REF!</definedName>
    <definedName name="________________GRP4" localSheetId="15">'[4]BS&amp;PLA'!#REF!</definedName>
    <definedName name="________________GRP4" localSheetId="25">'[4]BS&amp;PLA'!#REF!</definedName>
    <definedName name="________________GRP4" localSheetId="16">'[4]BS&amp;PLA'!#REF!</definedName>
    <definedName name="________________GRP4" localSheetId="19">'[4]BS&amp;PLA'!#REF!</definedName>
    <definedName name="________________GRP4">'[4]BS&amp;PLA'!#REF!</definedName>
    <definedName name="________________sch1">'[2]BS 590'!$B$125:$H$165</definedName>
    <definedName name="________________sch2">'[2]BS 590'!$B$166:$H$193</definedName>
    <definedName name="________________sch3">'[2]BS 590'!$B$194:$H$231</definedName>
    <definedName name="________________sch4">'[2]BS 590'!$B$233:$H$280</definedName>
    <definedName name="________________sch5">'[2]BS 590'!$B$281:$H$312</definedName>
    <definedName name="________________STK1" localSheetId="15">#REF!</definedName>
    <definedName name="________________STK1" localSheetId="25">#REF!</definedName>
    <definedName name="________________STK1" localSheetId="16">#REF!</definedName>
    <definedName name="________________STK1" localSheetId="19">#REF!</definedName>
    <definedName name="________________STK1">#REF!</definedName>
    <definedName name="________________STK2" localSheetId="15">#REF!</definedName>
    <definedName name="________________STK2" localSheetId="25">#REF!</definedName>
    <definedName name="________________STK2" localSheetId="16">#REF!</definedName>
    <definedName name="________________STK2" localSheetId="19">#REF!</definedName>
    <definedName name="________________STK2">#REF!</definedName>
    <definedName name="________________STK3" localSheetId="15">#REF!</definedName>
    <definedName name="________________STK3" localSheetId="25">#REF!</definedName>
    <definedName name="________________STK3" localSheetId="16">#REF!</definedName>
    <definedName name="________________STK3" localSheetId="19">#REF!</definedName>
    <definedName name="________________STK3">#REF!</definedName>
    <definedName name="_______________cha1" localSheetId="15">#REF!</definedName>
    <definedName name="_______________cha1" localSheetId="16">#REF!</definedName>
    <definedName name="_______________cha1">#REF!</definedName>
    <definedName name="_______________cha2" localSheetId="15">#REF!</definedName>
    <definedName name="_______________cha2" localSheetId="16">#REF!</definedName>
    <definedName name="_______________cha2">#REF!</definedName>
    <definedName name="_______________cha3" localSheetId="15">#REF!</definedName>
    <definedName name="_______________cha3" localSheetId="16">#REF!</definedName>
    <definedName name="_______________cha3">#REF!</definedName>
    <definedName name="_______________cha4" localSheetId="15">#REF!</definedName>
    <definedName name="_______________cha4" localSheetId="16">#REF!</definedName>
    <definedName name="_______________cha4">#REF!</definedName>
    <definedName name="_______________cha5" localSheetId="15">#REF!</definedName>
    <definedName name="_______________cha5" localSheetId="16">#REF!</definedName>
    <definedName name="_______________cha5">#REF!</definedName>
    <definedName name="_______________cha6" localSheetId="15">#REF!</definedName>
    <definedName name="_______________cha6" localSheetId="16">#REF!</definedName>
    <definedName name="_______________cha6">#REF!</definedName>
    <definedName name="_______________crc1">[1]combined!$B$176:$H$232</definedName>
    <definedName name="_______________crc2">[1]combined!$B$236:$H$301</definedName>
    <definedName name="_______________crc3">[1]combined!$B$329:$H$387</definedName>
    <definedName name="_______________GRP1">'[2]BS 590'!$B$313:$G$386</definedName>
    <definedName name="_______________GRP2">'[2]BS 590'!$B$388:$G$427</definedName>
    <definedName name="_______________GRP3" localSheetId="15">'[4]BS&amp;PLA'!#REF!</definedName>
    <definedName name="_______________GRP3" localSheetId="25">'[4]BS&amp;PLA'!#REF!</definedName>
    <definedName name="_______________GRP3" localSheetId="16">'[4]BS&amp;PLA'!#REF!</definedName>
    <definedName name="_______________GRP3" localSheetId="19">'[4]BS&amp;PLA'!#REF!</definedName>
    <definedName name="_______________GRP3">'[4]BS&amp;PLA'!#REF!</definedName>
    <definedName name="_______________GRP4" localSheetId="15">'[4]BS&amp;PLA'!#REF!</definedName>
    <definedName name="_______________GRP4" localSheetId="25">'[4]BS&amp;PLA'!#REF!</definedName>
    <definedName name="_______________GRP4" localSheetId="16">'[4]BS&amp;PLA'!#REF!</definedName>
    <definedName name="_______________GRP4" localSheetId="19">'[4]BS&amp;PLA'!#REF!</definedName>
    <definedName name="_______________GRP4">'[4]BS&amp;PLA'!#REF!</definedName>
    <definedName name="_______________sch1">'[2]BS 590'!$B$125:$H$165</definedName>
    <definedName name="_______________sch2">'[2]BS 590'!$B$166:$H$193</definedName>
    <definedName name="_______________sch3">'[2]BS 590'!$B$194:$H$231</definedName>
    <definedName name="_______________sch4">'[2]BS 590'!$B$233:$H$280</definedName>
    <definedName name="_______________sch5">'[2]BS 590'!$B$281:$H$312</definedName>
    <definedName name="_______________STK1" localSheetId="15">#REF!</definedName>
    <definedName name="_______________STK1" localSheetId="25">#REF!</definedName>
    <definedName name="_______________STK1" localSheetId="16">#REF!</definedName>
    <definedName name="_______________STK1" localSheetId="19">#REF!</definedName>
    <definedName name="_______________STK1">#REF!</definedName>
    <definedName name="_______________STK2" localSheetId="15">#REF!</definedName>
    <definedName name="_______________STK2" localSheetId="25">#REF!</definedName>
    <definedName name="_______________STK2" localSheetId="16">#REF!</definedName>
    <definedName name="_______________STK2" localSheetId="19">#REF!</definedName>
    <definedName name="_______________STK2">#REF!</definedName>
    <definedName name="_______________STK3" localSheetId="15">#REF!</definedName>
    <definedName name="_______________STK3" localSheetId="25">#REF!</definedName>
    <definedName name="_______________STK3" localSheetId="16">#REF!</definedName>
    <definedName name="_______________STK3" localSheetId="19">#REF!</definedName>
    <definedName name="_______________STK3">#REF!</definedName>
    <definedName name="______________cha1" localSheetId="15">#REF!</definedName>
    <definedName name="______________cha1" localSheetId="16">#REF!</definedName>
    <definedName name="______________cha1">#REF!</definedName>
    <definedName name="______________cha2" localSheetId="15">#REF!</definedName>
    <definedName name="______________cha2" localSheetId="16">#REF!</definedName>
    <definedName name="______________cha2">#REF!</definedName>
    <definedName name="______________cha3" localSheetId="15">#REF!</definedName>
    <definedName name="______________cha3" localSheetId="16">#REF!</definedName>
    <definedName name="______________cha3">#REF!</definedName>
    <definedName name="______________cha4" localSheetId="15">#REF!</definedName>
    <definedName name="______________cha4" localSheetId="16">#REF!</definedName>
    <definedName name="______________cha4">#REF!</definedName>
    <definedName name="______________cha5" localSheetId="15">#REF!</definedName>
    <definedName name="______________cha5" localSheetId="16">#REF!</definedName>
    <definedName name="______________cha5">#REF!</definedName>
    <definedName name="______________cha6" localSheetId="15">#REF!</definedName>
    <definedName name="______________cha6" localSheetId="16">#REF!</definedName>
    <definedName name="______________cha6">#REF!</definedName>
    <definedName name="______________crc1">[1]combined!$B$176:$H$232</definedName>
    <definedName name="______________crc2">[1]combined!$B$236:$H$301</definedName>
    <definedName name="______________crc3">[1]combined!$B$329:$H$387</definedName>
    <definedName name="______________GRP1">'[2]BS 590'!$B$313:$G$386</definedName>
    <definedName name="______________GRP2">'[2]BS 590'!$B$388:$G$427</definedName>
    <definedName name="______________GRP3" localSheetId="15">'[4]BS&amp;PLA'!#REF!</definedName>
    <definedName name="______________GRP3" localSheetId="25">'[4]BS&amp;PLA'!#REF!</definedName>
    <definedName name="______________GRP3" localSheetId="16">'[4]BS&amp;PLA'!#REF!</definedName>
    <definedName name="______________GRP3" localSheetId="19">'[4]BS&amp;PLA'!#REF!</definedName>
    <definedName name="______________GRP3">'[4]BS&amp;PLA'!#REF!</definedName>
    <definedName name="______________GRP4" localSheetId="15">'[4]BS&amp;PLA'!#REF!</definedName>
    <definedName name="______________GRP4" localSheetId="25">'[4]BS&amp;PLA'!#REF!</definedName>
    <definedName name="______________GRP4" localSheetId="16">'[4]BS&amp;PLA'!#REF!</definedName>
    <definedName name="______________GRP4" localSheetId="19">'[4]BS&amp;PLA'!#REF!</definedName>
    <definedName name="______________GRP4">'[4]BS&amp;PLA'!#REF!</definedName>
    <definedName name="______________sch1">'[2]BS 590'!$B$125:$H$165</definedName>
    <definedName name="______________sch2">'[2]BS 590'!$B$166:$H$193</definedName>
    <definedName name="______________sch3">'[2]BS 590'!$B$194:$H$231</definedName>
    <definedName name="______________sch4">'[2]BS 590'!$B$233:$H$280</definedName>
    <definedName name="______________sch5">'[2]BS 590'!$B$281:$H$312</definedName>
    <definedName name="______________STK1" localSheetId="15">#REF!</definedName>
    <definedName name="______________STK1" localSheetId="25">#REF!</definedName>
    <definedName name="______________STK1" localSheetId="16">#REF!</definedName>
    <definedName name="______________STK1" localSheetId="19">#REF!</definedName>
    <definedName name="______________STK1">#REF!</definedName>
    <definedName name="______________STK2" localSheetId="15">#REF!</definedName>
    <definedName name="______________STK2" localSheetId="25">#REF!</definedName>
    <definedName name="______________STK2" localSheetId="16">#REF!</definedName>
    <definedName name="______________STK2" localSheetId="19">#REF!</definedName>
    <definedName name="______________STK2">#REF!</definedName>
    <definedName name="______________STK3" localSheetId="15">#REF!</definedName>
    <definedName name="______________STK3" localSheetId="25">#REF!</definedName>
    <definedName name="______________STK3" localSheetId="16">#REF!</definedName>
    <definedName name="______________STK3" localSheetId="19">#REF!</definedName>
    <definedName name="______________STK3">#REF!</definedName>
    <definedName name="_____________cha1" localSheetId="15">#REF!</definedName>
    <definedName name="_____________cha1" localSheetId="16">#REF!</definedName>
    <definedName name="_____________cha1">#REF!</definedName>
    <definedName name="_____________cha2" localSheetId="15">#REF!</definedName>
    <definedName name="_____________cha2" localSheetId="16">#REF!</definedName>
    <definedName name="_____________cha2">#REF!</definedName>
    <definedName name="_____________cha3" localSheetId="15">#REF!</definedName>
    <definedName name="_____________cha3" localSheetId="16">#REF!</definedName>
    <definedName name="_____________cha3">#REF!</definedName>
    <definedName name="_____________cha4" localSheetId="15">#REF!</definedName>
    <definedName name="_____________cha4" localSheetId="16">#REF!</definedName>
    <definedName name="_____________cha4">#REF!</definedName>
    <definedName name="_____________cha5" localSheetId="15">#REF!</definedName>
    <definedName name="_____________cha5" localSheetId="16">#REF!</definedName>
    <definedName name="_____________cha5">#REF!</definedName>
    <definedName name="_____________cha6" localSheetId="15">#REF!</definedName>
    <definedName name="_____________cha6" localSheetId="16">#REF!</definedName>
    <definedName name="_____________cha6">#REF!</definedName>
    <definedName name="_____________crc1">[1]combined!$B$176:$H$232</definedName>
    <definedName name="_____________crc2">[1]combined!$B$236:$H$301</definedName>
    <definedName name="_____________crc3">[1]combined!$B$329:$H$387</definedName>
    <definedName name="_____________GRP1">'[2]BS 590'!$B$313:$G$386</definedName>
    <definedName name="_____________GRP2">'[2]BS 590'!$B$388:$G$427</definedName>
    <definedName name="_____________GRP3" localSheetId="15">'[4]BS&amp;PLA'!#REF!</definedName>
    <definedName name="_____________GRP3" localSheetId="25">'[4]BS&amp;PLA'!#REF!</definedName>
    <definedName name="_____________GRP3" localSheetId="16">'[4]BS&amp;PLA'!#REF!</definedName>
    <definedName name="_____________GRP3" localSheetId="19">'[4]BS&amp;PLA'!#REF!</definedName>
    <definedName name="_____________GRP3">'[4]BS&amp;PLA'!#REF!</definedName>
    <definedName name="_____________GRP4" localSheetId="15">'[4]BS&amp;PLA'!#REF!</definedName>
    <definedName name="_____________GRP4" localSheetId="25">'[4]BS&amp;PLA'!#REF!</definedName>
    <definedName name="_____________GRP4" localSheetId="16">'[4]BS&amp;PLA'!#REF!</definedName>
    <definedName name="_____________GRP4" localSheetId="19">'[4]BS&amp;PLA'!#REF!</definedName>
    <definedName name="_____________GRP4">'[4]BS&amp;PLA'!#REF!</definedName>
    <definedName name="_____________sch1">'[2]BS 590'!$B$125:$H$165</definedName>
    <definedName name="_____________sch2">'[2]BS 590'!$B$166:$H$193</definedName>
    <definedName name="_____________sch3">'[2]BS 590'!$B$194:$H$231</definedName>
    <definedName name="_____________sch4">'[2]BS 590'!$B$233:$H$280</definedName>
    <definedName name="_____________sch5">'[2]BS 590'!$B$281:$H$312</definedName>
    <definedName name="_____________STK1" localSheetId="15">#REF!</definedName>
    <definedName name="_____________STK1" localSheetId="25">#REF!</definedName>
    <definedName name="_____________STK1" localSheetId="16">#REF!</definedName>
    <definedName name="_____________STK1" localSheetId="19">#REF!</definedName>
    <definedName name="_____________STK1">#REF!</definedName>
    <definedName name="_____________STK2" localSheetId="15">#REF!</definedName>
    <definedName name="_____________STK2" localSheetId="25">#REF!</definedName>
    <definedName name="_____________STK2" localSheetId="16">#REF!</definedName>
    <definedName name="_____________STK2" localSheetId="19">#REF!</definedName>
    <definedName name="_____________STK2">#REF!</definedName>
    <definedName name="_____________STK3" localSheetId="15">#REF!</definedName>
    <definedName name="_____________STK3" localSheetId="25">#REF!</definedName>
    <definedName name="_____________STK3" localSheetId="16">#REF!</definedName>
    <definedName name="_____________STK3" localSheetId="19">#REF!</definedName>
    <definedName name="_____________STK3">#REF!</definedName>
    <definedName name="____________cha1" localSheetId="15">#REF!</definedName>
    <definedName name="____________cha1" localSheetId="16">#REF!</definedName>
    <definedName name="____________cha1">#REF!</definedName>
    <definedName name="____________cha2" localSheetId="15">#REF!</definedName>
    <definedName name="____________cha2" localSheetId="16">#REF!</definedName>
    <definedName name="____________cha2">#REF!</definedName>
    <definedName name="____________cha3" localSheetId="15">#REF!</definedName>
    <definedName name="____________cha3" localSheetId="16">#REF!</definedName>
    <definedName name="____________cha3">#REF!</definedName>
    <definedName name="____________cha4" localSheetId="15">#REF!</definedName>
    <definedName name="____________cha4" localSheetId="16">#REF!</definedName>
    <definedName name="____________cha4">#REF!</definedName>
    <definedName name="____________cha5" localSheetId="15">#REF!</definedName>
    <definedName name="____________cha5" localSheetId="16">#REF!</definedName>
    <definedName name="____________cha5">#REF!</definedName>
    <definedName name="____________cha6" localSheetId="15">#REF!</definedName>
    <definedName name="____________cha6" localSheetId="16">#REF!</definedName>
    <definedName name="____________cha6">#REF!</definedName>
    <definedName name="____________crc1">[1]combined!$B$176:$H$232</definedName>
    <definedName name="____________crc2">[1]combined!$B$236:$H$301</definedName>
    <definedName name="____________crc3">[1]combined!$B$329:$H$387</definedName>
    <definedName name="____________GRP1">'[2]BS 590'!$B$313:$G$386</definedName>
    <definedName name="____________GRP2">'[2]BS 590'!$B$388:$G$427</definedName>
    <definedName name="____________GRP3" localSheetId="15">'[4]BS&amp;PLA'!#REF!</definedName>
    <definedName name="____________GRP3" localSheetId="25">'[4]BS&amp;PLA'!#REF!</definedName>
    <definedName name="____________GRP3" localSheetId="16">'[4]BS&amp;PLA'!#REF!</definedName>
    <definedName name="____________GRP3" localSheetId="19">'[4]BS&amp;PLA'!#REF!</definedName>
    <definedName name="____________GRP3">'[4]BS&amp;PLA'!#REF!</definedName>
    <definedName name="____________GRP4" localSheetId="15">'[4]BS&amp;PLA'!#REF!</definedName>
    <definedName name="____________GRP4" localSheetId="25">'[4]BS&amp;PLA'!#REF!</definedName>
    <definedName name="____________GRP4" localSheetId="16">'[4]BS&amp;PLA'!#REF!</definedName>
    <definedName name="____________GRP4" localSheetId="19">'[4]BS&amp;PLA'!#REF!</definedName>
    <definedName name="____________GRP4">'[4]BS&amp;PLA'!#REF!</definedName>
    <definedName name="____________sch1">'[2]BS 590'!$B$125:$H$165</definedName>
    <definedName name="____________sch2">'[2]BS 590'!$B$166:$H$193</definedName>
    <definedName name="____________sch3">'[2]BS 590'!$B$194:$H$231</definedName>
    <definedName name="____________sch4">'[2]BS 590'!$B$233:$H$280</definedName>
    <definedName name="____________sch5">'[2]BS 590'!$B$281:$H$312</definedName>
    <definedName name="____________STK1" localSheetId="15">#REF!</definedName>
    <definedName name="____________STK1" localSheetId="25">#REF!</definedName>
    <definedName name="____________STK1" localSheetId="16">#REF!</definedName>
    <definedName name="____________STK1" localSheetId="19">#REF!</definedName>
    <definedName name="____________STK1">#REF!</definedName>
    <definedName name="____________STK2" localSheetId="15">#REF!</definedName>
    <definedName name="____________STK2" localSheetId="25">#REF!</definedName>
    <definedName name="____________STK2" localSheetId="16">#REF!</definedName>
    <definedName name="____________STK2" localSheetId="19">#REF!</definedName>
    <definedName name="____________STK2">#REF!</definedName>
    <definedName name="____________STK3" localSheetId="15">#REF!</definedName>
    <definedName name="____________STK3" localSheetId="25">#REF!</definedName>
    <definedName name="____________STK3" localSheetId="16">#REF!</definedName>
    <definedName name="____________STK3" localSheetId="19">#REF!</definedName>
    <definedName name="____________STK3">#REF!</definedName>
    <definedName name="___________cha1" localSheetId="15">#REF!</definedName>
    <definedName name="___________cha1" localSheetId="16">#REF!</definedName>
    <definedName name="___________cha1">#REF!</definedName>
    <definedName name="___________cha2" localSheetId="15">#REF!</definedName>
    <definedName name="___________cha2" localSheetId="16">#REF!</definedName>
    <definedName name="___________cha2">#REF!</definedName>
    <definedName name="___________cha3" localSheetId="15">#REF!</definedName>
    <definedName name="___________cha3" localSheetId="16">#REF!</definedName>
    <definedName name="___________cha3">#REF!</definedName>
    <definedName name="___________cha4" localSheetId="15">#REF!</definedName>
    <definedName name="___________cha4" localSheetId="16">#REF!</definedName>
    <definedName name="___________cha4">#REF!</definedName>
    <definedName name="___________cha5" localSheetId="15">#REF!</definedName>
    <definedName name="___________cha5" localSheetId="16">#REF!</definedName>
    <definedName name="___________cha5">#REF!</definedName>
    <definedName name="___________cha6" localSheetId="15">#REF!</definedName>
    <definedName name="___________cha6" localSheetId="16">#REF!</definedName>
    <definedName name="___________cha6">#REF!</definedName>
    <definedName name="___________crc1">[1]combined!$B$176:$H$232</definedName>
    <definedName name="___________crc2">[1]combined!$B$236:$H$301</definedName>
    <definedName name="___________crc3">[1]combined!$B$329:$H$387</definedName>
    <definedName name="___________GRP1">'[2]BS 590'!$B$313:$G$386</definedName>
    <definedName name="___________GRP2">'[2]BS 590'!$B$388:$G$427</definedName>
    <definedName name="___________GRP3" localSheetId="15">'[4]BS&amp;PLA'!#REF!</definedName>
    <definedName name="___________GRP3" localSheetId="25">'[4]BS&amp;PLA'!#REF!</definedName>
    <definedName name="___________GRP3" localSheetId="16">'[4]BS&amp;PLA'!#REF!</definedName>
    <definedName name="___________GRP3" localSheetId="19">'[4]BS&amp;PLA'!#REF!</definedName>
    <definedName name="___________GRP3">'[4]BS&amp;PLA'!#REF!</definedName>
    <definedName name="___________GRP4" localSheetId="15">'[4]BS&amp;PLA'!#REF!</definedName>
    <definedName name="___________GRP4" localSheetId="25">'[4]BS&amp;PLA'!#REF!</definedName>
    <definedName name="___________GRP4" localSheetId="16">'[4]BS&amp;PLA'!#REF!</definedName>
    <definedName name="___________GRP4" localSheetId="19">'[4]BS&amp;PLA'!#REF!</definedName>
    <definedName name="___________GRP4">'[4]BS&amp;PLA'!#REF!</definedName>
    <definedName name="___________sch1">'[2]BS 590'!$B$125:$H$165</definedName>
    <definedName name="___________sch2">'[2]BS 590'!$B$166:$H$193</definedName>
    <definedName name="___________sch3">'[2]BS 590'!$B$194:$H$231</definedName>
    <definedName name="___________sch4">'[2]BS 590'!$B$233:$H$280</definedName>
    <definedName name="___________sch5">'[2]BS 590'!$B$281:$H$312</definedName>
    <definedName name="___________STK1" localSheetId="15">#REF!</definedName>
    <definedName name="___________STK1" localSheetId="25">#REF!</definedName>
    <definedName name="___________STK1" localSheetId="16">#REF!</definedName>
    <definedName name="___________STK1" localSheetId="19">#REF!</definedName>
    <definedName name="___________STK1">#REF!</definedName>
    <definedName name="___________STK2" localSheetId="15">#REF!</definedName>
    <definedName name="___________STK2" localSheetId="25">#REF!</definedName>
    <definedName name="___________STK2" localSheetId="16">#REF!</definedName>
    <definedName name="___________STK2" localSheetId="19">#REF!</definedName>
    <definedName name="___________STK2">#REF!</definedName>
    <definedName name="___________STK3" localSheetId="15">#REF!</definedName>
    <definedName name="___________STK3" localSheetId="25">#REF!</definedName>
    <definedName name="___________STK3" localSheetId="16">#REF!</definedName>
    <definedName name="___________STK3" localSheetId="19">#REF!</definedName>
    <definedName name="___________STK3">#REF!</definedName>
    <definedName name="__________cha1" localSheetId="15">#REF!</definedName>
    <definedName name="__________cha1" localSheetId="16">#REF!</definedName>
    <definedName name="__________cha1">#REF!</definedName>
    <definedName name="__________cha2" localSheetId="15">#REF!</definedName>
    <definedName name="__________cha2" localSheetId="16">#REF!</definedName>
    <definedName name="__________cha2">#REF!</definedName>
    <definedName name="__________cha3" localSheetId="15">#REF!</definedName>
    <definedName name="__________cha3" localSheetId="16">#REF!</definedName>
    <definedName name="__________cha3">#REF!</definedName>
    <definedName name="__________cha4" localSheetId="15">#REF!</definedName>
    <definedName name="__________cha4" localSheetId="16">#REF!</definedName>
    <definedName name="__________cha4">#REF!</definedName>
    <definedName name="__________cha5" localSheetId="15">#REF!</definedName>
    <definedName name="__________cha5" localSheetId="16">#REF!</definedName>
    <definedName name="__________cha5">#REF!</definedName>
    <definedName name="__________cha6" localSheetId="15">#REF!</definedName>
    <definedName name="__________cha6" localSheetId="16">#REF!</definedName>
    <definedName name="__________cha6">#REF!</definedName>
    <definedName name="__________crc1">[1]combined!$B$176:$H$232</definedName>
    <definedName name="__________crc2">[1]combined!$B$236:$H$301</definedName>
    <definedName name="__________crc3">[1]combined!$B$329:$H$387</definedName>
    <definedName name="__________GRP1">'[2]BS 590'!$B$313:$G$386</definedName>
    <definedName name="__________GRP2">'[2]BS 590'!$B$388:$G$427</definedName>
    <definedName name="__________GRP3" localSheetId="15">'[4]BS&amp;PLA'!#REF!</definedName>
    <definedName name="__________GRP3" localSheetId="25">'[4]BS&amp;PLA'!#REF!</definedName>
    <definedName name="__________GRP3" localSheetId="16">'[4]BS&amp;PLA'!#REF!</definedName>
    <definedName name="__________GRP3" localSheetId="19">'[4]BS&amp;PLA'!#REF!</definedName>
    <definedName name="__________GRP3">'[4]BS&amp;PLA'!#REF!</definedName>
    <definedName name="__________GRP4" localSheetId="15">'[4]BS&amp;PLA'!#REF!</definedName>
    <definedName name="__________GRP4" localSheetId="25">'[4]BS&amp;PLA'!#REF!</definedName>
    <definedName name="__________GRP4" localSheetId="16">'[4]BS&amp;PLA'!#REF!</definedName>
    <definedName name="__________GRP4" localSheetId="19">'[4]BS&amp;PLA'!#REF!</definedName>
    <definedName name="__________GRP4">'[4]BS&amp;PLA'!#REF!</definedName>
    <definedName name="__________sch1">'[2]BS 590'!$B$125:$H$165</definedName>
    <definedName name="__________sch2">'[2]BS 590'!$B$166:$H$193</definedName>
    <definedName name="__________sch3">'[2]BS 590'!$B$194:$H$231</definedName>
    <definedName name="__________sch4">'[2]BS 590'!$B$233:$H$280</definedName>
    <definedName name="__________sch5">'[2]BS 590'!$B$281:$H$312</definedName>
    <definedName name="__________STK1" localSheetId="15">#REF!</definedName>
    <definedName name="__________STK1" localSheetId="25">#REF!</definedName>
    <definedName name="__________STK1" localSheetId="16">#REF!</definedName>
    <definedName name="__________STK1" localSheetId="19">#REF!</definedName>
    <definedName name="__________STK1">#REF!</definedName>
    <definedName name="__________STK2" localSheetId="15">#REF!</definedName>
    <definedName name="__________STK2" localSheetId="25">#REF!</definedName>
    <definedName name="__________STK2" localSheetId="16">#REF!</definedName>
    <definedName name="__________STK2" localSheetId="19">#REF!</definedName>
    <definedName name="__________STK2">#REF!</definedName>
    <definedName name="__________STK3" localSheetId="15">#REF!</definedName>
    <definedName name="__________STK3" localSheetId="25">#REF!</definedName>
    <definedName name="__________STK3" localSheetId="16">#REF!</definedName>
    <definedName name="__________STK3" localSheetId="19">#REF!</definedName>
    <definedName name="__________STK3">#REF!</definedName>
    <definedName name="_________cha1" localSheetId="15">#REF!</definedName>
    <definedName name="_________cha1" localSheetId="16">#REF!</definedName>
    <definedName name="_________cha1">#REF!</definedName>
    <definedName name="_________cha2" localSheetId="15">#REF!</definedName>
    <definedName name="_________cha2" localSheetId="16">#REF!</definedName>
    <definedName name="_________cha2">#REF!</definedName>
    <definedName name="_________cha3" localSheetId="15">#REF!</definedName>
    <definedName name="_________cha3" localSheetId="16">#REF!</definedName>
    <definedName name="_________cha3">#REF!</definedName>
    <definedName name="_________cha4" localSheetId="15">#REF!</definedName>
    <definedName name="_________cha4" localSheetId="16">#REF!</definedName>
    <definedName name="_________cha4">#REF!</definedName>
    <definedName name="_________cha5" localSheetId="15">#REF!</definedName>
    <definedName name="_________cha5" localSheetId="16">#REF!</definedName>
    <definedName name="_________cha5">#REF!</definedName>
    <definedName name="_________cha6" localSheetId="15">#REF!</definedName>
    <definedName name="_________cha6" localSheetId="16">#REF!</definedName>
    <definedName name="_________cha6">#REF!</definedName>
    <definedName name="_________crc1">[1]combined!$B$176:$H$232</definedName>
    <definedName name="_________crc2">[1]combined!$B$236:$H$301</definedName>
    <definedName name="_________crc3">[1]combined!$B$329:$H$387</definedName>
    <definedName name="_________GRP1">'[2]BS 590'!$B$313:$G$386</definedName>
    <definedName name="_________GRP2">'[2]BS 590'!$B$388:$G$427</definedName>
    <definedName name="_________GRP3" localSheetId="15">'[4]BS&amp;PLA'!#REF!</definedName>
    <definedName name="_________GRP3" localSheetId="25">'[4]BS&amp;PLA'!#REF!</definedName>
    <definedName name="_________GRP3" localSheetId="16">'[4]BS&amp;PLA'!#REF!</definedName>
    <definedName name="_________GRP3" localSheetId="19">'[4]BS&amp;PLA'!#REF!</definedName>
    <definedName name="_________GRP3">'[4]BS&amp;PLA'!#REF!</definedName>
    <definedName name="_________GRP4" localSheetId="15">'[4]BS&amp;PLA'!#REF!</definedName>
    <definedName name="_________GRP4" localSheetId="25">'[4]BS&amp;PLA'!#REF!</definedName>
    <definedName name="_________GRP4" localSheetId="16">'[4]BS&amp;PLA'!#REF!</definedName>
    <definedName name="_________GRP4" localSheetId="19">'[4]BS&amp;PLA'!#REF!</definedName>
    <definedName name="_________GRP4">'[4]BS&amp;PLA'!#REF!</definedName>
    <definedName name="_________sch1">'[2]BS 590'!$B$125:$H$165</definedName>
    <definedName name="_________sch2">'[2]BS 590'!$B$166:$H$193</definedName>
    <definedName name="_________sch3">'[2]BS 590'!$B$194:$H$231</definedName>
    <definedName name="_________sch4">'[2]BS 590'!$B$233:$H$280</definedName>
    <definedName name="_________sch5">'[2]BS 590'!$B$281:$H$312</definedName>
    <definedName name="_________STK1" localSheetId="15">#REF!</definedName>
    <definedName name="_________STK1" localSheetId="25">#REF!</definedName>
    <definedName name="_________STK1" localSheetId="16">#REF!</definedName>
    <definedName name="_________STK1" localSheetId="19">#REF!</definedName>
    <definedName name="_________STK1">#REF!</definedName>
    <definedName name="_________STK2" localSheetId="15">#REF!</definedName>
    <definedName name="_________STK2" localSheetId="25">#REF!</definedName>
    <definedName name="_________STK2" localSheetId="16">#REF!</definedName>
    <definedName name="_________STK2" localSheetId="19">#REF!</definedName>
    <definedName name="_________STK2">#REF!</definedName>
    <definedName name="_________STK3" localSheetId="15">#REF!</definedName>
    <definedName name="_________STK3" localSheetId="25">#REF!</definedName>
    <definedName name="_________STK3" localSheetId="16">#REF!</definedName>
    <definedName name="_________STK3" localSheetId="19">#REF!</definedName>
    <definedName name="_________STK3">#REF!</definedName>
    <definedName name="________cha1" localSheetId="15">#REF!</definedName>
    <definedName name="________cha1" localSheetId="16">#REF!</definedName>
    <definedName name="________cha1">#REF!</definedName>
    <definedName name="________cha2" localSheetId="15">#REF!</definedName>
    <definedName name="________cha2" localSheetId="16">#REF!</definedName>
    <definedName name="________cha2">#REF!</definedName>
    <definedName name="________cha3" localSheetId="15">#REF!</definedName>
    <definedName name="________cha3" localSheetId="16">#REF!</definedName>
    <definedName name="________cha3">#REF!</definedName>
    <definedName name="________cha4" localSheetId="15">#REF!</definedName>
    <definedName name="________cha4" localSheetId="16">#REF!</definedName>
    <definedName name="________cha4">#REF!</definedName>
    <definedName name="________cha5" localSheetId="15">#REF!</definedName>
    <definedName name="________cha5" localSheetId="16">#REF!</definedName>
    <definedName name="________cha5">#REF!</definedName>
    <definedName name="________cha6" localSheetId="15">#REF!</definedName>
    <definedName name="________cha6" localSheetId="16">#REF!</definedName>
    <definedName name="________cha6">#REF!</definedName>
    <definedName name="________crc1">[1]combined!$B$176:$H$232</definedName>
    <definedName name="________crc2">[1]combined!$B$236:$H$301</definedName>
    <definedName name="________crc3">[1]combined!$B$329:$H$387</definedName>
    <definedName name="________GRP1">'[2]BS 590'!$B$313:$G$386</definedName>
    <definedName name="________GRP2" localSheetId="15">'[3]BS&amp;PLA'!#REF!</definedName>
    <definedName name="________GRP2" localSheetId="25">'[3]BS&amp;PLA'!#REF!</definedName>
    <definedName name="________GRP2" localSheetId="16">'[3]BS&amp;PLA'!#REF!</definedName>
    <definedName name="________GRP2" localSheetId="19">'[3]BS&amp;PLA'!#REF!</definedName>
    <definedName name="________GRP2">'[3]BS&amp;PLA'!#REF!</definedName>
    <definedName name="________GRP3" localSheetId="15">'[3]BS&amp;PLA'!#REF!</definedName>
    <definedName name="________GRP3" localSheetId="25">'[3]BS&amp;PLA'!#REF!</definedName>
    <definedName name="________GRP3" localSheetId="16">'[3]BS&amp;PLA'!#REF!</definedName>
    <definedName name="________GRP3" localSheetId="19">'[3]BS&amp;PLA'!#REF!</definedName>
    <definedName name="________GRP3">'[3]BS&amp;PLA'!#REF!</definedName>
    <definedName name="________GRP4" localSheetId="15">'[3]BS&amp;PLA'!#REF!</definedName>
    <definedName name="________GRP4" localSheetId="25">'[3]BS&amp;PLA'!#REF!</definedName>
    <definedName name="________GRP4" localSheetId="16">'[3]BS&amp;PLA'!#REF!</definedName>
    <definedName name="________GRP4" localSheetId="19">'[3]BS&amp;PLA'!#REF!</definedName>
    <definedName name="________GRP4">'[3]BS&amp;PLA'!#REF!</definedName>
    <definedName name="________sch1">'[2]BS 590'!$B$125:$H$165</definedName>
    <definedName name="________sch2">'[2]BS 590'!$B$166:$H$193</definedName>
    <definedName name="________sch3">'[2]BS 590'!$B$194:$H$231</definedName>
    <definedName name="________sch4">'[2]BS 590'!$B$233:$H$280</definedName>
    <definedName name="________sch5">'[2]BS 590'!$B$281:$H$312</definedName>
    <definedName name="________STK1" localSheetId="15">#REF!</definedName>
    <definedName name="________STK1" localSheetId="25">#REF!</definedName>
    <definedName name="________STK1" localSheetId="16">#REF!</definedName>
    <definedName name="________STK1" localSheetId="19">#REF!</definedName>
    <definedName name="________STK1">#REF!</definedName>
    <definedName name="________STK2" localSheetId="15">#REF!</definedName>
    <definedName name="________STK2" localSheetId="25">#REF!</definedName>
    <definedName name="________STK2" localSheetId="16">#REF!</definedName>
    <definedName name="________STK2" localSheetId="19">#REF!</definedName>
    <definedName name="________STK2">#REF!</definedName>
    <definedName name="________STK3" localSheetId="15">#REF!</definedName>
    <definedName name="________STK3" localSheetId="25">#REF!</definedName>
    <definedName name="________STK3" localSheetId="16">#REF!</definedName>
    <definedName name="________STK3" localSheetId="19">#REF!</definedName>
    <definedName name="________STK3">#REF!</definedName>
    <definedName name="_______cha1" localSheetId="15">#REF!</definedName>
    <definedName name="_______cha1" localSheetId="16">#REF!</definedName>
    <definedName name="_______cha1">#REF!</definedName>
    <definedName name="_______cha2" localSheetId="15">#REF!</definedName>
    <definedName name="_______cha2" localSheetId="16">#REF!</definedName>
    <definedName name="_______cha2">#REF!</definedName>
    <definedName name="_______cha3" localSheetId="15">#REF!</definedName>
    <definedName name="_______cha3" localSheetId="16">#REF!</definedName>
    <definedName name="_______cha3">#REF!</definedName>
    <definedName name="_______cha4" localSheetId="15">#REF!</definedName>
    <definedName name="_______cha4" localSheetId="16">#REF!</definedName>
    <definedName name="_______cha4">#REF!</definedName>
    <definedName name="_______cha5" localSheetId="15">#REF!</definedName>
    <definedName name="_______cha5" localSheetId="16">#REF!</definedName>
    <definedName name="_______cha5">#REF!</definedName>
    <definedName name="_______cha6" localSheetId="15">#REF!</definedName>
    <definedName name="_______cha6" localSheetId="16">#REF!</definedName>
    <definedName name="_______cha6">#REF!</definedName>
    <definedName name="_______crc1">[1]combined!$B$176:$H$232</definedName>
    <definedName name="_______crc2">[1]combined!$B$236:$H$301</definedName>
    <definedName name="_______crc3">[1]combined!$B$329:$H$387</definedName>
    <definedName name="_______GRP1">'[2]BS 590'!$B$313:$G$386</definedName>
    <definedName name="_______GRP2">'[2]BS 590'!$B$388:$G$427</definedName>
    <definedName name="_______GRP3" localSheetId="15">'[4]BS&amp;PLA'!#REF!</definedName>
    <definedName name="_______GRP3" localSheetId="25">'[4]BS&amp;PLA'!#REF!</definedName>
    <definedName name="_______GRP3" localSheetId="16">'[4]BS&amp;PLA'!#REF!</definedName>
    <definedName name="_______GRP3" localSheetId="19">'[4]BS&amp;PLA'!#REF!</definedName>
    <definedName name="_______GRP3">'[4]BS&amp;PLA'!#REF!</definedName>
    <definedName name="_______GRP4" localSheetId="15">'[4]BS&amp;PLA'!#REF!</definedName>
    <definedName name="_______GRP4" localSheetId="25">'[4]BS&amp;PLA'!#REF!</definedName>
    <definedName name="_______GRP4" localSheetId="16">'[4]BS&amp;PLA'!#REF!</definedName>
    <definedName name="_______GRP4" localSheetId="19">'[4]BS&amp;PLA'!#REF!</definedName>
    <definedName name="_______GRP4">'[4]BS&amp;PLA'!#REF!</definedName>
    <definedName name="_______sch1">'[2]BS 590'!$B$125:$H$165</definedName>
    <definedName name="_______sch2">'[2]BS 590'!$B$166:$H$193</definedName>
    <definedName name="_______sch3">'[2]BS 590'!$B$194:$H$231</definedName>
    <definedName name="_______sch4">'[2]BS 590'!$B$233:$H$280</definedName>
    <definedName name="_______sch5">'[2]BS 590'!$B$281:$H$312</definedName>
    <definedName name="_______STK1" localSheetId="15">#REF!</definedName>
    <definedName name="_______STK1" localSheetId="25">#REF!</definedName>
    <definedName name="_______STK1" localSheetId="16">#REF!</definedName>
    <definedName name="_______STK1" localSheetId="19">#REF!</definedName>
    <definedName name="_______STK1">#REF!</definedName>
    <definedName name="_______STK2" localSheetId="15">#REF!</definedName>
    <definedName name="_______STK2" localSheetId="25">#REF!</definedName>
    <definedName name="_______STK2" localSheetId="16">#REF!</definedName>
    <definedName name="_______STK2" localSheetId="19">#REF!</definedName>
    <definedName name="_______STK2">#REF!</definedName>
    <definedName name="_______STK3" localSheetId="15">#REF!</definedName>
    <definedName name="_______STK3" localSheetId="25">#REF!</definedName>
    <definedName name="_______STK3" localSheetId="16">#REF!</definedName>
    <definedName name="_______STK3" localSheetId="19">#REF!</definedName>
    <definedName name="_______STK3">#REF!</definedName>
    <definedName name="______cha1" localSheetId="15">#REF!</definedName>
    <definedName name="______cha1" localSheetId="16">#REF!</definedName>
    <definedName name="______cha1">#REF!</definedName>
    <definedName name="______cha2" localSheetId="15">#REF!</definedName>
    <definedName name="______cha2" localSheetId="16">#REF!</definedName>
    <definedName name="______cha2">#REF!</definedName>
    <definedName name="______cha3" localSheetId="15">#REF!</definedName>
    <definedName name="______cha3" localSheetId="16">#REF!</definedName>
    <definedName name="______cha3">#REF!</definedName>
    <definedName name="______cha4" localSheetId="15">#REF!</definedName>
    <definedName name="______cha4" localSheetId="16">#REF!</definedName>
    <definedName name="______cha4">#REF!</definedName>
    <definedName name="______cha5" localSheetId="15">#REF!</definedName>
    <definedName name="______cha5" localSheetId="16">#REF!</definedName>
    <definedName name="______cha5">#REF!</definedName>
    <definedName name="______cha6" localSheetId="15">#REF!</definedName>
    <definedName name="______cha6" localSheetId="16">#REF!</definedName>
    <definedName name="______cha6">#REF!</definedName>
    <definedName name="______crc1">[1]combined!$B$176:$H$232</definedName>
    <definedName name="______crc2">[1]combined!$B$236:$H$301</definedName>
    <definedName name="______crc3">[1]combined!$B$329:$H$387</definedName>
    <definedName name="______GRP1">'[2]BS 590'!$B$313:$G$386</definedName>
    <definedName name="______GRP2">'[2]BS 590'!$B$388:$G$427</definedName>
    <definedName name="______GRP3" localSheetId="15">'[4]BS&amp;PLA'!#REF!</definedName>
    <definedName name="______GRP3" localSheetId="25">'[4]BS&amp;PLA'!#REF!</definedName>
    <definedName name="______GRP3" localSheetId="16">'[4]BS&amp;PLA'!#REF!</definedName>
    <definedName name="______GRP3" localSheetId="19">'[4]BS&amp;PLA'!#REF!</definedName>
    <definedName name="______GRP3">'[4]BS&amp;PLA'!#REF!</definedName>
    <definedName name="______GRP4" localSheetId="15">'[4]BS&amp;PLA'!#REF!</definedName>
    <definedName name="______GRP4" localSheetId="25">'[4]BS&amp;PLA'!#REF!</definedName>
    <definedName name="______GRP4" localSheetId="16">'[4]BS&amp;PLA'!#REF!</definedName>
    <definedName name="______GRP4" localSheetId="19">'[4]BS&amp;PLA'!#REF!</definedName>
    <definedName name="______GRP4">'[4]BS&amp;PLA'!#REF!</definedName>
    <definedName name="______PG3" localSheetId="15">[5]DEPIT979!#REF!</definedName>
    <definedName name="______PG3" localSheetId="25">[5]DEPIT979!#REF!</definedName>
    <definedName name="______PG3" localSheetId="16">[5]DEPIT979!#REF!</definedName>
    <definedName name="______PG3" localSheetId="19">[5]DEPIT979!#REF!</definedName>
    <definedName name="______PG3">[5]DEPIT979!#REF!</definedName>
    <definedName name="______sch1">'[2]BS 590'!$B$125:$H$165</definedName>
    <definedName name="______sch2">'[2]BS 590'!$B$166:$H$193</definedName>
    <definedName name="______sch3">'[2]BS 590'!$B$194:$H$231</definedName>
    <definedName name="______sch4">'[2]BS 590'!$B$233:$H$280</definedName>
    <definedName name="______sch5">'[2]BS 590'!$B$281:$H$312</definedName>
    <definedName name="______STK1" localSheetId="15">#REF!</definedName>
    <definedName name="______STK1" localSheetId="25">#REF!</definedName>
    <definedName name="______STK1" localSheetId="16">#REF!</definedName>
    <definedName name="______STK1" localSheetId="19">#REF!</definedName>
    <definedName name="______STK1">#REF!</definedName>
    <definedName name="______STK2" localSheetId="15">#REF!</definedName>
    <definedName name="______STK2" localSheetId="25">#REF!</definedName>
    <definedName name="______STK2" localSheetId="16">#REF!</definedName>
    <definedName name="______STK2" localSheetId="19">#REF!</definedName>
    <definedName name="______STK2">#REF!</definedName>
    <definedName name="______STK3" localSheetId="15">#REF!</definedName>
    <definedName name="______STK3" localSheetId="25">#REF!</definedName>
    <definedName name="______STK3" localSheetId="16">#REF!</definedName>
    <definedName name="______STK3" localSheetId="19">#REF!</definedName>
    <definedName name="______STK3">#REF!</definedName>
    <definedName name="_____cha1" localSheetId="15">#REF!</definedName>
    <definedName name="_____cha1" localSheetId="16">#REF!</definedName>
    <definedName name="_____cha1">#REF!</definedName>
    <definedName name="_____cha2" localSheetId="15">#REF!</definedName>
    <definedName name="_____cha2" localSheetId="16">#REF!</definedName>
    <definedName name="_____cha2">#REF!</definedName>
    <definedName name="_____cha3" localSheetId="15">#REF!</definedName>
    <definedName name="_____cha3" localSheetId="16">#REF!</definedName>
    <definedName name="_____cha3">#REF!</definedName>
    <definedName name="_____cha4" localSheetId="15">#REF!</definedName>
    <definedName name="_____cha4" localSheetId="16">#REF!</definedName>
    <definedName name="_____cha4">#REF!</definedName>
    <definedName name="_____cha5" localSheetId="15">#REF!</definedName>
    <definedName name="_____cha5" localSheetId="16">#REF!</definedName>
    <definedName name="_____cha5">#REF!</definedName>
    <definedName name="_____cha6" localSheetId="15">#REF!</definedName>
    <definedName name="_____cha6" localSheetId="16">#REF!</definedName>
    <definedName name="_____cha6">#REF!</definedName>
    <definedName name="_____crc1">[1]combined!$B$176:$H$232</definedName>
    <definedName name="_____crc2">[1]combined!$B$236:$H$301</definedName>
    <definedName name="_____crc3">[1]combined!$B$329:$H$387</definedName>
    <definedName name="_____DAT1" localSheetId="15">#REF!</definedName>
    <definedName name="_____DAT1" localSheetId="25">#REF!</definedName>
    <definedName name="_____DAT1" localSheetId="16">#REF!</definedName>
    <definedName name="_____DAT1" localSheetId="19">#REF!</definedName>
    <definedName name="_____DAT1">#REF!</definedName>
    <definedName name="_____DAT10" localSheetId="15">#REF!</definedName>
    <definedName name="_____DAT10" localSheetId="25">#REF!</definedName>
    <definedName name="_____DAT10" localSheetId="16">#REF!</definedName>
    <definedName name="_____DAT10" localSheetId="19">#REF!</definedName>
    <definedName name="_____DAT10">#REF!</definedName>
    <definedName name="_____DAT11" localSheetId="15">#REF!</definedName>
    <definedName name="_____DAT11" localSheetId="25">#REF!</definedName>
    <definedName name="_____DAT11" localSheetId="16">#REF!</definedName>
    <definedName name="_____DAT11" localSheetId="19">#REF!</definedName>
    <definedName name="_____DAT11">#REF!</definedName>
    <definedName name="_____DAT12" localSheetId="15">#REF!</definedName>
    <definedName name="_____DAT12" localSheetId="16">#REF!</definedName>
    <definedName name="_____DAT12">#REF!</definedName>
    <definedName name="_____DAT13" localSheetId="15">#REF!</definedName>
    <definedName name="_____DAT13" localSheetId="16">#REF!</definedName>
    <definedName name="_____DAT13">#REF!</definedName>
    <definedName name="_____DAT2" localSheetId="15">#REF!</definedName>
    <definedName name="_____DAT2" localSheetId="16">#REF!</definedName>
    <definedName name="_____DAT2">#REF!</definedName>
    <definedName name="_____DAT3" localSheetId="15">#REF!</definedName>
    <definedName name="_____DAT3" localSheetId="16">#REF!</definedName>
    <definedName name="_____DAT3">#REF!</definedName>
    <definedName name="_____DAT4" localSheetId="15">#REF!</definedName>
    <definedName name="_____DAT4" localSheetId="16">#REF!</definedName>
    <definedName name="_____DAT4">#REF!</definedName>
    <definedName name="_____DAT5" localSheetId="15">#REF!</definedName>
    <definedName name="_____DAT5" localSheetId="16">#REF!</definedName>
    <definedName name="_____DAT5">#REF!</definedName>
    <definedName name="_____DAT6" localSheetId="15">#REF!</definedName>
    <definedName name="_____DAT6" localSheetId="16">#REF!</definedName>
    <definedName name="_____DAT6">#REF!</definedName>
    <definedName name="_____DAT7" localSheetId="15">#REF!</definedName>
    <definedName name="_____DAT7" localSheetId="16">#REF!</definedName>
    <definedName name="_____DAT7">#REF!</definedName>
    <definedName name="_____DAT8" localSheetId="15">#REF!</definedName>
    <definedName name="_____DAT8" localSheetId="16">#REF!</definedName>
    <definedName name="_____DAT8">#REF!</definedName>
    <definedName name="_____DAT9" localSheetId="15">#REF!</definedName>
    <definedName name="_____DAT9" localSheetId="16">#REF!</definedName>
    <definedName name="_____DAT9">#REF!</definedName>
    <definedName name="_____GRP1">'[2]BS 590'!$B$313:$G$386</definedName>
    <definedName name="_____GRP2">'[2]BS 590'!$B$388:$G$427</definedName>
    <definedName name="_____GRP3" localSheetId="15">'[4]BS&amp;PLA'!#REF!</definedName>
    <definedName name="_____GRP3" localSheetId="25">'[4]BS&amp;PLA'!#REF!</definedName>
    <definedName name="_____GRP3" localSheetId="16">'[4]BS&amp;PLA'!#REF!</definedName>
    <definedName name="_____GRP3" localSheetId="19">'[4]BS&amp;PLA'!#REF!</definedName>
    <definedName name="_____GRP3">'[4]BS&amp;PLA'!#REF!</definedName>
    <definedName name="_____GRP4" localSheetId="15">'[4]BS&amp;PLA'!#REF!</definedName>
    <definedName name="_____GRP4" localSheetId="25">'[4]BS&amp;PLA'!#REF!</definedName>
    <definedName name="_____GRP4" localSheetId="16">'[4]BS&amp;PLA'!#REF!</definedName>
    <definedName name="_____GRP4" localSheetId="19">'[4]BS&amp;PLA'!#REF!</definedName>
    <definedName name="_____GRP4">'[4]BS&amp;PLA'!#REF!</definedName>
    <definedName name="_____PG3" localSheetId="15">[5]DEPIT979!#REF!</definedName>
    <definedName name="_____PG3" localSheetId="25">[5]DEPIT979!#REF!</definedName>
    <definedName name="_____PG3" localSheetId="16">[5]DEPIT979!#REF!</definedName>
    <definedName name="_____PG3" localSheetId="19">[5]DEPIT979!#REF!</definedName>
    <definedName name="_____PG3">[5]DEPIT979!#REF!</definedName>
    <definedName name="_____sch1">'[2]BS 590'!$B$125:$H$165</definedName>
    <definedName name="_____sch2">'[2]BS 590'!$B$166:$H$193</definedName>
    <definedName name="_____sch3">'[2]BS 590'!$B$194:$H$231</definedName>
    <definedName name="_____sch4">'[2]BS 590'!$B$233:$H$280</definedName>
    <definedName name="_____sch5">'[2]BS 590'!$B$281:$H$312</definedName>
    <definedName name="_____STK1" localSheetId="15">#REF!</definedName>
    <definedName name="_____STK1" localSheetId="25">#REF!</definedName>
    <definedName name="_____STK1" localSheetId="16">#REF!</definedName>
    <definedName name="_____STK1" localSheetId="19">#REF!</definedName>
    <definedName name="_____STK1">#REF!</definedName>
    <definedName name="_____STK2" localSheetId="15">#REF!</definedName>
    <definedName name="_____STK2" localSheetId="25">#REF!</definedName>
    <definedName name="_____STK2" localSheetId="16">#REF!</definedName>
    <definedName name="_____STK2" localSheetId="19">#REF!</definedName>
    <definedName name="_____STK2">#REF!</definedName>
    <definedName name="_____STK3" localSheetId="15">#REF!</definedName>
    <definedName name="_____STK3" localSheetId="25">#REF!</definedName>
    <definedName name="_____STK3" localSheetId="16">#REF!</definedName>
    <definedName name="_____STK3" localSheetId="19">#REF!</definedName>
    <definedName name="_____STK3">#REF!</definedName>
    <definedName name="____cha1" localSheetId="15">#REF!</definedName>
    <definedName name="____cha1" localSheetId="16">#REF!</definedName>
    <definedName name="____cha1">#REF!</definedName>
    <definedName name="____cha2" localSheetId="15">#REF!</definedName>
    <definedName name="____cha2" localSheetId="16">#REF!</definedName>
    <definedName name="____cha2">#REF!</definedName>
    <definedName name="____cha3" localSheetId="15">#REF!</definedName>
    <definedName name="____cha3" localSheetId="16">#REF!</definedName>
    <definedName name="____cha3">#REF!</definedName>
    <definedName name="____cha4" localSheetId="15">#REF!</definedName>
    <definedName name="____cha4" localSheetId="16">#REF!</definedName>
    <definedName name="____cha4">#REF!</definedName>
    <definedName name="____cha5" localSheetId="15">#REF!</definedName>
    <definedName name="____cha5" localSheetId="16">#REF!</definedName>
    <definedName name="____cha5">#REF!</definedName>
    <definedName name="____cha6" localSheetId="15">#REF!</definedName>
    <definedName name="____cha6" localSheetId="16">#REF!</definedName>
    <definedName name="____cha6">#REF!</definedName>
    <definedName name="____crc1">[1]combined!$B$176:$H$232</definedName>
    <definedName name="____crc2">[1]combined!$B$236:$H$301</definedName>
    <definedName name="____crc3">[1]combined!$B$329:$H$387</definedName>
    <definedName name="____DAT1" localSheetId="15">#REF!</definedName>
    <definedName name="____DAT1" localSheetId="25">#REF!</definedName>
    <definedName name="____DAT1" localSheetId="16">#REF!</definedName>
    <definedName name="____DAT1" localSheetId="19">#REF!</definedName>
    <definedName name="____DAT1">#REF!</definedName>
    <definedName name="____DAT10" localSheetId="15">#REF!</definedName>
    <definedName name="____DAT10" localSheetId="25">#REF!</definedName>
    <definedName name="____DAT10" localSheetId="16">#REF!</definedName>
    <definedName name="____DAT10" localSheetId="19">#REF!</definedName>
    <definedName name="____DAT10">#REF!</definedName>
    <definedName name="____DAT11" localSheetId="15">#REF!</definedName>
    <definedName name="____DAT11" localSheetId="25">#REF!</definedName>
    <definedName name="____DAT11" localSheetId="16">#REF!</definedName>
    <definedName name="____DAT11" localSheetId="19">#REF!</definedName>
    <definedName name="____DAT11">#REF!</definedName>
    <definedName name="____DAT12" localSheetId="15">#REF!</definedName>
    <definedName name="____DAT12" localSheetId="16">#REF!</definedName>
    <definedName name="____DAT12">#REF!</definedName>
    <definedName name="____DAT13" localSheetId="15">#REF!</definedName>
    <definedName name="____DAT13" localSheetId="16">#REF!</definedName>
    <definedName name="____DAT13">#REF!</definedName>
    <definedName name="____DAT2" localSheetId="15">#REF!</definedName>
    <definedName name="____DAT2" localSheetId="16">#REF!</definedName>
    <definedName name="____DAT2">#REF!</definedName>
    <definedName name="____DAT3" localSheetId="15">#REF!</definedName>
    <definedName name="____DAT3" localSheetId="16">#REF!</definedName>
    <definedName name="____DAT3">#REF!</definedName>
    <definedName name="____DAT4" localSheetId="15">#REF!</definedName>
    <definedName name="____DAT4" localSheetId="16">#REF!</definedName>
    <definedName name="____DAT4">#REF!</definedName>
    <definedName name="____DAT5" localSheetId="15">#REF!</definedName>
    <definedName name="____DAT5" localSheetId="16">#REF!</definedName>
    <definedName name="____DAT5">#REF!</definedName>
    <definedName name="____DAT6" localSheetId="15">#REF!</definedName>
    <definedName name="____DAT6" localSheetId="16">#REF!</definedName>
    <definedName name="____DAT6">#REF!</definedName>
    <definedName name="____DAT7" localSheetId="15">#REF!</definedName>
    <definedName name="____DAT7" localSheetId="16">#REF!</definedName>
    <definedName name="____DAT7">#REF!</definedName>
    <definedName name="____DAT8" localSheetId="15">#REF!</definedName>
    <definedName name="____DAT8" localSheetId="16">#REF!</definedName>
    <definedName name="____DAT8">#REF!</definedName>
    <definedName name="____DAT9" localSheetId="15">#REF!</definedName>
    <definedName name="____DAT9" localSheetId="16">#REF!</definedName>
    <definedName name="____DAT9">#REF!</definedName>
    <definedName name="____GRP1">'[2]BS 590'!$B$313:$G$386</definedName>
    <definedName name="____GRP2">'[2]BS 590'!$B$388:$G$427</definedName>
    <definedName name="____GRP3" localSheetId="15">'[4]BS&amp;PLA'!#REF!</definedName>
    <definedName name="____GRP3" localSheetId="25">'[4]BS&amp;PLA'!#REF!</definedName>
    <definedName name="____GRP3" localSheetId="16">'[4]BS&amp;PLA'!#REF!</definedName>
    <definedName name="____GRP3" localSheetId="19">'[4]BS&amp;PLA'!#REF!</definedName>
    <definedName name="____GRP3">'[4]BS&amp;PLA'!#REF!</definedName>
    <definedName name="____GRP4" localSheetId="15">'[4]BS&amp;PLA'!#REF!</definedName>
    <definedName name="____GRP4" localSheetId="25">'[4]BS&amp;PLA'!#REF!</definedName>
    <definedName name="____GRP4" localSheetId="16">'[4]BS&amp;PLA'!#REF!</definedName>
    <definedName name="____GRP4" localSheetId="19">'[4]BS&amp;PLA'!#REF!</definedName>
    <definedName name="____GRP4">'[4]BS&amp;PLA'!#REF!</definedName>
    <definedName name="____sch1">'[2]BS 590'!$B$125:$H$165</definedName>
    <definedName name="____sch2">'[2]BS 590'!$B$166:$H$193</definedName>
    <definedName name="____sch3">'[2]BS 590'!$B$194:$H$231</definedName>
    <definedName name="____sch4">'[2]BS 590'!$B$233:$H$280</definedName>
    <definedName name="____sch5">'[2]BS 590'!$B$281:$H$312</definedName>
    <definedName name="____STK1" localSheetId="15">#REF!</definedName>
    <definedName name="____STK1" localSheetId="25">#REF!</definedName>
    <definedName name="____STK1" localSheetId="16">#REF!</definedName>
    <definedName name="____STK1" localSheetId="19">#REF!</definedName>
    <definedName name="____STK1">#REF!</definedName>
    <definedName name="____STK2" localSheetId="15">#REF!</definedName>
    <definedName name="____STK2" localSheetId="25">#REF!</definedName>
    <definedName name="____STK2" localSheetId="16">#REF!</definedName>
    <definedName name="____STK2" localSheetId="19">#REF!</definedName>
    <definedName name="____STK2">#REF!</definedName>
    <definedName name="____STK3" localSheetId="15">#REF!</definedName>
    <definedName name="____STK3" localSheetId="25">#REF!</definedName>
    <definedName name="____STK3" localSheetId="16">#REF!</definedName>
    <definedName name="____STK3" localSheetId="19">#REF!</definedName>
    <definedName name="____STK3">#REF!</definedName>
    <definedName name="___cha1" localSheetId="15">#REF!</definedName>
    <definedName name="___cha1" localSheetId="11">#REF!</definedName>
    <definedName name="___cha1" localSheetId="16">#REF!</definedName>
    <definedName name="___cha1" localSheetId="13">#REF!</definedName>
    <definedName name="___cha1">#REF!</definedName>
    <definedName name="___cha2" localSheetId="15">#REF!</definedName>
    <definedName name="___cha2" localSheetId="11">#REF!</definedName>
    <definedName name="___cha2" localSheetId="16">#REF!</definedName>
    <definedName name="___cha2" localSheetId="13">#REF!</definedName>
    <definedName name="___cha2">#REF!</definedName>
    <definedName name="___cha3" localSheetId="15">#REF!</definedName>
    <definedName name="___cha3" localSheetId="11">#REF!</definedName>
    <definedName name="___cha3" localSheetId="16">#REF!</definedName>
    <definedName name="___cha3" localSheetId="13">#REF!</definedName>
    <definedName name="___cha3">#REF!</definedName>
    <definedName name="___cha4" localSheetId="15">#REF!</definedName>
    <definedName name="___cha4" localSheetId="11">#REF!</definedName>
    <definedName name="___cha4" localSheetId="16">#REF!</definedName>
    <definedName name="___cha4" localSheetId="13">#REF!</definedName>
    <definedName name="___cha4">#REF!</definedName>
    <definedName name="___cha5" localSheetId="15">#REF!</definedName>
    <definedName name="___cha5" localSheetId="11">#REF!</definedName>
    <definedName name="___cha5" localSheetId="16">#REF!</definedName>
    <definedName name="___cha5" localSheetId="13">#REF!</definedName>
    <definedName name="___cha5">#REF!</definedName>
    <definedName name="___cha6" localSheetId="15">#REF!</definedName>
    <definedName name="___cha6" localSheetId="11">#REF!</definedName>
    <definedName name="___cha6" localSheetId="16">#REF!</definedName>
    <definedName name="___cha6" localSheetId="13">#REF!</definedName>
    <definedName name="___cha6">#REF!</definedName>
    <definedName name="___crc1">[1]combined!$B$176:$H$232</definedName>
    <definedName name="___crc2">[1]combined!$B$236:$H$301</definedName>
    <definedName name="___crc3">[1]combined!$B$329:$H$387</definedName>
    <definedName name="___DAT1" localSheetId="15">#REF!</definedName>
    <definedName name="___DAT1" localSheetId="25">#REF!</definedName>
    <definedName name="___DAT1" localSheetId="16">#REF!</definedName>
    <definedName name="___DAT1" localSheetId="19">#REF!</definedName>
    <definedName name="___DAT1">#REF!</definedName>
    <definedName name="___DAT10" localSheetId="15">#REF!</definedName>
    <definedName name="___DAT10" localSheetId="25">#REF!</definedName>
    <definedName name="___DAT10" localSheetId="16">#REF!</definedName>
    <definedName name="___DAT10" localSheetId="19">#REF!</definedName>
    <definedName name="___DAT10">#REF!</definedName>
    <definedName name="___DAT11" localSheetId="15">#REF!</definedName>
    <definedName name="___DAT11" localSheetId="25">#REF!</definedName>
    <definedName name="___DAT11" localSheetId="16">#REF!</definedName>
    <definedName name="___DAT11" localSheetId="19">#REF!</definedName>
    <definedName name="___DAT11">#REF!</definedName>
    <definedName name="___DAT12" localSheetId="15">#REF!</definedName>
    <definedName name="___DAT12" localSheetId="16">#REF!</definedName>
    <definedName name="___DAT12">#REF!</definedName>
    <definedName name="___DAT13" localSheetId="15">#REF!</definedName>
    <definedName name="___DAT13" localSheetId="16">#REF!</definedName>
    <definedName name="___DAT13">#REF!</definedName>
    <definedName name="___DAT2" localSheetId="15">#REF!</definedName>
    <definedName name="___DAT2" localSheetId="16">#REF!</definedName>
    <definedName name="___DAT2">#REF!</definedName>
    <definedName name="___DAT3" localSheetId="15">#REF!</definedName>
    <definedName name="___DAT3" localSheetId="16">#REF!</definedName>
    <definedName name="___DAT3">#REF!</definedName>
    <definedName name="___DAT4" localSheetId="15">#REF!</definedName>
    <definedName name="___DAT4" localSheetId="16">#REF!</definedName>
    <definedName name="___DAT4">#REF!</definedName>
    <definedName name="___DAT5" localSheetId="15">#REF!</definedName>
    <definedName name="___DAT5" localSheetId="16">#REF!</definedName>
    <definedName name="___DAT5">#REF!</definedName>
    <definedName name="___DAT6" localSheetId="15">#REF!</definedName>
    <definedName name="___DAT6" localSheetId="16">#REF!</definedName>
    <definedName name="___DAT6">#REF!</definedName>
    <definedName name="___DAT7" localSheetId="15">#REF!</definedName>
    <definedName name="___DAT7" localSheetId="16">#REF!</definedName>
    <definedName name="___DAT7">#REF!</definedName>
    <definedName name="___DAT8" localSheetId="15">#REF!</definedName>
    <definedName name="___DAT8" localSheetId="16">#REF!</definedName>
    <definedName name="___DAT8">#REF!</definedName>
    <definedName name="___DAT9" localSheetId="15">#REF!</definedName>
    <definedName name="___DAT9" localSheetId="16">#REF!</definedName>
    <definedName name="___DAT9">#REF!</definedName>
    <definedName name="___GRP1">'[2]BS 590'!$B$313:$G$386</definedName>
    <definedName name="___GRP2">'[2]BS 590'!$B$388:$G$427</definedName>
    <definedName name="___GRP3" localSheetId="15">'[4]BS&amp;PLA'!#REF!</definedName>
    <definedName name="___GRP3" localSheetId="25">'[4]BS&amp;PLA'!#REF!</definedName>
    <definedName name="___GRP3" localSheetId="11">'[4]BS&amp;PLA'!#REF!</definedName>
    <definedName name="___GRP3" localSheetId="16">'[4]BS&amp;PLA'!#REF!</definedName>
    <definedName name="___GRP3" localSheetId="13">'[4]BS&amp;PLA'!#REF!</definedName>
    <definedName name="___GRP3" localSheetId="19">'[4]BS&amp;PLA'!#REF!</definedName>
    <definedName name="___GRP3">'[4]BS&amp;PLA'!#REF!</definedName>
    <definedName name="___GRP4" localSheetId="15">'[4]BS&amp;PLA'!#REF!</definedName>
    <definedName name="___GRP4" localSheetId="25">'[4]BS&amp;PLA'!#REF!</definedName>
    <definedName name="___GRP4" localSheetId="11">'[4]BS&amp;PLA'!#REF!</definedName>
    <definedName name="___GRP4" localSheetId="16">'[4]BS&amp;PLA'!#REF!</definedName>
    <definedName name="___GRP4" localSheetId="13">'[4]BS&amp;PLA'!#REF!</definedName>
    <definedName name="___GRP4" localSheetId="19">'[4]BS&amp;PLA'!#REF!</definedName>
    <definedName name="___GRP4">'[4]BS&amp;PLA'!#REF!</definedName>
    <definedName name="___PG3" localSheetId="15">[5]DEPIT979!#REF!</definedName>
    <definedName name="___PG3" localSheetId="25">[5]DEPIT979!#REF!</definedName>
    <definedName name="___PG3" localSheetId="16">[5]DEPIT979!#REF!</definedName>
    <definedName name="___PG3" localSheetId="19">[5]DEPIT979!#REF!</definedName>
    <definedName name="___PG3">[5]DEPIT979!#REF!</definedName>
    <definedName name="___sch1">'[2]BS 590'!$B$125:$H$165</definedName>
    <definedName name="___sch2">'[2]BS 590'!$B$166:$H$193</definedName>
    <definedName name="___sch3">'[2]BS 590'!$B$194:$H$231</definedName>
    <definedName name="___sch4">'[2]BS 590'!$B$233:$H$280</definedName>
    <definedName name="___sch5">'[2]BS 590'!$B$281:$H$312</definedName>
    <definedName name="___STK1" localSheetId="15">#REF!</definedName>
    <definedName name="___STK1" localSheetId="25">#REF!</definedName>
    <definedName name="___STK1" localSheetId="11">#REF!</definedName>
    <definedName name="___STK1" localSheetId="16">#REF!</definedName>
    <definedName name="___STK1" localSheetId="13">#REF!</definedName>
    <definedName name="___STK1" localSheetId="19">#REF!</definedName>
    <definedName name="___STK1">#REF!</definedName>
    <definedName name="___STK2" localSheetId="15">#REF!</definedName>
    <definedName name="___STK2" localSheetId="25">#REF!</definedName>
    <definedName name="___STK2" localSheetId="11">#REF!</definedName>
    <definedName name="___STK2" localSheetId="16">#REF!</definedName>
    <definedName name="___STK2" localSheetId="13">#REF!</definedName>
    <definedName name="___STK2" localSheetId="19">#REF!</definedName>
    <definedName name="___STK2">#REF!</definedName>
    <definedName name="___STK3" localSheetId="15">#REF!</definedName>
    <definedName name="___STK3" localSheetId="25">#REF!</definedName>
    <definedName name="___STK3" localSheetId="11">#REF!</definedName>
    <definedName name="___STK3" localSheetId="16">#REF!</definedName>
    <definedName name="___STK3" localSheetId="13">#REF!</definedName>
    <definedName name="___STK3" localSheetId="19">#REF!</definedName>
    <definedName name="___STK3">#REF!</definedName>
    <definedName name="__123Graph_A" hidden="1">'[6]TRIAL BALANCE'!#REF!</definedName>
    <definedName name="__123Graph_B" hidden="1">'[6]TRIAL BALANCE'!#REF!</definedName>
    <definedName name="__123Graph_D" hidden="1">'[7]Anx-M'!$B$671:$B$671</definedName>
    <definedName name="__123Graph_X" hidden="1">'[6]TRIAL BALANCE'!#REF!</definedName>
    <definedName name="__1RANGE_1">#REF!</definedName>
    <definedName name="__cha1" localSheetId="15">#REF!</definedName>
    <definedName name="__cha1" localSheetId="11">#REF!</definedName>
    <definedName name="__cha1" localSheetId="16">#REF!</definedName>
    <definedName name="__cha1" localSheetId="13">#REF!</definedName>
    <definedName name="__cha1">#REF!</definedName>
    <definedName name="__cha2" localSheetId="15">#REF!</definedName>
    <definedName name="__cha2" localSheetId="11">#REF!</definedName>
    <definedName name="__cha2" localSheetId="16">#REF!</definedName>
    <definedName name="__cha2" localSheetId="13">#REF!</definedName>
    <definedName name="__cha2">#REF!</definedName>
    <definedName name="__cha3" localSheetId="15">#REF!</definedName>
    <definedName name="__cha3" localSheetId="11">#REF!</definedName>
    <definedName name="__cha3" localSheetId="16">#REF!</definedName>
    <definedName name="__cha3" localSheetId="13">#REF!</definedName>
    <definedName name="__cha3">#REF!</definedName>
    <definedName name="__cha4" localSheetId="15">#REF!</definedName>
    <definedName name="__cha4" localSheetId="11">#REF!</definedName>
    <definedName name="__cha4" localSheetId="16">#REF!</definedName>
    <definedName name="__cha4" localSheetId="13">#REF!</definedName>
    <definedName name="__cha4">#REF!</definedName>
    <definedName name="__cha5" localSheetId="15">#REF!</definedName>
    <definedName name="__cha5" localSheetId="11">#REF!</definedName>
    <definedName name="__cha5" localSheetId="16">#REF!</definedName>
    <definedName name="__cha5" localSheetId="13">#REF!</definedName>
    <definedName name="__cha5">#REF!</definedName>
    <definedName name="__cha6" localSheetId="15">#REF!</definedName>
    <definedName name="__cha6" localSheetId="11">#REF!</definedName>
    <definedName name="__cha6" localSheetId="16">#REF!</definedName>
    <definedName name="__cha6" localSheetId="13">#REF!</definedName>
    <definedName name="__cha6">#REF!</definedName>
    <definedName name="__col1">#REF!</definedName>
    <definedName name="__col10">#REF!</definedName>
    <definedName name="__col11">#REF!</definedName>
    <definedName name="__col12">#REF!</definedName>
    <definedName name="__col13">#REF!</definedName>
    <definedName name="__col2">#REF!</definedName>
    <definedName name="__col3">#REF!</definedName>
    <definedName name="__col4">#REF!</definedName>
    <definedName name="__col5">#REF!</definedName>
    <definedName name="__col6">#REF!</definedName>
    <definedName name="__col7">#REF!</definedName>
    <definedName name="__col8">#REF!</definedName>
    <definedName name="__col9">#REF!</definedName>
    <definedName name="__crc1">[1]combined!$B$176:$H$232</definedName>
    <definedName name="__crc2">[1]combined!$B$236:$H$301</definedName>
    <definedName name="__crc3">[1]combined!$B$329:$H$387</definedName>
    <definedName name="__DAT1" localSheetId="15">#REF!</definedName>
    <definedName name="__DAT1" localSheetId="25">#REF!</definedName>
    <definedName name="__DAT1" localSheetId="16">#REF!</definedName>
    <definedName name="__DAT1" localSheetId="19">#REF!</definedName>
    <definedName name="__DAT1">#REF!</definedName>
    <definedName name="__DAT10" localSheetId="15">#REF!</definedName>
    <definedName name="__DAT10" localSheetId="25">#REF!</definedName>
    <definedName name="__DAT10" localSheetId="16">#REF!</definedName>
    <definedName name="__DAT10" localSheetId="19">#REF!</definedName>
    <definedName name="__DAT10">#REF!</definedName>
    <definedName name="__DAT11" localSheetId="15">#REF!</definedName>
    <definedName name="__DAT11" localSheetId="25">#REF!</definedName>
    <definedName name="__DAT11" localSheetId="16">#REF!</definedName>
    <definedName name="__DAT11" localSheetId="19">#REF!</definedName>
    <definedName name="__DAT11">#REF!</definedName>
    <definedName name="__DAT12" localSheetId="15">#REF!</definedName>
    <definedName name="__DAT12" localSheetId="16">#REF!</definedName>
    <definedName name="__DAT12">#REF!</definedName>
    <definedName name="__DAT13" localSheetId="15">#REF!</definedName>
    <definedName name="__DAT13" localSheetId="16">#REF!</definedName>
    <definedName name="__DAT13">#REF!</definedName>
    <definedName name="__DAT2" localSheetId="15">#REF!</definedName>
    <definedName name="__DAT2" localSheetId="16">#REF!</definedName>
    <definedName name="__DAT2">#REF!</definedName>
    <definedName name="__DAT3" localSheetId="15">#REF!</definedName>
    <definedName name="__DAT3" localSheetId="16">#REF!</definedName>
    <definedName name="__DAT3">#REF!</definedName>
    <definedName name="__DAT4" localSheetId="15">#REF!</definedName>
    <definedName name="__DAT4" localSheetId="16">#REF!</definedName>
    <definedName name="__DAT4">#REF!</definedName>
    <definedName name="__DAT5" localSheetId="15">#REF!</definedName>
    <definedName name="__DAT5" localSheetId="16">#REF!</definedName>
    <definedName name="__DAT5">#REF!</definedName>
    <definedName name="__DAT6" localSheetId="15">#REF!</definedName>
    <definedName name="__DAT6" localSheetId="16">#REF!</definedName>
    <definedName name="__DAT6">#REF!</definedName>
    <definedName name="__DAT7" localSheetId="15">#REF!</definedName>
    <definedName name="__DAT7" localSheetId="16">#REF!</definedName>
    <definedName name="__DAT7">#REF!</definedName>
    <definedName name="__DAT8" localSheetId="15">#REF!</definedName>
    <definedName name="__DAT8" localSheetId="16">#REF!</definedName>
    <definedName name="__DAT8">#REF!</definedName>
    <definedName name="__DAT9" localSheetId="15">#REF!</definedName>
    <definedName name="__DAT9" localSheetId="16">#REF!</definedName>
    <definedName name="__DAT9">#REF!</definedName>
    <definedName name="__GRP1">'[2]BS 590'!$B$313:$G$386</definedName>
    <definedName name="__GRP2">'[2]BS 590'!$B$388:$G$427</definedName>
    <definedName name="__GRP3" localSheetId="15">'[4]BS&amp;PLA'!#REF!</definedName>
    <definedName name="__GRP3" localSheetId="25">'[4]BS&amp;PLA'!#REF!</definedName>
    <definedName name="__GRP3" localSheetId="11">'[4]BS&amp;PLA'!#REF!</definedName>
    <definedName name="__GRP3" localSheetId="16">'[4]BS&amp;PLA'!#REF!</definedName>
    <definedName name="__GRP3" localSheetId="13">'[4]BS&amp;PLA'!#REF!</definedName>
    <definedName name="__GRP3" localSheetId="19">'[4]BS&amp;PLA'!#REF!</definedName>
    <definedName name="__GRP3">'[4]BS&amp;PLA'!#REF!</definedName>
    <definedName name="__GRP4" localSheetId="15">'[4]BS&amp;PLA'!#REF!</definedName>
    <definedName name="__GRP4" localSheetId="25">'[4]BS&amp;PLA'!#REF!</definedName>
    <definedName name="__GRP4" localSheetId="11">'[4]BS&amp;PLA'!#REF!</definedName>
    <definedName name="__GRP4" localSheetId="16">'[4]BS&amp;PLA'!#REF!</definedName>
    <definedName name="__GRP4" localSheetId="13">'[4]BS&amp;PLA'!#REF!</definedName>
    <definedName name="__GRP4" localSheetId="19">'[4]BS&amp;PLA'!#REF!</definedName>
    <definedName name="__GRP4">'[4]BS&amp;PLA'!#REF!</definedName>
    <definedName name="__MAR9091">'[8]TRIAL BALANCE'!#REF!</definedName>
    <definedName name="__PG3" localSheetId="15">[5]DEPIT979!#REF!</definedName>
    <definedName name="__PG3" localSheetId="25">[5]DEPIT979!#REF!</definedName>
    <definedName name="__PG3" localSheetId="16">[5]DEPIT979!#REF!</definedName>
    <definedName name="__PG3" localSheetId="19">[5]DEPIT979!#REF!</definedName>
    <definedName name="__PG3">[5]DEPIT979!#REF!</definedName>
    <definedName name="__sch1">'[2]BS 590'!$B$125:$H$165</definedName>
    <definedName name="__sch2">'[2]BS 590'!$B$166:$H$193</definedName>
    <definedName name="__sch3">'[2]BS 590'!$B$194:$H$231</definedName>
    <definedName name="__sch4">'[2]BS 590'!$B$233:$H$280</definedName>
    <definedName name="__sch5">'[2]BS 590'!$B$281:$H$312</definedName>
    <definedName name="__STK1" localSheetId="15">#REF!</definedName>
    <definedName name="__STK1" localSheetId="25">#REF!</definedName>
    <definedName name="__STK1" localSheetId="11">#REF!</definedName>
    <definedName name="__STK1" localSheetId="16">#REF!</definedName>
    <definedName name="__STK1" localSheetId="13">#REF!</definedName>
    <definedName name="__STK1" localSheetId="19">#REF!</definedName>
    <definedName name="__STK1">#REF!</definedName>
    <definedName name="__STK2" localSheetId="15">#REF!</definedName>
    <definedName name="__STK2" localSheetId="25">#REF!</definedName>
    <definedName name="__STK2" localSheetId="11">#REF!</definedName>
    <definedName name="__STK2" localSheetId="16">#REF!</definedName>
    <definedName name="__STK2" localSheetId="13">#REF!</definedName>
    <definedName name="__STK2" localSheetId="19">#REF!</definedName>
    <definedName name="__STK2">#REF!</definedName>
    <definedName name="__STK3" localSheetId="15">#REF!</definedName>
    <definedName name="__STK3" localSheetId="25">#REF!</definedName>
    <definedName name="__STK3" localSheetId="11">#REF!</definedName>
    <definedName name="__STK3" localSheetId="16">#REF!</definedName>
    <definedName name="__STK3" localSheetId="13">#REF!</definedName>
    <definedName name="__STK3" localSheetId="19">#REF!</definedName>
    <definedName name="__STK3">#REF!</definedName>
    <definedName name="_01_UNIT1">#REF!</definedName>
    <definedName name="_01_UNIT2">#REF!</definedName>
    <definedName name="_01A__GP___DP">#REF!</definedName>
    <definedName name="_01B__DEP_TX_BK">#REF!</definedName>
    <definedName name="_02A__INTEREST">#REF!</definedName>
    <definedName name="_03_115JA_2A_B">#REF!</definedName>
    <definedName name="_03_SUM_1AX">#REF!</definedName>
    <definedName name="_03_SUM_1BX">#REF!</definedName>
    <definedName name="_04_80HHC_1A">#REF!</definedName>
    <definedName name="_04_80HHC_IIA">#REF!</definedName>
    <definedName name="_06__INTERUNIT">#REF!</definedName>
    <definedName name="_07__80IA">#REF!</definedName>
    <definedName name="_08__80I">#REF!</definedName>
    <definedName name="_09_TAX_SUMMARY">#REF!</definedName>
    <definedName name="_1">#REF!</definedName>
    <definedName name="_14A">[9]HONOTES!#REF!</definedName>
    <definedName name="_1RANGE_1">#REF!</definedName>
    <definedName name="_2">[9]HONOTES!#REF!</definedName>
    <definedName name="_6">[9]HONOTES!#REF!</definedName>
    <definedName name="_a_">#REF!</definedName>
    <definedName name="_AUG13" localSheetId="15">[10]depreciation!#REF!</definedName>
    <definedName name="_AUG13" localSheetId="25">[10]depreciation!#REF!</definedName>
    <definedName name="_AUG13" localSheetId="16">[10]depreciation!#REF!</definedName>
    <definedName name="_AUG13" localSheetId="19">[10]depreciation!#REF!</definedName>
    <definedName name="_AUG13">[10]depreciation!#REF!</definedName>
    <definedName name="_BSE500">[11]Sheet1!$B$1:$B$500</definedName>
    <definedName name="_cha1" localSheetId="15">#REF!</definedName>
    <definedName name="_cha1" localSheetId="25">#REF!</definedName>
    <definedName name="_cha1" localSheetId="11">#REF!</definedName>
    <definedName name="_cha1" localSheetId="16">#REF!</definedName>
    <definedName name="_cha1" localSheetId="13">#REF!</definedName>
    <definedName name="_cha1" localSheetId="19">#REF!</definedName>
    <definedName name="_cha1">#REF!</definedName>
    <definedName name="_cha2" localSheetId="15">#REF!</definedName>
    <definedName name="_cha2" localSheetId="25">#REF!</definedName>
    <definedName name="_cha2" localSheetId="11">#REF!</definedName>
    <definedName name="_cha2" localSheetId="16">#REF!</definedName>
    <definedName name="_cha2" localSheetId="13">#REF!</definedName>
    <definedName name="_cha2" localSheetId="19">#REF!</definedName>
    <definedName name="_cha2">#REF!</definedName>
    <definedName name="_cha3" localSheetId="15">#REF!</definedName>
    <definedName name="_cha3" localSheetId="25">#REF!</definedName>
    <definedName name="_cha3" localSheetId="11">#REF!</definedName>
    <definedName name="_cha3" localSheetId="16">#REF!</definedName>
    <definedName name="_cha3" localSheetId="13">#REF!</definedName>
    <definedName name="_cha3" localSheetId="19">#REF!</definedName>
    <definedName name="_cha3">#REF!</definedName>
    <definedName name="_cha4" localSheetId="15">#REF!</definedName>
    <definedName name="_cha4" localSheetId="11">#REF!</definedName>
    <definedName name="_cha4" localSheetId="16">#REF!</definedName>
    <definedName name="_cha4" localSheetId="13">#REF!</definedName>
    <definedName name="_cha4">#REF!</definedName>
    <definedName name="_cha5" localSheetId="15">#REF!</definedName>
    <definedName name="_cha5" localSheetId="11">#REF!</definedName>
    <definedName name="_cha5" localSheetId="16">#REF!</definedName>
    <definedName name="_cha5" localSheetId="13">#REF!</definedName>
    <definedName name="_cha5">#REF!</definedName>
    <definedName name="_cha6" localSheetId="15">#REF!</definedName>
    <definedName name="_cha6" localSheetId="11">#REF!</definedName>
    <definedName name="_cha6" localSheetId="16">#REF!</definedName>
    <definedName name="_cha6" localSheetId="13">#REF!</definedName>
    <definedName name="_cha6">#REF!</definedName>
    <definedName name="_col1">#REF!</definedName>
    <definedName name="_col10">#REF!</definedName>
    <definedName name="_col11">#REF!</definedName>
    <definedName name="_col12">#REF!</definedName>
    <definedName name="_col13">#REF!</definedName>
    <definedName name="_col2">#REF!</definedName>
    <definedName name="_col3">#REF!</definedName>
    <definedName name="_col4">#REF!</definedName>
    <definedName name="_col5">#REF!</definedName>
    <definedName name="_col6">#REF!</definedName>
    <definedName name="_col7">#REF!</definedName>
    <definedName name="_col8">#REF!</definedName>
    <definedName name="_col9">#REF!</definedName>
    <definedName name="_crc1">[1]combined!$B$176:$H$232</definedName>
    <definedName name="_crc2">[1]combined!$B$236:$H$301</definedName>
    <definedName name="_crc3">[1]combined!$B$329:$H$387</definedName>
    <definedName name="_DAT1" localSheetId="15">#REF!</definedName>
    <definedName name="_DAT1" localSheetId="25">#REF!</definedName>
    <definedName name="_DAT1" localSheetId="11">#REF!</definedName>
    <definedName name="_DAT1" localSheetId="16">#REF!</definedName>
    <definedName name="_DAT1" localSheetId="13">#REF!</definedName>
    <definedName name="_DAT1" localSheetId="19">#REF!</definedName>
    <definedName name="_DAT1">#REF!</definedName>
    <definedName name="_DAT10" localSheetId="15">#REF!</definedName>
    <definedName name="_DAT10" localSheetId="25">#REF!</definedName>
    <definedName name="_DAT10" localSheetId="11">#REF!</definedName>
    <definedName name="_DAT10" localSheetId="16">#REF!</definedName>
    <definedName name="_DAT10" localSheetId="13">#REF!</definedName>
    <definedName name="_DAT10" localSheetId="19">#REF!</definedName>
    <definedName name="_DAT10">#REF!</definedName>
    <definedName name="_DAT11" localSheetId="15">#REF!</definedName>
    <definedName name="_DAT11" localSheetId="25">#REF!</definedName>
    <definedName name="_DAT11" localSheetId="11">#REF!</definedName>
    <definedName name="_DAT11" localSheetId="16">#REF!</definedName>
    <definedName name="_DAT11" localSheetId="13">#REF!</definedName>
    <definedName name="_DAT11" localSheetId="19">#REF!</definedName>
    <definedName name="_DAT11">#REF!</definedName>
    <definedName name="_DAT12" localSheetId="15">#REF!</definedName>
    <definedName name="_DAT12" localSheetId="11">#REF!</definedName>
    <definedName name="_DAT12" localSheetId="16">#REF!</definedName>
    <definedName name="_DAT12" localSheetId="13">#REF!</definedName>
    <definedName name="_DAT12">#REF!</definedName>
    <definedName name="_DAT13" localSheetId="15">#REF!</definedName>
    <definedName name="_DAT13" localSheetId="11">#REF!</definedName>
    <definedName name="_DAT13" localSheetId="16">#REF!</definedName>
    <definedName name="_DAT13" localSheetId="13">#REF!</definedName>
    <definedName name="_DAT13">#REF!</definedName>
    <definedName name="_DAT2" localSheetId="15">#REF!</definedName>
    <definedName name="_DAT2" localSheetId="11">#REF!</definedName>
    <definedName name="_DAT2" localSheetId="16">#REF!</definedName>
    <definedName name="_DAT2" localSheetId="13">#REF!</definedName>
    <definedName name="_DAT2">#REF!</definedName>
    <definedName name="_DAT3" localSheetId="15">#REF!</definedName>
    <definedName name="_DAT3" localSheetId="11">#REF!</definedName>
    <definedName name="_DAT3" localSheetId="16">#REF!</definedName>
    <definedName name="_DAT3" localSheetId="13">#REF!</definedName>
    <definedName name="_DAT3">#REF!</definedName>
    <definedName name="_DAT4" localSheetId="15">#REF!</definedName>
    <definedName name="_DAT4" localSheetId="11">#REF!</definedName>
    <definedName name="_DAT4" localSheetId="16">#REF!</definedName>
    <definedName name="_DAT4" localSheetId="13">#REF!</definedName>
    <definedName name="_DAT4">#REF!</definedName>
    <definedName name="_DAT5" localSheetId="15">#REF!</definedName>
    <definedName name="_DAT5" localSheetId="11">#REF!</definedName>
    <definedName name="_DAT5" localSheetId="16">#REF!</definedName>
    <definedName name="_DAT5" localSheetId="13">#REF!</definedName>
    <definedName name="_DAT5">#REF!</definedName>
    <definedName name="_DAT6" localSheetId="15">#REF!</definedName>
    <definedName name="_DAT6" localSheetId="11">#REF!</definedName>
    <definedName name="_DAT6" localSheetId="16">#REF!</definedName>
    <definedName name="_DAT6" localSheetId="13">#REF!</definedName>
    <definedName name="_DAT6">#REF!</definedName>
    <definedName name="_DAT7" localSheetId="15">#REF!</definedName>
    <definedName name="_DAT7" localSheetId="11">#REF!</definedName>
    <definedName name="_DAT7" localSheetId="16">#REF!</definedName>
    <definedName name="_DAT7" localSheetId="13">#REF!</definedName>
    <definedName name="_DAT7">#REF!</definedName>
    <definedName name="_DAT8" localSheetId="15">#REF!</definedName>
    <definedName name="_DAT8" localSheetId="11">#REF!</definedName>
    <definedName name="_DAT8" localSheetId="16">#REF!</definedName>
    <definedName name="_DAT8" localSheetId="13">#REF!</definedName>
    <definedName name="_DAT8">#REF!</definedName>
    <definedName name="_DAT9" localSheetId="15">#REF!</definedName>
    <definedName name="_DAT9" localSheetId="11">#REF!</definedName>
    <definedName name="_DAT9" localSheetId="16">#REF!</definedName>
    <definedName name="_DAT9" localSheetId="13">#REF!</definedName>
    <definedName name="_DAT9">#REF!</definedName>
    <definedName name="_Fill" localSheetId="15" hidden="1">#REF!</definedName>
    <definedName name="_Fill" localSheetId="11" hidden="1">#REF!</definedName>
    <definedName name="_Fill" localSheetId="16" hidden="1">#REF!</definedName>
    <definedName name="_Fill" localSheetId="13" hidden="1">#REF!</definedName>
    <definedName name="_Fill" hidden="1">#REF!</definedName>
    <definedName name="_xlnm._FilterDatabase" localSheetId="23" hidden="1">'Share Holding'!$A$2:$J$417</definedName>
    <definedName name="_xlnm._FilterDatabase" localSheetId="29" hidden="1">'TB 03.06.21'!$A$8:$C$390</definedName>
    <definedName name="_xlnm._FilterDatabase" localSheetId="7" hidden="1">'TB final'!$A$4:$J$727</definedName>
    <definedName name="_xlnm._FilterDatabase" localSheetId="30" hidden="1">'TB2019-20'!$A$11:$I$415</definedName>
    <definedName name="_xlnm._FilterDatabase" localSheetId="8" hidden="1">'Trial Balance'!$A$11:$H$430</definedName>
    <definedName name="_GRP1">'[2]BS 590'!$B$313:$G$386</definedName>
    <definedName name="_GRP2">'[2]BS 590'!$B$388:$G$427</definedName>
    <definedName name="_GRP3" localSheetId="15">'[4]BS&amp;PLA'!#REF!</definedName>
    <definedName name="_GRP3" localSheetId="25">'[4]BS&amp;PLA'!#REF!</definedName>
    <definedName name="_GRP3" localSheetId="11">'[4]BS&amp;PLA'!#REF!</definedName>
    <definedName name="_GRP3" localSheetId="16">'[4]BS&amp;PLA'!#REF!</definedName>
    <definedName name="_GRP3" localSheetId="13">'[4]BS&amp;PLA'!#REF!</definedName>
    <definedName name="_GRP3" localSheetId="19">'[4]BS&amp;PLA'!#REF!</definedName>
    <definedName name="_GRP3">'[4]BS&amp;PLA'!#REF!</definedName>
    <definedName name="_GRP4" localSheetId="15">'[4]BS&amp;PLA'!#REF!</definedName>
    <definedName name="_GRP4" localSheetId="25">'[4]BS&amp;PLA'!#REF!</definedName>
    <definedName name="_GRP4" localSheetId="11">'[4]BS&amp;PLA'!#REF!</definedName>
    <definedName name="_GRP4" localSheetId="16">'[4]BS&amp;PLA'!#REF!</definedName>
    <definedName name="_GRP4" localSheetId="13">'[4]BS&amp;PLA'!#REF!</definedName>
    <definedName name="_GRP4" localSheetId="19">'[4]BS&amp;PLA'!#REF!</definedName>
    <definedName name="_GRP4">'[4]BS&amp;PLA'!#REF!</definedName>
    <definedName name="_Inv1">#REF!</definedName>
    <definedName name="_Inv2">#REF!</definedName>
    <definedName name="_Key1" localSheetId="15" hidden="1">#REF!</definedName>
    <definedName name="_Key1" localSheetId="25" hidden="1">#REF!</definedName>
    <definedName name="_Key1" localSheetId="11" hidden="1">#REF!</definedName>
    <definedName name="_Key1" localSheetId="16" hidden="1">#REF!</definedName>
    <definedName name="_Key1" localSheetId="13" hidden="1">#REF!</definedName>
    <definedName name="_Key1" localSheetId="19" hidden="1">#REF!</definedName>
    <definedName name="_Key1" hidden="1">#REF!</definedName>
    <definedName name="_Key2" localSheetId="15" hidden="1">[12]ASSET_ADD!#REF!</definedName>
    <definedName name="_Key2" localSheetId="25" hidden="1">[13]ASSET_ADD!#REF!</definedName>
    <definedName name="_Key2" localSheetId="11" hidden="1">[14]ASSET_ADD!#REF!</definedName>
    <definedName name="_Key2" localSheetId="16" hidden="1">[12]ASSET_ADD!#REF!</definedName>
    <definedName name="_Key2" localSheetId="13" hidden="1">[14]ASSET_ADD!#REF!</definedName>
    <definedName name="_Key2" localSheetId="19" hidden="1">[13]ASSET_ADD!#REF!</definedName>
    <definedName name="_Key2" hidden="1">[13]ASSET_ADD!#REF!</definedName>
    <definedName name="_MAR9091">'[15]TRIAL BALANCE'!#REF!</definedName>
    <definedName name="_Mar90911">'[8]TRIAL BALANCE'!#REF!</definedName>
    <definedName name="_Order1" hidden="1">255</definedName>
    <definedName name="_Order2" hidden="1">255</definedName>
    <definedName name="_Parse_Out" hidden="1">#REF!</definedName>
    <definedName name="_PG3" localSheetId="15">[5]DEPIT979!#REF!</definedName>
    <definedName name="_PG3" localSheetId="25">[5]DEPIT979!#REF!</definedName>
    <definedName name="_PG3" localSheetId="11">[5]DEPIT979!#REF!</definedName>
    <definedName name="_PG3" localSheetId="16">[5]DEPIT979!#REF!</definedName>
    <definedName name="_PG3" localSheetId="13">[5]DEPIT979!#REF!</definedName>
    <definedName name="_PG3" localSheetId="19">[5]DEPIT979!#REF!</definedName>
    <definedName name="_PG3">[5]DEPIT979!#REF!</definedName>
    <definedName name="_sch1">'[2]BS 590'!$B$125:$H$165</definedName>
    <definedName name="_sch2">'[2]BS 590'!$B$166:$H$193</definedName>
    <definedName name="_sch3">'[2]BS 590'!$B$194:$H$231</definedName>
    <definedName name="_sch4">'[2]BS 590'!$B$233:$H$280</definedName>
    <definedName name="_sch5">'[2]BS 590'!$B$281:$H$312</definedName>
    <definedName name="_SCH6">#REF!</definedName>
    <definedName name="_Sort" localSheetId="15" hidden="1">#REF!</definedName>
    <definedName name="_Sort" localSheetId="25" hidden="1">#REF!</definedName>
    <definedName name="_Sort" localSheetId="11" hidden="1">#REF!</definedName>
    <definedName name="_Sort" localSheetId="16" hidden="1">#REF!</definedName>
    <definedName name="_Sort" localSheetId="13" hidden="1">#REF!</definedName>
    <definedName name="_Sort" localSheetId="19" hidden="1">#REF!</definedName>
    <definedName name="_Sort" hidden="1">#REF!</definedName>
    <definedName name="_STK1" localSheetId="15">#REF!</definedName>
    <definedName name="_STK1" localSheetId="25">#REF!</definedName>
    <definedName name="_STK1" localSheetId="11">#REF!</definedName>
    <definedName name="_STK1" localSheetId="16">#REF!</definedName>
    <definedName name="_STK1" localSheetId="13">#REF!</definedName>
    <definedName name="_STK1" localSheetId="19">#REF!</definedName>
    <definedName name="_STK1">#REF!</definedName>
    <definedName name="_STK2" localSheetId="15">#REF!</definedName>
    <definedName name="_STK2" localSheetId="25">#REF!</definedName>
    <definedName name="_STK2" localSheetId="11">#REF!</definedName>
    <definedName name="_STK2" localSheetId="16">#REF!</definedName>
    <definedName name="_STK2" localSheetId="13">#REF!</definedName>
    <definedName name="_STK2" localSheetId="19">#REF!</definedName>
    <definedName name="_STK2">#REF!</definedName>
    <definedName name="_STK3" localSheetId="15">#REF!</definedName>
    <definedName name="_STK3" localSheetId="11">#REF!</definedName>
    <definedName name="_STK3" localSheetId="16">#REF!</definedName>
    <definedName name="_STK3" localSheetId="13">#REF!</definedName>
    <definedName name="_STK3">#REF!</definedName>
    <definedName name="_WA0005">'[16]TB WORLI'!#REF!</definedName>
    <definedName name="_WA0015">'[16]TB WORLI'!#REF!</definedName>
    <definedName name="_WA00212">'[16]TB WORLI'!#REF!</definedName>
    <definedName name="_WA00223">'[16]TB WORLI'!#REF!</definedName>
    <definedName name="_WA00231">'[16]TB WORLI'!#REF!</definedName>
    <definedName name="_WA00237">'[16]TB WORLI'!#REF!</definedName>
    <definedName name="_WA0026">'[16]TB WORLI'!#REF!</definedName>
    <definedName name="_WA00273">'[16]TB WORLI'!#REF!</definedName>
    <definedName name="_WA00288">'[16]TB WORLI'!#REF!</definedName>
    <definedName name="_WA00291">'[16]TB WORLI'!#REF!</definedName>
    <definedName name="_WA00294">'[16]TB WORLI'!#REF!</definedName>
    <definedName name="_WA00295">'[16]TB WORLI'!#REF!</definedName>
    <definedName name="_WA00298">'[16]TB WORLI'!#REF!</definedName>
    <definedName name="_WA00301">'[16]TB WORLI'!#REF!</definedName>
    <definedName name="_WA00302">'[16]TB WORLI'!#REF!</definedName>
    <definedName name="_WA00306">'[16]TB WORLI'!#REF!</definedName>
    <definedName name="_WA00307">'[16]TB WORLI'!#REF!</definedName>
    <definedName name="_WA00308">'[16]TB WORLI'!#REF!</definedName>
    <definedName name="_WA00310">'[16]TB WORLI'!#REF!</definedName>
    <definedName name="_WA00318">'[16]TB WORLI'!#REF!</definedName>
    <definedName name="_WA00321">'[16]TB WORLI'!#REF!</definedName>
    <definedName name="_WA00324">'[16]TB WORLI'!#REF!</definedName>
    <definedName name="_WA00325">'[16]TB WORLI'!#REF!</definedName>
    <definedName name="_WA00326">'[16]TB WORLI'!#REF!</definedName>
    <definedName name="_WA00327">'[16]TB WORLI'!#REF!</definedName>
    <definedName name="_WA00328">'[16]TB WORLI'!#REF!</definedName>
    <definedName name="_WA00329">'[16]TB WORLI'!#REF!</definedName>
    <definedName name="_WA00330">'[16]TB WORLI'!#REF!</definedName>
    <definedName name="_WA00332">'[16]TB WORLI'!#REF!</definedName>
    <definedName name="_WA00337">'[16]TB WORLI'!#REF!</definedName>
    <definedName name="_WA00338">'[16]TB WORLI'!#REF!</definedName>
    <definedName name="_WA00361">'[16]TB WORLI'!#REF!</definedName>
    <definedName name="_WA00362">'[16]TB WORLI'!#REF!</definedName>
    <definedName name="_WA00367">'[16]TB WORLI'!#REF!</definedName>
    <definedName name="_WA00368">'[16]TB WORLI'!#REF!</definedName>
    <definedName name="_WA00369">'[16]TB WORLI'!#REF!</definedName>
    <definedName name="_WA00370">'[16]TB WORLI'!#REF!</definedName>
    <definedName name="_WA00372">'[16]TB WORLI'!#REF!</definedName>
    <definedName name="_WA00373">'[16]TB WORLI'!#REF!</definedName>
    <definedName name="_WA00374">'[16]TB WORLI'!#REF!</definedName>
    <definedName name="_WA00375">'[16]TB WORLI'!#REF!</definedName>
    <definedName name="_WA00376">'[16]TB WORLI'!#REF!</definedName>
    <definedName name="_WA00377">'[16]TB WORLI'!#REF!</definedName>
    <definedName name="_WA00378">'[16]TB WORLI'!#REF!</definedName>
    <definedName name="_WA00379">'[16]TB WORLI'!#REF!</definedName>
    <definedName name="_WA0038">'[16]TB WORLI'!#REF!</definedName>
    <definedName name="_WA00380">'[16]TB WORLI'!#REF!</definedName>
    <definedName name="_WA00381">'[16]TB WORLI'!#REF!</definedName>
    <definedName name="_WA00382">'[16]TB WORLI'!#REF!</definedName>
    <definedName name="_WA00386">'[16]TB WORLI'!#REF!</definedName>
    <definedName name="_WA00387">'[16]TB WORLI'!#REF!</definedName>
    <definedName name="_WA00388">'[16]TB WORLI'!#REF!</definedName>
    <definedName name="_WA00389">'[16]TB WORLI'!#REF!</definedName>
    <definedName name="_WA00390">'[16]TB WORLI'!#REF!</definedName>
    <definedName name="_WA00392">'[16]TB WORLI'!#REF!</definedName>
    <definedName name="_WA00397">'[16]TB WORLI'!#REF!</definedName>
    <definedName name="_WA00400">'[16]TB WORLI'!#REF!</definedName>
    <definedName name="_WA00402">'[16]TB WORLI'!#REF!</definedName>
    <definedName name="_WA00420">'[16]TB WORLI'!#REF!</definedName>
    <definedName name="_WA00434">'[16]TB WORLI'!#REF!</definedName>
    <definedName name="_WA00435">'[16]TB WORLI'!#REF!</definedName>
    <definedName name="_WA00436">'[16]TB WORLI'!#REF!</definedName>
    <definedName name="_WA00437">'[16]TB WORLI'!#REF!</definedName>
    <definedName name="_WA00439">'[16]TB WORLI'!#REF!</definedName>
    <definedName name="_WA00440">'[16]TB WORLI'!#REF!</definedName>
    <definedName name="_WA00441">'[16]TB WORLI'!#REF!</definedName>
    <definedName name="_WA00442">'[16]TB WORLI'!#REF!</definedName>
    <definedName name="_WA00444">'[16]TB WORLI'!#REF!</definedName>
    <definedName name="_WA00445">'[16]TB WORLI'!#REF!</definedName>
    <definedName name="_WA00446">'[16]TB WORLI'!#REF!</definedName>
    <definedName name="_WA00447">'[16]TB WORLI'!#REF!</definedName>
    <definedName name="_WA00452">'[16]TB WORLI'!#REF!</definedName>
    <definedName name="_WA00454">'[16]TB WORLI'!#REF!</definedName>
    <definedName name="_WA0049">'[16]TB WORLI'!#REF!</definedName>
    <definedName name="_WA0065">'[16]TB WORLI'!#REF!</definedName>
    <definedName name="_WA0131">'[16]TB WORLI'!#REF!</definedName>
    <definedName name="_WA0142">'[16]TB WORLI'!#REF!</definedName>
    <definedName name="_WDR_">#REF!</definedName>
    <definedName name="_WE00250">'[16]TB WORLI'!#REF!</definedName>
    <definedName name="_WE00251">'[16]TB WORLI'!#REF!</definedName>
    <definedName name="_WE00281">'[16]TB WORLI'!#REF!</definedName>
    <definedName name="_WE00289">'[16]TB WORLI'!#REF!</definedName>
    <definedName name="_WE0159">'[16]TB WORLI'!#REF!</definedName>
    <definedName name="_WE0160">'[16]TB WORLI'!#REF!</definedName>
    <definedName name="_WE0211">'[16]TB WORLI'!#REF!</definedName>
    <definedName name="_WE0219">'[16]TB WORLI'!#REF!</definedName>
    <definedName name="_WE0225">'[16]TB WORLI'!#REF!</definedName>
    <definedName name="_WE0232">'[16]TB WORLI'!#REF!</definedName>
    <definedName name="_WE0243">'[16]TB WORLI'!#REF!</definedName>
    <definedName name="_WI00296">'[16]TB WORLI'!#REF!</definedName>
    <definedName name="_WI00298">'[16]TB WORLI'!#REF!</definedName>
    <definedName name="_WI00319">'[16]TB WORLI'!#REF!</definedName>
    <definedName name="_WI00320">'[16]TB WORLI'!#REF!</definedName>
    <definedName name="_WI00321">'[16]TB WORLI'!#REF!</definedName>
    <definedName name="_WI0256">'[16]TB WORLI'!#REF!</definedName>
    <definedName name="_WI0286">'[16]TB WORLI'!#REF!</definedName>
    <definedName name="_WL00382">'[16]TB WORLI'!#REF!</definedName>
    <definedName name="_WL00623">'[16]TB WORLI'!#REF!</definedName>
    <definedName name="_WL00655">'[16]TB WORLI'!#REF!</definedName>
    <definedName name="_WL00664">'[16]TB WORLI'!#REF!</definedName>
    <definedName name="_WL0333">'[16]TB WORLI'!#REF!</definedName>
    <definedName name="_WL0342">'[16]TB WORLI'!#REF!</definedName>
    <definedName name="_WL0355">'[16]TB WORLI'!#REF!</definedName>
    <definedName name="A" localSheetId="15">#REF!</definedName>
    <definedName name="a" localSheetId="11">#REF!</definedName>
    <definedName name="A" localSheetId="16">#REF!</definedName>
    <definedName name="a" localSheetId="13">#REF!</definedName>
    <definedName name="A">#REF!</definedName>
    <definedName name="A0002_">'[17]TB APJ'!$B$233</definedName>
    <definedName name="A0005_">'[17]TB APJ'!$B$7</definedName>
    <definedName name="A0007_">'[17]TB APJ'!$B$8</definedName>
    <definedName name="A0008_">'[17]TB APJ'!$B$9</definedName>
    <definedName name="A00167_">'[17]TB APJ'!#REF!</definedName>
    <definedName name="A00168_">'[17]TB APJ'!#REF!</definedName>
    <definedName name="A00169_">[18]tb!$B$8</definedName>
    <definedName name="A00183_">'[17]TB APJ'!#REF!</definedName>
    <definedName name="A0019_">'[17]TB APJ'!$B$10</definedName>
    <definedName name="A00191_">'[17]TB APJ'!$B$246</definedName>
    <definedName name="A00195_">'[17]TB APJ'!#REF!</definedName>
    <definedName name="A00203_">'[17]TB APJ'!#REF!</definedName>
    <definedName name="A00207_">'[17]TB APJ'!#REF!</definedName>
    <definedName name="A00211_">'[17]TB APJ'!#REF!</definedName>
    <definedName name="A00212_">'[17]TB APJ'!$B$247</definedName>
    <definedName name="A00214_">'[17]TB APJ'!#REF!</definedName>
    <definedName name="A00215_">'[16]TB APJ'!#REF!</definedName>
    <definedName name="A00223_">[18]tb!$B$10</definedName>
    <definedName name="A00225_">'[17]TB APJ'!$B$11</definedName>
    <definedName name="A00226_">'[17]TB APJ'!$B$248</definedName>
    <definedName name="A00242_">'[17]TB APJ'!$B$12</definedName>
    <definedName name="A00247_">'[17]TB APJ'!#REF!</definedName>
    <definedName name="A00252_">'[17]TB APJ'!$B$330</definedName>
    <definedName name="A00256_">'[17]TB APJ'!$B$249</definedName>
    <definedName name="A00257_">'[17]TB APJ'!$B$306</definedName>
    <definedName name="A00258_">'[17]TB APJ'!#REF!</definedName>
    <definedName name="A0026_">'[17]TB APJ'!$B$13</definedName>
    <definedName name="A00260_">'[16]TB APJ'!#REF!</definedName>
    <definedName name="A00261_">'[16]TB APJ'!#REF!</definedName>
    <definedName name="A00264_">'[16]TB APJ'!#REF!</definedName>
    <definedName name="A00266_">'[17]TB APJ'!#REF!</definedName>
    <definedName name="A00268_">'[17]TB APJ'!#REF!</definedName>
    <definedName name="A00270_">'[17]TB APJ'!$B$331</definedName>
    <definedName name="A00271_">[18]tb!$B$16</definedName>
    <definedName name="A00273_">'[17]TB APJ'!$B$16</definedName>
    <definedName name="A00274_">'[17]TB APJ'!$B$17</definedName>
    <definedName name="A0028_">'[17]TB APJ'!$B$332</definedName>
    <definedName name="A00280_">'[17]TB APJ'!#REF!</definedName>
    <definedName name="A00281_">'[17]TB APJ'!#REF!</definedName>
    <definedName name="A00283_">'[17]TB APJ'!#REF!</definedName>
    <definedName name="A00290_">'[17]TB APJ'!#REF!</definedName>
    <definedName name="A00291_">'[17]TB APJ'!$B$250</definedName>
    <definedName name="A00293_">'[17]TB APJ'!$B$333</definedName>
    <definedName name="A00294_">'[17]TB APJ'!#REF!</definedName>
    <definedName name="A00295_">'[17]TB APJ'!#REF!</definedName>
    <definedName name="A00296_">'[17]TB APJ'!#REF!</definedName>
    <definedName name="A00297_">'[17]TB APJ'!#REF!</definedName>
    <definedName name="A00300_">'[16]TB APJ'!#REF!</definedName>
    <definedName name="A00301_">'[17]TB APJ'!#REF!</definedName>
    <definedName name="A00302_">'[17]TB APJ'!#REF!</definedName>
    <definedName name="A00303_">[18]tb!$B$25</definedName>
    <definedName name="A00305_">'[17]TB APJ'!#REF!</definedName>
    <definedName name="A00306_">'[16]TB WORLI'!#REF!</definedName>
    <definedName name="A00314_">'[17]TB APJ'!#REF!</definedName>
    <definedName name="A00315_">'[17]TB APJ'!#REF!</definedName>
    <definedName name="A00317_">'[17]TB APJ'!#REF!</definedName>
    <definedName name="A00318_">'[17]TB APJ'!#REF!</definedName>
    <definedName name="A00319_">'[17]TB APJ'!$B$307</definedName>
    <definedName name="A00320_">'[17]TB APJ'!$B$335</definedName>
    <definedName name="A00321_">'[17]TB APJ'!#REF!</definedName>
    <definedName name="A00322_">'[17]TB APJ'!$B$336</definedName>
    <definedName name="A00323_">'[16]TB APJ'!#REF!</definedName>
    <definedName name="A00324_">'[17]TB APJ'!#REF!</definedName>
    <definedName name="A00325_">'[17]TB APJ'!#REF!</definedName>
    <definedName name="A00326_">'[17]TB APJ'!$B$337</definedName>
    <definedName name="A00327_">'[17]TB APJ'!$B$338</definedName>
    <definedName name="A00330_">'[17]TB APJ'!#REF!</definedName>
    <definedName name="A00331_">'[17]TB APJ'!$B$308</definedName>
    <definedName name="A00333_">'[17]TB APJ'!#REF!</definedName>
    <definedName name="A00334_">'[17]TB APJ'!#REF!</definedName>
    <definedName name="A00335_">'[17]TB APJ'!#REF!</definedName>
    <definedName name="A00338_">'[17]TB APJ'!#REF!</definedName>
    <definedName name="A00340_">'[17]TB APJ'!#REF!</definedName>
    <definedName name="A00341_">'[17]TB APJ'!#REF!</definedName>
    <definedName name="A00342_">'[17]TB APJ'!$B$339</definedName>
    <definedName name="A00344_">'[17]TB APJ'!#REF!</definedName>
    <definedName name="A00345_">'[17]TB APJ'!#REF!</definedName>
    <definedName name="A00346_">'[17]TB APJ'!#REF!</definedName>
    <definedName name="A00348_">'[17]TB APJ'!#REF!</definedName>
    <definedName name="A00349_">'[17]TB APJ'!#REF!</definedName>
    <definedName name="A00350_">'[17]TB APJ'!$B$340</definedName>
    <definedName name="A00351_">'[17]TB APJ'!#REF!</definedName>
    <definedName name="A00352_">'[17]TB APJ'!$B$20</definedName>
    <definedName name="A00353_">'[17]TB APJ'!#REF!</definedName>
    <definedName name="A00354_">'[17]TB APJ'!$B$341</definedName>
    <definedName name="A00355_">'[17]TB APJ'!$B$342</definedName>
    <definedName name="A00357_">'[17]TB APJ'!$B$343</definedName>
    <definedName name="A00358_">'[17]TB APJ'!$B$344</definedName>
    <definedName name="A00359_">'[17]TB APJ'!$B$254</definedName>
    <definedName name="A00362_">'[17]TB APJ'!#REF!</definedName>
    <definedName name="A00366_">'[17]TB APJ'!#REF!</definedName>
    <definedName name="A00367_">'[17]TB APJ'!$B$21</definedName>
    <definedName name="A00368_">'[17]TB APJ'!$B$22</definedName>
    <definedName name="A00369_">'[17]TB APJ'!#REF!</definedName>
    <definedName name="A00370_">'[17]TB APJ'!$B$23</definedName>
    <definedName name="A00372_">'[17]TB APJ'!$B$235</definedName>
    <definedName name="A00376_">'[17]TB APJ'!#REF!</definedName>
    <definedName name="A00379_">'[17]TB APJ'!#REF!</definedName>
    <definedName name="A00381_">'[17]TB APJ'!#REF!</definedName>
    <definedName name="A00383_">'[17]TB APJ'!#REF!</definedName>
    <definedName name="A00386_">'[17]TB APJ'!#REF!</definedName>
    <definedName name="A00387_">'[17]TB APJ'!#REF!</definedName>
    <definedName name="A00388_">'[17]TB APJ'!#REF!</definedName>
    <definedName name="A00389_">'[17]TB APJ'!#REF!</definedName>
    <definedName name="A00391_">'[17]TB APJ'!#REF!</definedName>
    <definedName name="A00392_">'[17]TB APJ'!#REF!</definedName>
    <definedName name="A00393_">'[17]TB APJ'!#REF!</definedName>
    <definedName name="A00394_">'[17]TB APJ'!#REF!</definedName>
    <definedName name="A00395_">'[17]TB APJ'!#REF!</definedName>
    <definedName name="A00396_">'[17]TB APJ'!#REF!</definedName>
    <definedName name="A00397_">'[17]TB APJ'!$B$351</definedName>
    <definedName name="A00398_">'[17]TB APJ'!#REF!</definedName>
    <definedName name="A0040_">'[17]TB APJ'!#REF!</definedName>
    <definedName name="A00400_">'[17]TB APJ'!#REF!</definedName>
    <definedName name="A00402_">'[17]TB APJ'!$B$309</definedName>
    <definedName name="A00403_">'[17]TB APJ'!$B$25</definedName>
    <definedName name="A00404_">'[17]TB APJ'!#REF!</definedName>
    <definedName name="A00405_">'[17]TB APJ'!$B$26</definedName>
    <definedName name="A00407_">'[17]TB APJ'!#REF!</definedName>
    <definedName name="A00409_">'[17]TB APJ'!$B$256</definedName>
    <definedName name="A00410_">'[17]TB APJ'!#REF!</definedName>
    <definedName name="A00411_">'[17]TB APJ'!#REF!</definedName>
    <definedName name="A00412_">'[17]TB APJ'!#REF!</definedName>
    <definedName name="A00413_">'[17]TB APJ'!#REF!</definedName>
    <definedName name="A00416_">'[17]TB APJ'!#REF!</definedName>
    <definedName name="A00420_">'[17]TB APJ'!#REF!</definedName>
    <definedName name="A00421_">'[17]TB APJ'!#REF!</definedName>
    <definedName name="A00422_">'[17]TB APJ'!#REF!</definedName>
    <definedName name="A00423_">'[17]TB APJ'!$B$27</definedName>
    <definedName name="A00424_">'[17]TB APJ'!$B$28</definedName>
    <definedName name="A00425_">'[17]TB APJ'!#REF!</definedName>
    <definedName name="A00426_">'[17]TB APJ'!$B$353</definedName>
    <definedName name="A00427_">'[17]TB APJ'!$B$258</definedName>
    <definedName name="A00430_">'[17]TB APJ'!$B$29</definedName>
    <definedName name="A00433_">'[17]TB APJ'!#REF!</definedName>
    <definedName name="A00434_">'[17]TB APJ'!$B$260</definedName>
    <definedName name="A00435_">'[17]TB APJ'!#REF!</definedName>
    <definedName name="A00436_">'[17]TB APJ'!#REF!</definedName>
    <definedName name="A00437_">'[17]TB APJ'!#REF!</definedName>
    <definedName name="A0044_">'[17]TB APJ'!#REF!</definedName>
    <definedName name="A00441_">'[17]TB APJ'!#REF!</definedName>
    <definedName name="A00442_">'[17]TB APJ'!$B$354</definedName>
    <definedName name="A00443_">'[17]TB APJ'!$B$261</definedName>
    <definedName name="A00444_">'[17]TB APJ'!#REF!</definedName>
    <definedName name="A00445_">'[17]TB APJ'!$B$355</definedName>
    <definedName name="A00446_">'[17]TB APJ'!$B$31</definedName>
    <definedName name="A00448_">'[17]TB APJ'!#REF!</definedName>
    <definedName name="A0045_">[18]tb!$B$92</definedName>
    <definedName name="A00453_">'[17]TB APJ'!$B$32</definedName>
    <definedName name="A00457_">'[17]TB APJ'!$B$34</definedName>
    <definedName name="A0048_">'[17]TB APJ'!#REF!</definedName>
    <definedName name="A0049_">'[16]TB WORLI'!#REF!</definedName>
    <definedName name="A0050_">'[17]TB APJ'!$B$36</definedName>
    <definedName name="A0052_">'[17]TB APJ'!#REF!</definedName>
    <definedName name="A0053_">'[17]TB APJ'!$B$37</definedName>
    <definedName name="A0057_">'[17]TB APJ'!$B$38</definedName>
    <definedName name="A0060_">'[17]TB APJ'!$B$39</definedName>
    <definedName name="A0061_">'[17]TB APJ'!#REF!</definedName>
    <definedName name="A0062_">'[17]TB APJ'!$B$40</definedName>
    <definedName name="A0064_">[18]tb!$B$101</definedName>
    <definedName name="A0065_">'[17]TB APJ'!$B$357</definedName>
    <definedName name="A0066_">'[17]TB APJ'!$B$41</definedName>
    <definedName name="A0067_">'[17]TB APJ'!$B$42</definedName>
    <definedName name="A0069_">'[16]TB APJ'!#REF!</definedName>
    <definedName name="A0070_">'[17]TB APJ'!$B$43</definedName>
    <definedName name="A0071_">'[17]TB APJ'!$B$44</definedName>
    <definedName name="A0072_">'[17]TB APJ'!$B$45</definedName>
    <definedName name="A0074_">'[17]TB APJ'!$B$46</definedName>
    <definedName name="A0075_">'[17]TB APJ'!$B$425</definedName>
    <definedName name="A0078_">'[17]TB APJ'!#REF!</definedName>
    <definedName name="A0080_">'[17]TB APJ'!$B$47</definedName>
    <definedName name="A0081_">'[17]TB APJ'!$B$48</definedName>
    <definedName name="A0082_">'[17]TB APJ'!#REF!</definedName>
    <definedName name="A0084_">'[17]TB APJ'!$B$49</definedName>
    <definedName name="A0085_">'[17]TB APJ'!$B$241</definedName>
    <definedName name="A0087_">'[17]TB APJ'!$B$359</definedName>
    <definedName name="A0088_">'[17]TB APJ'!$B$50</definedName>
    <definedName name="A0096_">'[17]TB APJ'!#REF!</definedName>
    <definedName name="A0100_">'[17]TB APJ'!$B$51</definedName>
    <definedName name="A0101_">'[17]TB APJ'!#REF!</definedName>
    <definedName name="A0103_">'[17]TB APJ'!$B$268</definedName>
    <definedName name="A0114_">'[17]TB APJ'!$B$52</definedName>
    <definedName name="A0115_">'[17]TB APJ'!$B$53</definedName>
    <definedName name="A0116_">'[17]TB APJ'!$B$269</definedName>
    <definedName name="A0118_">'[17]TB APJ'!$B$54</definedName>
    <definedName name="A0119_">'[17]TB APJ'!$B$55</definedName>
    <definedName name="A0126_">'[17]TB APJ'!#REF!</definedName>
    <definedName name="A0127_">'[17]TB APJ'!#REF!</definedName>
    <definedName name="A0129_">'[17]TB APJ'!#REF!</definedName>
    <definedName name="A0141_">'[17]TB APJ'!$B$56</definedName>
    <definedName name="A0142_">'[17]TB APJ'!$B$57</definedName>
    <definedName name="A0146_">'[16]TB APJ'!#REF!</definedName>
    <definedName name="A0154_">'[17]TB APJ'!$B$58</definedName>
    <definedName name="A0155_">'[17]TB APJ'!#REF!</definedName>
    <definedName name="A10002_">'[17]TB APJ'!$B$59</definedName>
    <definedName name="A10007_">'[17]TB APJ'!$B$312</definedName>
    <definedName name="A10019_">'[16]TB APJ'!$B$48</definedName>
    <definedName name="A10037_">'[16]TB APJ'!#REF!</definedName>
    <definedName name="A10041_">'[16]TB APJ'!#REF!</definedName>
    <definedName name="A10066_">'[16]TB APJ'!#REF!</definedName>
    <definedName name="A10069_">'[16]TB APJ'!#REF!</definedName>
    <definedName name="A10087_">'[16]TB APJ'!#REF!</definedName>
    <definedName name="A10104_">'[17]TB APJ'!$B$315</definedName>
    <definedName name="A10106_">'[16]TB APJ'!#REF!</definedName>
    <definedName name="A10112_">'[17]TB APJ'!$B$60</definedName>
    <definedName name="A10117_">'[17]TB APJ'!$B$61</definedName>
    <definedName name="A10119_">'[17]TB APJ'!$B$426</definedName>
    <definedName name="A10122_">'[17]TB APJ'!$B$63</definedName>
    <definedName name="A10123_">'[17]TB APJ'!$B$64</definedName>
    <definedName name="A10124_">'[17]TB APJ'!$B$65</definedName>
    <definedName name="AA">#REF!</definedName>
    <definedName name="AA0005_">'[16]TB WORLI'!#REF!</definedName>
    <definedName name="AA0015_">'[16]TB WORLI'!#REF!</definedName>
    <definedName name="AA00212_">'[16]TB WORLI'!#REF!</definedName>
    <definedName name="AA00223_">'[16]TB WORLI'!#REF!</definedName>
    <definedName name="AA00231_">'[16]TB WORLI'!#REF!</definedName>
    <definedName name="AA00237_">'[16]TB WORLI'!#REF!</definedName>
    <definedName name="AA0026_">'[16]TB WORLI'!#REF!</definedName>
    <definedName name="AA00273_">'[16]TB WORLI'!#REF!</definedName>
    <definedName name="AA00288_">'[16]TB WORLI'!#REF!</definedName>
    <definedName name="AA00291_">'[16]TB WORLI'!#REF!</definedName>
    <definedName name="AA00294_">'[16]TB WORLI'!#REF!</definedName>
    <definedName name="AA00295_">'[16]TB WORLI'!#REF!</definedName>
    <definedName name="AA00298_">'[16]TB WORLI'!#REF!</definedName>
    <definedName name="AA00301_">'[16]TB WORLI'!#REF!</definedName>
    <definedName name="AA00302_">'[16]TB WORLI'!#REF!</definedName>
    <definedName name="AA00306_">'[16]TB WORLI'!#REF!</definedName>
    <definedName name="AA00307_">'[16]TB WORLI'!#REF!</definedName>
    <definedName name="AA00308_">'[16]TB WORLI'!#REF!</definedName>
    <definedName name="AA00310_">'[16]TB WORLI'!#REF!</definedName>
    <definedName name="AA00318_">'[16]TB WORLI'!#REF!</definedName>
    <definedName name="AA00321_">'[16]TB WORLI'!#REF!</definedName>
    <definedName name="AA00324_">'[16]TB WORLI'!#REF!</definedName>
    <definedName name="AA00325_">'[16]TB WORLI'!#REF!</definedName>
    <definedName name="AA00326_">'[16]TB WORLI'!#REF!</definedName>
    <definedName name="AA00327_">'[16]TB WORLI'!#REF!</definedName>
    <definedName name="AA00328_">'[16]TB WORLI'!#REF!</definedName>
    <definedName name="AA00329_">'[16]TB WORLI'!#REF!</definedName>
    <definedName name="AA00330_">'[16]TB WORLI'!#REF!</definedName>
    <definedName name="AA00332_">'[16]TB WORLI'!#REF!</definedName>
    <definedName name="AA00337_">'[16]TB WORLI'!#REF!</definedName>
    <definedName name="AA00338_">'[16]TB WORLI'!#REF!</definedName>
    <definedName name="AA00361_">'[16]TB WORLI'!#REF!</definedName>
    <definedName name="AA00362_">'[16]TB WORLI'!#REF!</definedName>
    <definedName name="AA00367_">'[16]TB WORLI'!#REF!</definedName>
    <definedName name="AA00368_">'[16]TB WORLI'!#REF!</definedName>
    <definedName name="AA00369_">'[16]TB WORLI'!#REF!</definedName>
    <definedName name="AA00370_">'[16]TB WORLI'!#REF!</definedName>
    <definedName name="AA00372_">'[16]TB WORLI'!#REF!</definedName>
    <definedName name="AA00373_">'[16]TB WORLI'!#REF!</definedName>
    <definedName name="AA00374_">'[16]TB WORLI'!#REF!</definedName>
    <definedName name="AA00375_">'[16]TB WORLI'!#REF!</definedName>
    <definedName name="AA00376_">'[16]TB WORLI'!#REF!</definedName>
    <definedName name="AA00377_">'[16]TB WORLI'!#REF!</definedName>
    <definedName name="AA00378_">'[16]TB WORLI'!#REF!</definedName>
    <definedName name="AA00379_">'[16]TB WORLI'!#REF!</definedName>
    <definedName name="AA0038_">'[16]TB WORLI'!#REF!</definedName>
    <definedName name="AA00380_">'[16]TB WORLI'!#REF!</definedName>
    <definedName name="AA00381_">'[16]TB WORLI'!#REF!</definedName>
    <definedName name="AA00382_">'[16]TB WORLI'!#REF!</definedName>
    <definedName name="AA00386_">'[16]TB WORLI'!#REF!</definedName>
    <definedName name="AA00387_">'[16]TB WORLI'!#REF!</definedName>
    <definedName name="AA00388_">'[16]TB WORLI'!#REF!</definedName>
    <definedName name="AA00389_">'[16]TB WORLI'!#REF!</definedName>
    <definedName name="AA00390_">'[16]TB WORLI'!#REF!</definedName>
    <definedName name="AA00392_">'[16]TB WORLI'!#REF!</definedName>
    <definedName name="AA00397_">'[16]TB WORLI'!#REF!</definedName>
    <definedName name="AA00400_">'[16]TB WORLI'!#REF!</definedName>
    <definedName name="AA00402_">'[16]TB WORLI'!#REF!</definedName>
    <definedName name="AA00420_">'[16]TB WORLI'!#REF!</definedName>
    <definedName name="AA00434_">'[16]TB WORLI'!#REF!</definedName>
    <definedName name="AA00435_">'[16]TB WORLI'!#REF!</definedName>
    <definedName name="AA00436_">'[16]TB WORLI'!#REF!</definedName>
    <definedName name="AA00437_">'[16]TB WORLI'!#REF!</definedName>
    <definedName name="AA00439_">'[16]TB WORLI'!#REF!</definedName>
    <definedName name="AA00440_">'[16]TB WORLI'!#REF!</definedName>
    <definedName name="AA00441_">'[16]TB WORLI'!#REF!</definedName>
    <definedName name="AA00442_">'[16]TB WORLI'!#REF!</definedName>
    <definedName name="AA00444_">'[16]TB WORLI'!#REF!</definedName>
    <definedName name="AA00445_">'[16]TB WORLI'!#REF!</definedName>
    <definedName name="AA00446_">'[16]TB WORLI'!#REF!</definedName>
    <definedName name="AA00447_">'[16]TB WORLI'!#REF!</definedName>
    <definedName name="AA00452_">'[16]TB WORLI'!#REF!</definedName>
    <definedName name="AA00454_">'[16]TB WORLI'!#REF!</definedName>
    <definedName name="AA0049_">'[16]TB WORLI'!#REF!</definedName>
    <definedName name="AA0065_">'[16]TB WORLI'!#REF!</definedName>
    <definedName name="AA0131_">'[16]TB WORLI'!#REF!</definedName>
    <definedName name="AA0142_">'[16]TB WORLI'!#REF!</definedName>
    <definedName name="AAA" localSheetId="15">#REF!</definedName>
    <definedName name="AAA" localSheetId="11">#REF!</definedName>
    <definedName name="AAA" localSheetId="16">#REF!</definedName>
    <definedName name="AAA" localSheetId="13">#REF!</definedName>
    <definedName name="AAA">#REF!</definedName>
    <definedName name="AAAAAAA" localSheetId="15">#REF!</definedName>
    <definedName name="AAAAAAA" localSheetId="16">#REF!</definedName>
    <definedName name="AAAAAAA">#REF!</definedName>
    <definedName name="abc" localSheetId="15">#REF!</definedName>
    <definedName name="ABC" localSheetId="11">'[3]BS&amp;PLA'!#REF!</definedName>
    <definedName name="abc" localSheetId="16">#REF!</definedName>
    <definedName name="ABC" localSheetId="13">'[3]BS&amp;PLA'!#REF!</definedName>
    <definedName name="abc">#REF!</definedName>
    <definedName name="abnl"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 localSheetId="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CTUAL">#REF!</definedName>
    <definedName name="Actual_vs.">#REF!</definedName>
    <definedName name="AE00250_">'[16]TB WORLI'!#REF!</definedName>
    <definedName name="AE00251_">'[16]TB WORLI'!#REF!</definedName>
    <definedName name="AE00281_">'[16]TB WORLI'!#REF!</definedName>
    <definedName name="AE00289_">'[16]TB WORLI'!#REF!</definedName>
    <definedName name="AE0159_">'[16]TB WORLI'!#REF!</definedName>
    <definedName name="AE0160_">'[16]TB WORLI'!#REF!</definedName>
    <definedName name="AE0211_">'[16]TB WORLI'!#REF!</definedName>
    <definedName name="AE0219_">'[16]TB WORLI'!#REF!</definedName>
    <definedName name="AE0225_">'[16]TB WORLI'!#REF!</definedName>
    <definedName name="AE0232_">'[16]TB WORLI'!#REF!</definedName>
    <definedName name="AE0243_">'[16]TB WORLI'!#REF!</definedName>
    <definedName name="AH" localSheetId="15">#REF!</definedName>
    <definedName name="AH" localSheetId="11">#REF!</definedName>
    <definedName name="AH" localSheetId="16">#REF!</definedName>
    <definedName name="AH" localSheetId="13">#REF!</definedName>
    <definedName name="AH">#REF!</definedName>
    <definedName name="AI00296_">'[16]TB WORLI'!#REF!</definedName>
    <definedName name="AI00298_">'[16]TB WORLI'!#REF!</definedName>
    <definedName name="AI00319_">'[16]TB WORLI'!#REF!</definedName>
    <definedName name="AI00320_">'[16]TB WORLI'!#REF!</definedName>
    <definedName name="AI00321_">'[16]TB WORLI'!#REF!</definedName>
    <definedName name="AI0256_">'[16]TB WORLI'!#REF!</definedName>
    <definedName name="AI0286_">'[16]TB WORLI'!#REF!</definedName>
    <definedName name="AJ" localSheetId="15">#REF!</definedName>
    <definedName name="AJ" localSheetId="11">#REF!</definedName>
    <definedName name="AJ" localSheetId="16">#REF!</definedName>
    <definedName name="AJ" localSheetId="13">#REF!</definedName>
    <definedName name="AJ">#REF!</definedName>
    <definedName name="AL00382_">'[16]TB WORLI'!#REF!</definedName>
    <definedName name="AL00623_">'[16]TB WORLI'!#REF!</definedName>
    <definedName name="AL00655_">'[16]TB WORLI'!#REF!</definedName>
    <definedName name="AL00664_">'[16]TB WORLI'!#REF!</definedName>
    <definedName name="AL0333_">'[16]TB WORLI'!#REF!</definedName>
    <definedName name="AL0342_">'[16]TB WORLI'!#REF!</definedName>
    <definedName name="AL0355_">'[16]TB WORLI'!#REF!</definedName>
    <definedName name="anan" localSheetId="15">IF('Advance for Capital Goods'!Loan_Amount*'Advance for Capital Goods'!Interest_Rate*'Advance for Capital Goods'!Loan_Years*'Advance for Capital Goods'!Loan_Start&gt;0,1,0)</definedName>
    <definedName name="anan" localSheetId="25">IF('Advance for Capital Goods'!Loan_Amount*'Advance for Capital Goods'!Interest_Rate*'Advance for Capital Goods'!Loan_Years*'Advance for Capital Goods'!Loan_Start&gt;0,1,0)</definedName>
    <definedName name="anan" localSheetId="16">IF(FDR!Loan_Amount*FDR!Interest_Rate*FDR!Loan_Years*FDR!Loan_Start&gt;0,1,0)</definedName>
    <definedName name="anan" localSheetId="19">IF('Advance for Capital Goods'!Loan_Amount*'Advance for Capital Goods'!Interest_Rate*'Advance for Capital Goods'!Loan_Years*'Advance for Capital Goods'!Loan_Start&gt;0,1,0)</definedName>
    <definedName name="anan" localSheetId="0">#N/A</definedName>
    <definedName name="anan">IF('Advance for Capital Goods'!Loan_Amount*'Advance for Capital Goods'!Interest_Rate*'Advance for Capital Goods'!Loan_Years*'Advance for Capital Goods'!Loan_Start&gt;0,1,0)</definedName>
    <definedName name="ANANT" localSheetId="0">#REF!</definedName>
    <definedName name="ANANT">#REF!</definedName>
    <definedName name="ANDAMAN_AND_NICOBAR_ISLANDS" localSheetId="15">#REF!</definedName>
    <definedName name="ANDAMAN_AND_NICOBAR_ISLANDS" localSheetId="25">#REF!</definedName>
    <definedName name="ANDAMAN_AND_NICOBAR_ISLANDS" localSheetId="11">#REF!</definedName>
    <definedName name="ANDAMAN_AND_NICOBAR_ISLANDS" localSheetId="16">#REF!</definedName>
    <definedName name="ANDAMAN_AND_NICOBAR_ISLANDS" localSheetId="13">#REF!</definedName>
    <definedName name="ANDAMAN_AND_NICOBAR_ISLANDS" localSheetId="19">#REF!</definedName>
    <definedName name="ANDAMAN_AND_NICOBAR_ISLANDS">#REF!</definedName>
    <definedName name="Annexure">#REF!</definedName>
    <definedName name="annexureChallanSrno" localSheetId="15">'[19]Annexure-I'!$A$11:$A$105</definedName>
    <definedName name="annexureChallanSrno" localSheetId="16">'[19]Annexure-I'!$A$11:$A$105</definedName>
    <definedName name="annexureChallanSrno">'[20]Annexure-I'!$A$11:$A$105</definedName>
    <definedName name="annexureTDS" localSheetId="15">'[19]Annexure-I'!$R$11:$R$105</definedName>
    <definedName name="annexureTDS" localSheetId="16">'[19]Annexure-I'!$R$11:$R$105</definedName>
    <definedName name="annexureTDS">'[20]Annexure-I'!$R$11:$R$105</definedName>
    <definedName name="annexureTotalDeposit" localSheetId="15">'[19]Annexure-I'!$W$11:$W$105</definedName>
    <definedName name="annexureTotalDeposit" localSheetId="16">'[19]Annexure-I'!$W$11:$W$105</definedName>
    <definedName name="annexureTotalDeposit">'[20]Annexure-I'!$W$11:$W$105</definedName>
    <definedName name="AnnualLowerEarningsLimit">3484</definedName>
    <definedName name="AnnualPrimaryThreshold">4628</definedName>
    <definedName name="AnnualSecondaryThreshold">4615</definedName>
    <definedName name="AnnualUpperEarningsLimit">30940</definedName>
    <definedName name="anscount" hidden="1">1</definedName>
    <definedName name="AR" localSheetId="15">#REF!</definedName>
    <definedName name="AR" localSheetId="25">#REF!</definedName>
    <definedName name="AR" localSheetId="11">#REF!</definedName>
    <definedName name="AR" localSheetId="16">#REF!</definedName>
    <definedName name="AR" localSheetId="13">#REF!</definedName>
    <definedName name="AR" localSheetId="19">#REF!</definedName>
    <definedName name="AR">#REF!</definedName>
    <definedName name="archana">[21]Summary!$A$65:$A$66</definedName>
    <definedName name="architect" localSheetId="15">#REF!</definedName>
    <definedName name="architect" localSheetId="25">#REF!</definedName>
    <definedName name="architect" localSheetId="11">#REF!</definedName>
    <definedName name="architect" localSheetId="16">#REF!</definedName>
    <definedName name="architect" localSheetId="13">#REF!</definedName>
    <definedName name="architect" localSheetId="19">#REF!</definedName>
    <definedName name="architect">#REF!</definedName>
    <definedName name="as" localSheetId="15">#REF!</definedName>
    <definedName name="as" localSheetId="25">#REF!</definedName>
    <definedName name="as" localSheetId="11">#REF!</definedName>
    <definedName name="as" localSheetId="16">#REF!</definedName>
    <definedName name="as" localSheetId="13">#REF!</definedName>
    <definedName name="as" localSheetId="19">#REF!</definedName>
    <definedName name="as">#REF!</definedName>
    <definedName name="AS2DocOpenMode" hidden="1">"AS2DocumentEdit"</definedName>
    <definedName name="ashish" localSheetId="15">#REF!</definedName>
    <definedName name="ashish" localSheetId="25">#REF!</definedName>
    <definedName name="ashish" localSheetId="16">#REF!</definedName>
    <definedName name="ashish" localSheetId="19">#REF!</definedName>
    <definedName name="ashish">#REF!</definedName>
    <definedName name="ASIA_PLASTIC_in_KUSD">#REF!</definedName>
    <definedName name="ASS" localSheetId="15">#REF!</definedName>
    <definedName name="ASS" localSheetId="11">#REF!</definedName>
    <definedName name="ASS" localSheetId="16">#REF!</definedName>
    <definedName name="ASS" localSheetId="13">#REF!</definedName>
    <definedName name="ASS">#REF!</definedName>
    <definedName name="assetfull_4" localSheetId="15">#REF!</definedName>
    <definedName name="assetfull_4" localSheetId="11">#REF!</definedName>
    <definedName name="assetfull_4" localSheetId="16">#REF!</definedName>
    <definedName name="assetfull_4" localSheetId="13">#REF!</definedName>
    <definedName name="assetfull_4">#REF!</definedName>
    <definedName name="assetfull_5" localSheetId="15">#REF!</definedName>
    <definedName name="assetfull_5" localSheetId="11">#REF!</definedName>
    <definedName name="assetfull_5" localSheetId="16">#REF!</definedName>
    <definedName name="assetfull_5" localSheetId="13">#REF!</definedName>
    <definedName name="assetfull_5">#REF!</definedName>
    <definedName name="assetfull_6" localSheetId="15">#REF!</definedName>
    <definedName name="assetfull_6" localSheetId="11">#REF!</definedName>
    <definedName name="assetfull_6" localSheetId="16">#REF!</definedName>
    <definedName name="assetfull_6" localSheetId="13">#REF!</definedName>
    <definedName name="assetfull_6">#REF!</definedName>
    <definedName name="assetfull_7" localSheetId="15">#REF!</definedName>
    <definedName name="assetfull_7" localSheetId="11">#REF!</definedName>
    <definedName name="assetfull_7" localSheetId="16">#REF!</definedName>
    <definedName name="assetfull_7" localSheetId="13">#REF!</definedName>
    <definedName name="assetfull_7">#REF!</definedName>
    <definedName name="assetfull_8" localSheetId="15">#REF!</definedName>
    <definedName name="assetfull_8" localSheetId="11">#REF!</definedName>
    <definedName name="assetfull_8" localSheetId="16">#REF!</definedName>
    <definedName name="assetfull_8" localSheetId="13">#REF!</definedName>
    <definedName name="assetfull_8">#REF!</definedName>
    <definedName name="ASSETS1_4" localSheetId="15">#REF!</definedName>
    <definedName name="ASSETS1_4" localSheetId="11">#REF!</definedName>
    <definedName name="ASSETS1_4" localSheetId="16">#REF!</definedName>
    <definedName name="ASSETS1_4" localSheetId="13">#REF!</definedName>
    <definedName name="ASSETS1_4">#REF!</definedName>
    <definedName name="ASSETS1_5" localSheetId="15">#REF!</definedName>
    <definedName name="ASSETS1_5" localSheetId="11">#REF!</definedName>
    <definedName name="ASSETS1_5" localSheetId="16">#REF!</definedName>
    <definedName name="ASSETS1_5" localSheetId="13">#REF!</definedName>
    <definedName name="ASSETS1_5">#REF!</definedName>
    <definedName name="ASSETS1_6" localSheetId="15">#REF!</definedName>
    <definedName name="ASSETS1_6" localSheetId="11">#REF!</definedName>
    <definedName name="ASSETS1_6" localSheetId="16">#REF!</definedName>
    <definedName name="ASSETS1_6" localSheetId="13">#REF!</definedName>
    <definedName name="ASSETS1_6">#REF!</definedName>
    <definedName name="ASSETS1_7" localSheetId="15">#REF!</definedName>
    <definedName name="ASSETS1_7" localSheetId="11">#REF!</definedName>
    <definedName name="ASSETS1_7" localSheetId="16">#REF!</definedName>
    <definedName name="ASSETS1_7" localSheetId="13">#REF!</definedName>
    <definedName name="ASSETS1_7">#REF!</definedName>
    <definedName name="ASSETS1_8" localSheetId="15">#REF!</definedName>
    <definedName name="ASSETS1_8" localSheetId="11">#REF!</definedName>
    <definedName name="ASSETS1_8" localSheetId="16">#REF!</definedName>
    <definedName name="ASSETS1_8" localSheetId="13">#REF!</definedName>
    <definedName name="ASSETS1_8">#REF!</definedName>
    <definedName name="AssetType">[11]Sheet1!$C$1:$C$5</definedName>
    <definedName name="ASST2_4" localSheetId="15">#REF!</definedName>
    <definedName name="ASST2_4" localSheetId="11">#REF!</definedName>
    <definedName name="ASST2_4" localSheetId="16">#REF!</definedName>
    <definedName name="ASST2_4" localSheetId="13">#REF!</definedName>
    <definedName name="ASST2_4">#REF!</definedName>
    <definedName name="ASST2_5" localSheetId="15">#REF!</definedName>
    <definedName name="ASST2_5" localSheetId="11">#REF!</definedName>
    <definedName name="ASST2_5" localSheetId="16">#REF!</definedName>
    <definedName name="ASST2_5" localSheetId="13">#REF!</definedName>
    <definedName name="ASST2_5">#REF!</definedName>
    <definedName name="ASST2_6" localSheetId="15">#REF!</definedName>
    <definedName name="ASST2_6" localSheetId="11">#REF!</definedName>
    <definedName name="ASST2_6" localSheetId="16">#REF!</definedName>
    <definedName name="ASST2_6" localSheetId="13">#REF!</definedName>
    <definedName name="ASST2_6">#REF!</definedName>
    <definedName name="ASST2_7" localSheetId="15">#REF!</definedName>
    <definedName name="ASST2_7" localSheetId="11">#REF!</definedName>
    <definedName name="ASST2_7" localSheetId="16">#REF!</definedName>
    <definedName name="ASST2_7" localSheetId="13">#REF!</definedName>
    <definedName name="ASST2_7">#REF!</definedName>
    <definedName name="ASST2_8" localSheetId="15">#REF!</definedName>
    <definedName name="ASST2_8" localSheetId="11">#REF!</definedName>
    <definedName name="ASST2_8" localSheetId="16">#REF!</definedName>
    <definedName name="ASST2_8" localSheetId="13">#REF!</definedName>
    <definedName name="ASST2_8">#REF!</definedName>
    <definedName name="AsstYr">[22]Masters!$C$34</definedName>
    <definedName name="AudName">[23]Masters!$C$13</definedName>
    <definedName name="Avg.">#REF!</definedName>
    <definedName name="axedoc">#REF!</definedName>
    <definedName name="AY" localSheetId="15">#REF!</definedName>
    <definedName name="AY" localSheetId="11">#REF!</definedName>
    <definedName name="AY" localSheetId="16">#REF!</definedName>
    <definedName name="AY" localSheetId="13">#REF!</definedName>
    <definedName name="AY">#REF!</definedName>
    <definedName name="b" localSheetId="15">#REF!</definedName>
    <definedName name="b" localSheetId="11">#REF!</definedName>
    <definedName name="b" localSheetId="16">#REF!</definedName>
    <definedName name="b" localSheetId="13">#REF!</definedName>
    <definedName name="b">#REF!</definedName>
    <definedName name="BA0007_">'[17]TB WORLI'!$B$5</definedName>
    <definedName name="BA0008_">'[17]TB WORLI'!$B$6</definedName>
    <definedName name="BA00169_">'[17]TB WORLI'!$B$8</definedName>
    <definedName name="BA00212_">'[16]TB WORLI'!$B$136</definedName>
    <definedName name="BA00223_">'[17]TB WORLI'!$B$10</definedName>
    <definedName name="BA00238_">'[17]TB WORLI'!$B$13</definedName>
    <definedName name="BA00270_">'[16]TB WORLI'!$B$8</definedName>
    <definedName name="BA00271_">'[17]TB WORLI'!$B$16</definedName>
    <definedName name="BA00298_">'[16]TB WORLI'!$B$139</definedName>
    <definedName name="BA00301_">'[17]TB WORLI'!$B$23</definedName>
    <definedName name="BA00302_">'[17]TB WORLI'!$B$24</definedName>
    <definedName name="BA00303_">'[17]TB WORLI'!$B$25</definedName>
    <definedName name="BA00304_">'[17]TB WORLI'!$B$26</definedName>
    <definedName name="BA00319_">'[17]TB WORLI'!$B$32</definedName>
    <definedName name="BA00338_">'[17]TB WORLI'!$B$45</definedName>
    <definedName name="BA00339_">'[17]TB WORLI'!$B$46</definedName>
    <definedName name="BA00358_">'[17]TB WORLI'!$B$47</definedName>
    <definedName name="BA00362_">'[17]TB WORLI'!$B$49</definedName>
    <definedName name="BA00371_">'[17]TB WORLI'!$B$54</definedName>
    <definedName name="BA00405_">'[16]TB WORLI'!$B$18</definedName>
    <definedName name="BA00433_">'[17]TB WORLI'!$B$78</definedName>
    <definedName name="BA00434_">'[17]TB WORLI'!$B$79</definedName>
    <definedName name="BA00437_">'[17]TB WORLI'!$B$82</definedName>
    <definedName name="BA00441_">'[17]TB WORLI'!$B$85</definedName>
    <definedName name="BA00442_">'[17]TB WORLI'!$B$86</definedName>
    <definedName name="BA00449_">'[17]TB WORLI'!$B$91</definedName>
    <definedName name="BA0045_">'[17]TB WORLI'!$B$92</definedName>
    <definedName name="BA00450_">'[16]TB WORLI'!$B$22</definedName>
    <definedName name="BA00453_">'[16]TB WORLI'!$B$23</definedName>
    <definedName name="BA0049_">'[17]TB WORLI'!$B$97</definedName>
    <definedName name="BA0051_">'[17]TB WORLI'!$B$98</definedName>
    <definedName name="BA0062_">'[17]TB WORLI'!$B$100</definedName>
    <definedName name="BA0064_">'[17]TB WORLI'!$B$101</definedName>
    <definedName name="BA0072_">'[17]TB WORLI'!$B$103</definedName>
    <definedName name="BA0141_">'[17]TB WORLI'!$B$105</definedName>
    <definedName name="bal">'[2]BS 590'!$B$1:$H$65</definedName>
    <definedName name="balancesheet">[24]working!$A$378:$C$532</definedName>
    <definedName name="BalTest_Abbreviated.balance.sheet.foot.totals">[25]AbbBS!$E$31,[25]AbbBS!$E$40</definedName>
    <definedName name="BalTest_Abbreviated.balance.sheet.foot.totals.Comparatives" localSheetId="15">[26]AbbBS!$H$31,[26]AbbBS!$H$40</definedName>
    <definedName name="BalTest_Abbreviated.balance.sheet.foot.totals.Comparatives" localSheetId="16">[26]AbbBS!$H$31,[26]AbbBS!$H$40</definedName>
    <definedName name="BalTest_Abbreviated.balance.sheet.foot.totals.Comparatives">[27]AbbBS!$H$31,[27]AbbBS!$H$40</definedName>
    <definedName name="BalTest_Balance.sheet.foot.totals" localSheetId="15">[26]BS!$E$31,[26]BS!$E$40</definedName>
    <definedName name="BalTest_Balance.sheet.foot.totals" localSheetId="16">[26]BS!$E$31,[26]BS!$E$40</definedName>
    <definedName name="BalTest_Balance.sheet.foot.totals">[27]BS!$E$31,[27]BS!$E$40</definedName>
    <definedName name="BalTest_Balance.sheet.foot.totals.Comparatives" localSheetId="15">[26]BS!$H$31,[26]BS!$H$40</definedName>
    <definedName name="BalTest_Balance.sheet.foot.totals.Comparatives" localSheetId="16">[26]BS!$H$31,[26]BS!$H$40</definedName>
    <definedName name="BalTest_Balance.sheet.foot.totals.Comparatives">[27]BS!$H$31,[27]BS!$H$40</definedName>
    <definedName name="BalTest_Capital.redemption.reserve.brought.forward.IfVisible" localSheetId="15">[26]Notes!$I$277,[26]Notes!$G$274</definedName>
    <definedName name="BalTest_Capital.redemption.reserve.brought.forward.IfVisible" localSheetId="16">[26]Notes!$I$277,[26]Notes!$G$274</definedName>
    <definedName name="BalTest_Capital.redemption.reserve.brought.forward.IfVisible">[27]Notes!$I$277,[27]Notes!$G$274</definedName>
    <definedName name="BalTest_Cash.flow.foot.totals" localSheetId="15">[26]CF!$E$40,[26]CF!$E$46</definedName>
    <definedName name="BalTest_Cash.flow.foot.totals" localSheetId="16">[26]CF!$E$40,[26]CF!$E$46</definedName>
    <definedName name="BalTest_Cash.flow.foot.totals">[27]CF!$E$40,[27]CF!$E$46</definedName>
    <definedName name="BalTest_Cash.flow.foot.totals.Comparatives" localSheetId="15">[26]CF!$G$40,[26]CF!$G$46</definedName>
    <definedName name="BalTest_Cash.flow.foot.totals.Comparatives" localSheetId="16">[26]CF!$G$40,[26]CF!$G$46</definedName>
    <definedName name="BalTest_Cash.flow.foot.totals.Comparatives">[27]CF!$G$40,[27]CF!$G$46</definedName>
    <definedName name="BalTest_Deferred.tax.brought.forward.IfVisible" localSheetId="15">[26]Notes!$G$226,[26]Notes!$I$229</definedName>
    <definedName name="BalTest_Deferred.tax.brought.forward.IfVisible" localSheetId="16">[26]Notes!$G$226,[26]Notes!$I$229</definedName>
    <definedName name="BalTest_Deferred.tax.brought.forward.IfVisible">[27]Notes!$G$226,[27]Notes!$I$229</definedName>
    <definedName name="BalTest_Fixed.assets.brought.forward.IfVisible" localSheetId="15">[26]Workings!$H$47,[26]Workings!$H$67</definedName>
    <definedName name="BalTest_Fixed.assets.brought.forward.IfVisible" localSheetId="16">[26]Workings!$H$47,[26]Workings!$H$67</definedName>
    <definedName name="BalTest_Fixed.assets.brought.forward.IfVisible">[27]Workings!$H$47,[27]Workings!$H$67</definedName>
    <definedName name="BalTest_Intangible.fixed.assets.brought.forward.IfVisible" localSheetId="15">[26]Workings!$F$21,[26]Workings!$F$23</definedName>
    <definedName name="BalTest_Intangible.fixed.assets.brought.forward.IfVisible" localSheetId="16">[26]Workings!$F$21,[26]Workings!$F$23</definedName>
    <definedName name="BalTest_Intangible.fixed.assets.brought.forward.IfVisible">[27]Workings!$F$21,[27]Workings!$F$23</definedName>
    <definedName name="BalTest_Investments.brought.forward.IfVisible" localSheetId="15">[26]Workings!$H$78,[26]Workings!$H$95</definedName>
    <definedName name="BalTest_Investments.brought.forward.IfVisible" localSheetId="16">[26]Workings!$H$78,[26]Workings!$H$95</definedName>
    <definedName name="BalTest_Investments.brought.forward.IfVisible">[27]Workings!$H$78,[27]Workings!$H$95</definedName>
    <definedName name="BalTest_PL.compared.with.DetailPL" localSheetId="15">[26]PL!$G$32,[26]DetailPL1!$C$26</definedName>
    <definedName name="BalTest_PL.compared.with.DetailPL" localSheetId="16">[26]PL!$G$32,[26]DetailPL1!$C$26</definedName>
    <definedName name="BalTest_PL.compared.with.DetailPL">[27]PL!$G$32,[27]DetailPL1!$C$26</definedName>
    <definedName name="BalTest_PL.compared.with.DetailPL.Comparatives" localSheetId="15">[26]PL!$I$32,[26]DetailPL1!$E$26</definedName>
    <definedName name="BalTest_PL.compared.with.DetailPL.Comparatives" localSheetId="16">[26]PL!$I$32,[26]DetailPL1!$E$26</definedName>
    <definedName name="BalTest_PL.compared.with.DetailPL.Comparatives">[27]PL!$I$32,[27]DetailPL1!$E$26</definedName>
    <definedName name="BalTest_Profit.and.loss.account.brought.forward.IfVisible" localSheetId="15">[26]Notes!$I$288,[26]Notes!$G$283</definedName>
    <definedName name="BalTest_Profit.and.loss.account.brought.forward.IfVisible" localSheetId="16">[26]Notes!$I$288,[26]Notes!$G$283</definedName>
    <definedName name="BalTest_Profit.and.loss.account.brought.forward.IfVisible">[27]Notes!$I$288,[27]Notes!$G$283</definedName>
    <definedName name="BalTest_Revaluation.reserve.brought.forward.IfVisible" localSheetId="15">[26]Notes!$I$268,[26]Notes!$G$265</definedName>
    <definedName name="BalTest_Revaluation.reserve.brought.forward.IfVisible" localSheetId="16">[26]Notes!$I$268,[26]Notes!$G$265</definedName>
    <definedName name="BalTest_Revaluation.reserve.brought.forward.IfVisible">[27]Notes!$I$268,[27]Notes!$G$265</definedName>
    <definedName name="BalTest_Share.capital.brought.forward.IfVisible" localSheetId="15">[25]Notes!#REF!,[25]Notes!#REF!</definedName>
    <definedName name="BalTest_Share.capital.brought.forward.IfVisible" localSheetId="25">[25]Notes!#REF!,[25]Notes!#REF!</definedName>
    <definedName name="BalTest_Share.capital.brought.forward.IfVisible" localSheetId="16">[25]Notes!#REF!,[25]Notes!#REF!</definedName>
    <definedName name="BalTest_Share.capital.brought.forward.IfVisible" localSheetId="19">[25]Notes!#REF!,[25]Notes!#REF!</definedName>
    <definedName name="BalTest_Share.capital.brought.forward.IfVisible">[25]Notes!#REF!,[25]Notes!#REF!</definedName>
    <definedName name="BalTest_Share.premium.brought.forward.IfVisible" localSheetId="15">[26]Notes!$I$259,[26]Notes!$G$255</definedName>
    <definedName name="BalTest_Share.premium.brought.forward.IfVisible" localSheetId="16">[26]Notes!$I$259,[26]Notes!$G$255</definedName>
    <definedName name="BalTest_Share.premium.brought.forward.IfVisible">[27]Notes!$I$259,[27]Notes!$G$255</definedName>
    <definedName name="BasicRate">0.22</definedName>
    <definedName name="BasicRateThreshold">1920</definedName>
    <definedName name="Basis">#REF!</definedName>
    <definedName name="BBB" localSheetId="15">#REF!</definedName>
    <definedName name="BBB" localSheetId="25">#REF!</definedName>
    <definedName name="BBB" localSheetId="11">#REF!</definedName>
    <definedName name="BBB" localSheetId="16">#REF!</definedName>
    <definedName name="BBB" localSheetId="13">#REF!</definedName>
    <definedName name="BBB" localSheetId="19">#REF!</definedName>
    <definedName name="BBB">#REF!</definedName>
    <definedName name="bbbbbb" localSheetId="15">#REF!</definedName>
    <definedName name="bbbbbb" localSheetId="25">#REF!</definedName>
    <definedName name="bbbbbb" localSheetId="11">#REF!</definedName>
    <definedName name="bbbbbb" localSheetId="16">#REF!</definedName>
    <definedName name="bbbbbb" localSheetId="13">#REF!</definedName>
    <definedName name="bbbbbb" localSheetId="19">#REF!</definedName>
    <definedName name="bbbbbb">#REF!</definedName>
    <definedName name="BE00281_">'[17]TB WORLI'!$B$109</definedName>
    <definedName name="BE00289_">'[17]TB WORLI'!$B$110</definedName>
    <definedName name="BE00306_">'[17]TB WORLI'!$B$111</definedName>
    <definedName name="BE0160_">'[17]TB WORLI'!$B$113</definedName>
    <definedName name="BE0161_">'[17]TB WORLI'!$B$114</definedName>
    <definedName name="BE0211_">'[17]TB WORLI'!$B$115</definedName>
    <definedName name="BE0219_">'[17]TB WORLI'!$B$116</definedName>
    <definedName name="BE0225_">'[16]TB WORLI'!$B$151</definedName>
    <definedName name="BE0235_">'[16]TB WORLI'!$B$33</definedName>
    <definedName name="BE0243_">'[17]TB WORLI'!$B$119</definedName>
    <definedName name="BEP_4" localSheetId="15">#REF!</definedName>
    <definedName name="BEP_4" localSheetId="25">#REF!</definedName>
    <definedName name="BEP_4" localSheetId="11">#REF!</definedName>
    <definedName name="BEP_4" localSheetId="16">#REF!</definedName>
    <definedName name="BEP_4" localSheetId="13">#REF!</definedName>
    <definedName name="BEP_4" localSheetId="19">#REF!</definedName>
    <definedName name="BEP_4">#REF!</definedName>
    <definedName name="BEP_5" localSheetId="15">#REF!</definedName>
    <definedName name="BEP_5" localSheetId="11">#REF!</definedName>
    <definedName name="BEP_5" localSheetId="16">#REF!</definedName>
    <definedName name="BEP_5" localSheetId="13">#REF!</definedName>
    <definedName name="BEP_5">#REF!</definedName>
    <definedName name="BEP_6" localSheetId="15">#REF!</definedName>
    <definedName name="BEP_6" localSheetId="11">#REF!</definedName>
    <definedName name="BEP_6" localSheetId="16">#REF!</definedName>
    <definedName name="BEP_6" localSheetId="13">#REF!</definedName>
    <definedName name="BEP_6">#REF!</definedName>
    <definedName name="BEP_7" localSheetId="15">#REF!</definedName>
    <definedName name="BEP_7" localSheetId="11">#REF!</definedName>
    <definedName name="BEP_7" localSheetId="16">#REF!</definedName>
    <definedName name="BEP_7" localSheetId="13">#REF!</definedName>
    <definedName name="BEP_7">#REF!</definedName>
    <definedName name="BEP_8" localSheetId="15">#REF!</definedName>
    <definedName name="BEP_8" localSheetId="11">#REF!</definedName>
    <definedName name="BEP_8" localSheetId="16">#REF!</definedName>
    <definedName name="BEP_8" localSheetId="13">#REF!</definedName>
    <definedName name="BEP_8">#REF!</definedName>
    <definedName name="Bharat_diam.Brou_99">#REF!</definedName>
    <definedName name="Bhavik" localSheetId="15">#REF!</definedName>
    <definedName name="Bhavik" localSheetId="11">#REF!</definedName>
    <definedName name="Bhavik" localSheetId="16">#REF!</definedName>
    <definedName name="Bhavik" localSheetId="13">#REF!</definedName>
    <definedName name="Bhavik">#REF!</definedName>
    <definedName name="BI00296_">'[17]TB WORLI'!$B$120</definedName>
    <definedName name="BI00298_">'[17]TB WORLI'!$B$121</definedName>
    <definedName name="BI00319_">'[17]TB WORLI'!$B$122</definedName>
    <definedName name="BI00320_">'[17]TB WORLI'!$B$123</definedName>
    <definedName name="BI00321_">'[17]TB WORLI'!$B$124</definedName>
    <definedName name="BI00326_">'[17]TB WORLI'!$B$125</definedName>
    <definedName name="BI00335_">'[17]TB WORLI'!$B$126</definedName>
    <definedName name="BI0260_">'[17]TB WORLI'!$B$128</definedName>
    <definedName name="BI0261_">'[17]TB WORLI'!$B$129</definedName>
    <definedName name="BI0286_">'[17]TB WORLI'!$B$130</definedName>
    <definedName name="BL00380_">'[17]TB WORLI'!$B$131</definedName>
    <definedName name="BL00386_">'[17]TB WORLI'!$B$133</definedName>
    <definedName name="BL00649_">'[17]TB WORLI'!$B$135</definedName>
    <definedName name="BL00664_">'[17]TB WORLI'!$B$137</definedName>
    <definedName name="BL00678_">'[17]TB WORLI'!$B$138</definedName>
    <definedName name="BL00702_">'[16]TB WORLI'!$B$43</definedName>
    <definedName name="BL0302_">'[17]TB WORLI'!$B$139</definedName>
    <definedName name="BL0322_">'[17]TB WORLI'!$B$140</definedName>
    <definedName name="BL0333_">'[17]TB WORLI'!$B$141</definedName>
    <definedName name="BL0342_">'[16]TB WORLI'!$B$155</definedName>
    <definedName name="BP1_An">[28]BP1!$I$7:$I$46</definedName>
    <definedName name="BP1_Clrd">[29]BP1!$E$7:$E$46</definedName>
    <definedName name="BP1_Gr" localSheetId="15">[30]BP1!$F$7:$F$46</definedName>
    <definedName name="BP1_Gr" localSheetId="16">[30]BP1!$F$7:$F$46</definedName>
    <definedName name="BP1_Gr">[31]BP1!$F$7:$F$46</definedName>
    <definedName name="BP1_Gross">[28]BP1!$F$47</definedName>
    <definedName name="BP1_Net">[28]BP1!$H$7:$H$46</definedName>
    <definedName name="BP1_VAT">[28]BP1!$G$47</definedName>
    <definedName name="BP10_An">[28]BP10!$I$7:$I$46</definedName>
    <definedName name="BP10_Clrd" localSheetId="15">[30]BP10!$E$7:$E$46</definedName>
    <definedName name="BP10_Clrd" localSheetId="16">[30]BP10!$E$7:$E$46</definedName>
    <definedName name="BP10_Clrd">[31]BP10!$E$7:$E$46</definedName>
    <definedName name="BP10_Gr" localSheetId="15">[30]BP10!$F$7:$F$46</definedName>
    <definedName name="BP10_Gr" localSheetId="16">[30]BP10!$F$7:$F$46</definedName>
    <definedName name="BP10_Gr">[31]BP10!$F$7:$F$46</definedName>
    <definedName name="BP10_Gross">[28]BP10!$F$47</definedName>
    <definedName name="BP10_Net">[28]BP10!$H$7:$H$46</definedName>
    <definedName name="BP10_VAT">[28]BP10!$G$47</definedName>
    <definedName name="BP11_An">[28]BP11!$I$7:$I$46</definedName>
    <definedName name="BP11_Clrd" localSheetId="15">[30]BP11!$E$7:$E$46</definedName>
    <definedName name="BP11_Clrd" localSheetId="16">[30]BP11!$E$7:$E$46</definedName>
    <definedName name="BP11_Clrd">[31]BP11!$E$7:$E$46</definedName>
    <definedName name="BP11_Gr" localSheetId="15">[30]BP11!$F$7:$F$46</definedName>
    <definedName name="BP11_Gr" localSheetId="16">[30]BP11!$F$7:$F$46</definedName>
    <definedName name="BP11_Gr">[31]BP11!$F$7:$F$46</definedName>
    <definedName name="BP11_Gross">[28]BP11!$F$47</definedName>
    <definedName name="BP11_Net">[28]BP11!$H$7:$H$46</definedName>
    <definedName name="BP11_VAT">[28]BP11!$G$47</definedName>
    <definedName name="BP12_An">[28]BP12!$I$7:$I$46</definedName>
    <definedName name="BP12_Clrd" localSheetId="15">[30]BP12!$E$7:$E$46</definedName>
    <definedName name="BP12_Clrd" localSheetId="16">[30]BP12!$E$7:$E$46</definedName>
    <definedName name="BP12_Clrd">[31]BP12!$E$7:$E$46</definedName>
    <definedName name="BP12_Gr" localSheetId="15">[30]BP12!$F$7:$F$46</definedName>
    <definedName name="BP12_Gr" localSheetId="16">[30]BP12!$F$7:$F$46</definedName>
    <definedName name="BP12_Gr">[31]BP12!$F$7:$F$46</definedName>
    <definedName name="BP12_Gross">[28]BP12!$F$47</definedName>
    <definedName name="BP12_Net">[28]BP12!$H$7:$H$46</definedName>
    <definedName name="BP12_VAT">[28]BP12!$G$47</definedName>
    <definedName name="BP2_An">[28]BP2!$I$7:$I$46</definedName>
    <definedName name="BP2_Clrd" localSheetId="15">[30]BP2!$E$7:$E$46</definedName>
    <definedName name="BP2_Clrd" localSheetId="16">[30]BP2!$E$7:$E$46</definedName>
    <definedName name="BP2_Clrd">[31]BP2!$E$7:$E$46</definedName>
    <definedName name="BP2_Gr" localSheetId="15">[30]BP2!$F$7:$F$46</definedName>
    <definedName name="BP2_Gr" localSheetId="16">[30]BP2!$F$7:$F$46</definedName>
    <definedName name="BP2_Gr">[31]BP2!$F$7:$F$46</definedName>
    <definedName name="BP2_Gross">[28]BP2!$F$47</definedName>
    <definedName name="BP2_Net">[28]BP2!$H$7:$H$46</definedName>
    <definedName name="BP2_VAT">[28]BP2!$G$47</definedName>
    <definedName name="BP3_An">[28]BP3!$I$7:$I$46</definedName>
    <definedName name="BP3_Clrd" localSheetId="15">[30]BP3!$E$7:$E$46</definedName>
    <definedName name="BP3_Clrd" localSheetId="16">[30]BP3!$E$7:$E$46</definedName>
    <definedName name="BP3_Clrd">[31]BP3!$E$7:$E$46</definedName>
    <definedName name="BP3_Gr" localSheetId="15">[30]BP3!$F$7:$F$46</definedName>
    <definedName name="BP3_Gr" localSheetId="16">[30]BP3!$F$7:$F$46</definedName>
    <definedName name="BP3_Gr">[31]BP3!$F$7:$F$46</definedName>
    <definedName name="BP3_Gross">[28]BP3!$F$47</definedName>
    <definedName name="BP3_Net">[28]BP3!$H$7:$H$46</definedName>
    <definedName name="BP3_VAT">[28]BP3!$G$47</definedName>
    <definedName name="BP4_An">[28]BP4!$I$7:$I$46</definedName>
    <definedName name="BP4_Clrd" localSheetId="15">[30]BP4!$E$7:$E$46</definedName>
    <definedName name="BP4_Clrd" localSheetId="16">[30]BP4!$E$7:$E$46</definedName>
    <definedName name="BP4_Clrd">[31]BP4!$E$7:$E$46</definedName>
    <definedName name="BP4_Gr" localSheetId="15">[30]BP4!$F$7:$F$46</definedName>
    <definedName name="BP4_Gr" localSheetId="16">[30]BP4!$F$7:$F$46</definedName>
    <definedName name="BP4_Gr">[31]BP4!$F$7:$F$46</definedName>
    <definedName name="BP4_Gross">[28]BP4!$F$47</definedName>
    <definedName name="BP4_Net">[28]BP4!$H$7:$H$46</definedName>
    <definedName name="BP4_VAT">[28]BP4!$G$47</definedName>
    <definedName name="BP5_An">[28]BP5!$I$7:$I$46</definedName>
    <definedName name="BP5_Clrd" localSheetId="15">[30]BP5!$E$7:$E$46</definedName>
    <definedName name="BP5_Clrd" localSheetId="16">[30]BP5!$E$7:$E$46</definedName>
    <definedName name="BP5_Clrd">[31]BP5!$E$7:$E$46</definedName>
    <definedName name="BP5_Gr" localSheetId="15">[30]BP5!$F$7:$F$46</definedName>
    <definedName name="BP5_Gr" localSheetId="16">[30]BP5!$F$7:$F$46</definedName>
    <definedName name="BP5_Gr">[31]BP5!$F$7:$F$46</definedName>
    <definedName name="BP5_Gross">[28]BP5!$F$47</definedName>
    <definedName name="BP5_Net">[28]BP5!$H$7:$H$46</definedName>
    <definedName name="BP5_VAT">[28]BP5!$G$47</definedName>
    <definedName name="BP6_An">[28]BP6!$I$7:$I$46</definedName>
    <definedName name="BP6_Clrd" localSheetId="15">[30]BP6!$E$7:$E$46</definedName>
    <definedName name="BP6_Clrd" localSheetId="16">[30]BP6!$E$7:$E$46</definedName>
    <definedName name="BP6_Clrd">[31]BP6!$E$7:$E$46</definedName>
    <definedName name="BP6_Gr" localSheetId="15">[30]BP6!$F$7:$F$46</definedName>
    <definedName name="BP6_Gr" localSheetId="16">[30]BP6!$F$7:$F$46</definedName>
    <definedName name="BP6_Gr">[31]BP6!$F$7:$F$46</definedName>
    <definedName name="BP6_Gross">[28]BP6!$F$47</definedName>
    <definedName name="BP6_Net">[28]BP6!$H$7:$H$46</definedName>
    <definedName name="BP6_VAT">[28]BP6!$G$47</definedName>
    <definedName name="BP7_An">[28]BP7!$I$7:$I$46</definedName>
    <definedName name="BP7_Clrd" localSheetId="15">[30]BP7!$E$7:$E$46</definedName>
    <definedName name="BP7_Clrd" localSheetId="16">[30]BP7!$E$7:$E$46</definedName>
    <definedName name="BP7_Clrd">[31]BP7!$E$7:$E$46</definedName>
    <definedName name="BP7_Gr" localSheetId="15">[30]BP7!$F$7:$F$46</definedName>
    <definedName name="BP7_Gr" localSheetId="16">[30]BP7!$F$7:$F$46</definedName>
    <definedName name="BP7_Gr">[31]BP7!$F$7:$F$46</definedName>
    <definedName name="BP7_Gross">[28]BP7!$F$47</definedName>
    <definedName name="BP7_Net">[28]BP7!$H$7:$H$46</definedName>
    <definedName name="BP7_VAT">[28]BP7!$G$47</definedName>
    <definedName name="BP8_An">[28]BP8!$I$7:$I$46</definedName>
    <definedName name="BP8_Clrd" localSheetId="15">[30]BP8!$E$7:$E$46</definedName>
    <definedName name="BP8_Clrd" localSheetId="16">[30]BP8!$E$7:$E$46</definedName>
    <definedName name="BP8_Clrd">[31]BP8!$E$7:$E$46</definedName>
    <definedName name="BP8_Gr" localSheetId="15">[30]BP8!$F$7:$F$46</definedName>
    <definedName name="BP8_Gr" localSheetId="16">[30]BP8!$F$7:$F$46</definedName>
    <definedName name="BP8_Gr">[31]BP8!$F$7:$F$46</definedName>
    <definedName name="BP8_Gross">[28]BP8!$F$47</definedName>
    <definedName name="BP8_Net">[28]BP8!$H$7:$H$46</definedName>
    <definedName name="BP8_VAT">[28]BP8!$G$47</definedName>
    <definedName name="BP9_An">[28]BP9!$I$7:$I$46</definedName>
    <definedName name="BP9_Clrd" localSheetId="15">[30]BP9!$E$7:$E$46</definedName>
    <definedName name="BP9_Clrd" localSheetId="16">[30]BP9!$E$7:$E$46</definedName>
    <definedName name="BP9_Clrd">[31]BP9!$E$7:$E$46</definedName>
    <definedName name="BP9_Gr" localSheetId="15">[30]BP9!$F$7:$F$46</definedName>
    <definedName name="BP9_Gr" localSheetId="16">[30]BP9!$F$7:$F$46</definedName>
    <definedName name="BP9_Gr">[31]BP9!$F$7:$F$46</definedName>
    <definedName name="BP9_Gross">[28]BP9!$F$47</definedName>
    <definedName name="BP9_Net">[28]BP9!$H$7:$H$46</definedName>
    <definedName name="BP9_VAT">[28]BP9!$G$47</definedName>
    <definedName name="BR1_An">[28]BR1!$I$7:$I$46</definedName>
    <definedName name="BR1_Clrd" localSheetId="15">[30]BR1!$E$7:$E$46</definedName>
    <definedName name="BR1_Clrd" localSheetId="16">[30]BR1!$E$7:$E$46</definedName>
    <definedName name="BR1_Clrd">[31]BR1!$E$7:$E$46</definedName>
    <definedName name="BR1_Gr" localSheetId="15">[30]BR1!$F$7:$F$46</definedName>
    <definedName name="BR1_Gr" localSheetId="16">[30]BR1!$F$7:$F$46</definedName>
    <definedName name="BR1_Gr">[31]BR1!$F$7:$F$46</definedName>
    <definedName name="BR1_Gross">[28]BR1!$F$47</definedName>
    <definedName name="BR1_Month">[28]BR1!$C$3</definedName>
    <definedName name="BR1_Net">[28]BR1!$H$7:$H$46</definedName>
    <definedName name="BR1_VAT">[28]BR1!$G$47</definedName>
    <definedName name="BR10_An">[28]BR10!$I$7:$I$46</definedName>
    <definedName name="BR10_Clrd" localSheetId="15">[30]BR10!$E$7:$E$46</definedName>
    <definedName name="BR10_Clrd" localSheetId="16">[30]BR10!$E$7:$E$46</definedName>
    <definedName name="BR10_Clrd">[31]BR10!$E$7:$E$46</definedName>
    <definedName name="BR10_Gr" localSheetId="15">[30]BR10!$F$7:$F$46</definedName>
    <definedName name="BR10_Gr" localSheetId="16">[30]BR10!$F$7:$F$46</definedName>
    <definedName name="BR10_Gr">[31]BR10!$F$7:$F$46</definedName>
    <definedName name="BR10_Gross">[28]BR10!$F$47</definedName>
    <definedName name="BR10_Month">[28]BR10!$C$3</definedName>
    <definedName name="BR10_Net">[28]BR10!$H$7:$H$46</definedName>
    <definedName name="BR10_VAT">[28]BR10!$G$47</definedName>
    <definedName name="BR11_An">[28]BR11!$I$7:$I$46</definedName>
    <definedName name="BR11_Clrd" localSheetId="15">[30]BR11!$E$7:$E$46</definedName>
    <definedName name="BR11_Clrd" localSheetId="16">[30]BR11!$E$7:$E$46</definedName>
    <definedName name="BR11_Clrd">[31]BR11!$E$7:$E$46</definedName>
    <definedName name="BR11_Gr" localSheetId="15">[30]BR11!$F$7:$F$46</definedName>
    <definedName name="BR11_Gr" localSheetId="16">[30]BR11!$F$7:$F$46</definedName>
    <definedName name="BR11_Gr">[31]BR11!$F$7:$F$46</definedName>
    <definedName name="BR11_Gross">[28]BR11!$F$47</definedName>
    <definedName name="BR11_Month">[28]BR11!$C$3</definedName>
    <definedName name="BR11_Net">[28]BR11!$H$7:$H$46</definedName>
    <definedName name="BR11_VAT">[28]BR11!$G$47</definedName>
    <definedName name="BR12_An">[28]BR12!$I$7:$I$46</definedName>
    <definedName name="BR12_Clrd" localSheetId="15">[30]BR12!$E$7:$E$46</definedName>
    <definedName name="BR12_Clrd" localSheetId="16">[30]BR12!$E$7:$E$46</definedName>
    <definedName name="BR12_Clrd">[31]BR12!$E$7:$E$46</definedName>
    <definedName name="BR12_Gr" localSheetId="15">[30]BR12!$F$7:$F$46</definedName>
    <definedName name="BR12_Gr" localSheetId="16">[30]BR12!$F$7:$F$46</definedName>
    <definedName name="BR12_Gr">[31]BR12!$F$7:$F$46</definedName>
    <definedName name="BR12_Gross">[28]BR12!$F$47</definedName>
    <definedName name="BR12_Month">[28]BR12!$C$3</definedName>
    <definedName name="BR12_Net">[28]BR12!$H$7:$H$46</definedName>
    <definedName name="BR12_VAT">[28]BR12!$G$47</definedName>
    <definedName name="BR2_An">[28]BR2!$I$7:$I$46</definedName>
    <definedName name="BR2_Clrd" localSheetId="15">[30]BR2!$E$7:$E$46</definedName>
    <definedName name="BR2_Clrd" localSheetId="16">[30]BR2!$E$7:$E$46</definedName>
    <definedName name="BR2_Clrd">[31]BR2!$E$7:$E$46</definedName>
    <definedName name="BR2_Gr" localSheetId="15">[30]BR2!$F$7:$F$46</definedName>
    <definedName name="BR2_Gr" localSheetId="16">[30]BR2!$F$7:$F$46</definedName>
    <definedName name="BR2_Gr">[31]BR2!$F$7:$F$46</definedName>
    <definedName name="BR2_Gross">[28]BR2!$F$47</definedName>
    <definedName name="BR2_Month">[28]BR2!$C$3</definedName>
    <definedName name="BR2_Net">[28]BR2!$H$7:$H$46</definedName>
    <definedName name="BR2_VAT">[28]BR2!$G$47</definedName>
    <definedName name="BR3_An">[28]BR3!$I$7:$I$46</definedName>
    <definedName name="BR3_Clrd" localSheetId="15">[30]BR3!$E$7:$E$46</definedName>
    <definedName name="BR3_Clrd" localSheetId="16">[30]BR3!$E$7:$E$46</definedName>
    <definedName name="BR3_Clrd">[31]BR3!$E$7:$E$46</definedName>
    <definedName name="BR3_Gr" localSheetId="15">[30]BR3!$F$7:$F$46</definedName>
    <definedName name="BR3_Gr" localSheetId="16">[30]BR3!$F$7:$F$46</definedName>
    <definedName name="BR3_Gr">[31]BR3!$F$7:$F$46</definedName>
    <definedName name="BR3_Gross">[28]BR3!$F$47</definedName>
    <definedName name="BR3_Month">[28]BR3!$C$3</definedName>
    <definedName name="BR3_Net">[28]BR3!$H$7:$H$46</definedName>
    <definedName name="BR3_VAT">[28]BR3!$G$47</definedName>
    <definedName name="BR4_An">[28]BR4!$I$7:$I$46</definedName>
    <definedName name="BR4_Clrd" localSheetId="15">[30]BR4!$E$7:$E$46</definedName>
    <definedName name="BR4_Clrd" localSheetId="16">[30]BR4!$E$7:$E$46</definedName>
    <definedName name="BR4_Clrd">[31]BR4!$E$7:$E$46</definedName>
    <definedName name="BR4_Gr" localSheetId="15">[30]BR4!$F$7:$F$46</definedName>
    <definedName name="BR4_Gr" localSheetId="16">[30]BR4!$F$7:$F$46</definedName>
    <definedName name="BR4_Gr">[31]BR4!$F$7:$F$46</definedName>
    <definedName name="BR4_Gross">[28]BR4!$F$47</definedName>
    <definedName name="BR4_Month">[28]BR4!$C$3</definedName>
    <definedName name="BR4_Net">[28]BR4!$H$7:$H$46</definedName>
    <definedName name="BR4_VAT">[28]BR4!$G$47</definedName>
    <definedName name="BR5_An">[28]BR5!$I$7:$I$46</definedName>
    <definedName name="BR5_Clrd" localSheetId="15">[30]BR5!$E$7:$E$46</definedName>
    <definedName name="BR5_Clrd" localSheetId="16">[30]BR5!$E$7:$E$46</definedName>
    <definedName name="BR5_Clrd">[31]BR5!$E$7:$E$46</definedName>
    <definedName name="BR5_Gr" localSheetId="15">[30]BR5!$F$7:$F$46</definedName>
    <definedName name="BR5_Gr" localSheetId="16">[30]BR5!$F$7:$F$46</definedName>
    <definedName name="BR5_Gr">[31]BR5!$F$7:$F$46</definedName>
    <definedName name="BR5_Gross">[28]BR5!$F$47</definedName>
    <definedName name="BR5_Month">[28]BR5!$C$3</definedName>
    <definedName name="BR5_Net">[28]BR5!$H$7:$H$46</definedName>
    <definedName name="BR5_VAT">[28]BR5!$G$47</definedName>
    <definedName name="BR6_An">[28]BR6!$I$7:$I$46</definedName>
    <definedName name="BR6_Clrd" localSheetId="15">[30]BR6!$E$7:$E$46</definedName>
    <definedName name="BR6_Clrd" localSheetId="16">[30]BR6!$E$7:$E$46</definedName>
    <definedName name="BR6_Clrd">[31]BR6!$E$7:$E$46</definedName>
    <definedName name="BR6_Gr" localSheetId="15">[30]BR6!$F$7:$F$46</definedName>
    <definedName name="BR6_Gr" localSheetId="16">[30]BR6!$F$7:$F$46</definedName>
    <definedName name="BR6_Gr">[31]BR6!$F$7:$F$46</definedName>
    <definedName name="BR6_Gross">[28]BR6!$F$47</definedName>
    <definedName name="BR6_Month">[28]BR6!$C$3</definedName>
    <definedName name="BR6_Net">[28]BR6!$H$7:$H$46</definedName>
    <definedName name="BR6_VAT">[28]BR6!$G$47</definedName>
    <definedName name="BR7_An">[28]BR7!$I$7:$I$46</definedName>
    <definedName name="BR7_Clrd" localSheetId="15">[30]BR7!$E$7:$E$46</definedName>
    <definedName name="BR7_Clrd" localSheetId="16">[30]BR7!$E$7:$E$46</definedName>
    <definedName name="BR7_Clrd">[31]BR7!$E$7:$E$46</definedName>
    <definedName name="BR7_Gr" localSheetId="15">[30]BR7!$F$7:$F$46</definedName>
    <definedName name="BR7_Gr" localSheetId="16">[30]BR7!$F$7:$F$46</definedName>
    <definedName name="BR7_Gr">[31]BR7!$F$7:$F$46</definedName>
    <definedName name="BR7_Gross">[28]BR7!$F$47</definedName>
    <definedName name="BR7_Month">[28]BR7!$C$3</definedName>
    <definedName name="BR7_Net">[28]BR7!$H$7:$H$46</definedName>
    <definedName name="BR7_VAT">[28]BR7!$G$47</definedName>
    <definedName name="BR8_An">[28]BR8!$I$7:$I$46</definedName>
    <definedName name="BR8_Clrd" localSheetId="15">[30]BR8!$E$7:$E$46</definedName>
    <definedName name="BR8_Clrd" localSheetId="16">[30]BR8!$E$7:$E$46</definedName>
    <definedName name="BR8_Clrd">[31]BR8!$E$7:$E$46</definedName>
    <definedName name="BR8_Gr" localSheetId="15">[30]BR8!$F$7:$F$46</definedName>
    <definedName name="BR8_Gr" localSheetId="16">[30]BR8!$F$7:$F$46</definedName>
    <definedName name="BR8_Gr">[31]BR8!$F$7:$F$46</definedName>
    <definedName name="BR8_Gross">[28]BR8!$F$47</definedName>
    <definedName name="BR8_Month">[28]BR8!$C$3</definedName>
    <definedName name="BR8_Net">[28]BR8!$H$7:$H$46</definedName>
    <definedName name="BR8_VAT">[28]BR8!$G$47</definedName>
    <definedName name="BR9_An">[28]BR9!$I$7:$I$46</definedName>
    <definedName name="BR9_Clrd" localSheetId="15">[30]BR9!$E$7:$E$46</definedName>
    <definedName name="BR9_Clrd" localSheetId="16">[30]BR9!$E$7:$E$46</definedName>
    <definedName name="BR9_Clrd">[31]BR9!$E$7:$E$46</definedName>
    <definedName name="BR9_Gr" localSheetId="15">[30]BR9!$F$7:$F$46</definedName>
    <definedName name="BR9_Gr" localSheetId="16">[30]BR9!$F$7:$F$46</definedName>
    <definedName name="BR9_Gr">[31]BR9!$F$7:$F$46</definedName>
    <definedName name="BR9_Gross">[28]BR9!$F$47</definedName>
    <definedName name="BR9_Month">[28]BR9!$C$3</definedName>
    <definedName name="BR9_Net">[28]BR9!$H$7:$H$46</definedName>
    <definedName name="BR9_VAT">[28]BR9!$G$47</definedName>
    <definedName name="BSDateLF">[23]Masters!$C$27</definedName>
    <definedName name="BSDateSF">[22]Masters!$C$28</definedName>
    <definedName name="BSSignDate">[23]Masters!$C$35</definedName>
    <definedName name="BU">'[32]Report Setup Sheet'!$B$50</definedName>
    <definedName name="BUDGET">#REF!</definedName>
    <definedName name="CA">[23]Masters!$C$19</definedName>
    <definedName name="cash_bank_bal_99">#REF!</definedName>
    <definedName name="cbi_facility_99">#REF!</definedName>
    <definedName name="cbs">[1]combined!$B$2:$H$82</definedName>
    <definedName name="cc" localSheetId="11" hidden="1">{#N/A,#N/A,TRUE,"Sheet1"}</definedName>
    <definedName name="cc" localSheetId="0" hidden="1">{#N/A,#N/A,TRUE,"Sheet1"}</definedName>
    <definedName name="cc" hidden="1">{#N/A,#N/A,TRUE,"Sheet1"}</definedName>
    <definedName name="CCC" localSheetId="15">#REF!</definedName>
    <definedName name="CCC" localSheetId="25">#REF!</definedName>
    <definedName name="CCC" localSheetId="11">#REF!</definedName>
    <definedName name="CCC" localSheetId="16">#REF!</definedName>
    <definedName name="CCC" localSheetId="13">#REF!</definedName>
    <definedName name="CCC" localSheetId="19">#REF!</definedName>
    <definedName name="CCC">#REF!</definedName>
    <definedName name="CCSA" localSheetId="15">[33]Volumes!#REF!</definedName>
    <definedName name="CCSA" localSheetId="25">[33]Volumes!#REF!</definedName>
    <definedName name="CCSA" localSheetId="16">[33]Volumes!#REF!</definedName>
    <definedName name="CCSA" localSheetId="19">[33]Volumes!#REF!</definedName>
    <definedName name="CCSA">[33]Volumes!#REF!</definedName>
    <definedName name="challan" localSheetId="15">#REF!</definedName>
    <definedName name="challan" localSheetId="25">#REF!</definedName>
    <definedName name="challan" localSheetId="11">#REF!</definedName>
    <definedName name="challan" localSheetId="16">#REF!</definedName>
    <definedName name="challan" localSheetId="13">#REF!</definedName>
    <definedName name="challan" localSheetId="19">#REF!</definedName>
    <definedName name="challan">#REF!</definedName>
    <definedName name="ChallanDatabase" localSheetId="11">[34]Challan!$A$7:$S$58</definedName>
    <definedName name="ChallanDatabase" localSheetId="13">[34]Challan!$A$7:$S$58</definedName>
    <definedName name="ChallanDatabase">[35]Challan!$A$7:$S$15</definedName>
    <definedName name="ChallanDatabaseTotal" localSheetId="15">[19]Challan!$A$7:$U$23</definedName>
    <definedName name="ChallanDatabaseTotal" localSheetId="16">[19]Challan!$A$7:$U$23</definedName>
    <definedName name="ChallanDatabaseTotal">[20]Challan!$A$7:$U$23</definedName>
    <definedName name="ChallanSrnoList" localSheetId="15">[19]Challan!$A$7:$A$22</definedName>
    <definedName name="ChallanSrnoList" localSheetId="16">[19]Challan!$A$7:$A$22</definedName>
    <definedName name="ChallanSrnoList">[20]Challan!$A$7:$A$22</definedName>
    <definedName name="checkpoints" localSheetId="15">#REF!</definedName>
    <definedName name="checkpoints" localSheetId="25">#REF!</definedName>
    <definedName name="checkpoints" localSheetId="11">#REF!</definedName>
    <definedName name="checkpoints" localSheetId="16">#REF!</definedName>
    <definedName name="checkpoints" localSheetId="13">#REF!</definedName>
    <definedName name="checkpoints" localSheetId="19">#REF!</definedName>
    <definedName name="checkpoints">#REF!</definedName>
    <definedName name="CHINA_PLASTIC_in_KUSD">#REF!</definedName>
    <definedName name="cl_stk_rough_99">#REF!</definedName>
    <definedName name="CoAdd">[22]Masters!$C$4</definedName>
    <definedName name="CoAddCont">[23]Masters!$C$5</definedName>
    <definedName name="COI" localSheetId="15">#REF!</definedName>
    <definedName name="COI" localSheetId="25">#REF!</definedName>
    <definedName name="COI" localSheetId="11">#REF!</definedName>
    <definedName name="COI" localSheetId="16">#REF!</definedName>
    <definedName name="COI" localSheetId="13">#REF!</definedName>
    <definedName name="COI" localSheetId="19">#REF!</definedName>
    <definedName name="COI">#REF!</definedName>
    <definedName name="COMMTDS" localSheetId="15">#REF!</definedName>
    <definedName name="COMMTDS" localSheetId="25">#REF!</definedName>
    <definedName name="COMMTDS" localSheetId="11">#REF!</definedName>
    <definedName name="COMMTDS" localSheetId="16">#REF!</definedName>
    <definedName name="COMMTDS" localSheetId="13">#REF!</definedName>
    <definedName name="COMMTDS" localSheetId="19">#REF!</definedName>
    <definedName name="COMMTDS">#REF!</definedName>
    <definedName name="COMP" localSheetId="15">#REF!</definedName>
    <definedName name="COMP" localSheetId="11">#REF!</definedName>
    <definedName name="COMP" localSheetId="16">#REF!</definedName>
    <definedName name="COMP" localSheetId="13">#REF!</definedName>
    <definedName name="COMP">#REF!</definedName>
    <definedName name="CompanyName">'[28]Company information'!$D$5</definedName>
    <definedName name="Comparative_Period" localSheetId="15" hidden="1">[26]Settings!$C$58</definedName>
    <definedName name="Comparative_Period" localSheetId="16" hidden="1">[26]Settings!$C$58</definedName>
    <definedName name="Comparative_Period" hidden="1">[27]Settings!$C$58</definedName>
    <definedName name="COMPDATE">#N/A</definedName>
    <definedName name="Computer" localSheetId="15">#REF!</definedName>
    <definedName name="Computer" localSheetId="25">#REF!</definedName>
    <definedName name="Computer" localSheetId="11">#REF!</definedName>
    <definedName name="Computer" localSheetId="16">#REF!</definedName>
    <definedName name="Computer" localSheetId="13">#REF!</definedName>
    <definedName name="Computer" localSheetId="19">#REF!</definedName>
    <definedName name="Computer">#REF!</definedName>
    <definedName name="CoName">[22]Masters!$C$3</definedName>
    <definedName name="conersion" localSheetId="15">IF('Advance for Capital Goods'!Loan_Amount*'Advance for Capital Goods'!Interest_Rate*'Advance for Capital Goods'!Loan_Years*'Advance for Capital Goods'!Loan_Start&gt;0,1,0)</definedName>
    <definedName name="conersion" localSheetId="25">IF('Advance for Capital Goods'!Loan_Amount*'Advance for Capital Goods'!Interest_Rate*'Advance for Capital Goods'!Loan_Years*'Advance for Capital Goods'!Loan_Start&gt;0,1,0)</definedName>
    <definedName name="conersion" localSheetId="16">IF(FDR!Loan_Amount*FDR!Interest_Rate*FDR!Loan_Years*FDR!Loan_Start&gt;0,1,0)</definedName>
    <definedName name="conersion" localSheetId="19">IF('Advance for Capital Goods'!Loan_Amount*'Advance for Capital Goods'!Interest_Rate*'Advance for Capital Goods'!Loan_Years*'Advance for Capital Goods'!Loan_Start&gt;0,1,0)</definedName>
    <definedName name="conersion" localSheetId="0">#N/A</definedName>
    <definedName name="conersion">IF('Advance for Capital Goods'!Loan_Amount*'Advance for Capital Goods'!Interest_Rate*'Advance for Capital Goods'!Loan_Years*'Advance for Capital Goods'!Loan_Start&gt;0,1,0)</definedName>
    <definedName name="Consolidation" localSheetId="0">#REF!</definedName>
    <definedName name="Consolidation">#REF!</definedName>
    <definedName name="contractor" localSheetId="15">#REF!</definedName>
    <definedName name="contractor" localSheetId="25">#REF!</definedName>
    <definedName name="contractor" localSheetId="11">#REF!</definedName>
    <definedName name="contractor" localSheetId="16">#REF!</definedName>
    <definedName name="contractor" localSheetId="13">#REF!</definedName>
    <definedName name="contractor" localSheetId="19">#REF!</definedName>
    <definedName name="contractor">#REF!</definedName>
    <definedName name="contractors" localSheetId="15">#REF!</definedName>
    <definedName name="contractors" localSheetId="25">#REF!</definedName>
    <definedName name="contractors" localSheetId="11">#REF!</definedName>
    <definedName name="contractors" localSheetId="16">#REF!</definedName>
    <definedName name="contractors" localSheetId="13">#REF!</definedName>
    <definedName name="contractors" localSheetId="19">#REF!</definedName>
    <definedName name="contractors">#REF!</definedName>
    <definedName name="conv" localSheetId="15">IF('Advance for Capital Goods'!Loan_Amount*'Advance for Capital Goods'!Interest_Rate*'Advance for Capital Goods'!Loan_Years*'Advance for Capital Goods'!Loan_Start&gt;0,1,0)</definedName>
    <definedName name="conv" localSheetId="25">IF('Advance for Capital Goods'!Loan_Amount*'Advance for Capital Goods'!Interest_Rate*'Advance for Capital Goods'!Loan_Years*'Advance for Capital Goods'!Loan_Start&gt;0,1,0)</definedName>
    <definedName name="conv" localSheetId="16">IF(FDR!Loan_Amount*FDR!Interest_Rate*FDR!Loan_Years*FDR!Loan_Start&gt;0,1,0)</definedName>
    <definedName name="conv" localSheetId="19">IF('Advance for Capital Goods'!Loan_Amount*'Advance for Capital Goods'!Interest_Rate*'Advance for Capital Goods'!Loan_Years*'Advance for Capital Goods'!Loan_Start&gt;0,1,0)</definedName>
    <definedName name="conv" localSheetId="0">#N/A</definedName>
    <definedName name="conv">IF('Advance for Capital Goods'!Loan_Amount*'Advance for Capital Goods'!Interest_Rate*'Advance for Capital Goods'!Loan_Years*'Advance for Capital Goods'!Loan_Start&gt;0,1,0)</definedName>
    <definedName name="COST" localSheetId="0">#REF!</definedName>
    <definedName name="COST">#REF!</definedName>
    <definedName name="cost_calcn" localSheetId="0">#REF!</definedName>
    <definedName name="cost_calcn">#REF!</definedName>
    <definedName name="CoStatus">[22]Masters!$C$7</definedName>
    <definedName name="cpandl">[1]combined!$B$87:$N$153</definedName>
    <definedName name="Creditors_99">#REF!</definedName>
    <definedName name="Creditors_labour_99">#REF!</definedName>
    <definedName name="CSA" localSheetId="15">[33]Volumes!#REF!</definedName>
    <definedName name="CSA" localSheetId="25">[33]Volumes!#REF!</definedName>
    <definedName name="CSA" localSheetId="11">[33]Volumes!#REF!</definedName>
    <definedName name="CSA" localSheetId="16">[33]Volumes!#REF!</definedName>
    <definedName name="CSA" localSheetId="13">[33]Volumes!#REF!</definedName>
    <definedName name="CSA" localSheetId="19">[33]Volumes!#REF!</definedName>
    <definedName name="CSA">[33]Volumes!#REF!</definedName>
    <definedName name="CURRDATE">#N/A</definedName>
    <definedName name="CURRDAY">#N/A</definedName>
    <definedName name="Current_Period" localSheetId="15" hidden="1">[26]Settings!$C$57</definedName>
    <definedName name="Current_Period" localSheetId="16" hidden="1">[26]Settings!$C$57</definedName>
    <definedName name="Current_Period" hidden="1">[27]Settings!$C$57</definedName>
    <definedName name="CURRSHORT">#N/A</definedName>
    <definedName name="curru">[36]Calc!$H$173</definedName>
    <definedName name="d" localSheetId="15">#REF!</definedName>
    <definedName name="d" localSheetId="25">#REF!</definedName>
    <definedName name="d" localSheetId="11">#REF!</definedName>
    <definedName name="d" localSheetId="16">#REF!</definedName>
    <definedName name="d" localSheetId="13">#REF!</definedName>
    <definedName name="d" localSheetId="19">#REF!</definedName>
    <definedName name="d">#REF!</definedName>
    <definedName name="DATA1">#REF!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d" localSheetId="1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2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11" hidden="1">{#N/A,#N/A,TRUE,"Sheet1"}</definedName>
    <definedName name="dd" localSheetId="1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13" hidden="1">{#N/A,#N/A,TRUE,"Sheet1"}</definedName>
    <definedName name="dd"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BT" localSheetId="15">#REF!</definedName>
    <definedName name="DEBT" localSheetId="25">#REF!</definedName>
    <definedName name="DEBT" localSheetId="11">#REF!</definedName>
    <definedName name="DEBT" localSheetId="16">#REF!</definedName>
    <definedName name="DEBT" localSheetId="13">#REF!</definedName>
    <definedName name="DEBT" localSheetId="19">#REF!</definedName>
    <definedName name="DEBT">#REF!</definedName>
    <definedName name="DEBTOR" localSheetId="15">#REF!</definedName>
    <definedName name="DEBTOR" localSheetId="25">#REF!</definedName>
    <definedName name="DEBTOR" localSheetId="11">#REF!</definedName>
    <definedName name="DEBTOR" localSheetId="16">#REF!</definedName>
    <definedName name="DEBTOR" localSheetId="13">#REF!</definedName>
    <definedName name="DEBTOR" localSheetId="19">#REF!</definedName>
    <definedName name="DEBTOR">#REF!</definedName>
    <definedName name="DECO" localSheetId="15">#REF!</definedName>
    <definedName name="DECO" localSheetId="11">#REF!</definedName>
    <definedName name="DECO" localSheetId="16">#REF!</definedName>
    <definedName name="DECO" localSheetId="13">#REF!</definedName>
    <definedName name="DECO">#REF!</definedName>
    <definedName name="deep">'[37]TB APJ'!$B$85</definedName>
    <definedName name="Dep" localSheetId="1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localSheetId="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 localSheetId="15">#REF!</definedName>
    <definedName name="DEP." localSheetId="11">#REF!</definedName>
    <definedName name="DEP." localSheetId="16">#REF!</definedName>
    <definedName name="DEP." localSheetId="13">#REF!</definedName>
    <definedName name="DEP.">#REF!</definedName>
    <definedName name="DEP_CAL2" localSheetId="15">[10]depreciation!#REF!</definedName>
    <definedName name="DEP_CAL2" localSheetId="25">[10]depreciation!#REF!</definedName>
    <definedName name="DEP_CAL2" localSheetId="11">[10]depreciation!#REF!</definedName>
    <definedName name="DEP_CAL2" localSheetId="16">[10]depreciation!#REF!</definedName>
    <definedName name="DEP_CAL2" localSheetId="13">[10]depreciation!#REF!</definedName>
    <definedName name="DEP_CAL2" localSheetId="19">[10]depreciation!#REF!</definedName>
    <definedName name="DEP_CAL2">[10]depreciation!#REF!</definedName>
    <definedName name="DEP_WORK1" localSheetId="15">#REF!</definedName>
    <definedName name="DEP_WORK1" localSheetId="25">#REF!</definedName>
    <definedName name="DEP_WORK1" localSheetId="11">#REF!</definedName>
    <definedName name="DEP_WORK1" localSheetId="16">#REF!</definedName>
    <definedName name="DEP_WORK1" localSheetId="13">#REF!</definedName>
    <definedName name="DEP_WORK1" localSheetId="19">#REF!</definedName>
    <definedName name="DEP_WORK1">#REF!</definedName>
    <definedName name="DEPRECIATION">#REF!</definedName>
    <definedName name="designation" localSheetId="15">#REF!</definedName>
    <definedName name="designation" localSheetId="25">#REF!</definedName>
    <definedName name="designation" localSheetId="11">#REF!</definedName>
    <definedName name="designation" localSheetId="16">#REF!</definedName>
    <definedName name="designation" localSheetId="13">#REF!</definedName>
    <definedName name="designation" localSheetId="19">#REF!</definedName>
    <definedName name="designation">#REF!</definedName>
    <definedName name="DeTotal" localSheetId="15">#REF!</definedName>
    <definedName name="DeTotal" localSheetId="25">#REF!</definedName>
    <definedName name="DeTotal" localSheetId="11">#REF!</definedName>
    <definedName name="DeTotal" localSheetId="16">#REF!</definedName>
    <definedName name="DeTotal" localSheetId="13">#REF!</definedName>
    <definedName name="DeTotal" localSheetId="19">#REF!</definedName>
    <definedName name="DeTotal">#REF!</definedName>
    <definedName name="dfqewrewewqq">#REF!</definedName>
    <definedName name="dfsa">#REF!</definedName>
    <definedName name="disbI">'[38]43b'!$H$28</definedName>
    <definedName name="disbII">'[38]43b'!$H$33</definedName>
    <definedName name="DK" localSheetId="15">IF([39]!Loan_Amount*[39]!Interest_Rate*[39]!Loan_Years*[39]!Loan_Start&gt;0,1,0)</definedName>
    <definedName name="DK" localSheetId="16">IF([39]!Loan_Amount*[39]!Interest_Rate*[39]!Loan_Years*[39]!Loan_Start&gt;0,1,0)</definedName>
    <definedName name="DK">IF([40]!Loan_Amount*[40]!Interest_Rate*[40]!Loan_Years*[40]!Loan_Start&gt;0,1,0)</definedName>
    <definedName name="DM" localSheetId="15">#REF!</definedName>
    <definedName name="DM" localSheetId="25">#REF!</definedName>
    <definedName name="DM" localSheetId="11">#REF!</definedName>
    <definedName name="DM" localSheetId="16">#REF!</definedName>
    <definedName name="DM" localSheetId="13">#REF!</definedName>
    <definedName name="DM" localSheetId="19">#REF!</definedName>
    <definedName name="DM">#REF!</definedName>
    <definedName name="ds">#REF!</definedName>
    <definedName name="DSCR" localSheetId="15">#REF!</definedName>
    <definedName name="DSCR" localSheetId="25">#REF!</definedName>
    <definedName name="DSCR" localSheetId="11">#REF!</definedName>
    <definedName name="DSCR" localSheetId="16">#REF!</definedName>
    <definedName name="DSCR" localSheetId="13">#REF!</definedName>
    <definedName name="DSCR" localSheetId="19">#REF!</definedName>
    <definedName name="DSCR">#REF!</definedName>
    <definedName name="DSCR_4" localSheetId="15">#REF!</definedName>
    <definedName name="DSCR_4" localSheetId="25">#REF!</definedName>
    <definedName name="DSCR_4" localSheetId="11">#REF!</definedName>
    <definedName name="DSCR_4" localSheetId="16">#REF!</definedName>
    <definedName name="DSCR_4" localSheetId="13">#REF!</definedName>
    <definedName name="DSCR_4" localSheetId="19">#REF!</definedName>
    <definedName name="DSCR_4">#REF!</definedName>
    <definedName name="DSCR_5" localSheetId="15">#REF!</definedName>
    <definedName name="DSCR_5" localSheetId="11">#REF!</definedName>
    <definedName name="DSCR_5" localSheetId="16">#REF!</definedName>
    <definedName name="DSCR_5" localSheetId="13">#REF!</definedName>
    <definedName name="DSCR_5">#REF!</definedName>
    <definedName name="DSCR_6" localSheetId="15">#REF!</definedName>
    <definedName name="DSCR_6" localSheetId="11">#REF!</definedName>
    <definedName name="DSCR_6" localSheetId="16">#REF!</definedName>
    <definedName name="DSCR_6" localSheetId="13">#REF!</definedName>
    <definedName name="DSCR_6">#REF!</definedName>
    <definedName name="DSCR_7" localSheetId="15">#REF!</definedName>
    <definedName name="DSCR_7" localSheetId="11">#REF!</definedName>
    <definedName name="DSCR_7" localSheetId="16">#REF!</definedName>
    <definedName name="DSCR_7" localSheetId="13">#REF!</definedName>
    <definedName name="DSCR_7">#REF!</definedName>
    <definedName name="DSCR_8" localSheetId="15">#REF!</definedName>
    <definedName name="DSCR_8" localSheetId="11">#REF!</definedName>
    <definedName name="DSCR_8" localSheetId="16">#REF!</definedName>
    <definedName name="DSCR_8" localSheetId="13">#REF!</definedName>
    <definedName name="DSCR_8">#REF!</definedName>
    <definedName name="dsfa">'[16]TB WORLI'!#REF!</definedName>
    <definedName name="E">'[2]BS 590'!$C$447:$F$452</definedName>
    <definedName name="E00250_">'[17]TB APJ'!$B$67</definedName>
    <definedName name="E00251_">'[17]TB APJ'!$B$68</definedName>
    <definedName name="E00252_">[18]tb!$B$169</definedName>
    <definedName name="E00257_">'[17]TB APJ'!$B$69</definedName>
    <definedName name="E00258_">'[17]TB APJ'!$B$70</definedName>
    <definedName name="E00265_">'[17]TB APJ'!$B$71</definedName>
    <definedName name="E00266_">'[17]TB APJ'!$B$72</definedName>
    <definedName name="E00268_">'[17]TB APJ'!#REF!</definedName>
    <definedName name="E00270_">'[17]TB APJ'!#REF!</definedName>
    <definedName name="E00271_">'[16]TB APJ'!#REF!</definedName>
    <definedName name="E00277_">'[17]TB APJ'!$B$73</definedName>
    <definedName name="E00280_">[41]trialbal!$B$145</definedName>
    <definedName name="E00284_">'[17]TB APJ'!#REF!</definedName>
    <definedName name="E00285_">'[17]TB APJ'!#REF!</definedName>
    <definedName name="E00289_">'[17]TB APJ'!$B$74</definedName>
    <definedName name="E00290_">'[17]TB APJ'!$B$75</definedName>
    <definedName name="E00292_">'[17]TB APJ'!#REF!</definedName>
    <definedName name="E00294_">'[17]TB APJ'!#REF!</definedName>
    <definedName name="E00295_">'[17]TB APJ'!#REF!</definedName>
    <definedName name="E00296_">'[17]TB APJ'!$B$76</definedName>
    <definedName name="E00297_">'[17]TB APJ'!$B$77</definedName>
    <definedName name="E00298_">'[17]TB APJ'!#REF!</definedName>
    <definedName name="E00299_">'[17]TB APJ'!$B$78</definedName>
    <definedName name="E00300_">'[17]TB APJ'!$B$79</definedName>
    <definedName name="E00301_">'[17]TB APJ'!$B$80</definedName>
    <definedName name="E00302_">'[17]TB APJ'!#REF!</definedName>
    <definedName name="E00303_">'[16]TB APJ'!#REF!</definedName>
    <definedName name="E00305_">'[17]TB APJ'!#REF!</definedName>
    <definedName name="E00308_">'[17]TB APJ'!$B$81</definedName>
    <definedName name="E00313_">'[17]TB APJ'!$B$83</definedName>
    <definedName name="E00316_">'[17]TB APJ'!$B$84</definedName>
    <definedName name="E00320_">'[17]TB APJ'!$B$85</definedName>
    <definedName name="E00321_">'[17]TB APJ'!$B$86</definedName>
    <definedName name="E00322_">'[17]TB APJ'!$B$87</definedName>
    <definedName name="E00323_">'[17]TB APJ'!$B$88</definedName>
    <definedName name="E00324_">'[17]TB APJ'!$B$89</definedName>
    <definedName name="E00325_">'[17]TB APJ'!$B$90</definedName>
    <definedName name="E00326_">'[17]TB APJ'!$B$91</definedName>
    <definedName name="E00327_">'[17]TB APJ'!$B$92</definedName>
    <definedName name="E00328_">'[17]TB APJ'!$B$93</definedName>
    <definedName name="E00329_">'[17]TB APJ'!$B$94</definedName>
    <definedName name="E00330_">'[17]TB APJ'!$B$95</definedName>
    <definedName name="E00331_">'[37]TB APJ'!$B$67</definedName>
    <definedName name="E0158_">'[17]TB APJ'!$B$96</definedName>
    <definedName name="E0159_">'[17]TB APJ'!$B$97</definedName>
    <definedName name="E0160_">'[16]TB WORLI'!#REF!</definedName>
    <definedName name="E0161_">'[17]TB APJ'!$B$98</definedName>
    <definedName name="E0162_">'[17]TB APJ'!$B$99</definedName>
    <definedName name="E0164_">'[17]TB APJ'!$B$100</definedName>
    <definedName name="E0165_">'[17]TB APJ'!$B$101</definedName>
    <definedName name="E0168_">'[17]TB APJ'!$B$102</definedName>
    <definedName name="E0169_">'[17]TB APJ'!$B$103</definedName>
    <definedName name="E0170_">'[17]TB APJ'!$B$104</definedName>
    <definedName name="E0171_">'[17]TB APJ'!#REF!</definedName>
    <definedName name="E0172_">'[17]TB APJ'!$B$367</definedName>
    <definedName name="E0173_">'[17]TB APJ'!$B$105</definedName>
    <definedName name="E0174_">'[17]TB APJ'!$B$106</definedName>
    <definedName name="E0175_">'[17]TB APJ'!#REF!</definedName>
    <definedName name="E0177_">'[17]TB APJ'!$B$107</definedName>
    <definedName name="E0178_">'[17]TB APJ'!$B$108</definedName>
    <definedName name="E0179_">'[17]TB APJ'!$B$109</definedName>
    <definedName name="E0180_">'[17]TB APJ'!$B$110</definedName>
    <definedName name="E0181_">'[17]TB APJ'!$B$111</definedName>
    <definedName name="E0183_">'[17]TB APJ'!$B$112</definedName>
    <definedName name="E0184_">'[17]TB APJ'!$B$113</definedName>
    <definedName name="E0186_">'[17]TB APJ'!$B$114</definedName>
    <definedName name="E0187_">'[17]TB APJ'!$B$115</definedName>
    <definedName name="E0188_">'[17]TB APJ'!#REF!</definedName>
    <definedName name="E0189_">'[17]TB APJ'!$B$116</definedName>
    <definedName name="E0190_">'[17]TB APJ'!$B$117</definedName>
    <definedName name="E0196_">'[17]TB APJ'!$B$118</definedName>
    <definedName name="E0197_">'[17]TB APJ'!#REF!</definedName>
    <definedName name="E0201_">'[17]TB APJ'!$B$281</definedName>
    <definedName name="e0201a">[42]TB!$B$185</definedName>
    <definedName name="E0202_">'[17]TB APJ'!$B$369</definedName>
    <definedName name="E0203_">'[17]TB APJ'!$B$119</definedName>
    <definedName name="E0204_">'[17]TB APJ'!$B$120</definedName>
    <definedName name="E0209_">'[17]TB APJ'!$B$121</definedName>
    <definedName name="E0210_">'[17]TB APJ'!$B$122</definedName>
    <definedName name="E0211_">'[17]TB APJ'!$B$123</definedName>
    <definedName name="E0212_">'[17]TB APJ'!$B$124</definedName>
    <definedName name="E0214_">'[17]TB APJ'!$B$125</definedName>
    <definedName name="E0215_">'[17]TB APJ'!$B$244</definedName>
    <definedName name="E0218_">'[17]TB APJ'!$B$126</definedName>
    <definedName name="E0219_">'[17]TB APJ'!$B$127</definedName>
    <definedName name="E0220_">'[17]TB APJ'!$B$128</definedName>
    <definedName name="E0221_">'[17]TB APJ'!$B$129</definedName>
    <definedName name="E0222_">'[17]TB APJ'!$B$130</definedName>
    <definedName name="E0225_">'[17]TB APJ'!$B$131</definedName>
    <definedName name="E0226_">'[17]TB APJ'!$B$132</definedName>
    <definedName name="E0227_">'[17]TB APJ'!$B$133</definedName>
    <definedName name="E0228_">'[17]TB APJ'!$B$134</definedName>
    <definedName name="E0230_">'[17]TB APJ'!$B$135</definedName>
    <definedName name="E0231_">'[17]TB APJ'!$B$136</definedName>
    <definedName name="E0233_">'[17]TB APJ'!$B$137</definedName>
    <definedName name="E0234_">'[17]TB APJ'!$B$138</definedName>
    <definedName name="E0235_">'[17]TB APJ'!$B$139</definedName>
    <definedName name="E0237_">'[17]TB APJ'!#REF!</definedName>
    <definedName name="E0238_">'[17]TB APJ'!$B$140</definedName>
    <definedName name="E0239_">'[17]TB APJ'!$B$141</definedName>
    <definedName name="E0240_">'[17]TB APJ'!$B$245</definedName>
    <definedName name="E0241_">'[17]TB APJ'!$B$142</definedName>
    <definedName name="E0242_">'[17]TB APJ'!$B$143</definedName>
    <definedName name="E0243_">'[17]TB APJ'!$B$144</definedName>
    <definedName name="E0245_">'[17]TB APJ'!$B$145</definedName>
    <definedName name="E0246_">'[17]TB APJ'!$B$250</definedName>
    <definedName name="E0247_">'[17]TB APJ'!$B$146</definedName>
    <definedName name="eeeeeeee" localSheetId="11" hidden="1">{#N/A,#N/A,TRUE,"Sheet1"}</definedName>
    <definedName name="eeeeeeee" localSheetId="0" hidden="1">{#N/A,#N/A,TRUE,"Sheet1"}</definedName>
    <definedName name="eeeeeeee" hidden="1">{#N/A,#N/A,TRUE,"Sheet1"}</definedName>
    <definedName name="EmployeeNIRate">0.11</definedName>
    <definedName name="EmployerNIRate">0.128</definedName>
    <definedName name="End_Bal" localSheetId="15">'[43]Loan Amortization Schedule'!$I$18:$I$377</definedName>
    <definedName name="End_Bal" localSheetId="16">'[43]Loan Amortization Schedule'!$I$18:$I$377</definedName>
    <definedName name="End_Bal">'[44]Loan Amortization Schedule'!$I$18:$I$377</definedName>
    <definedName name="Equipment" localSheetId="15">#REF!</definedName>
    <definedName name="Equipment" localSheetId="25">#REF!</definedName>
    <definedName name="Equipment" localSheetId="11">#REF!</definedName>
    <definedName name="Equipment" localSheetId="16">#REF!</definedName>
    <definedName name="Equipment" localSheetId="13">#REF!</definedName>
    <definedName name="Equipment" localSheetId="19">#REF!</definedName>
    <definedName name="Equipment">#REF!</definedName>
    <definedName name="ewrdwe">'[37]TB APJ'!$B$196</definedName>
    <definedName name="ExcelData\Tax\Tax3cd.xls">#REF!</definedName>
    <definedName name="exchange">'[45]exchange fluctuation'!$U$178:$AA$212</definedName>
    <definedName name="ExemptSection">"249A(1)"</definedName>
    <definedName name="exp_rec_99">#REF!</definedName>
    <definedName name="f" localSheetId="15">#REF!</definedName>
    <definedName name="f" localSheetId="25">#REF!</definedName>
    <definedName name="f" localSheetId="11">#REF!</definedName>
    <definedName name="f" localSheetId="16">#REF!</definedName>
    <definedName name="f" localSheetId="13">#REF!</definedName>
    <definedName name="f" localSheetId="19">#REF!</definedName>
    <definedName name="f">#REF!</definedName>
    <definedName name="FA">#REF!</definedName>
    <definedName name="fbt">'[2]BS 590'!$B$388:$G$427</definedName>
    <definedName name="fdsa">#REF!</definedName>
    <definedName name="FIRSTDATE">#N/A</definedName>
    <definedName name="FIRSTDAY">#N/A</definedName>
    <definedName name="FirstDays" localSheetId="15">#REF!</definedName>
    <definedName name="FirstDays" localSheetId="25">#REF!</definedName>
    <definedName name="FirstDays" localSheetId="16">#REF!</definedName>
    <definedName name="FirstDays" localSheetId="19">#REF!</definedName>
    <definedName name="FirstDays">#REF!</definedName>
    <definedName name="FirstDaysSub">OFFSET([28]Summary!$C$73:$C$84,0,0,'[28]VAT return'!$E$6,1)</definedName>
    <definedName name="FIRSTSHORT">#N/A</definedName>
    <definedName name="Frtout" localSheetId="15">[33]Volumes!#REF!</definedName>
    <definedName name="Frtout" localSheetId="25">[33]Volumes!#REF!</definedName>
    <definedName name="Frtout" localSheetId="11">[33]Volumes!#REF!</definedName>
    <definedName name="Frtout" localSheetId="16">[33]Volumes!#REF!</definedName>
    <definedName name="Frtout" localSheetId="13">[33]Volumes!#REF!</definedName>
    <definedName name="Frtout" localSheetId="19">[33]Volumes!#REF!</definedName>
    <definedName name="Frtout">[33]Volumes!#REF!</definedName>
    <definedName name="fsd">#REF!</definedName>
    <definedName name="fsda">'[16]TB WORLI'!#REF!</definedName>
    <definedName name="FUNDFLOW" localSheetId="15">#REF!</definedName>
    <definedName name="FUNDFLOW" localSheetId="25">#REF!</definedName>
    <definedName name="FUNDFLOW" localSheetId="11">#REF!</definedName>
    <definedName name="FUNDFLOW" localSheetId="16">#REF!</definedName>
    <definedName name="FUNDFLOW" localSheetId="13">#REF!</definedName>
    <definedName name="FUNDFLOW" localSheetId="19">#REF!</definedName>
    <definedName name="FUNDFLOW">#REF!</definedName>
    <definedName name="FUNDFLOW_4" localSheetId="15">#REF!</definedName>
    <definedName name="FUNDFLOW_4" localSheetId="25">#REF!</definedName>
    <definedName name="FUNDFLOW_4" localSheetId="11">#REF!</definedName>
    <definedName name="FUNDFLOW_4" localSheetId="16">#REF!</definedName>
    <definedName name="FUNDFLOW_4" localSheetId="13">#REF!</definedName>
    <definedName name="FUNDFLOW_4" localSheetId="19">#REF!</definedName>
    <definedName name="FUNDFLOW_4">#REF!</definedName>
    <definedName name="FUNDFLOW_5" localSheetId="15">#REF!</definedName>
    <definedName name="FUNDFLOW_5" localSheetId="25">#REF!</definedName>
    <definedName name="FUNDFLOW_5" localSheetId="11">#REF!</definedName>
    <definedName name="FUNDFLOW_5" localSheetId="16">#REF!</definedName>
    <definedName name="FUNDFLOW_5" localSheetId="13">#REF!</definedName>
    <definedName name="FUNDFLOW_5" localSheetId="19">#REF!</definedName>
    <definedName name="FUNDFLOW_5">#REF!</definedName>
    <definedName name="FUNDFLOW_6" localSheetId="15">#REF!</definedName>
    <definedName name="FUNDFLOW_6" localSheetId="11">#REF!</definedName>
    <definedName name="FUNDFLOW_6" localSheetId="16">#REF!</definedName>
    <definedName name="FUNDFLOW_6" localSheetId="13">#REF!</definedName>
    <definedName name="FUNDFLOW_6">#REF!</definedName>
    <definedName name="FUNDFLOW_7" localSheetId="15">#REF!</definedName>
    <definedName name="FUNDFLOW_7" localSheetId="11">#REF!</definedName>
    <definedName name="FUNDFLOW_7" localSheetId="16">#REF!</definedName>
    <definedName name="FUNDFLOW_7" localSheetId="13">#REF!</definedName>
    <definedName name="FUNDFLOW_7">#REF!</definedName>
    <definedName name="FUNDFLOW_8" localSheetId="15">#REF!</definedName>
    <definedName name="FUNDFLOW_8" localSheetId="11">#REF!</definedName>
    <definedName name="FUNDFLOW_8" localSheetId="16">#REF!</definedName>
    <definedName name="FUNDFLOW_8" localSheetId="13">#REF!</definedName>
    <definedName name="FUNDFLOW_8">#REF!</definedName>
    <definedName name="furniture" localSheetId="15">#REF!</definedName>
    <definedName name="furniture" localSheetId="11">#REF!</definedName>
    <definedName name="furniture" localSheetId="16">#REF!</definedName>
    <definedName name="furniture" localSheetId="13">#REF!</definedName>
    <definedName name="furniture">#REF!</definedName>
    <definedName name="FY" localSheetId="15">#REF!</definedName>
    <definedName name="FY" localSheetId="11">#REF!</definedName>
    <definedName name="FY" localSheetId="16">#REF!</definedName>
    <definedName name="FY" localSheetId="13">#REF!</definedName>
    <definedName name="FY">#REF!</definedName>
    <definedName name="g" localSheetId="15">#REF!</definedName>
    <definedName name="g" localSheetId="11">#REF!</definedName>
    <definedName name="g" localSheetId="16">#REF!</definedName>
    <definedName name="g" localSheetId="13">#REF!</definedName>
    <definedName name="g">#REF!</definedName>
    <definedName name="gggfgg" localSheetId="15">#REF!</definedName>
    <definedName name="gggfgg" localSheetId="11">#REF!</definedName>
    <definedName name="gggfgg" localSheetId="16">#REF!</definedName>
    <definedName name="gggfgg" localSheetId="13">#REF!</definedName>
    <definedName name="gggfgg">#REF!</definedName>
    <definedName name="ghj">#REF!</definedName>
    <definedName name="GovtOthers" localSheetId="15">[19]Form!$V$18</definedName>
    <definedName name="GovtOthers" localSheetId="16">[19]Form!$V$18</definedName>
    <definedName name="GovtOthers">[20]Form!$V$18</definedName>
    <definedName name="Graph1">'[46]JOB WORK'!$G$4:$M$35</definedName>
    <definedName name="Graph2">'[46]JOB WORK'!$U$1253:$AA$1287</definedName>
    <definedName name="Graph3">'[46]JOB WORK'!$M$1355:$V$1402</definedName>
    <definedName name="Graph4">'[46]JOB WORK'!$P$1405:$AA$1432</definedName>
    <definedName name="gross_block_99">#REF!</definedName>
    <definedName name="Gross_Margin___Rs_M">#REF!</definedName>
    <definedName name="gross_sales">#REF!</definedName>
    <definedName name="gross_sales_98">#REF!</definedName>
    <definedName name="gross_sales_99">#REF!</definedName>
    <definedName name="Group1">[36]Calc!$H$174</definedName>
    <definedName name="Group10">[36]Calc!$H$183</definedName>
    <definedName name="Group2">[36]Calc!$H$175</definedName>
    <definedName name="Group3">[36]Calc!$H$176</definedName>
    <definedName name="Group4">[36]Calc!$H$177</definedName>
    <definedName name="Group5">[36]Calc!$H$178</definedName>
    <definedName name="Group6">[36]Calc!$H$179</definedName>
    <definedName name="Group7">[36]Calc!$H$180</definedName>
    <definedName name="Group8">[36]Calc!$H$181</definedName>
    <definedName name="Group9">[36]Calc!$H$182</definedName>
    <definedName name="GRPI" localSheetId="15">'[4]BS&amp;PLA'!#REF!</definedName>
    <definedName name="GRPI" localSheetId="25">'[4]BS&amp;PLA'!#REF!</definedName>
    <definedName name="GRPI" localSheetId="11">'[4]BS&amp;PLA'!#REF!</definedName>
    <definedName name="GRPI" localSheetId="16">'[4]BS&amp;PLA'!#REF!</definedName>
    <definedName name="GRPI" localSheetId="13">'[4]BS&amp;PLA'!#REF!</definedName>
    <definedName name="GRPI" localSheetId="19">'[4]BS&amp;PLA'!#REF!</definedName>
    <definedName name="GRPI">'[4]BS&amp;PLA'!#REF!</definedName>
    <definedName name="grrp2">'[47]BS &amp; Pr &amp; Loss'!$B$434:$D$554</definedName>
    <definedName name="h" localSheetId="15">#REF!</definedName>
    <definedName name="h" localSheetId="25">#REF!</definedName>
    <definedName name="h" localSheetId="11">#REF!</definedName>
    <definedName name="h" localSheetId="16">#REF!</definedName>
    <definedName name="h" localSheetId="13">#REF!</definedName>
    <definedName name="h" localSheetId="19">#REF!</definedName>
    <definedName name="h">#REF!</definedName>
    <definedName name="Header_Row" localSheetId="15">ROW('[43]Loan Amortization Schedule'!$17:$17)</definedName>
    <definedName name="Header_Row" localSheetId="16">ROW('[43]Loan Amortization Schedule'!$17:$17)</definedName>
    <definedName name="Header_Row">ROW('[44]Loan Amortization Schedule'!$17:$17)</definedName>
    <definedName name="hh" localSheetId="11" hidden="1">{#N/A,#N/A,TRUE,"Sheet1"}</definedName>
    <definedName name="hh" localSheetId="0" hidden="1">{#N/A,#N/A,TRUE,"Sheet1"}</definedName>
    <definedName name="hh" hidden="1">{#N/A,#N/A,TRUE,"Sheet1"}</definedName>
    <definedName name="HHC">'[48]80HHC- final'!$B$3:$I$70</definedName>
    <definedName name="hhh"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 localSheetId="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igherRate">0.4</definedName>
    <definedName name="HigherRateThreshold">29900</definedName>
    <definedName name="HTML_CodePage" hidden="1">1252</definedName>
    <definedName name="HTML_OBDlg2" hidden="1">FALSE</definedName>
    <definedName name="HTML_OBDlg3" hidden="1">TRUE</definedName>
    <definedName name="HTML_OBDlg4" hidden="1">TRUE</definedName>
    <definedName name="HTML_OS" hidden="1">0</definedName>
    <definedName name="HTML_PathFile" hidden="1">"C:\infac\pricewth\Aug99\Page06e.htm"</definedName>
    <definedName name="HTML_PathTemplate" hidden="1">"C:\infac\pricewth\Aug99\Page06e.htm"</definedName>
    <definedName name="I" localSheetId="15">#REF!</definedName>
    <definedName name="I" localSheetId="25">#REF!</definedName>
    <definedName name="I" localSheetId="11">#REF!</definedName>
    <definedName name="I" localSheetId="16">#REF!</definedName>
    <definedName name="I" localSheetId="13">#REF!</definedName>
    <definedName name="I" localSheetId="19">#REF!</definedName>
    <definedName name="I">#REF!</definedName>
    <definedName name="I00292_">'[17]TB APJ'!#REF!</definedName>
    <definedName name="I00294_">'[17]TB APJ'!$B$372</definedName>
    <definedName name="I00295_">'[17]TB APJ'!$B$373</definedName>
    <definedName name="I00296_">'[17]TB APJ'!$B$374</definedName>
    <definedName name="I00297_">'[17]TB APJ'!$B$375</definedName>
    <definedName name="I00298_">'[17]TB APJ'!#REF!</definedName>
    <definedName name="I00299_">'[17]TB APJ'!#REF!</definedName>
    <definedName name="I00300_">'[17]TB APJ'!#REF!</definedName>
    <definedName name="I00301_">'[17]TB APJ'!$B$147</definedName>
    <definedName name="I00302_">'[17]TB APJ'!$B$148</definedName>
    <definedName name="I00313_">'[17]TB APJ'!#REF!</definedName>
    <definedName name="I00316_">'[17]TB APJ'!#REF!</definedName>
    <definedName name="I00318_">'[17]TB APJ'!$B$149</definedName>
    <definedName name="I00319_">'[17]TB APJ'!$B$376</definedName>
    <definedName name="I00320_">'[17]TB APJ'!#REF!</definedName>
    <definedName name="I00321_">'[17]TB APJ'!$B$150</definedName>
    <definedName name="I00322_">'[17]TB APJ'!$B$378</definedName>
    <definedName name="I00324_">'[17]TB APJ'!$B$379</definedName>
    <definedName name="I00326_">'[17]TB APJ'!#REF!</definedName>
    <definedName name="I00327_">'[17]TB APJ'!$B$151</definedName>
    <definedName name="I00328_">'[17]TB APJ'!$B$152</definedName>
    <definedName name="I00329_">'[17]TB APJ'!#REF!</definedName>
    <definedName name="I00330_">'[17]TB APJ'!$B$240</definedName>
    <definedName name="I00331_">'[17]TB APJ'!#REF!</definedName>
    <definedName name="I00332_">'[17]TB APJ'!#REF!</definedName>
    <definedName name="I00333_">'[17]TB APJ'!$B$153</definedName>
    <definedName name="I00334_">'[17]TB APJ'!#REF!</definedName>
    <definedName name="I00335_">'[17]TB APJ'!#REF!</definedName>
    <definedName name="I00336_">'[17]TB APJ'!$B$154</definedName>
    <definedName name="I00337_">'[17]TB APJ'!#REF!</definedName>
    <definedName name="I00338_">'[17]TB APJ'!$B$234</definedName>
    <definedName name="I00340_">'[17]TB APJ'!#REF!</definedName>
    <definedName name="I00341_">'[17]TB APJ'!#REF!</definedName>
    <definedName name="I00342_">'[17]TB APJ'!#REF!</definedName>
    <definedName name="I00343_">'[17]TB APJ'!$B$236</definedName>
    <definedName name="I00344_">'[17]TB APJ'!$B$237</definedName>
    <definedName name="I00345_">'[17]TB APJ'!$B$155</definedName>
    <definedName name="I00348_">'[17]TB APJ'!$B$156</definedName>
    <definedName name="I00349_">'[17]TB APJ'!$B$157</definedName>
    <definedName name="I00350_">'[17]TB APJ'!$B$158</definedName>
    <definedName name="I00351_">'[17]TB APJ'!$B$159</definedName>
    <definedName name="I00363_">'[17]TB APJ'!$B$160</definedName>
    <definedName name="I00364_">'[17]TB APJ'!$B$161</definedName>
    <definedName name="I00365_">'[16]TB APJ'!$B$109</definedName>
    <definedName name="I0250_">'[17]TB APJ'!$B$162</definedName>
    <definedName name="I0251_">'[17]TB APJ'!$B$163</definedName>
    <definedName name="I0254_">'[17]TB APJ'!$B$164</definedName>
    <definedName name="I0260_">'[17]TB APJ'!$B$165</definedName>
    <definedName name="I0261_">'[17]TB APJ'!$B$383</definedName>
    <definedName name="I0263_">'[17]TB APJ'!$B$166</definedName>
    <definedName name="I0264_">'[17]TB APJ'!$B$238</definedName>
    <definedName name="I0265_">'[17]TB APJ'!$B$167</definedName>
    <definedName name="I0267_">'[17]TB APJ'!$B$168</definedName>
    <definedName name="I0268_">'[17]TB APJ'!#REF!</definedName>
    <definedName name="I0269_">'[17]TB APJ'!$B$385</definedName>
    <definedName name="I0270_">'[17]TB APJ'!$B$169</definedName>
    <definedName name="I0274_">'[17]TB APJ'!#REF!</definedName>
    <definedName name="I0275_">'[17]TB APJ'!$B$170</definedName>
    <definedName name="I0276_">'[17]TB APJ'!$B$171</definedName>
    <definedName name="I0277_">'[17]TB APJ'!$B$386</definedName>
    <definedName name="I0281_">'[17]TB APJ'!$B$387</definedName>
    <definedName name="I0282_">'[17]TB APJ'!$B$172</definedName>
    <definedName name="I0283_">'[17]TB APJ'!$B$389</definedName>
    <definedName name="I0286_">'[17]TB APJ'!$B$173</definedName>
    <definedName name="I0287_">'[17]TB APJ'!$B$174</definedName>
    <definedName name="I0288_">'[17]TB APJ'!#REF!</definedName>
    <definedName name="I0289_">'[17]TB APJ'!$B$175</definedName>
    <definedName name="I0291_">'[17]TB APJ'!$B$176</definedName>
    <definedName name="IMMPRO">#REF!</definedName>
    <definedName name="imprim1" localSheetId="1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 localSheetId="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NCOME">#REF!</definedName>
    <definedName name="INDIA_PLASTIC_in_KUSD">#REF!</definedName>
    <definedName name="indian" localSheetId="15">#REF!</definedName>
    <definedName name="indian" localSheetId="25">#REF!</definedName>
    <definedName name="indian" localSheetId="11">#REF!</definedName>
    <definedName name="indian" localSheetId="16">#REF!</definedName>
    <definedName name="indian" localSheetId="13">#REF!</definedName>
    <definedName name="indian" localSheetId="19">#REF!</definedName>
    <definedName name="indian">#REF!</definedName>
    <definedName name="INDIAN_RAYON_AND_INDUSTRIES_LIMITED">"ANNX1"</definedName>
    <definedName name="int_99">#REF!</definedName>
    <definedName name="Interest_Rate" localSheetId="15">'[43]Loan Amortization Schedule'!$D$6</definedName>
    <definedName name="Interest_Rate" localSheetId="16">'[43]Loan Amortization Schedule'!$D$6</definedName>
    <definedName name="Interest_Rate">'[44]Loan Amortization Schedule'!$D$6</definedName>
    <definedName name="inv">#REF!</definedName>
    <definedName name="IT_DEP1" localSheetId="15">#REF!</definedName>
    <definedName name="IT_DEP1" localSheetId="25">#REF!</definedName>
    <definedName name="IT_DEP1" localSheetId="11">#REF!</definedName>
    <definedName name="IT_DEP1" localSheetId="16">#REF!</definedName>
    <definedName name="IT_DEP1" localSheetId="13">#REF!</definedName>
    <definedName name="IT_DEP1" localSheetId="19">#REF!</definedName>
    <definedName name="IT_DEP1">#REF!</definedName>
    <definedName name="IT_DEP2" localSheetId="15">#REF!</definedName>
    <definedName name="IT_DEP2" localSheetId="25">#REF!</definedName>
    <definedName name="IT_DEP2" localSheetId="11">#REF!</definedName>
    <definedName name="IT_DEP2" localSheetId="16">#REF!</definedName>
    <definedName name="IT_DEP2" localSheetId="13">#REF!</definedName>
    <definedName name="IT_DEP2" localSheetId="19">#REF!</definedName>
    <definedName name="IT_DEP2">#REF!</definedName>
    <definedName name="J" localSheetId="15">#REF!</definedName>
    <definedName name="J" localSheetId="25">#REF!</definedName>
    <definedName name="J" localSheetId="11">#REF!</definedName>
    <definedName name="J" localSheetId="16">#REF!</definedName>
    <definedName name="J" localSheetId="13">#REF!</definedName>
    <definedName name="J" localSheetId="19">#REF!</definedName>
    <definedName name="J">#REF!</definedName>
    <definedName name="JHARKHAND" localSheetId="15">#REF!</definedName>
    <definedName name="JHARKHAND" localSheetId="11">#REF!</definedName>
    <definedName name="JHARKHAND" localSheetId="16">#REF!</definedName>
    <definedName name="JHARKHAND" localSheetId="13">#REF!</definedName>
    <definedName name="JHARKHAND">#REF!</definedName>
    <definedName name="k" localSheetId="15">#REF!</definedName>
    <definedName name="k" localSheetId="11">#REF!</definedName>
    <definedName name="k" localSheetId="16">#REF!</definedName>
    <definedName name="k" localSheetId="13">#REF!</definedName>
    <definedName name="k">#REF!</definedName>
    <definedName name="KEY_INDICATORS_4" localSheetId="15">#REF!</definedName>
    <definedName name="KEY_INDICATORS_4" localSheetId="11">#REF!</definedName>
    <definedName name="KEY_INDICATORS_4" localSheetId="16">#REF!</definedName>
    <definedName name="KEY_INDICATORS_4" localSheetId="13">#REF!</definedName>
    <definedName name="KEY_INDICATORS_4">#REF!</definedName>
    <definedName name="KEY_INDICATORS_5" localSheetId="15">#REF!</definedName>
    <definedName name="KEY_INDICATORS_5" localSheetId="11">#REF!</definedName>
    <definedName name="KEY_INDICATORS_5" localSheetId="16">#REF!</definedName>
    <definedName name="KEY_INDICATORS_5" localSheetId="13">#REF!</definedName>
    <definedName name="KEY_INDICATORS_5">#REF!</definedName>
    <definedName name="KEY_INDICATORS_6" localSheetId="15">#REF!</definedName>
    <definedName name="KEY_INDICATORS_6" localSheetId="11">#REF!</definedName>
    <definedName name="KEY_INDICATORS_6" localSheetId="16">#REF!</definedName>
    <definedName name="KEY_INDICATORS_6" localSheetId="13">#REF!</definedName>
    <definedName name="KEY_INDICATORS_6">#REF!</definedName>
    <definedName name="KEY_INDICATORS_7" localSheetId="15">#REF!</definedName>
    <definedName name="KEY_INDICATORS_7" localSheetId="11">#REF!</definedName>
    <definedName name="KEY_INDICATORS_7" localSheetId="16">#REF!</definedName>
    <definedName name="KEY_INDICATORS_7" localSheetId="13">#REF!</definedName>
    <definedName name="KEY_INDICATORS_7">#REF!</definedName>
    <definedName name="KEY_INDICATORS_8" localSheetId="15">#REF!</definedName>
    <definedName name="KEY_INDICATORS_8" localSheetId="11">#REF!</definedName>
    <definedName name="KEY_INDICATORS_8" localSheetId="16">#REF!</definedName>
    <definedName name="KEY_INDICATORS_8" localSheetId="13">#REF!</definedName>
    <definedName name="KEY_INDICATORS_8">#REF!</definedName>
    <definedName name="KOREA_PLASTIC_in_KUSD">#REF!</definedName>
    <definedName name="L" localSheetId="15">[49]rough!#REF!</definedName>
    <definedName name="L" localSheetId="25">[49]rough!#REF!</definedName>
    <definedName name="L" localSheetId="11">[49]rough!#REF!</definedName>
    <definedName name="L" localSheetId="16">[49]rough!#REF!</definedName>
    <definedName name="L" localSheetId="13">[49]rough!#REF!</definedName>
    <definedName name="L" localSheetId="19">[49]rough!#REF!</definedName>
    <definedName name="L">[49]rough!#REF!</definedName>
    <definedName name="L00380_">'[17]TB APJ'!$B$177</definedName>
    <definedName name="L00385_">'[17]TB APJ'!$B$178</definedName>
    <definedName name="L00386_">'[17]TB APJ'!$B$179</definedName>
    <definedName name="L00398_">'[17]TB APJ'!$B$390</definedName>
    <definedName name="L00406_">'[17]TB APJ'!$B$317</definedName>
    <definedName name="L00409_">'[17]TB APJ'!$B$180</definedName>
    <definedName name="L00410_">'[17]TB APJ'!#REF!</definedName>
    <definedName name="L00416_">'[17]TB APJ'!#REF!</definedName>
    <definedName name="L00417_">'[17]TB APJ'!#REF!</definedName>
    <definedName name="L00418_">'[17]TB APJ'!#REF!</definedName>
    <definedName name="L00420_">'[17]TB APJ'!$B$181</definedName>
    <definedName name="L00625_">'[17]TB APJ'!#REF!</definedName>
    <definedName name="L00626_">'[17]TB APJ'!#REF!</definedName>
    <definedName name="L00627_">'[17]TB APJ'!#REF!</definedName>
    <definedName name="L00628_">'[17]TB APJ'!#REF!</definedName>
    <definedName name="L00644_">'[17]TB APJ'!#REF!</definedName>
    <definedName name="L00646_">'[17]TB APJ'!#REF!</definedName>
    <definedName name="L00647_">'[17]TB APJ'!#REF!</definedName>
    <definedName name="L00649_">'[17]TB APJ'!$B$182</definedName>
    <definedName name="L00655_">'[17]TB APJ'!$B$392</definedName>
    <definedName name="L00656_">'[17]TB APJ'!#REF!</definedName>
    <definedName name="L00657_">'[17]TB APJ'!#REF!</definedName>
    <definedName name="L00659_">'[17]TB APJ'!#REF!</definedName>
    <definedName name="L00660_">'[17]TB APJ'!#REF!</definedName>
    <definedName name="L00665_">'[17]TB APJ'!#REF!</definedName>
    <definedName name="L00666_">'[17]TB APJ'!$B$183</definedName>
    <definedName name="L00667_">'[17]TB APJ'!$B$184</definedName>
    <definedName name="L00668_">'[16]TB APJ'!#REF!</definedName>
    <definedName name="L00669_">'[17]TB APJ'!$B$185</definedName>
    <definedName name="L00670_">'[17]TB APJ'!#REF!</definedName>
    <definedName name="L00671_">'[17]TB APJ'!#REF!</definedName>
    <definedName name="L00672_">'[17]TB APJ'!#REF!</definedName>
    <definedName name="L00673_">'[17]TB APJ'!#REF!</definedName>
    <definedName name="L00675_">'[17]TB APJ'!#REF!</definedName>
    <definedName name="L00677_">'[16]TB APJ'!#REF!</definedName>
    <definedName name="L00678_">'[17]TB APJ'!#REF!</definedName>
    <definedName name="L00681_">'[16]TB APJ'!#REF!</definedName>
    <definedName name="L00683_">'[17]TB APJ'!$B$188</definedName>
    <definedName name="L00684_">'[17]TB APJ'!$B$394</definedName>
    <definedName name="L00685_">'[17]TB APJ'!#REF!</definedName>
    <definedName name="L00686_">'[17]TB APJ'!#REF!</definedName>
    <definedName name="L00687_">'[17]TB APJ'!#REF!</definedName>
    <definedName name="L00690_">'[16]TB APJ'!#REF!</definedName>
    <definedName name="L00693_">'[17]TB APJ'!$B$275</definedName>
    <definedName name="L00697_">'[17]TB APJ'!$B$189</definedName>
    <definedName name="L00699_">'[17]TB APJ'!#REF!</definedName>
    <definedName name="L00703_">'[17]TB APJ'!#REF!</definedName>
    <definedName name="L00704_">'[17]TB APJ'!#REF!</definedName>
    <definedName name="L00705_">'[16]TB APJ'!#REF!</definedName>
    <definedName name="L00706_">'[17]TB APJ'!$B$192</definedName>
    <definedName name="L00707_">'[16]TB APJ'!$B$125</definedName>
    <definedName name="L00708_">'[17]TB APJ'!$B$194</definedName>
    <definedName name="L00714_">'[17]TB APJ'!$B$195</definedName>
    <definedName name="L00718_">'[17]TB APJ'!$B$247</definedName>
    <definedName name="L00719_">'[17]TB APJ'!$B$199</definedName>
    <definedName name="L00725_">'[17]TB APJ'!$B$304</definedName>
    <definedName name="L00728_">'[17]TB APJ'!$B$401</definedName>
    <definedName name="L00730_">'[17]TB APJ'!$B$402</definedName>
    <definedName name="L00731_">'[17]TB APJ'!$B$403</definedName>
    <definedName name="L00733_">'[17]TB APJ'!$B$200</definedName>
    <definedName name="L00735_">'[17]TB APJ'!$B$201</definedName>
    <definedName name="L00736_">'[17]TB APJ'!$B$202</definedName>
    <definedName name="L00737_">'[16]TB APJ'!$B$131</definedName>
    <definedName name="L0294_">'[17]TB APJ'!#REF!</definedName>
    <definedName name="L0295_">'[17]TB APJ'!$B$204</definedName>
    <definedName name="L0296_">'[17]TB APJ'!$B$205</definedName>
    <definedName name="L0298_">'[17]TB APJ'!$B$248</definedName>
    <definedName name="L0299_">'[17]TB APJ'!$B$207</definedName>
    <definedName name="L0300_">'[17]TB APJ'!$B$208</definedName>
    <definedName name="L0302_">'[17]TB APJ'!$B$320</definedName>
    <definedName name="L0303_">'[17]TB APJ'!$B$404</definedName>
    <definedName name="L0304_">'[17]TB APJ'!$B$209</definedName>
    <definedName name="L0305_">'[17]TB APJ'!#REF!</definedName>
    <definedName name="L0307_">'[17]TB APJ'!$B$210</definedName>
    <definedName name="L0308_">'[17]TB APJ'!#REF!</definedName>
    <definedName name="L0309_">'[17]TB APJ'!$B$211</definedName>
    <definedName name="L0310_">'[17]TB APJ'!$B$321</definedName>
    <definedName name="L0311_">'[17]TB APJ'!#REF!</definedName>
    <definedName name="L0316_">'[17]TB APJ'!$B$212</definedName>
    <definedName name="L0317_">'[17]TB APJ'!$B$213</definedName>
    <definedName name="L0318_">'[17]TB APJ'!#REF!</definedName>
    <definedName name="L0319_">'[17]TB APJ'!$B$214</definedName>
    <definedName name="L0322_">'[17]TB APJ'!$B$408</definedName>
    <definedName name="L0323_">'[17]TB APJ'!$B$215</definedName>
    <definedName name="L0326_">'[17]TB APJ'!$B$216</definedName>
    <definedName name="L0328_">'[17]TB APJ'!$B$217</definedName>
    <definedName name="L0330_">'[17]TB APJ'!#REF!</definedName>
    <definedName name="L0333_">'[17]TB APJ'!$B$218</definedName>
    <definedName name="L0337_">'[17]TB APJ'!$B$219</definedName>
    <definedName name="L0341_">'[17]TB APJ'!$B$220</definedName>
    <definedName name="L0342_">'[17]TB APJ'!$B$221</definedName>
    <definedName name="L0343_">'[17]TB APJ'!$B$222</definedName>
    <definedName name="L0344_">'[17]TB APJ'!#REF!</definedName>
    <definedName name="L0346_">'[17]TB APJ'!$B$414</definedName>
    <definedName name="L0347_">'[17]TB APJ'!$B$238</definedName>
    <definedName name="L0348_">'[16]TB APJ'!#REF!</definedName>
    <definedName name="L0349_">'[17]TB APJ'!$B$223</definedName>
    <definedName name="L0350_">'[17]TB APJ'!$B$415</definedName>
    <definedName name="L0351_">'[16]TB APJ'!#REF!</definedName>
    <definedName name="L0355_">'[17]TB APJ'!$B$225</definedName>
    <definedName name="L0356_">'[16]TB APJ'!#REF!</definedName>
    <definedName name="Labour">#REF!</definedName>
    <definedName name="Labour_99">#REF!</definedName>
    <definedName name="Labourch" localSheetId="15">#REF!</definedName>
    <definedName name="Labourch" localSheetId="25">#REF!</definedName>
    <definedName name="Labourch" localSheetId="11">#REF!</definedName>
    <definedName name="Labourch" localSheetId="16">#REF!</definedName>
    <definedName name="Labourch" localSheetId="13">#REF!</definedName>
    <definedName name="Labourch" localSheetId="19">#REF!</definedName>
    <definedName name="Labourch">#REF!</definedName>
    <definedName name="LAC">#REF!</definedName>
    <definedName name="Last_Row">#N/A</definedName>
    <definedName name="LastDays" localSheetId="15">#REF!</definedName>
    <definedName name="LastDays" localSheetId="25">#REF!</definedName>
    <definedName name="LastDays" localSheetId="16">#REF!</definedName>
    <definedName name="LastDays" localSheetId="19">#REF!</definedName>
    <definedName name="LastDays">#REF!</definedName>
    <definedName name="LIAB_4" localSheetId="15">#REF!</definedName>
    <definedName name="LIAB_4" localSheetId="25">#REF!</definedName>
    <definedName name="LIAB_4" localSheetId="11">#REF!</definedName>
    <definedName name="LIAB_4" localSheetId="16">#REF!</definedName>
    <definedName name="LIAB_4" localSheetId="13">#REF!</definedName>
    <definedName name="LIAB_4" localSheetId="19">#REF!</definedName>
    <definedName name="LIAB_4">#REF!</definedName>
    <definedName name="LIAB_5" localSheetId="15">#REF!</definedName>
    <definedName name="LIAB_5" localSheetId="25">#REF!</definedName>
    <definedName name="LIAB_5" localSheetId="11">#REF!</definedName>
    <definedName name="LIAB_5" localSheetId="16">#REF!</definedName>
    <definedName name="LIAB_5" localSheetId="13">#REF!</definedName>
    <definedName name="LIAB_5" localSheetId="19">#REF!</definedName>
    <definedName name="LIAB_5">#REF!</definedName>
    <definedName name="LIAB_6" localSheetId="15">#REF!</definedName>
    <definedName name="LIAB_6" localSheetId="11">#REF!</definedName>
    <definedName name="LIAB_6" localSheetId="16">#REF!</definedName>
    <definedName name="LIAB_6" localSheetId="13">#REF!</definedName>
    <definedName name="LIAB_6">#REF!</definedName>
    <definedName name="LIAB_7" localSheetId="15">#REF!</definedName>
    <definedName name="LIAB_7" localSheetId="11">#REF!</definedName>
    <definedName name="LIAB_7" localSheetId="16">#REF!</definedName>
    <definedName name="LIAB_7" localSheetId="13">#REF!</definedName>
    <definedName name="LIAB_7">#REF!</definedName>
    <definedName name="LIAB_8" localSheetId="15">#REF!</definedName>
    <definedName name="LIAB_8" localSheetId="11">#REF!</definedName>
    <definedName name="LIAB_8" localSheetId="16">#REF!</definedName>
    <definedName name="LIAB_8" localSheetId="13">#REF!</definedName>
    <definedName name="LIAB_8">#REF!</definedName>
    <definedName name="Loan_Amount" localSheetId="15">'[43]Loan Amortization Schedule'!$D$5</definedName>
    <definedName name="Loan_Amount" localSheetId="16">'[43]Loan Amortization Schedule'!$D$5</definedName>
    <definedName name="Loan_Amount">'[44]Loan Amortization Schedule'!$D$5</definedName>
    <definedName name="Loan_Start" localSheetId="15">'[43]Loan Amortization Schedule'!$D$9</definedName>
    <definedName name="Loan_Start" localSheetId="16">'[43]Loan Amortization Schedule'!$D$9</definedName>
    <definedName name="Loan_Start">'[44]Loan Amortization Schedule'!$D$9</definedName>
    <definedName name="Loan_Years" localSheetId="15">'[43]Loan Amortization Schedule'!$D$7</definedName>
    <definedName name="Loan_Years" localSheetId="16">'[43]Loan Amortization Schedule'!$D$7</definedName>
    <definedName name="Loan_Years">'[44]Loan Amortization Schedule'!$D$7</definedName>
    <definedName name="LowerRate">0.1</definedName>
    <definedName name="ls">#REF!</definedName>
    <definedName name="M" localSheetId="15">#REF!</definedName>
    <definedName name="M" localSheetId="25">#REF!</definedName>
    <definedName name="M" localSheetId="11">#REF!</definedName>
    <definedName name="M" localSheetId="16">#REF!</definedName>
    <definedName name="M" localSheetId="13">#REF!</definedName>
    <definedName name="M" localSheetId="19">#REF!</definedName>
    <definedName name="M">#REF!</definedName>
    <definedName name="ma" localSheetId="15">#REF!</definedName>
    <definedName name="ma" localSheetId="25">#REF!</definedName>
    <definedName name="ma" localSheetId="16">#REF!</definedName>
    <definedName name="ma" localSheetId="19">#REF!</definedName>
    <definedName name="ma">#REF!</definedName>
    <definedName name="MDEVISES" localSheetId="0">#REF!,#REF!,#REF!</definedName>
    <definedName name="MDEVISES">#REF!,#REF!,#REF!</definedName>
    <definedName name="merged2" localSheetId="15">#REF!</definedName>
    <definedName name="merged2" localSheetId="25">#REF!</definedName>
    <definedName name="merged2" localSheetId="16">#REF!</definedName>
    <definedName name="merged2" localSheetId="19">#REF!</definedName>
    <definedName name="merged2">#REF!</definedName>
    <definedName name="MethodAcc">[22]Masters!$C$46</definedName>
    <definedName name="MFRF">#REF!,#REF!,#REF!,#REF!,#REF!</definedName>
    <definedName name="mm" localSheetId="11" hidden="1">{#N/A,#N/A,TRUE,"Sheet1"}</definedName>
    <definedName name="mm" localSheetId="0" hidden="1">{#N/A,#N/A,TRUE,"Sheet1"}</definedName>
    <definedName name="mm" hidden="1">{#N/A,#N/A,TRUE,"Sheet1"}</definedName>
    <definedName name="MONTHLY_MG">#REF!</definedName>
    <definedName name="MonthsList" localSheetId="15">#REF!</definedName>
    <definedName name="MonthsList" localSheetId="16">#REF!</definedName>
    <definedName name="MonthsList">#REF!</definedName>
    <definedName name="MStVal">[22]Masters!$C$47</definedName>
    <definedName name="multivision">#REF!</definedName>
    <definedName name="mv" localSheetId="15">#REF!</definedName>
    <definedName name="mv" localSheetId="11">#REF!</definedName>
    <definedName name="mv" localSheetId="16">#REF!</definedName>
    <definedName name="mv" localSheetId="13">#REF!</definedName>
    <definedName name="mv">#REF!</definedName>
    <definedName name="Name" localSheetId="15">#REF!</definedName>
    <definedName name="Name" localSheetId="11">#REF!</definedName>
    <definedName name="Name" localSheetId="16">#REF!</definedName>
    <definedName name="Name" localSheetId="13">#REF!</definedName>
    <definedName name="Name">#REF!</definedName>
    <definedName name="naresh" hidden="1">'[50]269T(final)'!#REF!</definedName>
    <definedName name="NatureBusiness">[22]Masters!$C$45</definedName>
    <definedName name="nhfjgf">#N/A</definedName>
    <definedName name="Note" localSheetId="1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2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1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1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1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2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1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1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S_ON_ACCT">[51]tb!#REF!</definedName>
    <definedName name="Number_of_Payments" localSheetId="15">MATCH(0.01,'Advance for Capital Goods'!End_Bal,-1)+1</definedName>
    <definedName name="Number_of_Payments" localSheetId="25">MATCH(0.01,End_Bal,-1)+1</definedName>
    <definedName name="Number_of_Payments" localSheetId="16">MATCH(0.01,FDR!End_Bal,-1)+1</definedName>
    <definedName name="Number_of_Payments" localSheetId="19">MATCH(0.01,End_Bal,-1)+1</definedName>
    <definedName name="Number_of_Payments" localSheetId="0">MATCH(0.01,End_Bal,-1)+1</definedName>
    <definedName name="Number_of_Payments">MATCH(0.01,End_Bal,-1)+1</definedName>
    <definedName name="O" localSheetId="15">[52]rough!#REF!</definedName>
    <definedName name="O" localSheetId="25">[52]rough!#REF!</definedName>
    <definedName name="O" localSheetId="11">[52]rough!#REF!</definedName>
    <definedName name="O" localSheetId="16">[52]rough!#REF!</definedName>
    <definedName name="O" localSheetId="13">[52]rough!#REF!</definedName>
    <definedName name="O" localSheetId="19">[52]rough!#REF!</definedName>
    <definedName name="O">[52]rough!#REF!</definedName>
    <definedName name="oh" localSheetId="15">#REF!</definedName>
    <definedName name="oh" localSheetId="25">#REF!</definedName>
    <definedName name="oh" localSheetId="11">#REF!</definedName>
    <definedName name="oh" localSheetId="16">#REF!</definedName>
    <definedName name="oh" localSheetId="13">#REF!</definedName>
    <definedName name="oh" localSheetId="19">#REF!</definedName>
    <definedName name="oh">#REF!</definedName>
    <definedName name="op_stk_rough_99">#REF!</definedName>
    <definedName name="operations">#REF!</definedName>
    <definedName name="os" localSheetId="15">'[19]Annexure-I'!$W$11:$W$105</definedName>
    <definedName name="os" localSheetId="16">'[19]Annexure-I'!$W$11:$W$105</definedName>
    <definedName name="os">'[20]Annexure-I'!$W$11:$W$105</definedName>
    <definedName name="other" localSheetId="15">#REF!</definedName>
    <definedName name="other" localSheetId="25">#REF!</definedName>
    <definedName name="other" localSheetId="11">#REF!</definedName>
    <definedName name="other" localSheetId="16">#REF!</definedName>
    <definedName name="other" localSheetId="13">#REF!</definedName>
    <definedName name="other" localSheetId="19">#REF!</definedName>
    <definedName name="other">#REF!</definedName>
    <definedName name="other_dep_99">#REF!</definedName>
    <definedName name="Other_exp_99">#REF!</definedName>
    <definedName name="other_labour">#REF!</definedName>
    <definedName name="othercon" localSheetId="15">#REF!</definedName>
    <definedName name="othercon" localSheetId="25">#REF!</definedName>
    <definedName name="othercon" localSheetId="11">#REF!</definedName>
    <definedName name="othercon" localSheetId="16">#REF!</definedName>
    <definedName name="othercon" localSheetId="13">#REF!</definedName>
    <definedName name="othercon" localSheetId="19">#REF!</definedName>
    <definedName name="othercon">#REF!</definedName>
    <definedName name="Others" localSheetId="15">[33]Volumes!#REF!</definedName>
    <definedName name="Others" localSheetId="25">[33]Volumes!#REF!</definedName>
    <definedName name="Others" localSheetId="11">[33]Volumes!#REF!</definedName>
    <definedName name="Others" localSheetId="16">[33]Volumes!#REF!</definedName>
    <definedName name="Others" localSheetId="13">[33]Volumes!#REF!</definedName>
    <definedName name="Others" localSheetId="19">[33]Volumes!#REF!</definedName>
    <definedName name="Others">[33]Volumes!#REF!</definedName>
    <definedName name="otr_labour">#REF!</definedName>
    <definedName name="otr_labour_99">#REF!</definedName>
    <definedName name="p" localSheetId="15">[53]rough!#REF!</definedName>
    <definedName name="p" localSheetId="25">[53]rough!#REF!</definedName>
    <definedName name="p" localSheetId="11">[53]rough!#REF!</definedName>
    <definedName name="p" localSheetId="16">[53]rough!#REF!</definedName>
    <definedName name="p" localSheetId="13">[53]rough!#REF!</definedName>
    <definedName name="p" localSheetId="19">[53]rough!#REF!</definedName>
    <definedName name="p">[53]rough!#REF!</definedName>
    <definedName name="P___L___Statement">#REF!</definedName>
    <definedName name="P_L" localSheetId="15">'[10]final  Bsheet &amp; P&amp; L '!#REF!</definedName>
    <definedName name="P_L" localSheetId="25">'[10]final  Bsheet &amp; P&amp; L '!#REF!</definedName>
    <definedName name="P_L" localSheetId="11">'[10]final  Bsheet &amp; P&amp; L '!#REF!</definedName>
    <definedName name="P_L" localSheetId="16">'[10]final  Bsheet &amp; P&amp; L '!#REF!</definedName>
    <definedName name="P_L" localSheetId="13">'[10]final  Bsheet &amp; P&amp; L '!#REF!</definedName>
    <definedName name="P_L" localSheetId="19">'[10]final  Bsheet &amp; P&amp; L '!#REF!</definedName>
    <definedName name="P_L">'[10]final  Bsheet &amp; P&amp; L '!#REF!</definedName>
    <definedName name="PAN">[22]Masters!$C$11</definedName>
    <definedName name="PartDesignation">[22]Masters!$C$16</definedName>
    <definedName name="PARTICULARS">#REF!</definedName>
    <definedName name="Partners_capital_99">#REF!</definedName>
    <definedName name="PaymentNL" localSheetId="15">#REF!</definedName>
    <definedName name="PaymentNL" localSheetId="25">#REF!</definedName>
    <definedName name="PaymentNL" localSheetId="16">#REF!</definedName>
    <definedName name="PaymentNL" localSheetId="19">#REF!</definedName>
    <definedName name="PaymentNL">#REF!</definedName>
    <definedName name="PaymentsNL" localSheetId="15">#REF!</definedName>
    <definedName name="PaymentsNL" localSheetId="25">#REF!</definedName>
    <definedName name="PaymentsNL" localSheetId="16">#REF!</definedName>
    <definedName name="PaymentsNL" localSheetId="19">#REF!</definedName>
    <definedName name="PaymentsNL">#REF!</definedName>
    <definedName name="PaymentsSummary" localSheetId="15">#REF!</definedName>
    <definedName name="PaymentsSummary" localSheetId="25">#REF!</definedName>
    <definedName name="PaymentsSummary" localSheetId="16">#REF!</definedName>
    <definedName name="PaymentsSummary" localSheetId="19">#REF!</definedName>
    <definedName name="PaymentsSummary">#REF!</definedName>
    <definedName name="PaymentsVAT" localSheetId="15">#REF!</definedName>
    <definedName name="PaymentsVAT" localSheetId="16">#REF!</definedName>
    <definedName name="PaymentsVAT">#REF!</definedName>
    <definedName name="PaymentsVATable" localSheetId="15">#REF!</definedName>
    <definedName name="PaymentsVATable" localSheetId="16">#REF!</definedName>
    <definedName name="PaymentsVATable">#REF!</definedName>
    <definedName name="PBIDT">#REF!</definedName>
    <definedName name="PC1_An">[28]PC1!$I$7:$I$46</definedName>
    <definedName name="PC1_Gross">[28]PC1!$F$47</definedName>
    <definedName name="PC1_Net">[28]PC1!$H$7:$H$46</definedName>
    <definedName name="PC1_VAT">[28]PC1!$G$47</definedName>
    <definedName name="PC10_An">[28]PC10!$I$7:$I$46</definedName>
    <definedName name="PC10_Gross">[28]PC10!$F$47</definedName>
    <definedName name="PC10_Net">[28]PC10!$H$7:$H$46</definedName>
    <definedName name="PC10_VAT">[28]PC10!$G$47</definedName>
    <definedName name="PC11_An">[28]PC11!$I$7:$I$46</definedName>
    <definedName name="PC11_Gross">[28]PC11!$F$47</definedName>
    <definedName name="PC11_Net">[28]PC11!$H$7:$H$46</definedName>
    <definedName name="PC11_VAT">[28]PC11!$G$47</definedName>
    <definedName name="PC12_An">[28]PC12!$I$7:$I$46</definedName>
    <definedName name="PC12_Gross">[28]PC12!$F$47</definedName>
    <definedName name="PC12_Net">[28]PC12!$H$7:$H$46</definedName>
    <definedName name="PC12_VAT">[28]PC12!$G$47</definedName>
    <definedName name="PC2_An">[28]PC2!$I$7:$I$46</definedName>
    <definedName name="PC2_Gross">[28]PC2!$F$47</definedName>
    <definedName name="PC2_Net">[28]PC2!$H$7:$H$46</definedName>
    <definedName name="PC2_VAT">[28]PC2!$G$47</definedName>
    <definedName name="PC3_An">[28]PC3!$I$7:$I$46</definedName>
    <definedName name="PC3_Gross">[28]PC3!$F$47</definedName>
    <definedName name="PC3_Net">[28]PC3!$H$7:$H$46</definedName>
    <definedName name="PC3_VAT">[28]PC3!$G$47</definedName>
    <definedName name="PC4_An">[28]PC4!$I$7:$I$46</definedName>
    <definedName name="PC4_Gross">[28]PC4!$F$47</definedName>
    <definedName name="PC4_Net">[28]PC4!$H$7:$H$46</definedName>
    <definedName name="PC4_VAT">[28]PC4!$G$47</definedName>
    <definedName name="PC5_An">[28]PC5!$I$7:$I$46</definedName>
    <definedName name="PC5_Gross">[28]PC5!$F$47</definedName>
    <definedName name="PC5_Net">[28]PC5!$H$7:$H$46</definedName>
    <definedName name="PC5_VAT">[28]PC5!$G$47</definedName>
    <definedName name="PC6_An">[28]PC6!$I$7:$I$46</definedName>
    <definedName name="PC6_Gross">[28]PC6!$F$47</definedName>
    <definedName name="PC6_Net">[28]PC6!$H$7:$H$46</definedName>
    <definedName name="PC6_VAT">[28]PC6!$G$47</definedName>
    <definedName name="PC7_An">[28]PC7!$I$7:$I$46</definedName>
    <definedName name="PC7_Gross">[28]PC7!$F$47</definedName>
    <definedName name="PC7_Net">[28]PC7!$H$7:$H$46</definedName>
    <definedName name="PC7_VAT">[28]PC7!$G$47</definedName>
    <definedName name="PC8_An">[28]PC8!$I$7:$I$46</definedName>
    <definedName name="PC8_Gross">[28]PC8!$F$47</definedName>
    <definedName name="PC8_Net">[28]PC8!$H$7:$H$46</definedName>
    <definedName name="PC8_VAT">[28]PC8!$G$47</definedName>
    <definedName name="PC9_An">[28]PC9!$I$7:$I$46</definedName>
    <definedName name="PC9_Gross">[28]PC9!$F$47</definedName>
    <definedName name="PC9_Net">[28]PC9!$H$7:$H$46</definedName>
    <definedName name="PC9_VAT">[28]PC9!$G$47</definedName>
    <definedName name="PCSA" localSheetId="15">[33]Volumes!#REF!</definedName>
    <definedName name="PCSA" localSheetId="25">[33]Volumes!#REF!</definedName>
    <definedName name="PCSA" localSheetId="11">[33]Volumes!#REF!</definedName>
    <definedName name="PCSA" localSheetId="16">[33]Volumes!#REF!</definedName>
    <definedName name="PCSA" localSheetId="13">[33]Volumes!#REF!</definedName>
    <definedName name="PCSA" localSheetId="19">[33]Volumes!#REF!</definedName>
    <definedName name="PCSA">[33]Volumes!#REF!</definedName>
    <definedName name="PCsummary" localSheetId="15">#REF!</definedName>
    <definedName name="PCsummary" localSheetId="25">#REF!</definedName>
    <definedName name="PCsummary" localSheetId="16">#REF!</definedName>
    <definedName name="PCsummary" localSheetId="19">#REF!</definedName>
    <definedName name="PCsummary">#REF!</definedName>
    <definedName name="PCVAT" localSheetId="15">#REF!</definedName>
    <definedName name="PCVAT" localSheetId="25">#REF!</definedName>
    <definedName name="PCVAT" localSheetId="16">#REF!</definedName>
    <definedName name="PCVAT" localSheetId="19">#REF!</definedName>
    <definedName name="PCVAT">#REF!</definedName>
    <definedName name="pl">'[2]BS 590'!$B$69:$H$116</definedName>
    <definedName name="PL1_4" localSheetId="15">#REF!</definedName>
    <definedName name="PL1_4" localSheetId="25">#REF!</definedName>
    <definedName name="PL1_4" localSheetId="11">#REF!</definedName>
    <definedName name="PL1_4" localSheetId="16">#REF!</definedName>
    <definedName name="PL1_4" localSheetId="13">#REF!</definedName>
    <definedName name="PL1_4" localSheetId="19">#REF!</definedName>
    <definedName name="PL1_4">#REF!</definedName>
    <definedName name="PL1_5" localSheetId="15">#REF!</definedName>
    <definedName name="PL1_5" localSheetId="25">#REF!</definedName>
    <definedName name="PL1_5" localSheetId="11">#REF!</definedName>
    <definedName name="PL1_5" localSheetId="16">#REF!</definedName>
    <definedName name="PL1_5" localSheetId="13">#REF!</definedName>
    <definedName name="PL1_5" localSheetId="19">#REF!</definedName>
    <definedName name="PL1_5">#REF!</definedName>
    <definedName name="PL1_6" localSheetId="15">#REF!</definedName>
    <definedName name="PL1_6" localSheetId="25">#REF!</definedName>
    <definedName name="PL1_6" localSheetId="11">#REF!</definedName>
    <definedName name="PL1_6" localSheetId="16">#REF!</definedName>
    <definedName name="PL1_6" localSheetId="13">#REF!</definedName>
    <definedName name="PL1_6" localSheetId="19">#REF!</definedName>
    <definedName name="PL1_6">#REF!</definedName>
    <definedName name="PL1_7" localSheetId="15">#REF!</definedName>
    <definedName name="PL1_7" localSheetId="11">#REF!</definedName>
    <definedName name="PL1_7" localSheetId="16">#REF!</definedName>
    <definedName name="PL1_7" localSheetId="13">#REF!</definedName>
    <definedName name="PL1_7">#REF!</definedName>
    <definedName name="PL1_8" localSheetId="15">#REF!</definedName>
    <definedName name="PL1_8" localSheetId="11">#REF!</definedName>
    <definedName name="PL1_8" localSheetId="16">#REF!</definedName>
    <definedName name="PL1_8" localSheetId="13">#REF!</definedName>
    <definedName name="PL1_8">#REF!</definedName>
    <definedName name="PL2_4" localSheetId="15">#REF!</definedName>
    <definedName name="PL2_4" localSheetId="11">#REF!</definedName>
    <definedName name="PL2_4" localSheetId="16">#REF!</definedName>
    <definedName name="PL2_4" localSheetId="13">#REF!</definedName>
    <definedName name="PL2_4">#REF!</definedName>
    <definedName name="PL2_5" localSheetId="15">#REF!</definedName>
    <definedName name="PL2_5" localSheetId="11">#REF!</definedName>
    <definedName name="PL2_5" localSheetId="16">#REF!</definedName>
    <definedName name="PL2_5" localSheetId="13">#REF!</definedName>
    <definedName name="PL2_5">#REF!</definedName>
    <definedName name="PL2_6" localSheetId="15">#REF!</definedName>
    <definedName name="PL2_6" localSheetId="11">#REF!</definedName>
    <definedName name="PL2_6" localSheetId="16">#REF!</definedName>
    <definedName name="PL2_6" localSheetId="13">#REF!</definedName>
    <definedName name="PL2_6">#REF!</definedName>
    <definedName name="PL2_7" localSheetId="15">#REF!</definedName>
    <definedName name="PL2_7" localSheetId="11">#REF!</definedName>
    <definedName name="PL2_7" localSheetId="16">#REF!</definedName>
    <definedName name="PL2_7" localSheetId="13">#REF!</definedName>
    <definedName name="PL2_7">#REF!</definedName>
    <definedName name="PL2_8" localSheetId="15">#REF!</definedName>
    <definedName name="PL2_8" localSheetId="11">#REF!</definedName>
    <definedName name="PL2_8" localSheetId="16">#REF!</definedName>
    <definedName name="PL2_8" localSheetId="13">#REF!</definedName>
    <definedName name="PL2_8">#REF!</definedName>
    <definedName name="plfull_4" localSheetId="15">#REF!</definedName>
    <definedName name="plfull_4" localSheetId="11">#REF!</definedName>
    <definedName name="plfull_4" localSheetId="16">#REF!</definedName>
    <definedName name="plfull_4" localSheetId="13">#REF!</definedName>
    <definedName name="plfull_4">#REF!</definedName>
    <definedName name="plfull_5" localSheetId="15">#REF!</definedName>
    <definedName name="plfull_5" localSheetId="11">#REF!</definedName>
    <definedName name="plfull_5" localSheetId="16">#REF!</definedName>
    <definedName name="plfull_5" localSheetId="13">#REF!</definedName>
    <definedName name="plfull_5">#REF!</definedName>
    <definedName name="plfull_6" localSheetId="15">#REF!</definedName>
    <definedName name="plfull_6" localSheetId="11">#REF!</definedName>
    <definedName name="plfull_6" localSheetId="16">#REF!</definedName>
    <definedName name="plfull_6" localSheetId="13">#REF!</definedName>
    <definedName name="plfull_6">#REF!</definedName>
    <definedName name="plfull_7" localSheetId="15">#REF!</definedName>
    <definedName name="plfull_7" localSheetId="11">#REF!</definedName>
    <definedName name="plfull_7" localSheetId="16">#REF!</definedName>
    <definedName name="plfull_7" localSheetId="13">#REF!</definedName>
    <definedName name="plfull_7">#REF!</definedName>
    <definedName name="plfull_8" localSheetId="15">#REF!</definedName>
    <definedName name="plfull_8" localSheetId="11">#REF!</definedName>
    <definedName name="plfull_8" localSheetId="16">#REF!</definedName>
    <definedName name="plfull_8" localSheetId="13">#REF!</definedName>
    <definedName name="plfull_8">#REF!</definedName>
    <definedName name="plumbing" localSheetId="15">#REF!</definedName>
    <definedName name="plumbing" localSheetId="11">#REF!</definedName>
    <definedName name="plumbing" localSheetId="16">#REF!</definedName>
    <definedName name="plumbing" localSheetId="13">#REF!</definedName>
    <definedName name="plumbing">#REF!</definedName>
    <definedName name="Polish_cl_99">#REF!</definedName>
    <definedName name="Polish_op_99">#REF!</definedName>
    <definedName name="Power">#REF!</definedName>
    <definedName name="Power_99">#REF!</definedName>
    <definedName name="prash">#REF!</definedName>
    <definedName name="Praveen"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 localSheetId="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_xlnm.Print_Area" localSheetId="15">'Advance for Capital Goods'!$B$1:$H$8</definedName>
    <definedName name="_xlnm.Print_Area" localSheetId="5">BSPL!$B$2:$G$913</definedName>
    <definedName name="_xlnm.Print_Area" localSheetId="4">'Cash Flow'!$A$1:$AQ$88</definedName>
    <definedName name="_xlnm.Print_Area" localSheetId="9">'CLOSING STOCK AS ON 31-03-21'!$A$1:$AE$76</definedName>
    <definedName name="_xlnm.Print_Area" localSheetId="12">COI!$A$1:$L$77</definedName>
    <definedName name="_xlnm.Print_Area" localSheetId="25">#REF!</definedName>
    <definedName name="_xlnm.Print_Area" localSheetId="11">DT!$C$2:$J$39</definedName>
    <definedName name="_xlnm.Print_Area" localSheetId="16">FDR!$A$1:$O$12</definedName>
    <definedName name="_xlnm.Print_Area" localSheetId="13">'IT Dep'!$B$4:$Q$74</definedName>
    <definedName name="_xlnm.Print_Area" localSheetId="19">#REF!</definedName>
    <definedName name="_xlnm.Print_Area" localSheetId="10">PPE!$B$1:$K$31</definedName>
    <definedName name="_xlnm.Print_Area" localSheetId="14">'Prepaid Ins'!$A$1:$R$83</definedName>
    <definedName name="_xlnm.Print_Area" localSheetId="20">'PSI Bifurcation'!$B$1:$F$47</definedName>
    <definedName name="_xlnm.Print_Area" localSheetId="0">'Result 1'!$B$1:$J$69</definedName>
    <definedName name="_xlnm.Print_Area" localSheetId="1">'Result 2'!$A$1:$E$47</definedName>
    <definedName name="_xlnm.Print_Area" localSheetId="3">'Result 3'!$A$1:$C$59</definedName>
    <definedName name="_xlnm.Print_Area" localSheetId="2">Result1!$A$1:$G$67</definedName>
    <definedName name="_xlnm.Print_Area">#REF!</definedName>
    <definedName name="PRINT_AREA_MI" localSheetId="15">#REF!</definedName>
    <definedName name="PRINT_AREA_MI" localSheetId="25">#REF!</definedName>
    <definedName name="PRINT_AREA_MI" localSheetId="11">#REF!</definedName>
    <definedName name="PRINT_AREA_MI" localSheetId="16">#REF!</definedName>
    <definedName name="PRINT_AREA_MI" localSheetId="13">#REF!</definedName>
    <definedName name="PRINT_AREA_MI" localSheetId="19">#REF!</definedName>
    <definedName name="PRINT_AREA_MI">#REF!</definedName>
    <definedName name="_xlnm.Print_Titles">#N/A</definedName>
    <definedName name="PROFIT" localSheetId="15">#REF!</definedName>
    <definedName name="PROFIT" localSheetId="25">#REF!</definedName>
    <definedName name="PROFIT" localSheetId="11">#REF!</definedName>
    <definedName name="PROFIT" localSheetId="16">#REF!</definedName>
    <definedName name="PROFIT" localSheetId="13">#REF!</definedName>
    <definedName name="PROFIT" localSheetId="19">#REF!</definedName>
    <definedName name="PROFIT">#REF!</definedName>
    <definedName name="profitloss">[54]working!$A$540:$C$813</definedName>
    <definedName name="queries" localSheetId="15">#REF!</definedName>
    <definedName name="queries" localSheetId="25">#REF!</definedName>
    <definedName name="queries" localSheetId="11">#REF!</definedName>
    <definedName name="queries" localSheetId="16">#REF!</definedName>
    <definedName name="queries" localSheetId="13">#REF!</definedName>
    <definedName name="queries" localSheetId="19">#REF!</definedName>
    <definedName name="queries">#REF!</definedName>
    <definedName name="QWW" localSheetId="15">[53]rough!#REF!</definedName>
    <definedName name="QWW" localSheetId="25">[53]rough!#REF!</definedName>
    <definedName name="QWW" localSheetId="16">[53]rough!#REF!</definedName>
    <definedName name="QWW" localSheetId="19">[53]rough!#REF!</definedName>
    <definedName name="QWW">[53]rough!#REF!</definedName>
    <definedName name="Ranalysis" localSheetId="15">#REF!</definedName>
    <definedName name="Ranalysis" localSheetId="25">#REF!</definedName>
    <definedName name="Ranalysis" localSheetId="11">#REF!</definedName>
    <definedName name="Ranalysis" localSheetId="16">#REF!</definedName>
    <definedName name="Ranalysis" localSheetId="13">#REF!</definedName>
    <definedName name="Ranalysis" localSheetId="19">#REF!</definedName>
    <definedName name="Ranalysis">#REF!</definedName>
    <definedName name="RATIO" localSheetId="15">#REF!</definedName>
    <definedName name="RATIO" localSheetId="25">#REF!</definedName>
    <definedName name="RATIO" localSheetId="11">#REF!</definedName>
    <definedName name="RATIO" localSheetId="16">#REF!</definedName>
    <definedName name="RATIO" localSheetId="13">#REF!</definedName>
    <definedName name="RATIO" localSheetId="19">#REF!</definedName>
    <definedName name="RATIO">#REF!</definedName>
    <definedName name="RATIOS_4" localSheetId="15">#REF!</definedName>
    <definedName name="RATIOS_4" localSheetId="25">#REF!</definedName>
    <definedName name="RATIOS_4" localSheetId="11">#REF!</definedName>
    <definedName name="RATIOS_4" localSheetId="16">#REF!</definedName>
    <definedName name="RATIOS_4" localSheetId="13">#REF!</definedName>
    <definedName name="RATIOS_4" localSheetId="19">#REF!</definedName>
    <definedName name="RATIOS_4">#REF!</definedName>
    <definedName name="RATIOS_5" localSheetId="15">#REF!</definedName>
    <definedName name="RATIOS_5" localSheetId="11">#REF!</definedName>
    <definedName name="RATIOS_5" localSheetId="16">#REF!</definedName>
    <definedName name="RATIOS_5" localSheetId="13">#REF!</definedName>
    <definedName name="RATIOS_5">#REF!</definedName>
    <definedName name="RATIOS_6" localSheetId="15">#REF!</definedName>
    <definedName name="RATIOS_6" localSheetId="11">#REF!</definedName>
    <definedName name="RATIOS_6" localSheetId="16">#REF!</definedName>
    <definedName name="RATIOS_6" localSheetId="13">#REF!</definedName>
    <definedName name="RATIOS_6">#REF!</definedName>
    <definedName name="RATIOS_7" localSheetId="15">#REF!</definedName>
    <definedName name="RATIOS_7" localSheetId="11">#REF!</definedName>
    <definedName name="RATIOS_7" localSheetId="16">#REF!</definedName>
    <definedName name="RATIOS_7" localSheetId="13">#REF!</definedName>
    <definedName name="RATIOS_7">#REF!</definedName>
    <definedName name="RATIOS_8" localSheetId="15">#REF!</definedName>
    <definedName name="RATIOS_8" localSheetId="11">#REF!</definedName>
    <definedName name="RATIOS_8" localSheetId="16">#REF!</definedName>
    <definedName name="RATIOS_8" localSheetId="13">#REF!</definedName>
    <definedName name="RATIOS_8">#REF!</definedName>
    <definedName name="Raw_material">#REF!</definedName>
    <definedName name="Raw_material_99">#REF!</definedName>
    <definedName name="RE_ADDITIONS" localSheetId="15">#REF!</definedName>
    <definedName name="RE_ADDITIONS" localSheetId="11">#REF!</definedName>
    <definedName name="RE_ADDITIONS" localSheetId="16">#REF!</definedName>
    <definedName name="RE_ADDITIONS" localSheetId="13">#REF!</definedName>
    <definedName name="RE_ADDITIONS">#REF!</definedName>
    <definedName name="RE_SLM" localSheetId="15">#REF!</definedName>
    <definedName name="RE_SLM" localSheetId="11">#REF!</definedName>
    <definedName name="RE_SLM" localSheetId="16">#REF!</definedName>
    <definedName name="RE_SLM" localSheetId="13">#REF!</definedName>
    <definedName name="RE_SLM">#REF!</definedName>
    <definedName name="RE_SLM10" localSheetId="15">#REF!</definedName>
    <definedName name="RE_SLM10" localSheetId="11">#REF!</definedName>
    <definedName name="RE_SLM10" localSheetId="16">#REF!</definedName>
    <definedName name="RE_SLM10" localSheetId="13">#REF!</definedName>
    <definedName name="RE_SLM10">#REF!</definedName>
    <definedName name="RE_SLM15" localSheetId="15">#REF!</definedName>
    <definedName name="RE_SLM15" localSheetId="11">#REF!</definedName>
    <definedName name="RE_SLM15" localSheetId="16">#REF!</definedName>
    <definedName name="RE_SLM15" localSheetId="13">#REF!</definedName>
    <definedName name="RE_SLM15">#REF!</definedName>
    <definedName name="RE_WDV" localSheetId="15">#REF!</definedName>
    <definedName name="RE_WDV" localSheetId="11">#REF!</definedName>
    <definedName name="RE_WDV" localSheetId="16">#REF!</definedName>
    <definedName name="RE_WDV" localSheetId="13">#REF!</definedName>
    <definedName name="RE_WDV">#REF!</definedName>
    <definedName name="Realisations_salevalue">#REF!</definedName>
    <definedName name="ReceiptsNL" localSheetId="15">#REF!</definedName>
    <definedName name="ReceiptsNL" localSheetId="16">#REF!</definedName>
    <definedName name="ReceiptsNL">#REF!</definedName>
    <definedName name="ReceiptsSummary" localSheetId="15">#REF!</definedName>
    <definedName name="ReceiptsSummary" localSheetId="16">#REF!</definedName>
    <definedName name="ReceiptsSummary">#REF!</definedName>
    <definedName name="ReceiptsVAT" localSheetId="15">#REF!</definedName>
    <definedName name="ReceiptsVAT" localSheetId="16">#REF!</definedName>
    <definedName name="ReceiptsVAT">#REF!</definedName>
    <definedName name="ReceiptsVATable" localSheetId="15">#REF!</definedName>
    <definedName name="ReceiptsVATable" localSheetId="16">#REF!</definedName>
    <definedName name="ReceiptsVATable">#REF!</definedName>
    <definedName name="REIMB" localSheetId="15">[33]Volumes!#REF!</definedName>
    <definedName name="REIMB" localSheetId="25">[33]Volumes!#REF!</definedName>
    <definedName name="REIMB" localSheetId="11">[33]Volumes!#REF!</definedName>
    <definedName name="REIMB" localSheetId="16">[33]Volumes!#REF!</definedName>
    <definedName name="REIMB" localSheetId="13">[33]Volumes!#REF!</definedName>
    <definedName name="REIMB" localSheetId="19">[33]Volumes!#REF!</definedName>
    <definedName name="REIMB">[33]Volumes!#REF!</definedName>
    <definedName name="RMB">[55]Data!$D$10</definedName>
    <definedName name="ro">[56]Master!$N$2</definedName>
    <definedName name="roshan" localSheetId="15">#REF!</definedName>
    <definedName name="roshan" localSheetId="25">#REF!</definedName>
    <definedName name="roshan" localSheetId="11">#REF!</definedName>
    <definedName name="roshan" localSheetId="16">#REF!</definedName>
    <definedName name="roshan" localSheetId="13">#REF!</definedName>
    <definedName name="roshan" localSheetId="19">#REF!</definedName>
    <definedName name="roshan">#REF!</definedName>
    <definedName name="S" localSheetId="15">'[57]pharma - TB'!#REF!</definedName>
    <definedName name="S" localSheetId="25">'[57]pharma - TB'!#REF!</definedName>
    <definedName name="S" localSheetId="11">'[58]pharma - TB'!#REF!</definedName>
    <definedName name="S" localSheetId="16">'[57]pharma - TB'!#REF!</definedName>
    <definedName name="S" localSheetId="13">'[58]pharma - TB'!#REF!</definedName>
    <definedName name="S" localSheetId="19">'[57]pharma - TB'!#REF!</definedName>
    <definedName name="S">'[57]pharma - TB'!#REF!</definedName>
    <definedName name="S_5">#REF!</definedName>
    <definedName name="SA" localSheetId="15">MATCH(0.01,[39]!End_Bal,-1)+1</definedName>
    <definedName name="sa" localSheetId="11">'[37]TB APJ'!$B$97</definedName>
    <definedName name="SA" localSheetId="16">MATCH(0.01,[39]!End_Bal,-1)+1</definedName>
    <definedName name="sa" localSheetId="13">'[37]TB APJ'!$B$97</definedName>
    <definedName name="SA">MATCH(0.01,[40]!End_Bal,-1)+1</definedName>
    <definedName name="SADFDSADFSADFD" localSheetId="11">#REF!</definedName>
    <definedName name="SADFDSADFSADFD" localSheetId="13">#REF!</definedName>
    <definedName name="SADFDSADFSADFD">#REF!</definedName>
    <definedName name="SALES">#REF!</definedName>
    <definedName name="salestax">[36]M_T!$H$6</definedName>
    <definedName name="sbi_facility_99">#REF!</definedName>
    <definedName name="Sc">[56]Master!$M$6</definedName>
    <definedName name="sch_131415">#REF!</definedName>
    <definedName name="sch_13141516">#REF!</definedName>
    <definedName name="Sch_191">#REF!</definedName>
    <definedName name="sch_192">#REF!</definedName>
    <definedName name="sch_193">#REF!</definedName>
    <definedName name="sch_194">#REF!</definedName>
    <definedName name="sch_195">#REF!</definedName>
    <definedName name="sch_196">#REF!</definedName>
    <definedName name="Sch_1a">#REF!</definedName>
    <definedName name="sch_2">#REF!</definedName>
    <definedName name="Sch_61">#REF!</definedName>
    <definedName name="Sch_62">#REF!</definedName>
    <definedName name="sch_63">#REF!</definedName>
    <definedName name="sch_789">#REF!</definedName>
    <definedName name="SCH1_3">#REF!</definedName>
    <definedName name="SCH1_TO_3">[51]tb!#REF!</definedName>
    <definedName name="SCH4_5">#REF!</definedName>
    <definedName name="SCH4_T0_5">[51]tb!#REF!</definedName>
    <definedName name="SCHE" localSheetId="15">#REF!</definedName>
    <definedName name="SCHE" localSheetId="25">#REF!</definedName>
    <definedName name="SCHE" localSheetId="11">#REF!</definedName>
    <definedName name="SCHE" localSheetId="16">#REF!</definedName>
    <definedName name="SCHE" localSheetId="13">#REF!</definedName>
    <definedName name="SCHE" localSheetId="19">#REF!</definedName>
    <definedName name="SCHE">#REF!</definedName>
    <definedName name="SDAFASFASFSAFSFSAFSAF">#REF!</definedName>
    <definedName name="sdfdsadfs">#REF!</definedName>
    <definedName name="SEctionCode" localSheetId="15">[19]Challan!$IV$819:$IV$832</definedName>
    <definedName name="SEctionCode" localSheetId="16">[19]Challan!$IV$819:$IV$832</definedName>
    <definedName name="SEctionCode">[20]Challan!$IV$819:$IV$832</definedName>
    <definedName name="SECURITY" localSheetId="15">#REF!</definedName>
    <definedName name="SECURITY" localSheetId="25">#REF!</definedName>
    <definedName name="SECURITY" localSheetId="11">#REF!</definedName>
    <definedName name="SECURITY" localSheetId="16">#REF!</definedName>
    <definedName name="SECURITY" localSheetId="13">#REF!</definedName>
    <definedName name="SECURITY" localSheetId="19">#REF!</definedName>
    <definedName name="SECURITY">#REF!</definedName>
    <definedName name="Security_4" localSheetId="15">#REF!</definedName>
    <definedName name="Security_4" localSheetId="25">#REF!</definedName>
    <definedName name="Security_4" localSheetId="11">#REF!</definedName>
    <definedName name="Security_4" localSheetId="16">#REF!</definedName>
    <definedName name="Security_4" localSheetId="13">#REF!</definedName>
    <definedName name="Security_4" localSheetId="19">#REF!</definedName>
    <definedName name="Security_4">#REF!</definedName>
    <definedName name="SECURITY_5" localSheetId="15">#REF!</definedName>
    <definedName name="SECURITY_5" localSheetId="25">#REF!</definedName>
    <definedName name="SECURITY_5" localSheetId="11">#REF!</definedName>
    <definedName name="SECURITY_5" localSheetId="16">#REF!</definedName>
    <definedName name="SECURITY_5" localSheetId="13">#REF!</definedName>
    <definedName name="SECURITY_5" localSheetId="19">#REF!</definedName>
    <definedName name="SECURITY_5">#REF!</definedName>
    <definedName name="SECURITY_6" localSheetId="15">#REF!</definedName>
    <definedName name="SECURITY_6" localSheetId="11">#REF!</definedName>
    <definedName name="SECURITY_6" localSheetId="16">#REF!</definedName>
    <definedName name="SECURITY_6" localSheetId="13">#REF!</definedName>
    <definedName name="SECURITY_6">#REF!</definedName>
    <definedName name="SECURITY_7" localSheetId="15">#REF!</definedName>
    <definedName name="SECURITY_7" localSheetId="11">#REF!</definedName>
    <definedName name="SECURITY_7" localSheetId="16">#REF!</definedName>
    <definedName name="SECURITY_7" localSheetId="13">#REF!</definedName>
    <definedName name="SECURITY_7">#REF!</definedName>
    <definedName name="SECURITY_8" localSheetId="15">#REF!</definedName>
    <definedName name="SECURITY_8" localSheetId="11">#REF!</definedName>
    <definedName name="SECURITY_8" localSheetId="16">#REF!</definedName>
    <definedName name="SECURITY_8" localSheetId="13">#REF!</definedName>
    <definedName name="SECURITY_8">#REF!</definedName>
    <definedName name="SFDSAFSDAFSADFA">#REF!</definedName>
    <definedName name="SJLN" localSheetId="15">#REF!</definedName>
    <definedName name="SJLN" localSheetId="16">#REF!</definedName>
    <definedName name="SJLN">#REF!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 localSheetId="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s" localSheetId="11">#REF!</definedName>
    <definedName name="sss" localSheetId="13">#REF!</definedName>
    <definedName name="sss">#REF!</definedName>
    <definedName name="st" localSheetId="15">[33]Volumes!#REF!</definedName>
    <definedName name="st" localSheetId="25">[33]Volumes!#REF!</definedName>
    <definedName name="st" localSheetId="11">[33]Volumes!#REF!</definedName>
    <definedName name="st" localSheetId="16">[33]Volumes!#REF!</definedName>
    <definedName name="st" localSheetId="13">[33]Volumes!#REF!</definedName>
    <definedName name="st" localSheetId="19">[33]Volumes!#REF!</definedName>
    <definedName name="st">[33]Volumes!#REF!</definedName>
    <definedName name="STATES" localSheetId="15">#REF!</definedName>
    <definedName name="STATES" localSheetId="25">#REF!</definedName>
    <definedName name="STATES" localSheetId="11">#REF!</definedName>
    <definedName name="STATES" localSheetId="16">#REF!</definedName>
    <definedName name="STATES" localSheetId="13">#REF!</definedName>
    <definedName name="STATES" localSheetId="19">#REF!</definedName>
    <definedName name="STATES">#REF!</definedName>
    <definedName name="STATES1" localSheetId="15">#REF!</definedName>
    <definedName name="STATES1" localSheetId="25">#REF!</definedName>
    <definedName name="STATES1" localSheetId="11">#REF!</definedName>
    <definedName name="STATES1" localSheetId="16">#REF!</definedName>
    <definedName name="STATES1" localSheetId="13">#REF!</definedName>
    <definedName name="STATES1" localSheetId="19">#REF!</definedName>
    <definedName name="STATES1">#REF!</definedName>
    <definedName name="Steel" localSheetId="15">#REF!</definedName>
    <definedName name="Steel" localSheetId="25">#REF!</definedName>
    <definedName name="Steel" localSheetId="11">#REF!</definedName>
    <definedName name="Steel" localSheetId="16">#REF!</definedName>
    <definedName name="Steel" localSheetId="13">#REF!</definedName>
    <definedName name="Steel" localSheetId="19">#REF!</definedName>
    <definedName name="Steel">#REF!</definedName>
    <definedName name="Stocks">#REF!</definedName>
    <definedName name="SUMM" localSheetId="11">#REF!</definedName>
    <definedName name="SUMM" localSheetId="13">#REF!</definedName>
    <definedName name="SUMM">#REF!</definedName>
    <definedName name="SUMM_BILL_AMT" localSheetId="11">#REF!</definedName>
    <definedName name="SUMM_BILL_AMT" localSheetId="13">#REF!</definedName>
    <definedName name="SUMM_BILL_AMT">#REF!</definedName>
    <definedName name="SUMM_CD" localSheetId="11">#REF!</definedName>
    <definedName name="SUMM_CD" localSheetId="13">#REF!</definedName>
    <definedName name="SUMM_CD">#REF!</definedName>
    <definedName name="SUMM_CF" localSheetId="11">#REF!</definedName>
    <definedName name="SUMM_CF" localSheetId="13">#REF!</definedName>
    <definedName name="SUMM_CF">#REF!</definedName>
    <definedName name="SUMM_DATE" localSheetId="11">#REF!</definedName>
    <definedName name="SUMM_DATE" localSheetId="13">#REF!</definedName>
    <definedName name="SUMM_DATE">#REF!</definedName>
    <definedName name="SUMM_DET" localSheetId="11">#REF!</definedName>
    <definedName name="SUMM_DET" localSheetId="13">#REF!</definedName>
    <definedName name="SUMM_DET">#REF!</definedName>
    <definedName name="SUMM_FRT" localSheetId="11">#REF!</definedName>
    <definedName name="SUMM_FRT" localSheetId="13">#REF!</definedName>
    <definedName name="SUMM_FRT">#REF!</definedName>
    <definedName name="SUMM_QTY" localSheetId="11">#REF!</definedName>
    <definedName name="SUMM_QTY" localSheetId="13">#REF!</definedName>
    <definedName name="SUMM_QTY">#REF!</definedName>
    <definedName name="SUMM_TOT" localSheetId="11">#REF!</definedName>
    <definedName name="SUMM_TOT" localSheetId="13">#REF!</definedName>
    <definedName name="SUMM_TOT">#REF!</definedName>
    <definedName name="SUMM_VAL" localSheetId="11">#REF!</definedName>
    <definedName name="SUMM_VAL" localSheetId="13">#REF!</definedName>
    <definedName name="SUMM_VAL">#REF!</definedName>
    <definedName name="summary">#REF!</definedName>
    <definedName name="SUN_D" localSheetId="11">#REF!</definedName>
    <definedName name="SUN_D" localSheetId="13">#REF!</definedName>
    <definedName name="SUN_D">#REF!</definedName>
    <definedName name="SWM">#REF!</definedName>
    <definedName name="SYSSSS" localSheetId="11">#REF!</definedName>
    <definedName name="SYSSSS" localSheetId="13">#REF!</definedName>
    <definedName name="SYSSSS">#REF!</definedName>
    <definedName name="T" localSheetId="15">#REF!</definedName>
    <definedName name="T" localSheetId="16">#REF!</definedName>
    <definedName name="T">#REF!</definedName>
    <definedName name="TADes">[23]Masters!$C$22</definedName>
    <definedName name="TAFName">[22]Masters!$C$19</definedName>
    <definedName name="TAMNo">[22]Masters!$C$23</definedName>
    <definedName name="TAName">[22]Masters!$C$20</definedName>
    <definedName name="TAPlace">[22]Masters!$C$43</definedName>
    <definedName name="TAQua">[23]Masters!$C$21</definedName>
    <definedName name="Target">#REF!</definedName>
    <definedName name="tax">'[59]BS&amp;PLA'!$B$578:$H$664</definedName>
    <definedName name="Tax_MAT">#REF!</definedName>
    <definedName name="TaxAudAdd">[22]Masters!$C$24</definedName>
    <definedName name="TaxAuditDate">[22]Masters!$C$40</definedName>
    <definedName name="TaxFreeAllowance" localSheetId="15">#REF!</definedName>
    <definedName name="TaxFreeAllowance" localSheetId="25">#REF!</definedName>
    <definedName name="TaxFreeAllowance" localSheetId="16">#REF!</definedName>
    <definedName name="TaxFreeAllowance" localSheetId="19">#REF!</definedName>
    <definedName name="TaxFreeAllowance">#REF!</definedName>
    <definedName name="TEST0" localSheetId="15">#REF!</definedName>
    <definedName name="TEST0" localSheetId="25">#REF!</definedName>
    <definedName name="TEST0" localSheetId="11">#REF!</definedName>
    <definedName name="TEST0" localSheetId="16">#REF!</definedName>
    <definedName name="TEST0" localSheetId="13">#REF!</definedName>
    <definedName name="TEST0" localSheetId="19">#REF!</definedName>
    <definedName name="TEST0">#REF!</definedName>
    <definedName name="TEST1">#REF!</definedName>
    <definedName name="TESTHKEY" localSheetId="15">#REF!</definedName>
    <definedName name="TESTHKEY" localSheetId="25">#REF!</definedName>
    <definedName name="TESTHKEY" localSheetId="11">#REF!</definedName>
    <definedName name="TESTHKEY" localSheetId="16">#REF!</definedName>
    <definedName name="TESTHKEY" localSheetId="13">#REF!</definedName>
    <definedName name="TESTHKEY" localSheetId="19">#REF!</definedName>
    <definedName name="TESTHKEY">#REF!</definedName>
    <definedName name="TESTKEYS" localSheetId="15">#REF!</definedName>
    <definedName name="TESTKEYS" localSheetId="11">#REF!</definedName>
    <definedName name="TESTKEYS" localSheetId="16">#REF!</definedName>
    <definedName name="TESTKEYS" localSheetId="13">#REF!</definedName>
    <definedName name="TESTKEYS">#REF!</definedName>
    <definedName name="TESTVKEY" localSheetId="15">#REF!</definedName>
    <definedName name="TESTVKEY" localSheetId="11">#REF!</definedName>
    <definedName name="TESTVKEY" localSheetId="16">#REF!</definedName>
    <definedName name="TESTVKEY" localSheetId="13">#REF!</definedName>
    <definedName name="TESTVKEY">#REF!</definedName>
    <definedName name="THAI_PLASTIC_in_KUSD">#REF!</definedName>
    <definedName name="TNW_4" localSheetId="15">#REF!</definedName>
    <definedName name="TNW_4" localSheetId="11">#REF!</definedName>
    <definedName name="TNW_4" localSheetId="16">#REF!</definedName>
    <definedName name="TNW_4" localSheetId="13">#REF!</definedName>
    <definedName name="TNW_4">#REF!</definedName>
    <definedName name="TNW_5" localSheetId="15">#REF!</definedName>
    <definedName name="TNW_5" localSheetId="11">#REF!</definedName>
    <definedName name="TNW_5" localSheetId="16">#REF!</definedName>
    <definedName name="TNW_5" localSheetId="13">#REF!</definedName>
    <definedName name="TNW_5">#REF!</definedName>
    <definedName name="TNW_6" localSheetId="15">#REF!</definedName>
    <definedName name="TNW_6" localSheetId="11">#REF!</definedName>
    <definedName name="TNW_6" localSheetId="16">#REF!</definedName>
    <definedName name="TNW_6" localSheetId="13">#REF!</definedName>
    <definedName name="TNW_6">#REF!</definedName>
    <definedName name="TNW_7" localSheetId="15">#REF!</definedName>
    <definedName name="TNW_7" localSheetId="11">#REF!</definedName>
    <definedName name="TNW_7" localSheetId="16">#REF!</definedName>
    <definedName name="TNW_7" localSheetId="13">#REF!</definedName>
    <definedName name="TNW_7">#REF!</definedName>
    <definedName name="TNW_8" localSheetId="15">#REF!</definedName>
    <definedName name="TNW_8" localSheetId="11">#REF!</definedName>
    <definedName name="TNW_8" localSheetId="16">#REF!</definedName>
    <definedName name="TNW_8" localSheetId="13">#REF!</definedName>
    <definedName name="TNW_8">#REF!</definedName>
    <definedName name="transport" localSheetId="15">#REF!</definedName>
    <definedName name="transport" localSheetId="11">#REF!</definedName>
    <definedName name="transport" localSheetId="16">#REF!</definedName>
    <definedName name="transport" localSheetId="13">#REF!</definedName>
    <definedName name="transport">#REF!</definedName>
    <definedName name="tt"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 localSheetId="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localSheetId="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unitwise">#REF!</definedName>
    <definedName name="unsecured_Loans_99">#REF!</definedName>
    <definedName name="USD.A">#REF!</definedName>
    <definedName name="USD.E">#REF!</definedName>
    <definedName name="USD_B">#REF!</definedName>
    <definedName name="Values_Entered" localSheetId="15">IF('Advance for Capital Goods'!Loan_Amount*'Advance for Capital Goods'!Interest_Rate*'Advance for Capital Goods'!Loan_Years*'Advance for Capital Goods'!Loan_Start&gt;0,1,0)</definedName>
    <definedName name="Values_Entered" localSheetId="25">IF(Loan_Amount*Interest_Rate*Loan_Years*Loan_Start&gt;0,1,0)</definedName>
    <definedName name="Values_Entered" localSheetId="16">IF(FDR!Loan_Amount*FDR!Interest_Rate*FDR!Loan_Years*FDR!Loan_Start&gt;0,1,0)</definedName>
    <definedName name="Values_Entered" localSheetId="19">IF(Loan_Amount*Interest_Rate*Loan_Years*Loan_Start&gt;0,1,0)</definedName>
    <definedName name="Values_Entered" localSheetId="0">IF(Loan_Amount*Interest_Rate*Loan_Years*Loan_Start&gt;0,1,0)</definedName>
    <definedName name="Values_Entered">IF(Loan_Amount*Interest_Rate*Loan_Years*Loan_Start&gt;0,1,0)</definedName>
    <definedName name="Variance" localSheetId="0">#REF!</definedName>
    <definedName name="Variance">#REF!</definedName>
    <definedName name="VATQuarter" localSheetId="15">'[28]Company information'!#REF!</definedName>
    <definedName name="VATQuarter" localSheetId="25">'[28]Company information'!#REF!</definedName>
    <definedName name="VATQuarter" localSheetId="16">'[28]Company information'!#REF!</definedName>
    <definedName name="VATQuarter" localSheetId="19">'[28]Company information'!#REF!</definedName>
    <definedName name="VATQuarter">'[28]Company information'!#REF!</definedName>
    <definedName name="vt_autohide">[25]Settings!$C$14</definedName>
    <definedName name="vt_comphidden">[25]Settings!$C$25</definedName>
    <definedName name="vt_showcontents">[25]Settings!$C$27</definedName>
    <definedName name="vt_versionid" localSheetId="15">[26]Settings!$C$16</definedName>
    <definedName name="vt_versionid" localSheetId="16">[26]Settings!$C$16</definedName>
    <definedName name="vt_versionid">[27]Settings!$C$16</definedName>
    <definedName name="vv" localSheetId="11" hidden="1">{#N/A,#N/A,TRUE,"Sheet1"}</definedName>
    <definedName name="vv" localSheetId="0" hidden="1">{#N/A,#N/A,TRUE,"Sheet1"}</definedName>
    <definedName name="vv" hidden="1">{#N/A,#N/A,TRUE,"Sheet1"}</definedName>
    <definedName name="vvvv" localSheetId="15">IF('Advance for Capital Goods'!Loan_Amount*'Advance for Capital Goods'!Interest_Rate*'Advance for Capital Goods'!Loan_Years*'Advance for Capital Goods'!Loan_Start&gt;0,1,0)</definedName>
    <definedName name="vvvv" localSheetId="25">IF(Loan_Amount*Interest_Rate*Loan_Years*Loan_Start&gt;0,1,0)</definedName>
    <definedName name="vvvv" localSheetId="16">IF(FDR!Loan_Amount*FDR!Interest_Rate*FDR!Loan_Years*FDR!Loan_Start&gt;0,1,0)</definedName>
    <definedName name="vvvv" localSheetId="19">IF(Loan_Amount*Interest_Rate*Loan_Years*Loan_Start&gt;0,1,0)</definedName>
    <definedName name="vvvv" localSheetId="0">IF(Loan_Amount*Interest_Rate*Loan_Years*Loan_Start&gt;0,1,0)</definedName>
    <definedName name="vvvv">IF(Loan_Amount*Interest_Rate*Loan_Years*Loan_Start&gt;0,1,0)</definedName>
    <definedName name="w" localSheetId="0" hidden="1">'[60]TRIAL BALANCE'!#REF!</definedName>
    <definedName name="w" hidden="1">'[60]TRIAL BALANCE'!#REF!</definedName>
    <definedName name="WC" localSheetId="15">#REF!</definedName>
    <definedName name="WC" localSheetId="25">#REF!</definedName>
    <definedName name="WC" localSheetId="11">#REF!</definedName>
    <definedName name="WC" localSheetId="16">#REF!</definedName>
    <definedName name="WC" localSheetId="13">#REF!</definedName>
    <definedName name="WC" localSheetId="19">#REF!</definedName>
    <definedName name="WC">#REF!</definedName>
    <definedName name="WC_4" localSheetId="15">#REF!</definedName>
    <definedName name="WC_4" localSheetId="25">#REF!</definedName>
    <definedName name="WC_4" localSheetId="11">#REF!</definedName>
    <definedName name="WC_4" localSheetId="16">#REF!</definedName>
    <definedName name="WC_4" localSheetId="13">#REF!</definedName>
    <definedName name="WC_4" localSheetId="19">#REF!</definedName>
    <definedName name="WC_4">#REF!</definedName>
    <definedName name="WC_5" localSheetId="15">#REF!</definedName>
    <definedName name="WC_5" localSheetId="25">#REF!</definedName>
    <definedName name="WC_5" localSheetId="11">#REF!</definedName>
    <definedName name="WC_5" localSheetId="16">#REF!</definedName>
    <definedName name="WC_5" localSheetId="13">#REF!</definedName>
    <definedName name="WC_5" localSheetId="19">#REF!</definedName>
    <definedName name="WC_5">#REF!</definedName>
    <definedName name="WC_6" localSheetId="15">#REF!</definedName>
    <definedName name="WC_6" localSheetId="11">#REF!</definedName>
    <definedName name="WC_6" localSheetId="16">#REF!</definedName>
    <definedName name="WC_6" localSheetId="13">#REF!</definedName>
    <definedName name="WC_6">#REF!</definedName>
    <definedName name="WC_7" localSheetId="15">#REF!</definedName>
    <definedName name="WC_7" localSheetId="11">#REF!</definedName>
    <definedName name="WC_7" localSheetId="16">#REF!</definedName>
    <definedName name="WC_7" localSheetId="13">#REF!</definedName>
    <definedName name="WC_7">#REF!</definedName>
    <definedName name="WC_8" localSheetId="15">#REF!</definedName>
    <definedName name="WC_8" localSheetId="11">#REF!</definedName>
    <definedName name="WC_8" localSheetId="16">#REF!</definedName>
    <definedName name="WC_8" localSheetId="13">#REF!</definedName>
    <definedName name="WC_8">#REF!</definedName>
    <definedName name="Working">#REF!</definedName>
    <definedName name="wplbs">[1]wpl!$B$2:$H$82</definedName>
    <definedName name="wplpandl">[1]wpl!$B$87:$N$153</definedName>
    <definedName name="wplr1">[1]wpl!$B$176:$H$232</definedName>
    <definedName name="wplr2">[1]wpl!$B$236:$H$302</definedName>
    <definedName name="wplr3">[1]wpl!$B$331:$H$388</definedName>
    <definedName name="wrn.2." localSheetId="11" hidden="1">{#N/A,#N/A,TRUE,"Sheet1"}</definedName>
    <definedName name="wrn.2." localSheetId="0" hidden="1">{#N/A,#N/A,TRUE,"Sheet1"}</definedName>
    <definedName name="wrn.2." hidden="1">{#N/A,#N/A,TRUE,"Sheet1"}</definedName>
    <definedName name="wrn.imprim." localSheetId="1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MDS1." localSheetId="1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2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1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2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1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1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98." localSheetId="1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 localSheetId="0"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tilbs">[1]wtil!$B$2:$H$82</definedName>
    <definedName name="wtilpandl">[1]wtil!$B$86:$N$152</definedName>
    <definedName name="wtilr1">[1]wtil!$B$174:$H$227</definedName>
    <definedName name="wtilr2">[1]wtil!$B$229:$H$286</definedName>
    <definedName name="wtilr3">[1]wtil!$B$291:$H$350</definedName>
    <definedName name="xx" localSheetId="1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2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1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1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Year_Period" localSheetId="15">#REF!</definedName>
    <definedName name="Year_Period" localSheetId="25">#REF!</definedName>
    <definedName name="Year_Period" localSheetId="16">#REF!</definedName>
    <definedName name="Year_Period" localSheetId="19">#REF!</definedName>
    <definedName name="Year_Period">#REF!</definedName>
    <definedName name="yesno" localSheetId="15">#REF!</definedName>
    <definedName name="yesno" localSheetId="25">#REF!</definedName>
    <definedName name="yesno" localSheetId="16">#REF!</definedName>
    <definedName name="yesno" localSheetId="19">#REF!</definedName>
    <definedName name="yesno">#REF!</definedName>
    <definedName name="YesNoNA">[11]Sheet1!$A$1:$A$3</definedName>
    <definedName name="Z" localSheetId="15">[49]rough!#REF!</definedName>
    <definedName name="Z" localSheetId="25">[49]rough!#REF!</definedName>
    <definedName name="Z" localSheetId="11">[49]rough!#REF!</definedName>
    <definedName name="Z" localSheetId="16">[49]rough!#REF!</definedName>
    <definedName name="Z" localSheetId="13">[49]rough!#REF!</definedName>
    <definedName name="Z" localSheetId="19">[49]rough!#REF!</definedName>
    <definedName name="Z">[49]rough!#REF!</definedName>
    <definedName name="Z_1B1DBD0B_919D_490D_9900_670A1DB24C6B_.wvu.Cols" localSheetId="11" hidden="1">[61]Dep!$F$1:$F$65536,[61]Dep!$J$1:$K$65536</definedName>
    <definedName name="Z_1B1DBD0B_919D_490D_9900_670A1DB24C6B_.wvu.Cols" localSheetId="13" hidden="1">[61]Dep!$F$1:$F$65536,[61]Dep!$J$1:$K$65536</definedName>
    <definedName name="Z_1B1DBD0B_919D_490D_9900_670A1DB24C6B_.wvu.Cols" hidden="1">[62]Dep!$F$1:$F$65536,[62]Dep!$J$1:$K$65536</definedName>
    <definedName name="Z_1B1DBD0B_919D_490D_9900_670A1DB24C6B_.wvu.Rows" localSheetId="15" hidden="1">'[62]Ann A'!#REF!,'[62]Ann A'!#REF!,'[62]Ann A'!#REF!,'[62]Ann A'!#REF!,'[62]Ann A'!#REF!,'[62]Ann A'!#REF!</definedName>
    <definedName name="Z_1B1DBD0B_919D_490D_9900_670A1DB24C6B_.wvu.Rows" localSheetId="25" hidden="1">'[62]Ann A'!#REF!,'[62]Ann A'!#REF!,'[62]Ann A'!#REF!,'[62]Ann A'!#REF!,'[62]Ann A'!#REF!,'[62]Ann A'!#REF!</definedName>
    <definedName name="Z_1B1DBD0B_919D_490D_9900_670A1DB24C6B_.wvu.Rows" localSheetId="11" hidden="1">'[61]Ann A'!#REF!,'[61]Ann A'!#REF!,'[61]Ann A'!#REF!,'[61]Ann A'!#REF!,'[61]Ann A'!#REF!,'[61]Ann A'!#REF!</definedName>
    <definedName name="Z_1B1DBD0B_919D_490D_9900_670A1DB24C6B_.wvu.Rows" localSheetId="16" hidden="1">'[62]Ann A'!#REF!,'[62]Ann A'!#REF!,'[62]Ann A'!#REF!,'[62]Ann A'!#REF!,'[62]Ann A'!#REF!,'[62]Ann A'!#REF!</definedName>
    <definedName name="Z_1B1DBD0B_919D_490D_9900_670A1DB24C6B_.wvu.Rows" localSheetId="13" hidden="1">'[61]Ann A'!#REF!,'[61]Ann A'!#REF!,'[61]Ann A'!#REF!,'[61]Ann A'!#REF!,'[61]Ann A'!#REF!,'[61]Ann A'!#REF!</definedName>
    <definedName name="Z_1B1DBD0B_919D_490D_9900_670A1DB24C6B_.wvu.Rows" localSheetId="19" hidden="1">'[62]Ann A'!#REF!,'[62]Ann A'!#REF!,'[62]Ann A'!#REF!,'[62]Ann A'!#REF!,'[62]Ann A'!#REF!,'[62]Ann A'!#REF!</definedName>
    <definedName name="Z_1B1DBD0B_919D_490D_9900_670A1DB24C6B_.wvu.Rows" hidden="1">'[62]Ann A'!#REF!,'[62]Ann A'!#REF!,'[62]Ann A'!#REF!,'[62]Ann A'!#REF!,'[62]Ann A'!#REF!,'[62]Ann A'!#REF!</definedName>
    <definedName name="Z_25FB9C05_6AD3_4F17_B4E2_C500C61A1349_.wvu.PrintArea" hidden="1">#REF!</definedName>
    <definedName name="Z_25FB9C05_6AD3_4F17_B4E2_C500C61A1349_.wvu.Rows" hidden="1">#REF!</definedName>
    <definedName name="Z_334DC1DD_AD60_4D12_A532_9CEE6201A253_.wvu.Cols" localSheetId="4" hidden="1">'Cash Flow'!$D:$AU</definedName>
    <definedName name="Z_334DC1DD_AD60_4D12_A532_9CEE6201A253_.wvu.FilterData" localSheetId="23" hidden="1">'Share Holding'!$A$2:$J$417</definedName>
    <definedName name="Z_334DC1DD_AD60_4D12_A532_9CEE6201A253_.wvu.FilterData" localSheetId="29" hidden="1">'TB 03.06.21'!$A$8:$C$390</definedName>
    <definedName name="Z_334DC1DD_AD60_4D12_A532_9CEE6201A253_.wvu.FilterData" localSheetId="7" hidden="1">'TB final'!$A$4:$J$727</definedName>
    <definedName name="Z_334DC1DD_AD60_4D12_A532_9CEE6201A253_.wvu.FilterData" localSheetId="30" hidden="1">'TB2019-20'!$A$11:$I$415</definedName>
    <definedName name="Z_334DC1DD_AD60_4D12_A532_9CEE6201A253_.wvu.FilterData" localSheetId="8" hidden="1">'Trial Balance'!$A$11:$H$430</definedName>
    <definedName name="Z_334DC1DD_AD60_4D12_A532_9CEE6201A253_.wvu.PrintArea" localSheetId="5" hidden="1">BSPL!$A$1:$G$914</definedName>
    <definedName name="Z_334DC1DD_AD60_4D12_A532_9CEE6201A253_.wvu.PrintArea" localSheetId="9" hidden="1">'CLOSING STOCK AS ON 31-03-21'!$A$1:$AE$76</definedName>
    <definedName name="Z_334DC1DD_AD60_4D12_A532_9CEE6201A253_.wvu.PrintArea" localSheetId="10" hidden="1">PPE!$B$1:$K$31</definedName>
    <definedName name="Z_334DC1DD_AD60_4D12_A532_9CEE6201A253_.wvu.Rows" localSheetId="4" hidden="1">'Cash Flow'!$39:$42,'Cash Flow'!$47:$47</definedName>
    <definedName name="Z_334DC1DD_AD60_4D12_A532_9CEE6201A253_.wvu.Rows" localSheetId="9" hidden="1">'CLOSING STOCK AS ON 31-03-21'!$3:$5</definedName>
    <definedName name="Z_334DC1DD_AD60_4D12_A532_9CEE6201A253_.wvu.Rows" localSheetId="24" hidden="1">'Unsecured Loan'!$5:$16</definedName>
    <definedName name="Z_476F5800_BE05_4E70_959A_43C436F3A307_.wvu.PrintArea" hidden="1">#REF!</definedName>
    <definedName name="Z_476F5800_BE05_4E70_959A_43C436F3A307_.wvu.Rows" localSheetId="15" hidden="1">'[62]Ann A'!#REF!,'[62]Ann A'!#REF!</definedName>
    <definedName name="Z_476F5800_BE05_4E70_959A_43C436F3A307_.wvu.Rows" localSheetId="25" hidden="1">'[62]Ann A'!#REF!,'[62]Ann A'!#REF!</definedName>
    <definedName name="Z_476F5800_BE05_4E70_959A_43C436F3A307_.wvu.Rows" localSheetId="11" hidden="1">'[61]Ann A'!#REF!,'[61]Ann A'!#REF!</definedName>
    <definedName name="Z_476F5800_BE05_4E70_959A_43C436F3A307_.wvu.Rows" localSheetId="16" hidden="1">'[62]Ann A'!#REF!,'[62]Ann A'!#REF!</definedName>
    <definedName name="Z_476F5800_BE05_4E70_959A_43C436F3A307_.wvu.Rows" localSheetId="13" hidden="1">'[61]Ann A'!#REF!,'[61]Ann A'!#REF!</definedName>
    <definedName name="Z_476F5800_BE05_4E70_959A_43C436F3A307_.wvu.Rows" localSheetId="19" hidden="1">'[62]Ann A'!#REF!,'[62]Ann A'!#REF!</definedName>
    <definedName name="Z_476F5800_BE05_4E70_959A_43C436F3A307_.wvu.Rows" hidden="1">'[62]Ann A'!#REF!,'[62]Ann A'!#REF!</definedName>
    <definedName name="Z_68181020_4927_4299_A478_E9569D3AE9C1_.wvu.Cols" localSheetId="15" hidden="1">[62]COI!#REF!,[62]COI!#REF!</definedName>
    <definedName name="Z_68181020_4927_4299_A478_E9569D3AE9C1_.wvu.Cols" localSheetId="25" hidden="1">[62]COI!#REF!,[62]COI!#REF!</definedName>
    <definedName name="Z_68181020_4927_4299_A478_E9569D3AE9C1_.wvu.Cols" localSheetId="11" hidden="1">[61]COI!#REF!,[61]COI!#REF!</definedName>
    <definedName name="Z_68181020_4927_4299_A478_E9569D3AE9C1_.wvu.Cols" localSheetId="16" hidden="1">[62]COI!#REF!,[62]COI!#REF!</definedName>
    <definedName name="Z_68181020_4927_4299_A478_E9569D3AE9C1_.wvu.Cols" localSheetId="13" hidden="1">[61]COI!#REF!,[61]COI!#REF!</definedName>
    <definedName name="Z_68181020_4927_4299_A478_E9569D3AE9C1_.wvu.Cols" localSheetId="19" hidden="1">[62]COI!#REF!,[62]COI!#REF!</definedName>
    <definedName name="Z_68181020_4927_4299_A478_E9569D3AE9C1_.wvu.Cols" hidden="1">[62]COI!#REF!,[62]COI!#REF!</definedName>
    <definedName name="Z_68181020_4927_4299_A478_E9569D3AE9C1_.wvu.PrintArea" hidden="1">#REF!</definedName>
    <definedName name="Z_68181020_4927_4299_A478_E9569D3AE9C1_.wvu.Rows" localSheetId="15" hidden="1">[62]COI!#REF!,[62]COI!#REF!,[62]COI!#REF!,[62]COI!#REF!,[62]COI!#REF!,[62]COI!$A$76:$IV$76,[62]COI!$A$78:$IV$92,[62]COI!$A$94:$IV$94,[62]COI!$A$178:$IV$178,[62]COI!$A$181:$IV$183,[62]COI!$A$192:$IV$192,[62]COI!$A$219:$IV$219</definedName>
    <definedName name="Z_68181020_4927_4299_A478_E9569D3AE9C1_.wvu.Rows" localSheetId="25" hidden="1">[62]COI!#REF!,[62]COI!#REF!,[62]COI!#REF!,[62]COI!#REF!,[62]COI!#REF!,[62]COI!$A$76:$IV$76,[62]COI!$A$78:$IV$92,[62]COI!$A$94:$IV$94,[62]COI!$A$178:$IV$178,[62]COI!$A$181:$IV$183,[62]COI!$A$192:$IV$192,[62]COI!$A$219:$IV$219</definedName>
    <definedName name="Z_68181020_4927_4299_A478_E9569D3AE9C1_.wvu.Rows" localSheetId="11" hidden="1">[61]COI!#REF!,[61]COI!#REF!,[61]COI!#REF!,[61]COI!#REF!,[61]COI!#REF!,[61]COI!$A$74:$IV$74,[61]COI!$A$76:$IV$90,[61]COI!$A$92:$IV$92,[61]COI!$A$176:$IV$176,[61]COI!$A$179:$IV$181,[61]COI!$A$190:$IV$190,[61]COI!$A$217:$IV$217</definedName>
    <definedName name="Z_68181020_4927_4299_A478_E9569D3AE9C1_.wvu.Rows" localSheetId="16" hidden="1">[62]COI!#REF!,[62]COI!#REF!,[62]COI!#REF!,[62]COI!#REF!,[62]COI!#REF!,[62]COI!$A$76:$IV$76,[62]COI!$A$78:$IV$92,[62]COI!$A$94:$IV$94,[62]COI!$A$178:$IV$178,[62]COI!$A$181:$IV$183,[62]COI!$A$192:$IV$192,[62]COI!$A$219:$IV$219</definedName>
    <definedName name="Z_68181020_4927_4299_A478_E9569D3AE9C1_.wvu.Rows" localSheetId="13" hidden="1">[61]COI!#REF!,[61]COI!#REF!,[61]COI!#REF!,[61]COI!#REF!,[61]COI!#REF!,[61]COI!$A$74:$IV$74,[61]COI!$A$76:$IV$90,[61]COI!$A$92:$IV$92,[61]COI!$A$176:$IV$176,[61]COI!$A$179:$IV$181,[61]COI!$A$190:$IV$190,[61]COI!$A$217:$IV$217</definedName>
    <definedName name="Z_68181020_4927_4299_A478_E9569D3AE9C1_.wvu.Rows" localSheetId="19" hidden="1">[62]COI!#REF!,[62]COI!#REF!,[62]COI!#REF!,[62]COI!#REF!,[62]COI!#REF!,[62]COI!$A$76:$IV$76,[62]COI!$A$78:$IV$92,[62]COI!$A$94:$IV$94,[62]COI!$A$178:$IV$178,[62]COI!$A$181:$IV$183,[62]COI!$A$192:$IV$192,[62]COI!$A$219:$IV$219</definedName>
    <definedName name="Z_68181020_4927_4299_A478_E9569D3AE9C1_.wvu.Rows" hidden="1">[62]COI!#REF!,[62]COI!#REF!,[62]COI!#REF!,[62]COI!#REF!,[62]COI!#REF!,[62]COI!$A$76:$IV$76,[62]COI!$A$78:$IV$92,[62]COI!$A$94:$IV$94,[62]COI!$A$178:$IV$178,[62]COI!$A$181:$IV$183,[62]COI!$A$192:$IV$192,[62]COI!$A$219:$IV$219</definedName>
    <definedName name="Z_6FC40E20_2DF7_11D6_B0CE_0050BF1228E5_.wvu.Rows" localSheetId="15" hidden="1">[62]Dep!#REF!</definedName>
    <definedName name="Z_6FC40E20_2DF7_11D6_B0CE_0050BF1228E5_.wvu.Rows" localSheetId="25" hidden="1">[62]Dep!#REF!</definedName>
    <definedName name="Z_6FC40E20_2DF7_11D6_B0CE_0050BF1228E5_.wvu.Rows" localSheetId="11" hidden="1">[61]Dep!#REF!</definedName>
    <definedName name="Z_6FC40E20_2DF7_11D6_B0CE_0050BF1228E5_.wvu.Rows" localSheetId="16" hidden="1">[62]Dep!#REF!</definedName>
    <definedName name="Z_6FC40E20_2DF7_11D6_B0CE_0050BF1228E5_.wvu.Rows" localSheetId="13" hidden="1">[61]Dep!#REF!</definedName>
    <definedName name="Z_6FC40E20_2DF7_11D6_B0CE_0050BF1228E5_.wvu.Rows" localSheetId="19" hidden="1">[62]Dep!#REF!</definedName>
    <definedName name="Z_6FC40E20_2DF7_11D6_B0CE_0050BF1228E5_.wvu.Rows" hidden="1">[62]Dep!#REF!</definedName>
    <definedName name="Z_70BF2801_4F4E_4848_9CCA_A6AE52CF77AE_.wvu.Cols" localSheetId="15" hidden="1">#REF!</definedName>
    <definedName name="Z_70BF2801_4F4E_4848_9CCA_A6AE52CF77AE_.wvu.Cols" localSheetId="25" hidden="1">#REF!</definedName>
    <definedName name="Z_70BF2801_4F4E_4848_9CCA_A6AE52CF77AE_.wvu.Cols" localSheetId="11" hidden="1">#REF!</definedName>
    <definedName name="Z_70BF2801_4F4E_4848_9CCA_A6AE52CF77AE_.wvu.Cols" localSheetId="16" hidden="1">#REF!</definedName>
    <definedName name="Z_70BF2801_4F4E_4848_9CCA_A6AE52CF77AE_.wvu.Cols" localSheetId="13" hidden="1">#REF!</definedName>
    <definedName name="Z_70BF2801_4F4E_4848_9CCA_A6AE52CF77AE_.wvu.Cols" localSheetId="19" hidden="1">#REF!</definedName>
    <definedName name="Z_70BF2801_4F4E_4848_9CCA_A6AE52CF77AE_.wvu.Cols" hidden="1">#REF!</definedName>
    <definedName name="Z_70BF2801_4F4E_4848_9CCA_A6AE52CF77AE_.wvu.PrintArea" localSheetId="15" hidden="1">#REF!</definedName>
    <definedName name="Z_70BF2801_4F4E_4848_9CCA_A6AE52CF77AE_.wvu.PrintArea" localSheetId="25" hidden="1">#REF!</definedName>
    <definedName name="Z_70BF2801_4F4E_4848_9CCA_A6AE52CF77AE_.wvu.PrintArea" localSheetId="11" hidden="1">#REF!</definedName>
    <definedName name="Z_70BF2801_4F4E_4848_9CCA_A6AE52CF77AE_.wvu.PrintArea" localSheetId="16" hidden="1">#REF!</definedName>
    <definedName name="Z_70BF2801_4F4E_4848_9CCA_A6AE52CF77AE_.wvu.PrintArea" localSheetId="13" hidden="1">#REF!</definedName>
    <definedName name="Z_70BF2801_4F4E_4848_9CCA_A6AE52CF77AE_.wvu.PrintArea" localSheetId="19" hidden="1">#REF!</definedName>
    <definedName name="Z_70BF2801_4F4E_4848_9CCA_A6AE52CF77AE_.wvu.PrintArea" hidden="1">#REF!</definedName>
    <definedName name="Z_70BF2801_4F4E_4848_9CCA_A6AE52CF77AE_.wvu.Rows" localSheetId="15" hidden="1">#REF!,#REF!,#REF!,#REF!,#REF!,#REF!,#REF!,#REF!</definedName>
    <definedName name="Z_70BF2801_4F4E_4848_9CCA_A6AE52CF77AE_.wvu.Rows" localSheetId="25" hidden="1">#REF!,#REF!,#REF!,#REF!,#REF!,#REF!,#REF!,#REF!</definedName>
    <definedName name="Z_70BF2801_4F4E_4848_9CCA_A6AE52CF77AE_.wvu.Rows" localSheetId="11" hidden="1">[61]BS!#REF!,[61]BS!#REF!,[61]BS!#REF!,[61]BS!#REF!,[61]BS!#REF!,[61]BS!#REF!,[61]BS!#REF!,[61]BS!$A$1893:$IV$1904</definedName>
    <definedName name="Z_70BF2801_4F4E_4848_9CCA_A6AE52CF77AE_.wvu.Rows" localSheetId="16" hidden="1">#REF!,#REF!,#REF!,#REF!,#REF!,#REF!,#REF!,#REF!</definedName>
    <definedName name="Z_70BF2801_4F4E_4848_9CCA_A6AE52CF77AE_.wvu.Rows" localSheetId="13" hidden="1">[61]BS!#REF!,[61]BS!#REF!,[61]BS!#REF!,[61]BS!#REF!,[61]BS!#REF!,[61]BS!#REF!,[61]BS!#REF!,[61]BS!$A$1893:$IV$1904</definedName>
    <definedName name="Z_70BF2801_4F4E_4848_9CCA_A6AE52CF77AE_.wvu.Rows" localSheetId="19" hidden="1">#REF!,#REF!,#REF!,#REF!,#REF!,#REF!,#REF!,#REF!</definedName>
    <definedName name="Z_70BF2801_4F4E_4848_9CCA_A6AE52CF77AE_.wvu.Rows" hidden="1">#REF!,#REF!,#REF!,#REF!,#REF!,#REF!,#REF!,#REF!</definedName>
    <definedName name="Z_759827BE_126A_4DA8_9A48_C087589A2891_.wvu.Cols" localSheetId="15" hidden="1">[62]COI!#REF!,[62]COI!#REF!</definedName>
    <definedName name="Z_759827BE_126A_4DA8_9A48_C087589A2891_.wvu.Cols" localSheetId="25" hidden="1">[62]COI!#REF!,[62]COI!#REF!</definedName>
    <definedName name="Z_759827BE_126A_4DA8_9A48_C087589A2891_.wvu.Cols" localSheetId="11" hidden="1">[61]COI!#REF!,[61]COI!#REF!</definedName>
    <definedName name="Z_759827BE_126A_4DA8_9A48_C087589A2891_.wvu.Cols" localSheetId="16" hidden="1">[62]COI!#REF!,[62]COI!#REF!</definedName>
    <definedName name="Z_759827BE_126A_4DA8_9A48_C087589A2891_.wvu.Cols" localSheetId="13" hidden="1">[61]COI!#REF!,[61]COI!#REF!</definedName>
    <definedName name="Z_759827BE_126A_4DA8_9A48_C087589A2891_.wvu.Cols" localSheetId="19" hidden="1">[62]COI!#REF!,[62]COI!#REF!</definedName>
    <definedName name="Z_759827BE_126A_4DA8_9A48_C087589A2891_.wvu.Cols" hidden="1">[62]COI!#REF!,[62]COI!#REF!</definedName>
    <definedName name="Z_759827BE_126A_4DA8_9A48_C087589A2891_.wvu.PrintArea" hidden="1">#REF!</definedName>
    <definedName name="Z_759827BE_126A_4DA8_9A48_C087589A2891_.wvu.Rows" localSheetId="15" hidden="1">[62]COI!#REF!,[62]COI!#REF!,[62]COI!#REF!,[62]COI!#REF!,[62]COI!$A$76:$IV$76,[62]COI!#REF!,[62]COI!#REF!,[62]COI!$A$94:$IV$94,[62]COI!$A$178:$IV$178,[62]COI!$A$181:$IV$183,[62]COI!$A$192:$IV$192,[62]COI!$A$219:$IV$219</definedName>
    <definedName name="Z_759827BE_126A_4DA8_9A48_C087589A2891_.wvu.Rows" localSheetId="25" hidden="1">[62]COI!#REF!,[62]COI!#REF!,[62]COI!#REF!,[62]COI!#REF!,[62]COI!$A$76:$IV$76,[62]COI!#REF!,[62]COI!#REF!,[62]COI!$A$94:$IV$94,[62]COI!$A$178:$IV$178,[62]COI!$A$181:$IV$183,[62]COI!$A$192:$IV$192,[62]COI!$A$219:$IV$219</definedName>
    <definedName name="Z_759827BE_126A_4DA8_9A48_C087589A2891_.wvu.Rows" localSheetId="11" hidden="1">[61]COI!#REF!,[61]COI!#REF!,[61]COI!#REF!,[61]COI!#REF!,[61]COI!$A$74:$IV$74,[61]COI!#REF!,[61]COI!#REF!,[61]COI!$A$92:$IV$92,[61]COI!$A$176:$IV$176,[61]COI!$A$179:$IV$181,[61]COI!$A$190:$IV$190,[61]COI!$A$217:$IV$217</definedName>
    <definedName name="Z_759827BE_126A_4DA8_9A48_C087589A2891_.wvu.Rows" localSheetId="16" hidden="1">[62]COI!#REF!,[62]COI!#REF!,[62]COI!#REF!,[62]COI!#REF!,[62]COI!$A$76:$IV$76,[62]COI!#REF!,[62]COI!#REF!,[62]COI!$A$94:$IV$94,[62]COI!$A$178:$IV$178,[62]COI!$A$181:$IV$183,[62]COI!$A$192:$IV$192,[62]COI!$A$219:$IV$219</definedName>
    <definedName name="Z_759827BE_126A_4DA8_9A48_C087589A2891_.wvu.Rows" localSheetId="13" hidden="1">[61]COI!#REF!,[61]COI!#REF!,[61]COI!#REF!,[61]COI!#REF!,[61]COI!$A$74:$IV$74,[61]COI!#REF!,[61]COI!#REF!,[61]COI!$A$92:$IV$92,[61]COI!$A$176:$IV$176,[61]COI!$A$179:$IV$181,[61]COI!$A$190:$IV$190,[61]COI!$A$217:$IV$217</definedName>
    <definedName name="Z_759827BE_126A_4DA8_9A48_C087589A2891_.wvu.Rows" localSheetId="19" hidden="1">[62]COI!#REF!,[62]COI!#REF!,[62]COI!#REF!,[62]COI!#REF!,[62]COI!$A$76:$IV$76,[62]COI!#REF!,[62]COI!#REF!,[62]COI!$A$94:$IV$94,[62]COI!$A$178:$IV$178,[62]COI!$A$181:$IV$183,[62]COI!$A$192:$IV$192,[62]COI!$A$219:$IV$219</definedName>
    <definedName name="Z_759827BE_126A_4DA8_9A48_C087589A2891_.wvu.Rows" hidden="1">[62]COI!#REF!,[62]COI!#REF!,[62]COI!#REF!,[62]COI!#REF!,[62]COI!$A$76:$IV$76,[62]COI!#REF!,[62]COI!#REF!,[62]COI!$A$94:$IV$94,[62]COI!$A$178:$IV$178,[62]COI!$A$181:$IV$183,[62]COI!$A$192:$IV$192,[62]COI!$A$219:$IV$219</definedName>
    <definedName name="Z_76854680_FF75_11D5_90E8_0080AD1B77C1_.wvu.Cols" hidden="1">#REF!</definedName>
    <definedName name="Z_76854680_FF75_11D5_90E8_0080AD1B77C1_.wvu.PrintArea" hidden="1">#REF!</definedName>
    <definedName name="Z_76854680_FF75_11D5_90E8_0080AD1B77C1_.wvu.Rows" localSheetId="15" hidden="1">[62]Dep!#REF!,[62]Dep!#REF!,[62]Dep!#REF!</definedName>
    <definedName name="Z_76854680_FF75_11D5_90E8_0080AD1B77C1_.wvu.Rows" localSheetId="25" hidden="1">[62]Dep!#REF!,[62]Dep!#REF!,[62]Dep!#REF!</definedName>
    <definedName name="Z_76854680_FF75_11D5_90E8_0080AD1B77C1_.wvu.Rows" localSheetId="11" hidden="1">[61]Dep!#REF!,[61]Dep!#REF!,[61]Dep!#REF!</definedName>
    <definedName name="Z_76854680_FF75_11D5_90E8_0080AD1B77C1_.wvu.Rows" localSheetId="16" hidden="1">[62]Dep!#REF!,[62]Dep!#REF!,[62]Dep!#REF!</definedName>
    <definedName name="Z_76854680_FF75_11D5_90E8_0080AD1B77C1_.wvu.Rows" localSheetId="13" hidden="1">[61]Dep!#REF!,[61]Dep!#REF!,[61]Dep!#REF!</definedName>
    <definedName name="Z_76854680_FF75_11D5_90E8_0080AD1B77C1_.wvu.Rows" localSheetId="19" hidden="1">[62]Dep!#REF!,[62]Dep!#REF!,[62]Dep!#REF!</definedName>
    <definedName name="Z_76854680_FF75_11D5_90E8_0080AD1B77C1_.wvu.Rows" hidden="1">[62]Dep!#REF!,[62]Dep!#REF!,[62]Dep!#REF!</definedName>
    <definedName name="Z_81B49422_B94B_11D7_8BE4_000795ABF7ED_.wvu.FilterData" localSheetId="15" hidden="1">#REF!</definedName>
    <definedName name="Z_81B49422_B94B_11D7_8BE4_000795ABF7ED_.wvu.FilterData" localSheetId="25" hidden="1">#REF!</definedName>
    <definedName name="Z_81B49422_B94B_11D7_8BE4_000795ABF7ED_.wvu.FilterData" localSheetId="11" hidden="1">#REF!</definedName>
    <definedName name="Z_81B49422_B94B_11D7_8BE4_000795ABF7ED_.wvu.FilterData" localSheetId="16" hidden="1">#REF!</definedName>
    <definedName name="Z_81B49422_B94B_11D7_8BE4_000795ABF7ED_.wvu.FilterData" localSheetId="13" hidden="1">#REF!</definedName>
    <definedName name="Z_81B49422_B94B_11D7_8BE4_000795ABF7ED_.wvu.FilterData" localSheetId="19" hidden="1">#REF!</definedName>
    <definedName name="Z_81B49422_B94B_11D7_8BE4_000795ABF7ED_.wvu.FilterData" hidden="1">#REF!</definedName>
    <definedName name="Z_858DCAAA_6791_11D7_9DB9_0008A14364AB_.wvu.Rows" localSheetId="15" hidden="1">[62]Dep!#REF!,[62]Dep!#REF!</definedName>
    <definedName name="Z_858DCAAA_6791_11D7_9DB9_0008A14364AB_.wvu.Rows" localSheetId="25" hidden="1">[62]Dep!#REF!,[62]Dep!#REF!</definedName>
    <definedName name="Z_858DCAAA_6791_11D7_9DB9_0008A14364AB_.wvu.Rows" localSheetId="11" hidden="1">[61]Dep!#REF!,[61]Dep!#REF!</definedName>
    <definedName name="Z_858DCAAA_6791_11D7_9DB9_0008A14364AB_.wvu.Rows" localSheetId="16" hidden="1">[62]Dep!#REF!,[62]Dep!#REF!</definedName>
    <definedName name="Z_858DCAAA_6791_11D7_9DB9_0008A14364AB_.wvu.Rows" localSheetId="13" hidden="1">[61]Dep!#REF!,[61]Dep!#REF!</definedName>
    <definedName name="Z_858DCAAA_6791_11D7_9DB9_0008A14364AB_.wvu.Rows" localSheetId="19" hidden="1">[62]Dep!#REF!,[62]Dep!#REF!</definedName>
    <definedName name="Z_858DCAAA_6791_11D7_9DB9_0008A14364AB_.wvu.Rows" hidden="1">[62]Dep!#REF!,[62]Dep!#REF!</definedName>
    <definedName name="Z_85B100BE_7668_4BC6_8768_B14514E80945_.wvu.PrintArea" hidden="1">#REF!</definedName>
    <definedName name="Z_85B100BE_7668_4BC6_8768_B14514E80945_.wvu.Rows" hidden="1">#REF!</definedName>
    <definedName name="Z_873913D5_4C6D_4AAA_9858_E398AB45C5D4_.wvu.FilterData" localSheetId="15" hidden="1">#REF!</definedName>
    <definedName name="Z_873913D5_4C6D_4AAA_9858_E398AB45C5D4_.wvu.FilterData" localSheetId="25" hidden="1">#REF!</definedName>
    <definedName name="Z_873913D5_4C6D_4AAA_9858_E398AB45C5D4_.wvu.FilterData" localSheetId="11" hidden="1">[61]BS!#REF!</definedName>
    <definedName name="Z_873913D5_4C6D_4AAA_9858_E398AB45C5D4_.wvu.FilterData" localSheetId="16" hidden="1">#REF!</definedName>
    <definedName name="Z_873913D5_4C6D_4AAA_9858_E398AB45C5D4_.wvu.FilterData" localSheetId="13" hidden="1">[61]BS!#REF!</definedName>
    <definedName name="Z_873913D5_4C6D_4AAA_9858_E398AB45C5D4_.wvu.FilterData" localSheetId="19" hidden="1">#REF!</definedName>
    <definedName name="Z_873913D5_4C6D_4AAA_9858_E398AB45C5D4_.wvu.FilterData" hidden="1">#REF!</definedName>
    <definedName name="Z_873913D5_4C6D_4AAA_9858_E398AB45C5D4_.wvu.PrintTitles" localSheetId="15" hidden="1">#REF!</definedName>
    <definedName name="Z_873913D5_4C6D_4AAA_9858_E398AB45C5D4_.wvu.PrintTitles" localSheetId="25" hidden="1">#REF!</definedName>
    <definedName name="Z_873913D5_4C6D_4AAA_9858_E398AB45C5D4_.wvu.PrintTitles" localSheetId="11" hidden="1">#REF!</definedName>
    <definedName name="Z_873913D5_4C6D_4AAA_9858_E398AB45C5D4_.wvu.PrintTitles" localSheetId="16" hidden="1">#REF!</definedName>
    <definedName name="Z_873913D5_4C6D_4AAA_9858_E398AB45C5D4_.wvu.PrintTitles" localSheetId="13" hidden="1">#REF!</definedName>
    <definedName name="Z_873913D5_4C6D_4AAA_9858_E398AB45C5D4_.wvu.PrintTitles" localSheetId="19" hidden="1">#REF!</definedName>
    <definedName name="Z_873913D5_4C6D_4AAA_9858_E398AB45C5D4_.wvu.PrintTitles" hidden="1">#REF!</definedName>
    <definedName name="Z_93CF68E4_41DD_43B4_81CE_AB76E39C050C_.wvu.Cols" localSheetId="11" hidden="1">[61]Dep!$F$1:$F$65536,[61]Dep!$J$1:$K$65536</definedName>
    <definedName name="Z_93CF68E4_41DD_43B4_81CE_AB76E39C050C_.wvu.Cols" localSheetId="13" hidden="1">[61]Dep!$F$1:$F$65536,[61]Dep!$J$1:$K$65536</definedName>
    <definedName name="Z_93CF68E4_41DD_43B4_81CE_AB76E39C050C_.wvu.Cols" hidden="1">[62]Dep!$F$1:$F$65536,[62]Dep!$J$1:$K$65536</definedName>
    <definedName name="Z_93CF68E4_41DD_43B4_81CE_AB76E39C050C_.wvu.Rows" localSheetId="15" hidden="1">'[62]Ann A'!#REF!,'[62]Ann A'!#REF!,'[62]Ann A'!#REF!,'[62]Ann A'!#REF!,'[62]Ann A'!#REF!,'[62]Ann A'!#REF!</definedName>
    <definedName name="Z_93CF68E4_41DD_43B4_81CE_AB76E39C050C_.wvu.Rows" localSheetId="25" hidden="1">'[62]Ann A'!#REF!,'[62]Ann A'!#REF!,'[62]Ann A'!#REF!,'[62]Ann A'!#REF!,'[62]Ann A'!#REF!,'[62]Ann A'!#REF!</definedName>
    <definedName name="Z_93CF68E4_41DD_43B4_81CE_AB76E39C050C_.wvu.Rows" localSheetId="11" hidden="1">'[61]Ann A'!#REF!,'[61]Ann A'!#REF!,'[61]Ann A'!#REF!,'[61]Ann A'!#REF!,'[61]Ann A'!#REF!,'[61]Ann A'!#REF!</definedName>
    <definedName name="Z_93CF68E4_41DD_43B4_81CE_AB76E39C050C_.wvu.Rows" localSheetId="16" hidden="1">'[62]Ann A'!#REF!,'[62]Ann A'!#REF!,'[62]Ann A'!#REF!,'[62]Ann A'!#REF!,'[62]Ann A'!#REF!,'[62]Ann A'!#REF!</definedName>
    <definedName name="Z_93CF68E4_41DD_43B4_81CE_AB76E39C050C_.wvu.Rows" localSheetId="13" hidden="1">'[61]Ann A'!#REF!,'[61]Ann A'!#REF!,'[61]Ann A'!#REF!,'[61]Ann A'!#REF!,'[61]Ann A'!#REF!,'[61]Ann A'!#REF!</definedName>
    <definedName name="Z_93CF68E4_41DD_43B4_81CE_AB76E39C050C_.wvu.Rows" localSheetId="19" hidden="1">'[62]Ann A'!#REF!,'[62]Ann A'!#REF!,'[62]Ann A'!#REF!,'[62]Ann A'!#REF!,'[62]Ann A'!#REF!,'[62]Ann A'!#REF!</definedName>
    <definedName name="Z_93CF68E4_41DD_43B4_81CE_AB76E39C050C_.wvu.Rows" hidden="1">'[62]Ann A'!#REF!,'[62]Ann A'!#REF!,'[62]Ann A'!#REF!,'[62]Ann A'!#REF!,'[62]Ann A'!#REF!,'[62]Ann A'!#REF!</definedName>
    <definedName name="Z_9F6FB2C0_A861_11D6_A667_444553540000_.wvu.Rows" hidden="1">#REF!</definedName>
    <definedName name="Z_A334CDEA_1B26_497C_9E86_391980B45166_.wvu.Cols" localSheetId="15" hidden="1">[62]COI!#REF!,[62]COI!#REF!</definedName>
    <definedName name="Z_A334CDEA_1B26_497C_9E86_391980B45166_.wvu.Cols" localSheetId="25" hidden="1">[62]COI!#REF!,[62]COI!#REF!</definedName>
    <definedName name="Z_A334CDEA_1B26_497C_9E86_391980B45166_.wvu.Cols" localSheetId="11" hidden="1">[61]COI!#REF!,[61]COI!#REF!</definedName>
    <definedName name="Z_A334CDEA_1B26_497C_9E86_391980B45166_.wvu.Cols" localSheetId="16" hidden="1">[62]COI!#REF!,[62]COI!#REF!</definedName>
    <definedName name="Z_A334CDEA_1B26_497C_9E86_391980B45166_.wvu.Cols" localSheetId="13" hidden="1">[61]COI!#REF!,[61]COI!#REF!</definedName>
    <definedName name="Z_A334CDEA_1B26_497C_9E86_391980B45166_.wvu.Cols" localSheetId="19" hidden="1">[62]COI!#REF!,[62]COI!#REF!</definedName>
    <definedName name="Z_A334CDEA_1B26_497C_9E86_391980B45166_.wvu.Cols" hidden="1">[62]COI!#REF!,[62]COI!#REF!</definedName>
    <definedName name="Z_A334CDEA_1B26_497C_9E86_391980B45166_.wvu.PrintArea" hidden="1">#REF!</definedName>
    <definedName name="Z_A334CDEA_1B26_497C_9E86_391980B45166_.wvu.Rows" localSheetId="15" hidden="1">[62]COI!#REF!,[62]COI!#REF!,[62]COI!#REF!,[62]COI!#REF!,[62]COI!#REF!,[62]COI!$A$76:$IV$76,[62]COI!$A$78:$IV$92,[62]COI!$A$94:$IV$94,[62]COI!$A$178:$IV$178,[62]COI!$A$181:$IV$183,[62]COI!$A$192:$IV$192,[62]COI!$A$219:$IV$219</definedName>
    <definedName name="Z_A334CDEA_1B26_497C_9E86_391980B45166_.wvu.Rows" localSheetId="25" hidden="1">[62]COI!#REF!,[62]COI!#REF!,[62]COI!#REF!,[62]COI!#REF!,[62]COI!#REF!,[62]COI!$A$76:$IV$76,[62]COI!$A$78:$IV$92,[62]COI!$A$94:$IV$94,[62]COI!$A$178:$IV$178,[62]COI!$A$181:$IV$183,[62]COI!$A$192:$IV$192,[62]COI!$A$219:$IV$219</definedName>
    <definedName name="Z_A334CDEA_1B26_497C_9E86_391980B45166_.wvu.Rows" localSheetId="11" hidden="1">[61]COI!#REF!,[61]COI!#REF!,[61]COI!#REF!,[61]COI!#REF!,[61]COI!#REF!,[61]COI!$A$74:$IV$74,[61]COI!$A$76:$IV$90,[61]COI!$A$92:$IV$92,[61]COI!$A$176:$IV$176,[61]COI!$A$179:$IV$181,[61]COI!$A$190:$IV$190,[61]COI!$A$217:$IV$217</definedName>
    <definedName name="Z_A334CDEA_1B26_497C_9E86_391980B45166_.wvu.Rows" localSheetId="16" hidden="1">[62]COI!#REF!,[62]COI!#REF!,[62]COI!#REF!,[62]COI!#REF!,[62]COI!#REF!,[62]COI!$A$76:$IV$76,[62]COI!$A$78:$IV$92,[62]COI!$A$94:$IV$94,[62]COI!$A$178:$IV$178,[62]COI!$A$181:$IV$183,[62]COI!$A$192:$IV$192,[62]COI!$A$219:$IV$219</definedName>
    <definedName name="Z_A334CDEA_1B26_497C_9E86_391980B45166_.wvu.Rows" localSheetId="13" hidden="1">[61]COI!#REF!,[61]COI!#REF!,[61]COI!#REF!,[61]COI!#REF!,[61]COI!#REF!,[61]COI!$A$74:$IV$74,[61]COI!$A$76:$IV$90,[61]COI!$A$92:$IV$92,[61]COI!$A$176:$IV$176,[61]COI!$A$179:$IV$181,[61]COI!$A$190:$IV$190,[61]COI!$A$217:$IV$217</definedName>
    <definedName name="Z_A334CDEA_1B26_497C_9E86_391980B45166_.wvu.Rows" localSheetId="19" hidden="1">[62]COI!#REF!,[62]COI!#REF!,[62]COI!#REF!,[62]COI!#REF!,[62]COI!#REF!,[62]COI!$A$76:$IV$76,[62]COI!$A$78:$IV$92,[62]COI!$A$94:$IV$94,[62]COI!$A$178:$IV$178,[62]COI!$A$181:$IV$183,[62]COI!$A$192:$IV$192,[62]COI!$A$219:$IV$219</definedName>
    <definedName name="Z_A334CDEA_1B26_497C_9E86_391980B45166_.wvu.Rows" hidden="1">[62]COI!#REF!,[62]COI!#REF!,[62]COI!#REF!,[62]COI!#REF!,[62]COI!#REF!,[62]COI!$A$76:$IV$76,[62]COI!$A$78:$IV$92,[62]COI!$A$94:$IV$94,[62]COI!$A$178:$IV$178,[62]COI!$A$181:$IV$183,[62]COI!$A$192:$IV$192,[62]COI!$A$219:$IV$219</definedName>
    <definedName name="Z_ABF241F9_150E_41C3_9F82_17660A825266_.wvu.PrintArea" hidden="1">#REF!</definedName>
    <definedName name="Z_ABF241F9_150E_41C3_9F82_17660A825266_.wvu.Rows" hidden="1">#REF!</definedName>
    <definedName name="Z_BD120193_CED6_4E7F_9CAF_4B1A3FAB6783_.wvu.Rows" localSheetId="15" hidden="1">[62]Value!#REF!,[62]Value!#REF!,[62]Value!#REF!</definedName>
    <definedName name="Z_BD120193_CED6_4E7F_9CAF_4B1A3FAB6783_.wvu.Rows" localSheetId="25" hidden="1">[62]Value!#REF!,[62]Value!#REF!,[62]Value!#REF!</definedName>
    <definedName name="Z_BD120193_CED6_4E7F_9CAF_4B1A3FAB6783_.wvu.Rows" localSheetId="11" hidden="1">[61]Value!#REF!,[61]Value!#REF!,[61]Value!#REF!</definedName>
    <definedName name="Z_BD120193_CED6_4E7F_9CAF_4B1A3FAB6783_.wvu.Rows" localSheetId="16" hidden="1">[62]Value!#REF!,[62]Value!#REF!,[62]Value!#REF!</definedName>
    <definedName name="Z_BD120193_CED6_4E7F_9CAF_4B1A3FAB6783_.wvu.Rows" localSheetId="13" hidden="1">[61]Value!#REF!,[61]Value!#REF!,[61]Value!#REF!</definedName>
    <definedName name="Z_BD120193_CED6_4E7F_9CAF_4B1A3FAB6783_.wvu.Rows" localSheetId="19" hidden="1">[62]Value!#REF!,[62]Value!#REF!,[62]Value!#REF!</definedName>
    <definedName name="Z_BD120193_CED6_4E7F_9CAF_4B1A3FAB6783_.wvu.Rows" hidden="1">[62]Value!#REF!,[62]Value!#REF!,[62]Value!#REF!</definedName>
    <definedName name="Z_BD5AA3B3_719E_4481_B722_8DE3E8101662_.wvu.Cols" localSheetId="4" hidden="1">'Cash Flow'!$D:$AU</definedName>
    <definedName name="Z_BD5AA3B3_719E_4481_B722_8DE3E8101662_.wvu.FilterData" localSheetId="23" hidden="1">'Share Holding'!$A$2:$J$417</definedName>
    <definedName name="Z_BD5AA3B3_719E_4481_B722_8DE3E8101662_.wvu.FilterData" localSheetId="29" hidden="1">'TB 03.06.21'!$A$8:$C$390</definedName>
    <definedName name="Z_BD5AA3B3_719E_4481_B722_8DE3E8101662_.wvu.FilterData" localSheetId="7" hidden="1">'TB final'!$A$4:$J$727</definedName>
    <definedName name="Z_BD5AA3B3_719E_4481_B722_8DE3E8101662_.wvu.FilterData" localSheetId="30" hidden="1">'TB2019-20'!$A$11:$I$415</definedName>
    <definedName name="Z_BD5AA3B3_719E_4481_B722_8DE3E8101662_.wvu.FilterData" localSheetId="8" hidden="1">'Trial Balance'!$A$11:$H$430</definedName>
    <definedName name="Z_BD5AA3B3_719E_4481_B722_8DE3E8101662_.wvu.PrintArea" localSheetId="5" hidden="1">BSPL!$A$1:$G$914</definedName>
    <definedName name="Z_BD5AA3B3_719E_4481_B722_8DE3E8101662_.wvu.PrintArea" localSheetId="9" hidden="1">'CLOSING STOCK AS ON 31-03-21'!$A$1:$AE$76</definedName>
    <definedName name="Z_BD5AA3B3_719E_4481_B722_8DE3E8101662_.wvu.PrintArea" localSheetId="10" hidden="1">PPE!$B$1:$K$31</definedName>
    <definedName name="Z_BD5AA3B3_719E_4481_B722_8DE3E8101662_.wvu.Rows" localSheetId="4" hidden="1">'Cash Flow'!$39:$42,'Cash Flow'!$47:$47</definedName>
    <definedName name="Z_BD5AA3B3_719E_4481_B722_8DE3E8101662_.wvu.Rows" localSheetId="9" hidden="1">'CLOSING STOCK AS ON 31-03-21'!$3:$5</definedName>
    <definedName name="Z_BD5AA3B3_719E_4481_B722_8DE3E8101662_.wvu.Rows" localSheetId="24" hidden="1">'Unsecured Loan'!$5:$16</definedName>
    <definedName name="Z_C80FA4E1_1D1A_481E_8BCE_44B44A80609D_.wvu.FilterData" localSheetId="15" hidden="1">#REF!</definedName>
    <definedName name="Z_C80FA4E1_1D1A_481E_8BCE_44B44A80609D_.wvu.FilterData" localSheetId="25" hidden="1">#REF!</definedName>
    <definedName name="Z_C80FA4E1_1D1A_481E_8BCE_44B44A80609D_.wvu.FilterData" localSheetId="11" hidden="1">[61]BS!#REF!</definedName>
    <definedName name="Z_C80FA4E1_1D1A_481E_8BCE_44B44A80609D_.wvu.FilterData" localSheetId="16" hidden="1">#REF!</definedName>
    <definedName name="Z_C80FA4E1_1D1A_481E_8BCE_44B44A80609D_.wvu.FilterData" localSheetId="13" hidden="1">[61]BS!#REF!</definedName>
    <definedName name="Z_C80FA4E1_1D1A_481E_8BCE_44B44A80609D_.wvu.FilterData" localSheetId="19" hidden="1">#REF!</definedName>
    <definedName name="Z_C80FA4E1_1D1A_481E_8BCE_44B44A80609D_.wvu.FilterData" hidden="1">#REF!</definedName>
    <definedName name="Z_D56D62A7_8091_4012_A10F_A462838BC292_.wvu.Rows" localSheetId="15" hidden="1">#REF!,#REF!,#REF!,#REF!,#REF!,#REF!,#REF!</definedName>
    <definedName name="Z_D56D62A7_8091_4012_A10F_A462838BC292_.wvu.Rows" localSheetId="25" hidden="1">#REF!,#REF!,#REF!,#REF!,#REF!,#REF!,#REF!</definedName>
    <definedName name="Z_D56D62A7_8091_4012_A10F_A462838BC292_.wvu.Rows" localSheetId="11" hidden="1">[61]BS!#REF!,[61]BS!#REF!,[61]BS!#REF!,[61]BS!#REF!,[61]BS!#REF!,[61]BS!#REF!,[61]BS!$A$1893:$IV$1904</definedName>
    <definedName name="Z_D56D62A7_8091_4012_A10F_A462838BC292_.wvu.Rows" localSheetId="16" hidden="1">#REF!,#REF!,#REF!,#REF!,#REF!,#REF!,#REF!</definedName>
    <definedName name="Z_D56D62A7_8091_4012_A10F_A462838BC292_.wvu.Rows" localSheetId="13" hidden="1">[61]BS!#REF!,[61]BS!#REF!,[61]BS!#REF!,[61]BS!#REF!,[61]BS!#REF!,[61]BS!#REF!,[61]BS!$A$1893:$IV$1904</definedName>
    <definedName name="Z_D56D62A7_8091_4012_A10F_A462838BC292_.wvu.Rows" localSheetId="19" hidden="1">#REF!,#REF!,#REF!,#REF!,#REF!,#REF!,#REF!</definedName>
    <definedName name="Z_D56D62A7_8091_4012_A10F_A462838BC292_.wvu.Rows" hidden="1">#REF!,#REF!,#REF!,#REF!,#REF!,#REF!,#REF!</definedName>
    <definedName name="Z_DECB9532_B929_4DF0_AF97_7264233CC0D3_.wvu.Rows" localSheetId="15" hidden="1">[62]Value!#REF!,[62]Value!#REF!,[62]Value!#REF!</definedName>
    <definedName name="Z_DECB9532_B929_4DF0_AF97_7264233CC0D3_.wvu.Rows" localSheetId="25" hidden="1">[62]Value!#REF!,[62]Value!#REF!,[62]Value!#REF!</definedName>
    <definedName name="Z_DECB9532_B929_4DF0_AF97_7264233CC0D3_.wvu.Rows" localSheetId="11" hidden="1">[61]Value!#REF!,[61]Value!#REF!,[61]Value!#REF!</definedName>
    <definedName name="Z_DECB9532_B929_4DF0_AF97_7264233CC0D3_.wvu.Rows" localSheetId="16" hidden="1">[62]Value!#REF!,[62]Value!#REF!,[62]Value!#REF!</definedName>
    <definedName name="Z_DECB9532_B929_4DF0_AF97_7264233CC0D3_.wvu.Rows" localSheetId="13" hidden="1">[61]Value!#REF!,[61]Value!#REF!,[61]Value!#REF!</definedName>
    <definedName name="Z_DECB9532_B929_4DF0_AF97_7264233CC0D3_.wvu.Rows" localSheetId="19" hidden="1">[62]Value!#REF!,[62]Value!#REF!,[62]Value!#REF!</definedName>
    <definedName name="Z_DECB9532_B929_4DF0_AF97_7264233CC0D3_.wvu.Rows" hidden="1">[62]Value!#REF!,[62]Value!#REF!,[62]Value!#REF!</definedName>
    <definedName name="Z_F039C147_8083_49A0_B541_A610A15BA793_.wvu.Cols" localSheetId="13" hidden="1">'IT Dep'!$H:$I</definedName>
    <definedName name="Z_F140806D_66CA_4A66_855A_CCBDE7D69760_.wvu.Cols" localSheetId="13" hidden="1">'IT Dep'!$H:$I</definedName>
    <definedName name="Z_F28CBC21_556C_11DB_93B8_0008A132C219_.wvu.Cols" localSheetId="15" hidden="1">[62]COI!#REF!,[62]COI!#REF!</definedName>
    <definedName name="Z_F28CBC21_556C_11DB_93B8_0008A132C219_.wvu.Cols" localSheetId="25" hidden="1">[62]COI!#REF!,[62]COI!#REF!</definedName>
    <definedName name="Z_F28CBC21_556C_11DB_93B8_0008A132C219_.wvu.Cols" localSheetId="11" hidden="1">[61]COI!#REF!,[61]COI!#REF!</definedName>
    <definedName name="Z_F28CBC21_556C_11DB_93B8_0008A132C219_.wvu.Cols" localSheetId="16" hidden="1">[62]COI!#REF!,[62]COI!#REF!</definedName>
    <definedName name="Z_F28CBC21_556C_11DB_93B8_0008A132C219_.wvu.Cols" localSheetId="13" hidden="1">[61]COI!#REF!,[61]COI!#REF!</definedName>
    <definedName name="Z_F28CBC21_556C_11DB_93B8_0008A132C219_.wvu.Cols" localSheetId="19" hidden="1">[62]COI!#REF!,[62]COI!#REF!</definedName>
    <definedName name="Z_F28CBC21_556C_11DB_93B8_0008A132C219_.wvu.Cols" hidden="1">[62]COI!#REF!,[62]COI!#REF!</definedName>
    <definedName name="Z_F28CBC21_556C_11DB_93B8_0008A132C219_.wvu.PrintArea" hidden="1">#REF!</definedName>
    <definedName name="Z_F28CBC21_556C_11DB_93B8_0008A132C219_.wvu.Rows" localSheetId="15" hidden="1">[62]COI!#REF!,[62]COI!#REF!,[62]COI!#REF!,[62]COI!#REF!,[62]COI!$A$76:$IV$76,[62]COI!#REF!,[62]COI!#REF!,[62]COI!$A$94:$IV$94,[62]COI!$A$178:$IV$178,[62]COI!$A$181:$IV$183,[62]COI!$A$192:$IV$192,[62]COI!$A$219:$IV$219</definedName>
    <definedName name="Z_F28CBC21_556C_11DB_93B8_0008A132C219_.wvu.Rows" localSheetId="25" hidden="1">[62]COI!#REF!,[62]COI!#REF!,[62]COI!#REF!,[62]COI!#REF!,[62]COI!$A$76:$IV$76,[62]COI!#REF!,[62]COI!#REF!,[62]COI!$A$94:$IV$94,[62]COI!$A$178:$IV$178,[62]COI!$A$181:$IV$183,[62]COI!$A$192:$IV$192,[62]COI!$A$219:$IV$219</definedName>
    <definedName name="Z_F28CBC21_556C_11DB_93B8_0008A132C219_.wvu.Rows" localSheetId="11" hidden="1">[61]COI!#REF!,[61]COI!#REF!,[61]COI!#REF!,[61]COI!#REF!,[61]COI!$A$74:$IV$74,[61]COI!#REF!,[61]COI!#REF!,[61]COI!$A$92:$IV$92,[61]COI!$A$176:$IV$176,[61]COI!$A$179:$IV$181,[61]COI!$A$190:$IV$190,[61]COI!$A$217:$IV$217</definedName>
    <definedName name="Z_F28CBC21_556C_11DB_93B8_0008A132C219_.wvu.Rows" localSheetId="16" hidden="1">[62]COI!#REF!,[62]COI!#REF!,[62]COI!#REF!,[62]COI!#REF!,[62]COI!$A$76:$IV$76,[62]COI!#REF!,[62]COI!#REF!,[62]COI!$A$94:$IV$94,[62]COI!$A$178:$IV$178,[62]COI!$A$181:$IV$183,[62]COI!$A$192:$IV$192,[62]COI!$A$219:$IV$219</definedName>
    <definedName name="Z_F28CBC21_556C_11DB_93B8_0008A132C219_.wvu.Rows" localSheetId="13" hidden="1">[61]COI!#REF!,[61]COI!#REF!,[61]COI!#REF!,[61]COI!#REF!,[61]COI!$A$74:$IV$74,[61]COI!#REF!,[61]COI!#REF!,[61]COI!$A$92:$IV$92,[61]COI!$A$176:$IV$176,[61]COI!$A$179:$IV$181,[61]COI!$A$190:$IV$190,[61]COI!$A$217:$IV$217</definedName>
    <definedName name="Z_F28CBC21_556C_11DB_93B8_0008A132C219_.wvu.Rows" localSheetId="19" hidden="1">[62]COI!#REF!,[62]COI!#REF!,[62]COI!#REF!,[62]COI!#REF!,[62]COI!$A$76:$IV$76,[62]COI!#REF!,[62]COI!#REF!,[62]COI!$A$94:$IV$94,[62]COI!$A$178:$IV$178,[62]COI!$A$181:$IV$183,[62]COI!$A$192:$IV$192,[62]COI!$A$219:$IV$219</definedName>
    <definedName name="Z_F28CBC21_556C_11DB_93B8_0008A132C219_.wvu.Rows" hidden="1">[62]COI!#REF!,[62]COI!#REF!,[62]COI!#REF!,[62]COI!#REF!,[62]COI!$A$76:$IV$76,[62]COI!#REF!,[62]COI!#REF!,[62]COI!$A$94:$IV$94,[62]COI!$A$178:$IV$178,[62]COI!$A$181:$IV$183,[62]COI!$A$192:$IV$192,[62]COI!$A$219:$IV$219</definedName>
    <definedName name="Z_FECDEFC0_A783_4C3E_A42B_0363B174BEE2_.wvu.FilterData" localSheetId="15" hidden="1">#REF!</definedName>
    <definedName name="Z_FECDEFC0_A783_4C3E_A42B_0363B174BEE2_.wvu.FilterData" localSheetId="25" hidden="1">#REF!</definedName>
    <definedName name="Z_FECDEFC0_A783_4C3E_A42B_0363B174BEE2_.wvu.FilterData" localSheetId="11" hidden="1">[61]BS!#REF!</definedName>
    <definedName name="Z_FECDEFC0_A783_4C3E_A42B_0363B174BEE2_.wvu.FilterData" localSheetId="16" hidden="1">#REF!</definedName>
    <definedName name="Z_FECDEFC0_A783_4C3E_A42B_0363B174BEE2_.wvu.FilterData" localSheetId="13" hidden="1">[61]BS!#REF!</definedName>
    <definedName name="Z_FECDEFC0_A783_4C3E_A42B_0363B174BEE2_.wvu.FilterData" localSheetId="19" hidden="1">#REF!</definedName>
    <definedName name="Z_FECDEFC0_A783_4C3E_A42B_0363B174BEE2_.wvu.FilterData" hidden="1">#REF!</definedName>
    <definedName name="Z_FECDEFC0_A783_4C3E_A42B_0363B174BEE2_.wvu.PrintTitles" localSheetId="15" hidden="1">#REF!</definedName>
    <definedName name="Z_FECDEFC0_A783_4C3E_A42B_0363B174BEE2_.wvu.PrintTitles" localSheetId="25" hidden="1">#REF!</definedName>
    <definedName name="Z_FECDEFC0_A783_4C3E_A42B_0363B174BEE2_.wvu.PrintTitles" localSheetId="11" hidden="1">#REF!</definedName>
    <definedName name="Z_FECDEFC0_A783_4C3E_A42B_0363B174BEE2_.wvu.PrintTitles" localSheetId="16" hidden="1">#REF!</definedName>
    <definedName name="Z_FECDEFC0_A783_4C3E_A42B_0363B174BEE2_.wvu.PrintTitles" localSheetId="13" hidden="1">#REF!</definedName>
    <definedName name="Z_FECDEFC0_A783_4C3E_A42B_0363B174BEE2_.wvu.PrintTitles" localSheetId="19" hidden="1">#REF!</definedName>
    <definedName name="Z_FECDEFC0_A783_4C3E_A42B_0363B174BEE2_.wvu.PrintTitles" hidden="1">#REF!</definedName>
    <definedName name="zcx" localSheetId="1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 localSheetId="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s>
  <calcPr calcId="181029"/>
  <customWorkbookViews>
    <customWorkbookView name="Acer - Personal View" guid="{334DC1DD-AD60-4D12-A532-9CEE6201A253}" mergeInterval="0" personalView="1" maximized="1" xWindow="-9" yWindow="-9" windowWidth="1938" windowHeight="1048" activeSheetId="1"/>
    <customWorkbookView name="Windows User - Personal View" guid="{BD5AA3B3-719E-4481-B722-8DE3E8101662}" autoUpdate="1" mergeInterval="5" personalView="1" maximized="1" xWindow="-8" yWindow="-8" windowWidth="1296" windowHeight="776" activeSheetId="18"/>
  </customWorkbookViews>
  <pivotCaches>
    <pivotCache cacheId="1" r:id="rId104"/>
  </pivotCaches>
</workbook>
</file>

<file path=xl/calcChain.xml><?xml version="1.0" encoding="utf-8"?>
<calcChain xmlns="http://schemas.openxmlformats.org/spreadsheetml/2006/main">
  <c r="I15" i="36" l="1"/>
  <c r="J48" i="36" l="1"/>
  <c r="J47" i="36"/>
  <c r="J46" i="36"/>
  <c r="I48" i="36"/>
  <c r="I47" i="36"/>
  <c r="I46" i="36"/>
  <c r="J45" i="36"/>
  <c r="I45" i="36"/>
  <c r="F45" i="36" s="1"/>
  <c r="J40" i="36"/>
  <c r="J39" i="36"/>
  <c r="J38" i="36"/>
  <c r="I39" i="36"/>
  <c r="J37" i="36"/>
  <c r="J22" i="36"/>
  <c r="I22" i="36"/>
  <c r="H29" i="36"/>
  <c r="G29" i="36"/>
  <c r="H18" i="36"/>
  <c r="G18" i="36"/>
  <c r="H31" i="36" l="1"/>
  <c r="H34" i="36" s="1"/>
  <c r="H42" i="36" s="1"/>
  <c r="H50" i="36" s="1"/>
  <c r="G31" i="36"/>
  <c r="G34" i="36" s="1"/>
  <c r="G42" i="36" s="1"/>
  <c r="E34" i="6"/>
  <c r="E33" i="6"/>
  <c r="G280" i="2"/>
  <c r="G233" i="2"/>
  <c r="H55" i="36" l="1"/>
  <c r="H56" i="36"/>
  <c r="G55" i="36"/>
  <c r="G56" i="36"/>
  <c r="G50" i="36"/>
  <c r="L44" i="5"/>
  <c r="G671" i="2"/>
  <c r="F485" i="2"/>
  <c r="F491" i="2"/>
  <c r="I18" i="5"/>
  <c r="G488" i="2"/>
  <c r="D863" i="4"/>
  <c r="F488" i="2"/>
  <c r="N510" i="12" l="1"/>
  <c r="P510" i="12" s="1"/>
  <c r="K510" i="12"/>
  <c r="M510" i="12" s="1"/>
  <c r="H510" i="12"/>
  <c r="J510" i="12" s="1"/>
  <c r="E510" i="12"/>
  <c r="G510" i="12" s="1"/>
  <c r="G262" i="2"/>
  <c r="G278" i="2"/>
  <c r="F415" i="2"/>
  <c r="F96" i="2"/>
  <c r="I38" i="36" l="1"/>
  <c r="F38" i="36" s="1"/>
  <c r="C56" i="35"/>
  <c r="C50" i="35"/>
  <c r="C49" i="35"/>
  <c r="C48" i="35"/>
  <c r="C42" i="35"/>
  <c r="B42" i="35"/>
  <c r="C41" i="35"/>
  <c r="B41" i="35"/>
  <c r="C40" i="35"/>
  <c r="B40" i="35"/>
  <c r="C39" i="35"/>
  <c r="B39" i="35"/>
  <c r="C38" i="35"/>
  <c r="C37" i="35"/>
  <c r="C33" i="35"/>
  <c r="C29" i="35"/>
  <c r="C28" i="35"/>
  <c r="C27" i="35"/>
  <c r="C26" i="35"/>
  <c r="C25" i="35"/>
  <c r="C24" i="35"/>
  <c r="C23" i="35"/>
  <c r="C22" i="35"/>
  <c r="C21" i="35"/>
  <c r="C20" i="35"/>
  <c r="C19" i="35"/>
  <c r="C18" i="35"/>
  <c r="F30" i="34"/>
  <c r="E30" i="34"/>
  <c r="F25" i="34"/>
  <c r="F24" i="34"/>
  <c r="F23" i="34"/>
  <c r="F15" i="34"/>
  <c r="C52" i="35" l="1"/>
  <c r="C44" i="35"/>
  <c r="C31" i="35"/>
  <c r="F11" i="34"/>
  <c r="E11" i="34"/>
  <c r="F40" i="34"/>
  <c r="E40" i="34"/>
  <c r="F39" i="34"/>
  <c r="E39" i="34"/>
  <c r="F34" i="34"/>
  <c r="E34" i="34"/>
  <c r="F26" i="34"/>
  <c r="E16" i="33"/>
  <c r="D16" i="33"/>
  <c r="F538" i="2" l="1"/>
  <c r="J36" i="7" l="1"/>
  <c r="P34" i="7"/>
  <c r="F408" i="2"/>
  <c r="F413" i="2"/>
  <c r="A77" i="18" l="1"/>
  <c r="A76" i="18"/>
  <c r="G622" i="2"/>
  <c r="G589" i="2"/>
  <c r="G619" i="2" s="1"/>
  <c r="I7" i="6" l="1"/>
  <c r="K36" i="7"/>
  <c r="B900" i="2" l="1"/>
  <c r="B899" i="2"/>
  <c r="D913" i="2" s="1"/>
  <c r="G702" i="2"/>
  <c r="G705" i="2" s="1"/>
  <c r="G707" i="2" s="1"/>
  <c r="F702" i="2"/>
  <c r="F705" i="2" s="1"/>
  <c r="F707" i="2" s="1"/>
  <c r="G698" i="2"/>
  <c r="G697" i="2"/>
  <c r="F697" i="2"/>
  <c r="G455" i="2"/>
  <c r="H410" i="2"/>
  <c r="F283" i="2"/>
  <c r="H411" i="2"/>
  <c r="F455" i="2"/>
  <c r="G456" i="2"/>
  <c r="F456" i="2"/>
  <c r="G457" i="2" l="1"/>
  <c r="F457" i="2"/>
  <c r="G6" i="28"/>
  <c r="B129" i="2" l="1"/>
  <c r="B208" i="2" s="1"/>
  <c r="B128" i="2"/>
  <c r="B207" i="2" s="1"/>
  <c r="H92" i="2" l="1"/>
  <c r="S46" i="7"/>
  <c r="G33" i="6"/>
  <c r="N77" i="12" l="1"/>
  <c r="P77" i="12" s="1"/>
  <c r="K77" i="12"/>
  <c r="M77" i="12" s="1"/>
  <c r="H77" i="12"/>
  <c r="J77" i="12" s="1"/>
  <c r="E77" i="12"/>
  <c r="F487" i="2"/>
  <c r="G77" i="12" l="1"/>
  <c r="P30" i="5"/>
  <c r="G509" i="2"/>
  <c r="F516" i="2" l="1"/>
  <c r="F509" i="2"/>
  <c r="F510" i="2"/>
  <c r="F423" i="2"/>
  <c r="G436" i="2"/>
  <c r="F382" i="2"/>
  <c r="G510" i="2"/>
  <c r="D55" i="3" l="1"/>
  <c r="E55" i="3"/>
  <c r="F55" i="3" s="1"/>
  <c r="C56" i="3"/>
  <c r="D56" i="3"/>
  <c r="E56" i="3"/>
  <c r="D57" i="3"/>
  <c r="E57" i="3"/>
  <c r="C58" i="3"/>
  <c r="K58" i="3" s="1"/>
  <c r="D58" i="3"/>
  <c r="E58" i="3"/>
  <c r="C59" i="3"/>
  <c r="D59" i="3"/>
  <c r="E59" i="3"/>
  <c r="C60" i="3"/>
  <c r="E60" i="3"/>
  <c r="D61" i="3"/>
  <c r="E61" i="3"/>
  <c r="E62" i="3"/>
  <c r="F62" i="3" s="1"/>
  <c r="H55" i="3"/>
  <c r="I55" i="3"/>
  <c r="H56" i="3"/>
  <c r="I56" i="3"/>
  <c r="I57" i="3"/>
  <c r="J57" i="3" s="1"/>
  <c r="I58" i="3"/>
  <c r="J58" i="3" s="1"/>
  <c r="H59" i="3"/>
  <c r="I59" i="3"/>
  <c r="H60" i="3"/>
  <c r="I60" i="3"/>
  <c r="I61" i="3"/>
  <c r="J61" i="3" s="1"/>
  <c r="I62" i="3"/>
  <c r="J62" i="3" s="1"/>
  <c r="C66" i="3"/>
  <c r="D66" i="3"/>
  <c r="E66" i="3"/>
  <c r="C67" i="3"/>
  <c r="D67" i="3"/>
  <c r="E67" i="3"/>
  <c r="K55" i="3"/>
  <c r="K57" i="3"/>
  <c r="K61" i="3"/>
  <c r="K62" i="3"/>
  <c r="G63" i="3"/>
  <c r="F57" i="3" l="1"/>
  <c r="L57" i="3" s="1"/>
  <c r="J59" i="3"/>
  <c r="F61" i="3"/>
  <c r="J56" i="3"/>
  <c r="I63" i="3"/>
  <c r="C63" i="3"/>
  <c r="J60" i="3"/>
  <c r="H63" i="3"/>
  <c r="F60" i="3"/>
  <c r="F59" i="3"/>
  <c r="I21" i="5"/>
  <c r="K21" i="5"/>
  <c r="F56" i="3"/>
  <c r="E63" i="3"/>
  <c r="L62" i="3"/>
  <c r="L61" i="3"/>
  <c r="L59" i="3"/>
  <c r="L55" i="3"/>
  <c r="D63" i="3"/>
  <c r="K60" i="3"/>
  <c r="K59" i="3"/>
  <c r="F58" i="3"/>
  <c r="L58" i="3" s="1"/>
  <c r="K56" i="3"/>
  <c r="J63" i="3" l="1"/>
  <c r="L60" i="3"/>
  <c r="L56" i="3"/>
  <c r="K63" i="3"/>
  <c r="F63" i="3"/>
  <c r="L63" i="3" l="1"/>
  <c r="J78" i="31"/>
  <c r="I78" i="31"/>
  <c r="H78" i="31"/>
  <c r="G78" i="31"/>
  <c r="Y76" i="31"/>
  <c r="X76" i="31"/>
  <c r="T76" i="31"/>
  <c r="O76" i="31"/>
  <c r="V76" i="31" s="1"/>
  <c r="K76" i="31"/>
  <c r="P76" i="31" s="1"/>
  <c r="Y74" i="31"/>
  <c r="X74" i="31"/>
  <c r="T74" i="31"/>
  <c r="O74" i="31"/>
  <c r="V74" i="31" s="1"/>
  <c r="K74" i="31"/>
  <c r="P74" i="31" s="1"/>
  <c r="Y72" i="31"/>
  <c r="X72" i="31"/>
  <c r="T72" i="31"/>
  <c r="O72" i="31"/>
  <c r="V72" i="31" s="1"/>
  <c r="K72" i="31"/>
  <c r="Y69" i="31"/>
  <c r="X69" i="31"/>
  <c r="T69" i="31"/>
  <c r="O69" i="31"/>
  <c r="K69" i="31"/>
  <c r="P69" i="31" s="1"/>
  <c r="Y66" i="31"/>
  <c r="X66" i="31"/>
  <c r="T66" i="31"/>
  <c r="O66" i="31"/>
  <c r="V66" i="31" s="1"/>
  <c r="K66" i="31"/>
  <c r="P66" i="31" s="1"/>
  <c r="Y63" i="31"/>
  <c r="X63" i="31"/>
  <c r="T63" i="31"/>
  <c r="O63" i="31"/>
  <c r="V63" i="31" s="1"/>
  <c r="K63" i="31"/>
  <c r="P63" i="31" s="1"/>
  <c r="Y61" i="31"/>
  <c r="X61" i="31"/>
  <c r="T61" i="31"/>
  <c r="O61" i="31"/>
  <c r="V61" i="31" s="1"/>
  <c r="K61" i="31"/>
  <c r="Y59" i="31"/>
  <c r="X59" i="31"/>
  <c r="T59" i="31"/>
  <c r="O59" i="31"/>
  <c r="K59" i="31"/>
  <c r="P59" i="31" s="1"/>
  <c r="Y57" i="31"/>
  <c r="X57" i="31"/>
  <c r="T57" i="31"/>
  <c r="O57" i="31"/>
  <c r="V57" i="31" s="1"/>
  <c r="K57" i="31"/>
  <c r="Y56" i="31"/>
  <c r="X56" i="31"/>
  <c r="T56" i="31"/>
  <c r="O56" i="31"/>
  <c r="V56" i="31" s="1"/>
  <c r="K56" i="31"/>
  <c r="P56" i="31" s="1"/>
  <c r="Y55" i="31"/>
  <c r="X55" i="31"/>
  <c r="T55" i="31"/>
  <c r="O55" i="31"/>
  <c r="V55" i="31" s="1"/>
  <c r="K55" i="31"/>
  <c r="Y51" i="31"/>
  <c r="X51" i="31"/>
  <c r="T51" i="31"/>
  <c r="O51" i="31"/>
  <c r="K51" i="31"/>
  <c r="P51" i="31" s="1"/>
  <c r="Y41" i="31"/>
  <c r="X41" i="31"/>
  <c r="T41" i="31"/>
  <c r="O41" i="31"/>
  <c r="V41" i="31" s="1"/>
  <c r="K41" i="31"/>
  <c r="Y34" i="31"/>
  <c r="X34" i="31"/>
  <c r="T34" i="31"/>
  <c r="O34" i="31"/>
  <c r="V34" i="31" s="1"/>
  <c r="K34" i="31"/>
  <c r="P34" i="31" s="1"/>
  <c r="Y27" i="31"/>
  <c r="X27" i="31"/>
  <c r="T27" i="31"/>
  <c r="O27" i="31"/>
  <c r="V27" i="31" s="1"/>
  <c r="K27" i="31"/>
  <c r="Y21" i="31"/>
  <c r="X21" i="31"/>
  <c r="T21" i="31"/>
  <c r="O21" i="31"/>
  <c r="K21" i="31"/>
  <c r="P21" i="31" s="1"/>
  <c r="T20" i="31"/>
  <c r="Y19" i="31"/>
  <c r="X19" i="31"/>
  <c r="T19" i="31"/>
  <c r="O19" i="31"/>
  <c r="V19" i="31" s="1"/>
  <c r="K19" i="31"/>
  <c r="P19" i="31" s="1"/>
  <c r="T18" i="31"/>
  <c r="Y17" i="31"/>
  <c r="X17" i="31"/>
  <c r="T17" i="31"/>
  <c r="O17" i="31"/>
  <c r="K17" i="31"/>
  <c r="P17" i="31" s="1"/>
  <c r="T16" i="31"/>
  <c r="Y15" i="31"/>
  <c r="X15" i="31"/>
  <c r="T15" i="31"/>
  <c r="O15" i="31"/>
  <c r="V15" i="31" s="1"/>
  <c r="K15" i="31"/>
  <c r="P15" i="31" s="1"/>
  <c r="T14" i="31"/>
  <c r="Y13" i="31"/>
  <c r="X13" i="31"/>
  <c r="T13" i="31"/>
  <c r="O13" i="31"/>
  <c r="K13" i="31"/>
  <c r="P13" i="31" s="1"/>
  <c r="T12" i="31"/>
  <c r="Y11" i="31"/>
  <c r="X11" i="31"/>
  <c r="T11" i="31"/>
  <c r="O11" i="31"/>
  <c r="V11" i="31" s="1"/>
  <c r="K11" i="31"/>
  <c r="P11" i="31" s="1"/>
  <c r="X9" i="31"/>
  <c r="T9" i="31"/>
  <c r="O9" i="31"/>
  <c r="V9" i="31" s="1"/>
  <c r="K9" i="31"/>
  <c r="Q41" i="31" l="1"/>
  <c r="Q57" i="31"/>
  <c r="Q69" i="31"/>
  <c r="R69" i="31" s="1"/>
  <c r="Q19" i="31"/>
  <c r="R19" i="31" s="1"/>
  <c r="Q55" i="31"/>
  <c r="Q27" i="31"/>
  <c r="Q61" i="31"/>
  <c r="Q13" i="31"/>
  <c r="R13" i="31" s="1"/>
  <c r="P57" i="31"/>
  <c r="P41" i="31"/>
  <c r="R41" i="31" s="1"/>
  <c r="Q66" i="31"/>
  <c r="Q72" i="31"/>
  <c r="Q9" i="31"/>
  <c r="Q17" i="31"/>
  <c r="R17" i="31" s="1"/>
  <c r="Q21" i="31"/>
  <c r="R21" i="31" s="1"/>
  <c r="Q51" i="31"/>
  <c r="R51" i="31" s="1"/>
  <c r="Q56" i="31"/>
  <c r="Q59" i="31"/>
  <c r="R59" i="31" s="1"/>
  <c r="Q63" i="31"/>
  <c r="R63" i="31" s="1"/>
  <c r="Q74" i="31"/>
  <c r="R74" i="31" s="1"/>
  <c r="Q76" i="31"/>
  <c r="R56" i="31"/>
  <c r="Q11" i="31"/>
  <c r="R11" i="31" s="1"/>
  <c r="Q34" i="31"/>
  <c r="R34" i="31" s="1"/>
  <c r="K78" i="31"/>
  <c r="Q15" i="31"/>
  <c r="R15" i="31" s="1"/>
  <c r="R57" i="31"/>
  <c r="R66" i="31"/>
  <c r="R76" i="31"/>
  <c r="V13" i="31"/>
  <c r="V17" i="31"/>
  <c r="V21" i="31"/>
  <c r="V51" i="31"/>
  <c r="V59" i="31"/>
  <c r="V69" i="31"/>
  <c r="P27" i="31"/>
  <c r="R27" i="31" s="1"/>
  <c r="P55" i="31"/>
  <c r="P61" i="31"/>
  <c r="P72" i="31"/>
  <c r="P9" i="31"/>
  <c r="R72" i="31" l="1"/>
  <c r="R61" i="31"/>
  <c r="R55" i="31"/>
  <c r="Q78" i="31"/>
  <c r="Q82" i="31" s="1"/>
  <c r="R9" i="31"/>
  <c r="P78" i="31"/>
  <c r="F277" i="2"/>
  <c r="F280" i="2"/>
  <c r="R78" i="31" l="1"/>
  <c r="F8" i="28"/>
  <c r="E8" i="28"/>
  <c r="G7" i="28"/>
  <c r="D6" i="28"/>
  <c r="K9" i="27"/>
  <c r="K8" i="27"/>
  <c r="G12" i="27"/>
  <c r="L11" i="27"/>
  <c r="N10" i="27"/>
  <c r="N12" i="27" s="1"/>
  <c r="M10" i="27"/>
  <c r="M12" i="27" s="1"/>
  <c r="E10" i="27"/>
  <c r="E12" i="27" s="1"/>
  <c r="L8" i="27"/>
  <c r="P8" i="27" s="1"/>
  <c r="L7" i="27"/>
  <c r="P7" i="27" s="1"/>
  <c r="H7" i="27"/>
  <c r="K7" i="27" s="1"/>
  <c r="L6" i="27"/>
  <c r="P6" i="27" s="1"/>
  <c r="K6" i="27"/>
  <c r="G567" i="2"/>
  <c r="F557" i="2"/>
  <c r="F536" i="2"/>
  <c r="K10" i="27" l="1"/>
  <c r="G8" i="28"/>
  <c r="F856" i="2" s="1"/>
  <c r="L10" i="27"/>
  <c r="L12" i="27" s="1"/>
  <c r="G247" i="2"/>
  <c r="D912" i="2"/>
  <c r="D910" i="2"/>
  <c r="D906" i="2"/>
  <c r="D905" i="2"/>
  <c r="D901" i="2"/>
  <c r="D900" i="2"/>
  <c r="D896" i="2"/>
  <c r="D895" i="2"/>
  <c r="D891" i="2"/>
  <c r="D890" i="2"/>
  <c r="E138" i="2"/>
  <c r="E217" i="2" s="1"/>
  <c r="E137" i="2"/>
  <c r="E216" i="2" s="1"/>
  <c r="E135" i="2"/>
  <c r="E214" i="2" s="1"/>
  <c r="E132" i="2"/>
  <c r="E211" i="2" s="1"/>
  <c r="E131" i="2"/>
  <c r="E210" i="2" s="1"/>
  <c r="E128" i="2"/>
  <c r="E207" i="2" s="1"/>
  <c r="E127" i="2"/>
  <c r="E206" i="2" s="1"/>
  <c r="E124" i="2"/>
  <c r="E203" i="2" s="1"/>
  <c r="E123" i="2"/>
  <c r="E202" i="2" s="1"/>
  <c r="E120" i="2"/>
  <c r="E199" i="2" s="1"/>
  <c r="E119" i="2"/>
  <c r="E198" i="2" s="1"/>
  <c r="F827" i="2"/>
  <c r="I87" i="5" l="1"/>
  <c r="H86" i="5"/>
  <c r="G85" i="5"/>
  <c r="J84" i="5"/>
  <c r="J85" i="5" s="1"/>
  <c r="G84" i="5"/>
  <c r="K37" i="5"/>
  <c r="K35" i="5"/>
  <c r="I69" i="5"/>
  <c r="G86" i="5" l="1"/>
  <c r="J87" i="5"/>
  <c r="K69" i="5"/>
  <c r="G25" i="26"/>
  <c r="G56" i="26"/>
  <c r="F56" i="26"/>
  <c r="G55" i="26"/>
  <c r="F55" i="26"/>
  <c r="G54" i="26"/>
  <c r="F54" i="26"/>
  <c r="G53" i="26"/>
  <c r="F53" i="26"/>
  <c r="G52" i="26"/>
  <c r="F52" i="26"/>
  <c r="G51" i="26"/>
  <c r="F51" i="26"/>
  <c r="G50" i="26"/>
  <c r="F50" i="26"/>
  <c r="G48" i="26"/>
  <c r="F48" i="26"/>
  <c r="G47" i="26"/>
  <c r="F47" i="26"/>
  <c r="D47" i="26"/>
  <c r="D48" i="26" s="1"/>
  <c r="D49" i="26" s="1"/>
  <c r="D50" i="26" s="1"/>
  <c r="D51" i="26" s="1"/>
  <c r="D52" i="26" s="1"/>
  <c r="D53" i="26" s="1"/>
  <c r="D54" i="26" s="1"/>
  <c r="D55" i="26" s="1"/>
  <c r="D56" i="26" s="1"/>
  <c r="D57" i="26" s="1"/>
  <c r="D58" i="26" s="1"/>
  <c r="D59" i="26" s="1"/>
  <c r="G46" i="26"/>
  <c r="F46" i="26"/>
  <c r="H39" i="26"/>
  <c r="G36" i="26"/>
  <c r="F36" i="26"/>
  <c r="G35" i="26"/>
  <c r="F35" i="26"/>
  <c r="G34" i="26"/>
  <c r="F34" i="26"/>
  <c r="G33" i="26"/>
  <c r="F33" i="26"/>
  <c r="G32" i="26"/>
  <c r="F32" i="26"/>
  <c r="G31" i="26"/>
  <c r="F31" i="26"/>
  <c r="D29" i="26"/>
  <c r="D30" i="26" s="1"/>
  <c r="D31" i="26" s="1"/>
  <c r="D32" i="26" s="1"/>
  <c r="D33" i="26" s="1"/>
  <c r="D34" i="26" s="1"/>
  <c r="D35" i="26" s="1"/>
  <c r="D36" i="26" s="1"/>
  <c r="D37" i="26" s="1"/>
  <c r="D38" i="26" s="1"/>
  <c r="F13" i="26"/>
  <c r="G13" i="26"/>
  <c r="H32" i="26" l="1"/>
  <c r="H34" i="26"/>
  <c r="H50" i="26"/>
  <c r="J44" i="5"/>
  <c r="H52" i="26"/>
  <c r="H46" i="26"/>
  <c r="H51" i="26"/>
  <c r="H31" i="26"/>
  <c r="H33" i="26"/>
  <c r="H35" i="26"/>
  <c r="H47" i="26"/>
  <c r="H56" i="26"/>
  <c r="D40" i="26"/>
  <c r="D41" i="26" s="1"/>
  <c r="D42" i="26" s="1"/>
  <c r="D39" i="26"/>
  <c r="N501" i="12" l="1"/>
  <c r="P501" i="12" s="1"/>
  <c r="K501" i="12"/>
  <c r="M501" i="12" s="1"/>
  <c r="H501" i="12"/>
  <c r="J501" i="12" s="1"/>
  <c r="E501" i="12"/>
  <c r="G501" i="12" s="1"/>
  <c r="B10" i="18"/>
  <c r="B10" i="35" s="1"/>
  <c r="O2" i="12"/>
  <c r="L2" i="12"/>
  <c r="M431" i="2"/>
  <c r="Q23" i="5"/>
  <c r="Q17" i="5"/>
  <c r="I20" i="5"/>
  <c r="I19" i="5"/>
  <c r="J450" i="2"/>
  <c r="F437" i="2"/>
  <c r="I25" i="5" l="1"/>
  <c r="K25" i="5" s="1"/>
  <c r="K19" i="5"/>
  <c r="K20" i="5"/>
  <c r="I24" i="5"/>
  <c r="K24" i="5" s="1"/>
  <c r="B13" i="18"/>
  <c r="B13" i="35" s="1"/>
  <c r="G441" i="2"/>
  <c r="I29" i="22" l="1"/>
  <c r="L8" i="22"/>
  <c r="L9" i="22" s="1"/>
  <c r="F74" i="21"/>
  <c r="N44" i="21" s="1"/>
  <c r="N48" i="21" s="1"/>
  <c r="D67" i="21"/>
  <c r="F67" i="21" s="1"/>
  <c r="F70" i="21" s="1"/>
  <c r="D66" i="21"/>
  <c r="F66" i="21" s="1"/>
  <c r="E63" i="21"/>
  <c r="Q58" i="21"/>
  <c r="N58" i="21"/>
  <c r="M58" i="21"/>
  <c r="J58" i="21"/>
  <c r="I58" i="21"/>
  <c r="H58" i="21"/>
  <c r="G58" i="21"/>
  <c r="F58" i="21"/>
  <c r="E58" i="21"/>
  <c r="L56" i="21"/>
  <c r="L58" i="21" s="1"/>
  <c r="K56" i="21"/>
  <c r="Q52" i="21"/>
  <c r="N52" i="21"/>
  <c r="M52" i="21"/>
  <c r="J52" i="21"/>
  <c r="G52" i="21"/>
  <c r="F52" i="21"/>
  <c r="E52" i="21"/>
  <c r="L50" i="21"/>
  <c r="O50" i="21" s="1"/>
  <c r="O52" i="21" s="1"/>
  <c r="K50" i="21"/>
  <c r="J48" i="21"/>
  <c r="I48" i="21"/>
  <c r="I53" i="21" s="1"/>
  <c r="H48" i="21"/>
  <c r="H53" i="21" s="1"/>
  <c r="G48" i="21"/>
  <c r="F48" i="21"/>
  <c r="F53" i="21" s="1"/>
  <c r="E48" i="21"/>
  <c r="E53" i="21" s="1"/>
  <c r="Q46" i="21"/>
  <c r="M46" i="21"/>
  <c r="L46" i="21"/>
  <c r="K46" i="21"/>
  <c r="L45" i="21"/>
  <c r="K45" i="21"/>
  <c r="Q44" i="21"/>
  <c r="M44" i="21"/>
  <c r="M48" i="21" s="1"/>
  <c r="M53" i="21" s="1"/>
  <c r="L44" i="21"/>
  <c r="L48" i="21" s="1"/>
  <c r="K44" i="21"/>
  <c r="Q41" i="21"/>
  <c r="N41" i="21"/>
  <c r="M41" i="21"/>
  <c r="J41" i="21"/>
  <c r="I41" i="21"/>
  <c r="H41" i="21"/>
  <c r="G41" i="21"/>
  <c r="F41" i="21"/>
  <c r="E41" i="21"/>
  <c r="L39" i="21"/>
  <c r="L41" i="21" s="1"/>
  <c r="K39" i="21"/>
  <c r="K41" i="21" s="1"/>
  <c r="Q35" i="21"/>
  <c r="N35" i="21"/>
  <c r="M35" i="21"/>
  <c r="J35" i="21"/>
  <c r="I35" i="21"/>
  <c r="H35" i="21"/>
  <c r="G35" i="21"/>
  <c r="F35" i="21"/>
  <c r="E35" i="21"/>
  <c r="L33" i="21"/>
  <c r="O33" i="21" s="1"/>
  <c r="O35" i="21" s="1"/>
  <c r="K33" i="21"/>
  <c r="Q31" i="21"/>
  <c r="N31" i="21"/>
  <c r="M31" i="21"/>
  <c r="J31" i="21"/>
  <c r="I31" i="21"/>
  <c r="H31" i="21"/>
  <c r="G31" i="21"/>
  <c r="F31" i="21"/>
  <c r="E31" i="21"/>
  <c r="L29" i="21"/>
  <c r="L31" i="21" s="1"/>
  <c r="K29" i="21"/>
  <c r="Q26" i="21"/>
  <c r="N26" i="21"/>
  <c r="M26" i="21"/>
  <c r="J26" i="21"/>
  <c r="G26" i="21"/>
  <c r="F26" i="21"/>
  <c r="E26" i="21"/>
  <c r="L24" i="21"/>
  <c r="O24" i="21" s="1"/>
  <c r="O26" i="21" s="1"/>
  <c r="K24" i="21"/>
  <c r="Q21" i="21"/>
  <c r="N21" i="21"/>
  <c r="M21" i="21"/>
  <c r="J21" i="21"/>
  <c r="I21" i="21"/>
  <c r="H21" i="21"/>
  <c r="G21" i="21"/>
  <c r="F21" i="21"/>
  <c r="E21" i="21"/>
  <c r="L19" i="21"/>
  <c r="L21" i="21" s="1"/>
  <c r="K19" i="21"/>
  <c r="I20" i="22"/>
  <c r="I19" i="22"/>
  <c r="P45" i="21" l="1"/>
  <c r="P19" i="21"/>
  <c r="P21" i="21" s="1"/>
  <c r="O46" i="21"/>
  <c r="H36" i="21"/>
  <c r="H60" i="21" s="1"/>
  <c r="N36" i="21"/>
  <c r="N53" i="21"/>
  <c r="P56" i="21"/>
  <c r="P58" i="21" s="1"/>
  <c r="P50" i="21"/>
  <c r="P52" i="21" s="1"/>
  <c r="P24" i="21"/>
  <c r="P26" i="21" s="1"/>
  <c r="M36" i="21"/>
  <c r="I36" i="21"/>
  <c r="I60" i="21" s="1"/>
  <c r="Q36" i="21"/>
  <c r="Q48" i="21"/>
  <c r="Q53" i="21" s="1"/>
  <c r="J53" i="21"/>
  <c r="G36" i="21"/>
  <c r="F36" i="21"/>
  <c r="F60" i="21" s="1"/>
  <c r="J36" i="21"/>
  <c r="L10" i="22"/>
  <c r="L11" i="22" s="1"/>
  <c r="J7" i="22" s="1"/>
  <c r="J24" i="22" s="1"/>
  <c r="F69" i="21"/>
  <c r="G53" i="21"/>
  <c r="O39" i="21"/>
  <c r="O41" i="21" s="1"/>
  <c r="O45" i="21"/>
  <c r="P44" i="21"/>
  <c r="P46" i="21"/>
  <c r="P33" i="21"/>
  <c r="P35" i="21" s="1"/>
  <c r="L35" i="21"/>
  <c r="L36" i="21" s="1"/>
  <c r="E36" i="21"/>
  <c r="E60" i="21" s="1"/>
  <c r="P29" i="21"/>
  <c r="P31" i="21" s="1"/>
  <c r="J60" i="21"/>
  <c r="M60" i="21"/>
  <c r="K26" i="21"/>
  <c r="K52" i="21"/>
  <c r="O19" i="21"/>
  <c r="O21" i="21" s="1"/>
  <c r="K21" i="21"/>
  <c r="L26" i="21"/>
  <c r="O29" i="21"/>
  <c r="O31" i="21" s="1"/>
  <c r="O36" i="21" s="1"/>
  <c r="K31" i="21"/>
  <c r="P39" i="21"/>
  <c r="P41" i="21" s="1"/>
  <c r="K48" i="21"/>
  <c r="L52" i="21"/>
  <c r="L53" i="21" s="1"/>
  <c r="K35" i="21"/>
  <c r="K36" i="21" s="1"/>
  <c r="O44" i="21"/>
  <c r="O56" i="21"/>
  <c r="O58" i="21" s="1"/>
  <c r="K58" i="21"/>
  <c r="G60" i="21" l="1"/>
  <c r="Q60" i="21"/>
  <c r="N60" i="21"/>
  <c r="O48" i="21"/>
  <c r="O53" i="21" s="1"/>
  <c r="O60" i="21" s="1"/>
  <c r="H9" i="2"/>
  <c r="F63" i="21"/>
  <c r="P48" i="21"/>
  <c r="P53" i="21" s="1"/>
  <c r="L60" i="21"/>
  <c r="P36" i="21"/>
  <c r="K53" i="21"/>
  <c r="K60" i="21" s="1"/>
  <c r="K30" i="5" l="1"/>
  <c r="L37" i="5" s="1"/>
  <c r="O63" i="21"/>
  <c r="I30" i="5"/>
  <c r="J37" i="5" s="1"/>
  <c r="P60" i="21"/>
  <c r="I14" i="22" s="1"/>
  <c r="L26" i="20" l="1"/>
  <c r="K26" i="20"/>
  <c r="J26" i="20"/>
  <c r="G26" i="20"/>
  <c r="M25" i="20"/>
  <c r="M24" i="20"/>
  <c r="M23" i="20"/>
  <c r="M22" i="20"/>
  <c r="M21" i="20"/>
  <c r="M20" i="20"/>
  <c r="M19" i="20"/>
  <c r="M18" i="20"/>
  <c r="M17" i="20"/>
  <c r="M16" i="20"/>
  <c r="M15" i="20"/>
  <c r="M14" i="20"/>
  <c r="M13" i="20"/>
  <c r="M12" i="20"/>
  <c r="M11" i="20"/>
  <c r="M10" i="20"/>
  <c r="M9" i="20"/>
  <c r="M8" i="20"/>
  <c r="M7" i="20"/>
  <c r="M6" i="20"/>
  <c r="G283" i="2"/>
  <c r="M26" i="20" l="1"/>
  <c r="M28" i="20" s="1"/>
  <c r="H578" i="19" l="1"/>
  <c r="H575" i="19"/>
  <c r="I575" i="19" s="1"/>
  <c r="P574" i="19"/>
  <c r="O574" i="19"/>
  <c r="N574" i="19"/>
  <c r="M574" i="19"/>
  <c r="L574" i="19"/>
  <c r="H574" i="19"/>
  <c r="I574" i="19" s="1"/>
  <c r="P573" i="19"/>
  <c r="O573" i="19"/>
  <c r="N573" i="19"/>
  <c r="M573" i="19"/>
  <c r="L573" i="19"/>
  <c r="H573" i="19"/>
  <c r="I573" i="19" s="1"/>
  <c r="P572" i="19"/>
  <c r="O572" i="19"/>
  <c r="N572" i="19"/>
  <c r="M572" i="19"/>
  <c r="L572" i="19"/>
  <c r="H572" i="19"/>
  <c r="P571" i="19"/>
  <c r="O571" i="19"/>
  <c r="N571" i="19"/>
  <c r="M571" i="19"/>
  <c r="L571" i="19"/>
  <c r="H571" i="19"/>
  <c r="I571" i="19" s="1"/>
  <c r="H570" i="19"/>
  <c r="I570" i="19" s="1"/>
  <c r="H569" i="19"/>
  <c r="H558" i="19"/>
  <c r="H564" i="19" s="1"/>
  <c r="S557" i="19"/>
  <c r="J557" i="19"/>
  <c r="K557" i="19" s="1"/>
  <c r="S556" i="19"/>
  <c r="J556" i="19"/>
  <c r="K556" i="19" s="1"/>
  <c r="S555" i="19"/>
  <c r="J555" i="19"/>
  <c r="K555" i="19" s="1"/>
  <c r="N555" i="19" s="1"/>
  <c r="S554" i="19"/>
  <c r="J554" i="19"/>
  <c r="K554" i="19" s="1"/>
  <c r="S553" i="19"/>
  <c r="J553" i="19"/>
  <c r="K553" i="19" s="1"/>
  <c r="N553" i="19" s="1"/>
  <c r="S552" i="19"/>
  <c r="J552" i="19"/>
  <c r="K552" i="19" s="1"/>
  <c r="S551" i="19"/>
  <c r="J551" i="19"/>
  <c r="K551" i="19" s="1"/>
  <c r="N551" i="19" s="1"/>
  <c r="S550" i="19"/>
  <c r="J550" i="19"/>
  <c r="K550" i="19" s="1"/>
  <c r="S549" i="19"/>
  <c r="J549" i="19"/>
  <c r="K549" i="19" s="1"/>
  <c r="N549" i="19" s="1"/>
  <c r="S548" i="19"/>
  <c r="J548" i="19"/>
  <c r="K548" i="19" s="1"/>
  <c r="S547" i="19"/>
  <c r="J547" i="19"/>
  <c r="K547" i="19" s="1"/>
  <c r="N547" i="19" s="1"/>
  <c r="S546" i="19"/>
  <c r="J546" i="19"/>
  <c r="K546" i="19" s="1"/>
  <c r="S545" i="19"/>
  <c r="J545" i="19"/>
  <c r="K545" i="19" s="1"/>
  <c r="N545" i="19" s="1"/>
  <c r="S544" i="19"/>
  <c r="J544" i="19"/>
  <c r="K544" i="19" s="1"/>
  <c r="S543" i="19"/>
  <c r="J543" i="19"/>
  <c r="K543" i="19" s="1"/>
  <c r="N543" i="19" s="1"/>
  <c r="S542" i="19"/>
  <c r="J542" i="19"/>
  <c r="K542" i="19" s="1"/>
  <c r="S541" i="19"/>
  <c r="J541" i="19"/>
  <c r="K541" i="19" s="1"/>
  <c r="N541" i="19" s="1"/>
  <c r="S540" i="19"/>
  <c r="J540" i="19"/>
  <c r="K540" i="19" s="1"/>
  <c r="S539" i="19"/>
  <c r="J539" i="19"/>
  <c r="K539" i="19" s="1"/>
  <c r="N539" i="19" s="1"/>
  <c r="S538" i="19"/>
  <c r="J538" i="19"/>
  <c r="K538" i="19" s="1"/>
  <c r="S537" i="19"/>
  <c r="J537" i="19"/>
  <c r="K537" i="19" s="1"/>
  <c r="N537" i="19" s="1"/>
  <c r="S536" i="19"/>
  <c r="J536" i="19"/>
  <c r="K536" i="19" s="1"/>
  <c r="S535" i="19"/>
  <c r="J535" i="19"/>
  <c r="K535" i="19" s="1"/>
  <c r="S534" i="19"/>
  <c r="J534" i="19"/>
  <c r="K534" i="19" s="1"/>
  <c r="O534" i="19" s="1"/>
  <c r="S533" i="19"/>
  <c r="J533" i="19"/>
  <c r="K533" i="19" s="1"/>
  <c r="S532" i="19"/>
  <c r="J532" i="19"/>
  <c r="K532" i="19" s="1"/>
  <c r="O532" i="19" s="1"/>
  <c r="S531" i="19"/>
  <c r="J531" i="19"/>
  <c r="K531" i="19" s="1"/>
  <c r="S530" i="19"/>
  <c r="J530" i="19"/>
  <c r="K530" i="19" s="1"/>
  <c r="O530" i="19" s="1"/>
  <c r="S529" i="19"/>
  <c r="J529" i="19"/>
  <c r="K529" i="19" s="1"/>
  <c r="S528" i="19"/>
  <c r="J528" i="19"/>
  <c r="K528" i="19" s="1"/>
  <c r="O528" i="19" s="1"/>
  <c r="S527" i="19"/>
  <c r="J527" i="19"/>
  <c r="K527" i="19" s="1"/>
  <c r="N527" i="19" s="1"/>
  <c r="S526" i="19"/>
  <c r="J526" i="19"/>
  <c r="K526" i="19" s="1"/>
  <c r="S525" i="19"/>
  <c r="J525" i="19"/>
  <c r="K525" i="19" s="1"/>
  <c r="S524" i="19"/>
  <c r="J524" i="19"/>
  <c r="K524" i="19" s="1"/>
  <c r="O524" i="19" s="1"/>
  <c r="S523" i="19"/>
  <c r="J523" i="19"/>
  <c r="K523" i="19" s="1"/>
  <c r="N523" i="19" s="1"/>
  <c r="S522" i="19"/>
  <c r="J522" i="19"/>
  <c r="K522" i="19" s="1"/>
  <c r="S521" i="19"/>
  <c r="J521" i="19"/>
  <c r="K521" i="19" s="1"/>
  <c r="S520" i="19"/>
  <c r="J520" i="19"/>
  <c r="K520" i="19" s="1"/>
  <c r="O520" i="19" s="1"/>
  <c r="S519" i="19"/>
  <c r="J519" i="19"/>
  <c r="K519" i="19" s="1"/>
  <c r="S518" i="19"/>
  <c r="J518" i="19"/>
  <c r="K518" i="19" s="1"/>
  <c r="S517" i="19"/>
  <c r="J517" i="19"/>
  <c r="K517" i="19" s="1"/>
  <c r="O517" i="19" s="1"/>
  <c r="S516" i="19"/>
  <c r="J516" i="19"/>
  <c r="K516" i="19" s="1"/>
  <c r="S515" i="19"/>
  <c r="J515" i="19"/>
  <c r="K515" i="19" s="1"/>
  <c r="O515" i="19" s="1"/>
  <c r="S514" i="19"/>
  <c r="J514" i="19"/>
  <c r="K514" i="19" s="1"/>
  <c r="P514" i="19" s="1"/>
  <c r="S513" i="19"/>
  <c r="J513" i="19"/>
  <c r="K513" i="19" s="1"/>
  <c r="S512" i="19"/>
  <c r="J512" i="19"/>
  <c r="K512" i="19" s="1"/>
  <c r="S511" i="19"/>
  <c r="J511" i="19"/>
  <c r="K511" i="19" s="1"/>
  <c r="S510" i="19"/>
  <c r="J510" i="19"/>
  <c r="K510" i="19" s="1"/>
  <c r="S509" i="19"/>
  <c r="J509" i="19"/>
  <c r="K509" i="19" s="1"/>
  <c r="O509" i="19" s="1"/>
  <c r="S508" i="19"/>
  <c r="J508" i="19"/>
  <c r="K508" i="19" s="1"/>
  <c r="S507" i="19"/>
  <c r="J507" i="19"/>
  <c r="K507" i="19" s="1"/>
  <c r="O507" i="19" s="1"/>
  <c r="S506" i="19"/>
  <c r="J506" i="19"/>
  <c r="K506" i="19" s="1"/>
  <c r="P506" i="19" s="1"/>
  <c r="S505" i="19"/>
  <c r="J505" i="19"/>
  <c r="K505" i="19" s="1"/>
  <c r="S504" i="19"/>
  <c r="J504" i="19"/>
  <c r="K504" i="19" s="1"/>
  <c r="S503" i="19"/>
  <c r="J503" i="19"/>
  <c r="K503" i="19" s="1"/>
  <c r="S502" i="19"/>
  <c r="J502" i="19"/>
  <c r="K502" i="19" s="1"/>
  <c r="S501" i="19"/>
  <c r="J501" i="19"/>
  <c r="K501" i="19" s="1"/>
  <c r="O501" i="19" s="1"/>
  <c r="S500" i="19"/>
  <c r="J500" i="19"/>
  <c r="K500" i="19" s="1"/>
  <c r="S499" i="19"/>
  <c r="J499" i="19"/>
  <c r="K499" i="19" s="1"/>
  <c r="O499" i="19" s="1"/>
  <c r="S498" i="19"/>
  <c r="J498" i="19"/>
  <c r="K498" i="19" s="1"/>
  <c r="P498" i="19" s="1"/>
  <c r="S497" i="19"/>
  <c r="J497" i="19"/>
  <c r="K497" i="19" s="1"/>
  <c r="S496" i="19"/>
  <c r="J496" i="19"/>
  <c r="K496" i="19" s="1"/>
  <c r="S495" i="19"/>
  <c r="J495" i="19"/>
  <c r="K495" i="19" s="1"/>
  <c r="S494" i="19"/>
  <c r="J494" i="19"/>
  <c r="K494" i="19" s="1"/>
  <c r="S493" i="19"/>
  <c r="J493" i="19"/>
  <c r="K493" i="19" s="1"/>
  <c r="O493" i="19" s="1"/>
  <c r="S492" i="19"/>
  <c r="J492" i="19"/>
  <c r="K492" i="19" s="1"/>
  <c r="S491" i="19"/>
  <c r="J491" i="19"/>
  <c r="K491" i="19" s="1"/>
  <c r="O491" i="19" s="1"/>
  <c r="S490" i="19"/>
  <c r="J490" i="19"/>
  <c r="K490" i="19" s="1"/>
  <c r="P490" i="19" s="1"/>
  <c r="S489" i="19"/>
  <c r="J489" i="19"/>
  <c r="K489" i="19" s="1"/>
  <c r="S488" i="19"/>
  <c r="J488" i="19"/>
  <c r="K488" i="19" s="1"/>
  <c r="S487" i="19"/>
  <c r="J487" i="19"/>
  <c r="K487" i="19" s="1"/>
  <c r="S486" i="19"/>
  <c r="J486" i="19"/>
  <c r="K486" i="19" s="1"/>
  <c r="S485" i="19"/>
  <c r="J485" i="19"/>
  <c r="K485" i="19" s="1"/>
  <c r="O485" i="19" s="1"/>
  <c r="S484" i="19"/>
  <c r="J484" i="19"/>
  <c r="K484" i="19" s="1"/>
  <c r="S483" i="19"/>
  <c r="J483" i="19"/>
  <c r="K483" i="19" s="1"/>
  <c r="O483" i="19" s="1"/>
  <c r="S482" i="19"/>
  <c r="J482" i="19"/>
  <c r="K482" i="19" s="1"/>
  <c r="P482" i="19" s="1"/>
  <c r="S481" i="19"/>
  <c r="J481" i="19"/>
  <c r="K481" i="19" s="1"/>
  <c r="S480" i="19"/>
  <c r="J480" i="19"/>
  <c r="K480" i="19" s="1"/>
  <c r="S479" i="19"/>
  <c r="J479" i="19"/>
  <c r="K479" i="19" s="1"/>
  <c r="S478" i="19"/>
  <c r="J478" i="19"/>
  <c r="K478" i="19" s="1"/>
  <c r="S477" i="19"/>
  <c r="J477" i="19"/>
  <c r="K477" i="19" s="1"/>
  <c r="O477" i="19" s="1"/>
  <c r="S476" i="19"/>
  <c r="J476" i="19"/>
  <c r="K476" i="19" s="1"/>
  <c r="S475" i="19"/>
  <c r="J475" i="19"/>
  <c r="K475" i="19" s="1"/>
  <c r="O475" i="19" s="1"/>
  <c r="S474" i="19"/>
  <c r="J474" i="19"/>
  <c r="K474" i="19" s="1"/>
  <c r="P474" i="19" s="1"/>
  <c r="S473" i="19"/>
  <c r="J473" i="19"/>
  <c r="K473" i="19" s="1"/>
  <c r="S472" i="19"/>
  <c r="J472" i="19"/>
  <c r="K472" i="19" s="1"/>
  <c r="S471" i="19"/>
  <c r="J471" i="19"/>
  <c r="K471" i="19" s="1"/>
  <c r="S470" i="19"/>
  <c r="J470" i="19"/>
  <c r="K470" i="19" s="1"/>
  <c r="S469" i="19"/>
  <c r="J469" i="19"/>
  <c r="K469" i="19" s="1"/>
  <c r="O469" i="19" s="1"/>
  <c r="S468" i="19"/>
  <c r="J468" i="19"/>
  <c r="K468" i="19" s="1"/>
  <c r="S467" i="19"/>
  <c r="J467" i="19"/>
  <c r="K467" i="19" s="1"/>
  <c r="O467" i="19" s="1"/>
  <c r="S466" i="19"/>
  <c r="J466" i="19"/>
  <c r="K466" i="19" s="1"/>
  <c r="S465" i="19"/>
  <c r="J465" i="19"/>
  <c r="K465" i="19" s="1"/>
  <c r="O465" i="19" s="1"/>
  <c r="S464" i="19"/>
  <c r="J464" i="19"/>
  <c r="K464" i="19" s="1"/>
  <c r="S463" i="19"/>
  <c r="J463" i="19"/>
  <c r="K463" i="19" s="1"/>
  <c r="L463" i="19" s="1"/>
  <c r="S462" i="19"/>
  <c r="J462" i="19"/>
  <c r="K462" i="19" s="1"/>
  <c r="S461" i="19"/>
  <c r="J461" i="19"/>
  <c r="K461" i="19" s="1"/>
  <c r="S460" i="19"/>
  <c r="J460" i="19"/>
  <c r="K460" i="19" s="1"/>
  <c r="S459" i="19"/>
  <c r="J459" i="19"/>
  <c r="K459" i="19" s="1"/>
  <c r="L459" i="19" s="1"/>
  <c r="S458" i="19"/>
  <c r="J458" i="19"/>
  <c r="K458" i="19" s="1"/>
  <c r="S457" i="19"/>
  <c r="J457" i="19"/>
  <c r="K457" i="19" s="1"/>
  <c r="S456" i="19"/>
  <c r="J456" i="19"/>
  <c r="K456" i="19" s="1"/>
  <c r="S455" i="19"/>
  <c r="J455" i="19"/>
  <c r="K455" i="19" s="1"/>
  <c r="L455" i="19" s="1"/>
  <c r="S454" i="19"/>
  <c r="J454" i="19"/>
  <c r="K454" i="19" s="1"/>
  <c r="L454" i="19" s="1"/>
  <c r="S453" i="19"/>
  <c r="J453" i="19"/>
  <c r="K453" i="19" s="1"/>
  <c r="L453" i="19" s="1"/>
  <c r="S452" i="19"/>
  <c r="J452" i="19"/>
  <c r="K452" i="19" s="1"/>
  <c r="L452" i="19" s="1"/>
  <c r="S451" i="19"/>
  <c r="J451" i="19"/>
  <c r="K451" i="19" s="1"/>
  <c r="L451" i="19" s="1"/>
  <c r="S450" i="19"/>
  <c r="J450" i="19"/>
  <c r="K450" i="19" s="1"/>
  <c r="L450" i="19" s="1"/>
  <c r="S449" i="19"/>
  <c r="J449" i="19"/>
  <c r="K449" i="19" s="1"/>
  <c r="L449" i="19" s="1"/>
  <c r="S448" i="19"/>
  <c r="J448" i="19"/>
  <c r="K448" i="19" s="1"/>
  <c r="L448" i="19" s="1"/>
  <c r="S447" i="19"/>
  <c r="J447" i="19"/>
  <c r="K447" i="19" s="1"/>
  <c r="L447" i="19" s="1"/>
  <c r="S446" i="19"/>
  <c r="J446" i="19"/>
  <c r="K446" i="19" s="1"/>
  <c r="L446" i="19" s="1"/>
  <c r="S445" i="19"/>
  <c r="J445" i="19"/>
  <c r="K445" i="19" s="1"/>
  <c r="L445" i="19" s="1"/>
  <c r="S444" i="19"/>
  <c r="J444" i="19"/>
  <c r="K444" i="19" s="1"/>
  <c r="L444" i="19" s="1"/>
  <c r="S443" i="19"/>
  <c r="J443" i="19"/>
  <c r="K443" i="19" s="1"/>
  <c r="L443" i="19" s="1"/>
  <c r="S442" i="19"/>
  <c r="J442" i="19"/>
  <c r="K442" i="19" s="1"/>
  <c r="L442" i="19" s="1"/>
  <c r="S441" i="19"/>
  <c r="J441" i="19"/>
  <c r="K441" i="19" s="1"/>
  <c r="L441" i="19" s="1"/>
  <c r="S440" i="19"/>
  <c r="J440" i="19"/>
  <c r="K440" i="19" s="1"/>
  <c r="L440" i="19" s="1"/>
  <c r="S439" i="19"/>
  <c r="J439" i="19"/>
  <c r="K439" i="19" s="1"/>
  <c r="L439" i="19" s="1"/>
  <c r="S438" i="19"/>
  <c r="J438" i="19"/>
  <c r="K438" i="19" s="1"/>
  <c r="L438" i="19" s="1"/>
  <c r="S437" i="19"/>
  <c r="J437" i="19"/>
  <c r="K437" i="19" s="1"/>
  <c r="L437" i="19" s="1"/>
  <c r="S436" i="19"/>
  <c r="J436" i="19"/>
  <c r="K436" i="19" s="1"/>
  <c r="L436" i="19" s="1"/>
  <c r="S435" i="19"/>
  <c r="J435" i="19"/>
  <c r="K435" i="19" s="1"/>
  <c r="L435" i="19" s="1"/>
  <c r="S434" i="19"/>
  <c r="J434" i="19"/>
  <c r="K434" i="19" s="1"/>
  <c r="L434" i="19" s="1"/>
  <c r="S433" i="19"/>
  <c r="J433" i="19"/>
  <c r="K433" i="19" s="1"/>
  <c r="L433" i="19" s="1"/>
  <c r="S432" i="19"/>
  <c r="J432" i="19"/>
  <c r="K432" i="19" s="1"/>
  <c r="L432" i="19" s="1"/>
  <c r="S431" i="19"/>
  <c r="J431" i="19"/>
  <c r="K431" i="19" s="1"/>
  <c r="L431" i="19" s="1"/>
  <c r="S430" i="19"/>
  <c r="J430" i="19"/>
  <c r="K430" i="19" s="1"/>
  <c r="L430" i="19" s="1"/>
  <c r="S429" i="19"/>
  <c r="J429" i="19"/>
  <c r="K429" i="19" s="1"/>
  <c r="L429" i="19" s="1"/>
  <c r="S428" i="19"/>
  <c r="J428" i="19"/>
  <c r="K428" i="19" s="1"/>
  <c r="L428" i="19" s="1"/>
  <c r="S427" i="19"/>
  <c r="J427" i="19"/>
  <c r="K427" i="19" s="1"/>
  <c r="L427" i="19" s="1"/>
  <c r="S426" i="19"/>
  <c r="J426" i="19"/>
  <c r="K426" i="19" s="1"/>
  <c r="L426" i="19" s="1"/>
  <c r="S425" i="19"/>
  <c r="J425" i="19"/>
  <c r="K425" i="19" s="1"/>
  <c r="L425" i="19" s="1"/>
  <c r="S424" i="19"/>
  <c r="J424" i="19"/>
  <c r="K424" i="19" s="1"/>
  <c r="L424" i="19" s="1"/>
  <c r="S423" i="19"/>
  <c r="J423" i="19"/>
  <c r="K423" i="19" s="1"/>
  <c r="L423" i="19" s="1"/>
  <c r="S422" i="19"/>
  <c r="J422" i="19"/>
  <c r="K422" i="19" s="1"/>
  <c r="L422" i="19" s="1"/>
  <c r="S421" i="19"/>
  <c r="J421" i="19"/>
  <c r="K421" i="19" s="1"/>
  <c r="L421" i="19" s="1"/>
  <c r="S420" i="19"/>
  <c r="J420" i="19"/>
  <c r="K420" i="19" s="1"/>
  <c r="L420" i="19" s="1"/>
  <c r="S419" i="19"/>
  <c r="J419" i="19"/>
  <c r="K419" i="19" s="1"/>
  <c r="L419" i="19" s="1"/>
  <c r="S418" i="19"/>
  <c r="J418" i="19"/>
  <c r="K418" i="19" s="1"/>
  <c r="L418" i="19" s="1"/>
  <c r="S417" i="19"/>
  <c r="J417" i="19"/>
  <c r="K417" i="19" s="1"/>
  <c r="L417" i="19" s="1"/>
  <c r="S416" i="19"/>
  <c r="J416" i="19"/>
  <c r="K416" i="19" s="1"/>
  <c r="L416" i="19" s="1"/>
  <c r="S415" i="19"/>
  <c r="J415" i="19"/>
  <c r="K415" i="19" s="1"/>
  <c r="L415" i="19" s="1"/>
  <c r="S414" i="19"/>
  <c r="J414" i="19"/>
  <c r="K414" i="19" s="1"/>
  <c r="L414" i="19" s="1"/>
  <c r="S413" i="19"/>
  <c r="J413" i="19"/>
  <c r="K413" i="19" s="1"/>
  <c r="L413" i="19" s="1"/>
  <c r="S412" i="19"/>
  <c r="J412" i="19"/>
  <c r="K412" i="19" s="1"/>
  <c r="L412" i="19" s="1"/>
  <c r="S411" i="19"/>
  <c r="J411" i="19"/>
  <c r="K411" i="19" s="1"/>
  <c r="L411" i="19" s="1"/>
  <c r="S410" i="19"/>
  <c r="J410" i="19"/>
  <c r="K410" i="19" s="1"/>
  <c r="S409" i="19"/>
  <c r="J409" i="19"/>
  <c r="K409" i="19" s="1"/>
  <c r="L409" i="19" s="1"/>
  <c r="S408" i="19"/>
  <c r="J408" i="19"/>
  <c r="K408" i="19" s="1"/>
  <c r="P408" i="19" s="1"/>
  <c r="S407" i="19"/>
  <c r="J407" i="19"/>
  <c r="K407" i="19" s="1"/>
  <c r="L407" i="19" s="1"/>
  <c r="S406" i="19"/>
  <c r="J406" i="19"/>
  <c r="K406" i="19" s="1"/>
  <c r="S405" i="19"/>
  <c r="J405" i="19"/>
  <c r="K405" i="19" s="1"/>
  <c r="S404" i="19"/>
  <c r="J404" i="19"/>
  <c r="K404" i="19" s="1"/>
  <c r="S403" i="19"/>
  <c r="J403" i="19"/>
  <c r="K403" i="19" s="1"/>
  <c r="S402" i="19"/>
  <c r="J402" i="19"/>
  <c r="K402" i="19" s="1"/>
  <c r="S401" i="19"/>
  <c r="J401" i="19"/>
  <c r="K401" i="19" s="1"/>
  <c r="L401" i="19" s="1"/>
  <c r="S400" i="19"/>
  <c r="J400" i="19"/>
  <c r="K400" i="19" s="1"/>
  <c r="P400" i="19" s="1"/>
  <c r="S399" i="19"/>
  <c r="J399" i="19"/>
  <c r="K399" i="19" s="1"/>
  <c r="P399" i="19" s="1"/>
  <c r="S398" i="19"/>
  <c r="J398" i="19"/>
  <c r="K398" i="19" s="1"/>
  <c r="S397" i="19"/>
  <c r="J397" i="19"/>
  <c r="K397" i="19" s="1"/>
  <c r="L397" i="19" s="1"/>
  <c r="S396" i="19"/>
  <c r="J396" i="19"/>
  <c r="K396" i="19" s="1"/>
  <c r="S395" i="19"/>
  <c r="J395" i="19"/>
  <c r="K395" i="19" s="1"/>
  <c r="S394" i="19"/>
  <c r="J394" i="19"/>
  <c r="K394" i="19" s="1"/>
  <c r="S393" i="19"/>
  <c r="J393" i="19"/>
  <c r="K393" i="19" s="1"/>
  <c r="L393" i="19" s="1"/>
  <c r="S392" i="19"/>
  <c r="J392" i="19"/>
  <c r="K392" i="19" s="1"/>
  <c r="P392" i="19" s="1"/>
  <c r="S391" i="19"/>
  <c r="J391" i="19"/>
  <c r="K391" i="19" s="1"/>
  <c r="P391" i="19" s="1"/>
  <c r="S390" i="19"/>
  <c r="J390" i="19"/>
  <c r="K390" i="19" s="1"/>
  <c r="S389" i="19"/>
  <c r="J389" i="19"/>
  <c r="K389" i="19" s="1"/>
  <c r="S388" i="19"/>
  <c r="J388" i="19"/>
  <c r="K388" i="19" s="1"/>
  <c r="S387" i="19"/>
  <c r="J387" i="19"/>
  <c r="K387" i="19" s="1"/>
  <c r="P387" i="19" s="1"/>
  <c r="S386" i="19"/>
  <c r="J386" i="19"/>
  <c r="K386" i="19" s="1"/>
  <c r="P386" i="19" s="1"/>
  <c r="S385" i="19"/>
  <c r="J385" i="19"/>
  <c r="K385" i="19" s="1"/>
  <c r="P385" i="19" s="1"/>
  <c r="S384" i="19"/>
  <c r="J384" i="19"/>
  <c r="K384" i="19" s="1"/>
  <c r="P384" i="19" s="1"/>
  <c r="S383" i="19"/>
  <c r="J383" i="19"/>
  <c r="K383" i="19" s="1"/>
  <c r="P383" i="19" s="1"/>
  <c r="S382" i="19"/>
  <c r="J382" i="19"/>
  <c r="K382" i="19" s="1"/>
  <c r="P382" i="19" s="1"/>
  <c r="S381" i="19"/>
  <c r="J381" i="19"/>
  <c r="K381" i="19" s="1"/>
  <c r="P381" i="19" s="1"/>
  <c r="S380" i="19"/>
  <c r="J380" i="19"/>
  <c r="K380" i="19" s="1"/>
  <c r="P380" i="19" s="1"/>
  <c r="S379" i="19"/>
  <c r="J379" i="19"/>
  <c r="K379" i="19" s="1"/>
  <c r="P379" i="19" s="1"/>
  <c r="S378" i="19"/>
  <c r="J378" i="19"/>
  <c r="K378" i="19" s="1"/>
  <c r="P378" i="19" s="1"/>
  <c r="S377" i="19"/>
  <c r="J377" i="19"/>
  <c r="K377" i="19" s="1"/>
  <c r="P377" i="19" s="1"/>
  <c r="S376" i="19"/>
  <c r="J376" i="19"/>
  <c r="K376" i="19" s="1"/>
  <c r="P376" i="19" s="1"/>
  <c r="S375" i="19"/>
  <c r="J375" i="19"/>
  <c r="K375" i="19" s="1"/>
  <c r="P375" i="19" s="1"/>
  <c r="S374" i="19"/>
  <c r="J374" i="19"/>
  <c r="K374" i="19" s="1"/>
  <c r="P374" i="19" s="1"/>
  <c r="S373" i="19"/>
  <c r="J373" i="19"/>
  <c r="K373" i="19" s="1"/>
  <c r="P373" i="19" s="1"/>
  <c r="S372" i="19"/>
  <c r="J372" i="19"/>
  <c r="K372" i="19" s="1"/>
  <c r="P372" i="19" s="1"/>
  <c r="S371" i="19"/>
  <c r="J371" i="19"/>
  <c r="K371" i="19" s="1"/>
  <c r="P371" i="19" s="1"/>
  <c r="S370" i="19"/>
  <c r="J370" i="19"/>
  <c r="K370" i="19" s="1"/>
  <c r="P370" i="19" s="1"/>
  <c r="S369" i="19"/>
  <c r="J369" i="19"/>
  <c r="K369" i="19" s="1"/>
  <c r="P369" i="19" s="1"/>
  <c r="S368" i="19"/>
  <c r="J368" i="19"/>
  <c r="K368" i="19" s="1"/>
  <c r="P368" i="19" s="1"/>
  <c r="S367" i="19"/>
  <c r="J367" i="19"/>
  <c r="K367" i="19" s="1"/>
  <c r="P367" i="19" s="1"/>
  <c r="S366" i="19"/>
  <c r="J366" i="19"/>
  <c r="K366" i="19" s="1"/>
  <c r="P366" i="19" s="1"/>
  <c r="S365" i="19"/>
  <c r="J365" i="19"/>
  <c r="K365" i="19" s="1"/>
  <c r="P365" i="19" s="1"/>
  <c r="S364" i="19"/>
  <c r="J364" i="19"/>
  <c r="K364" i="19" s="1"/>
  <c r="P364" i="19" s="1"/>
  <c r="S363" i="19"/>
  <c r="J363" i="19"/>
  <c r="K363" i="19" s="1"/>
  <c r="P363" i="19" s="1"/>
  <c r="S362" i="19"/>
  <c r="J362" i="19"/>
  <c r="K362" i="19" s="1"/>
  <c r="P362" i="19" s="1"/>
  <c r="S361" i="19"/>
  <c r="J361" i="19"/>
  <c r="K361" i="19" s="1"/>
  <c r="P361" i="19" s="1"/>
  <c r="S360" i="19"/>
  <c r="J360" i="19"/>
  <c r="K360" i="19" s="1"/>
  <c r="P360" i="19" s="1"/>
  <c r="S359" i="19"/>
  <c r="J359" i="19"/>
  <c r="K359" i="19" s="1"/>
  <c r="P359" i="19" s="1"/>
  <c r="S358" i="19"/>
  <c r="J358" i="19"/>
  <c r="K358" i="19" s="1"/>
  <c r="P358" i="19" s="1"/>
  <c r="S357" i="19"/>
  <c r="J357" i="19"/>
  <c r="K357" i="19" s="1"/>
  <c r="P357" i="19" s="1"/>
  <c r="S356" i="19"/>
  <c r="J356" i="19"/>
  <c r="K356" i="19" s="1"/>
  <c r="P356" i="19" s="1"/>
  <c r="S355" i="19"/>
  <c r="J355" i="19"/>
  <c r="K355" i="19" s="1"/>
  <c r="P355" i="19" s="1"/>
  <c r="S354" i="19"/>
  <c r="J354" i="19"/>
  <c r="K354" i="19" s="1"/>
  <c r="P354" i="19" s="1"/>
  <c r="S353" i="19"/>
  <c r="J353" i="19"/>
  <c r="K353" i="19" s="1"/>
  <c r="P353" i="19" s="1"/>
  <c r="S352" i="19"/>
  <c r="J352" i="19"/>
  <c r="K352" i="19" s="1"/>
  <c r="P352" i="19" s="1"/>
  <c r="S351" i="19"/>
  <c r="J351" i="19"/>
  <c r="K351" i="19" s="1"/>
  <c r="P351" i="19" s="1"/>
  <c r="S350" i="19"/>
  <c r="J350" i="19"/>
  <c r="K350" i="19" s="1"/>
  <c r="P350" i="19" s="1"/>
  <c r="S349" i="19"/>
  <c r="J349" i="19"/>
  <c r="K349" i="19" s="1"/>
  <c r="P349" i="19" s="1"/>
  <c r="S348" i="19"/>
  <c r="J348" i="19"/>
  <c r="K348" i="19" s="1"/>
  <c r="P348" i="19" s="1"/>
  <c r="S347" i="19"/>
  <c r="J347" i="19"/>
  <c r="K347" i="19" s="1"/>
  <c r="P347" i="19" s="1"/>
  <c r="S346" i="19"/>
  <c r="J346" i="19"/>
  <c r="K346" i="19" s="1"/>
  <c r="P346" i="19" s="1"/>
  <c r="S345" i="19"/>
  <c r="J345" i="19"/>
  <c r="K345" i="19" s="1"/>
  <c r="P345" i="19" s="1"/>
  <c r="S344" i="19"/>
  <c r="J344" i="19"/>
  <c r="K344" i="19" s="1"/>
  <c r="P344" i="19" s="1"/>
  <c r="S343" i="19"/>
  <c r="J343" i="19"/>
  <c r="K343" i="19" s="1"/>
  <c r="P343" i="19" s="1"/>
  <c r="S342" i="19"/>
  <c r="J342" i="19"/>
  <c r="K342" i="19" s="1"/>
  <c r="P342" i="19" s="1"/>
  <c r="S341" i="19"/>
  <c r="J341" i="19"/>
  <c r="K341" i="19" s="1"/>
  <c r="P341" i="19" s="1"/>
  <c r="S340" i="19"/>
  <c r="J340" i="19"/>
  <c r="K340" i="19" s="1"/>
  <c r="P340" i="19" s="1"/>
  <c r="S339" i="19"/>
  <c r="J339" i="19"/>
  <c r="K339" i="19" s="1"/>
  <c r="P339" i="19" s="1"/>
  <c r="S338" i="19"/>
  <c r="J338" i="19"/>
  <c r="K338" i="19" s="1"/>
  <c r="P338" i="19" s="1"/>
  <c r="S337" i="19"/>
  <c r="J337" i="19"/>
  <c r="K337" i="19" s="1"/>
  <c r="P337" i="19" s="1"/>
  <c r="S336" i="19"/>
  <c r="J336" i="19"/>
  <c r="K336" i="19" s="1"/>
  <c r="P336" i="19" s="1"/>
  <c r="S335" i="19"/>
  <c r="J335" i="19"/>
  <c r="K335" i="19" s="1"/>
  <c r="P335" i="19" s="1"/>
  <c r="S334" i="19"/>
  <c r="J334" i="19"/>
  <c r="K334" i="19" s="1"/>
  <c r="P334" i="19" s="1"/>
  <c r="S333" i="19"/>
  <c r="J333" i="19"/>
  <c r="K333" i="19" s="1"/>
  <c r="P333" i="19" s="1"/>
  <c r="S332" i="19"/>
  <c r="J332" i="19"/>
  <c r="K332" i="19" s="1"/>
  <c r="P332" i="19" s="1"/>
  <c r="S331" i="19"/>
  <c r="J331" i="19"/>
  <c r="K331" i="19" s="1"/>
  <c r="P331" i="19" s="1"/>
  <c r="S330" i="19"/>
  <c r="J330" i="19"/>
  <c r="K330" i="19" s="1"/>
  <c r="P330" i="19" s="1"/>
  <c r="S329" i="19"/>
  <c r="J329" i="19"/>
  <c r="K329" i="19" s="1"/>
  <c r="P329" i="19" s="1"/>
  <c r="S328" i="19"/>
  <c r="J328" i="19"/>
  <c r="K328" i="19" s="1"/>
  <c r="P328" i="19" s="1"/>
  <c r="S327" i="19"/>
  <c r="J327" i="19"/>
  <c r="K327" i="19" s="1"/>
  <c r="P327" i="19" s="1"/>
  <c r="S326" i="19"/>
  <c r="J326" i="19"/>
  <c r="K326" i="19" s="1"/>
  <c r="P326" i="19" s="1"/>
  <c r="S325" i="19"/>
  <c r="J325" i="19"/>
  <c r="K325" i="19" s="1"/>
  <c r="P325" i="19" s="1"/>
  <c r="S324" i="19"/>
  <c r="J324" i="19"/>
  <c r="K324" i="19" s="1"/>
  <c r="P324" i="19" s="1"/>
  <c r="S323" i="19"/>
  <c r="J323" i="19"/>
  <c r="K323" i="19" s="1"/>
  <c r="S322" i="19"/>
  <c r="J322" i="19"/>
  <c r="K322" i="19" s="1"/>
  <c r="P322" i="19" s="1"/>
  <c r="S321" i="19"/>
  <c r="J321" i="19"/>
  <c r="K321" i="19" s="1"/>
  <c r="P321" i="19" s="1"/>
  <c r="S320" i="19"/>
  <c r="J320" i="19"/>
  <c r="K320" i="19" s="1"/>
  <c r="P320" i="19" s="1"/>
  <c r="S319" i="19"/>
  <c r="J319" i="19"/>
  <c r="K319" i="19" s="1"/>
  <c r="S318" i="19"/>
  <c r="J318" i="19"/>
  <c r="K318" i="19" s="1"/>
  <c r="P318" i="19" s="1"/>
  <c r="S317" i="19"/>
  <c r="J317" i="19"/>
  <c r="K317" i="19" s="1"/>
  <c r="P317" i="19" s="1"/>
  <c r="S316" i="19"/>
  <c r="J316" i="19"/>
  <c r="K316" i="19" s="1"/>
  <c r="S315" i="19"/>
  <c r="J315" i="19"/>
  <c r="K315" i="19" s="1"/>
  <c r="S314" i="19"/>
  <c r="J314" i="19"/>
  <c r="K314" i="19" s="1"/>
  <c r="S313" i="19"/>
  <c r="J313" i="19"/>
  <c r="K313" i="19" s="1"/>
  <c r="P313" i="19" s="1"/>
  <c r="S312" i="19"/>
  <c r="J312" i="19"/>
  <c r="K312" i="19" s="1"/>
  <c r="P312" i="19" s="1"/>
  <c r="S311" i="19"/>
  <c r="J311" i="19"/>
  <c r="K311" i="19" s="1"/>
  <c r="S310" i="19"/>
  <c r="J310" i="19"/>
  <c r="K310" i="19" s="1"/>
  <c r="S309" i="19"/>
  <c r="J309" i="19"/>
  <c r="K309" i="19" s="1"/>
  <c r="S308" i="19"/>
  <c r="J308" i="19"/>
  <c r="K308" i="19" s="1"/>
  <c r="O308" i="19" s="1"/>
  <c r="S307" i="19"/>
  <c r="J307" i="19"/>
  <c r="K307" i="19" s="1"/>
  <c r="S306" i="19"/>
  <c r="J306" i="19"/>
  <c r="K306" i="19" s="1"/>
  <c r="O306" i="19" s="1"/>
  <c r="S305" i="19"/>
  <c r="J305" i="19"/>
  <c r="K305" i="19" s="1"/>
  <c r="S304" i="19"/>
  <c r="J304" i="19"/>
  <c r="K304" i="19" s="1"/>
  <c r="O304" i="19" s="1"/>
  <c r="S303" i="19"/>
  <c r="J303" i="19"/>
  <c r="K303" i="19" s="1"/>
  <c r="S302" i="19"/>
  <c r="J302" i="19"/>
  <c r="K302" i="19" s="1"/>
  <c r="S301" i="19"/>
  <c r="J301" i="19"/>
  <c r="K301" i="19" s="1"/>
  <c r="S300" i="19"/>
  <c r="J300" i="19"/>
  <c r="K300" i="19" s="1"/>
  <c r="O300" i="19" s="1"/>
  <c r="S299" i="19"/>
  <c r="J299" i="19"/>
  <c r="K299" i="19" s="1"/>
  <c r="S298" i="19"/>
  <c r="J298" i="19"/>
  <c r="K298" i="19" s="1"/>
  <c r="O298" i="19" s="1"/>
  <c r="S297" i="19"/>
  <c r="J297" i="19"/>
  <c r="K297" i="19" s="1"/>
  <c r="S296" i="19"/>
  <c r="J296" i="19"/>
  <c r="K296" i="19" s="1"/>
  <c r="O296" i="19" s="1"/>
  <c r="S295" i="19"/>
  <c r="J295" i="19"/>
  <c r="K295" i="19" s="1"/>
  <c r="S294" i="19"/>
  <c r="J294" i="19"/>
  <c r="K294" i="19" s="1"/>
  <c r="S293" i="19"/>
  <c r="J293" i="19"/>
  <c r="K293" i="19" s="1"/>
  <c r="S292" i="19"/>
  <c r="J292" i="19"/>
  <c r="K292" i="19" s="1"/>
  <c r="O292" i="19" s="1"/>
  <c r="S291" i="19"/>
  <c r="J291" i="19"/>
  <c r="K291" i="19" s="1"/>
  <c r="S290" i="19"/>
  <c r="J290" i="19"/>
  <c r="K290" i="19" s="1"/>
  <c r="O290" i="19" s="1"/>
  <c r="S289" i="19"/>
  <c r="J289" i="19"/>
  <c r="K289" i="19" s="1"/>
  <c r="S288" i="19"/>
  <c r="J288" i="19"/>
  <c r="K288" i="19" s="1"/>
  <c r="O288" i="19" s="1"/>
  <c r="S287" i="19"/>
  <c r="J287" i="19"/>
  <c r="K287" i="19" s="1"/>
  <c r="S286" i="19"/>
  <c r="J286" i="19"/>
  <c r="K286" i="19" s="1"/>
  <c r="S285" i="19"/>
  <c r="J285" i="19"/>
  <c r="K285" i="19" s="1"/>
  <c r="S284" i="19"/>
  <c r="J284" i="19"/>
  <c r="K284" i="19" s="1"/>
  <c r="O284" i="19" s="1"/>
  <c r="S283" i="19"/>
  <c r="J283" i="19"/>
  <c r="K283" i="19" s="1"/>
  <c r="S282" i="19"/>
  <c r="J282" i="19"/>
  <c r="K282" i="19" s="1"/>
  <c r="O282" i="19" s="1"/>
  <c r="S281" i="19"/>
  <c r="J281" i="19"/>
  <c r="K281" i="19" s="1"/>
  <c r="S280" i="19"/>
  <c r="J280" i="19"/>
  <c r="K280" i="19" s="1"/>
  <c r="O280" i="19" s="1"/>
  <c r="S279" i="19"/>
  <c r="J279" i="19"/>
  <c r="K279" i="19" s="1"/>
  <c r="S278" i="19"/>
  <c r="J278" i="19"/>
  <c r="K278" i="19" s="1"/>
  <c r="S277" i="19"/>
  <c r="J277" i="19"/>
  <c r="K277" i="19" s="1"/>
  <c r="S276" i="19"/>
  <c r="J276" i="19"/>
  <c r="K276" i="19" s="1"/>
  <c r="O276" i="19" s="1"/>
  <c r="S275" i="19"/>
  <c r="J275" i="19"/>
  <c r="K275" i="19" s="1"/>
  <c r="S274" i="19"/>
  <c r="J274" i="19"/>
  <c r="K274" i="19" s="1"/>
  <c r="O274" i="19" s="1"/>
  <c r="S273" i="19"/>
  <c r="J273" i="19"/>
  <c r="K273" i="19" s="1"/>
  <c r="S272" i="19"/>
  <c r="J272" i="19"/>
  <c r="K272" i="19" s="1"/>
  <c r="O272" i="19" s="1"/>
  <c r="S271" i="19"/>
  <c r="J271" i="19"/>
  <c r="K271" i="19" s="1"/>
  <c r="S270" i="19"/>
  <c r="J270" i="19"/>
  <c r="K270" i="19" s="1"/>
  <c r="S269" i="19"/>
  <c r="J269" i="19"/>
  <c r="K269" i="19" s="1"/>
  <c r="S268" i="19"/>
  <c r="J268" i="19"/>
  <c r="K268" i="19" s="1"/>
  <c r="O268" i="19" s="1"/>
  <c r="S267" i="19"/>
  <c r="J267" i="19"/>
  <c r="K267" i="19" s="1"/>
  <c r="S266" i="19"/>
  <c r="J266" i="19"/>
  <c r="K266" i="19" s="1"/>
  <c r="O266" i="19" s="1"/>
  <c r="S265" i="19"/>
  <c r="J265" i="19"/>
  <c r="K265" i="19" s="1"/>
  <c r="N265" i="19" s="1"/>
  <c r="S264" i="19"/>
  <c r="J264" i="19"/>
  <c r="K264" i="19" s="1"/>
  <c r="O264" i="19" s="1"/>
  <c r="S263" i="19"/>
  <c r="J263" i="19"/>
  <c r="K263" i="19" s="1"/>
  <c r="P263" i="19" s="1"/>
  <c r="S262" i="19"/>
  <c r="J262" i="19"/>
  <c r="K262" i="19" s="1"/>
  <c r="O262" i="19" s="1"/>
  <c r="S261" i="19"/>
  <c r="J261" i="19"/>
  <c r="K261" i="19" s="1"/>
  <c r="S260" i="19"/>
  <c r="J260" i="19"/>
  <c r="K260" i="19" s="1"/>
  <c r="O260" i="19" s="1"/>
  <c r="S259" i="19"/>
  <c r="J259" i="19"/>
  <c r="K259" i="19" s="1"/>
  <c r="S258" i="19"/>
  <c r="J258" i="19"/>
  <c r="K258" i="19" s="1"/>
  <c r="O258" i="19" s="1"/>
  <c r="S257" i="19"/>
  <c r="J257" i="19"/>
  <c r="K257" i="19" s="1"/>
  <c r="P257" i="19" s="1"/>
  <c r="S256" i="19"/>
  <c r="J256" i="19"/>
  <c r="K256" i="19" s="1"/>
  <c r="O256" i="19" s="1"/>
  <c r="S255" i="19"/>
  <c r="J255" i="19"/>
  <c r="K255" i="19" s="1"/>
  <c r="P255" i="19" s="1"/>
  <c r="S254" i="19"/>
  <c r="J254" i="19"/>
  <c r="K254" i="19" s="1"/>
  <c r="O254" i="19" s="1"/>
  <c r="S253" i="19"/>
  <c r="J253" i="19"/>
  <c r="K253" i="19" s="1"/>
  <c r="S252" i="19"/>
  <c r="J252" i="19"/>
  <c r="K252" i="19" s="1"/>
  <c r="S251" i="19"/>
  <c r="J251" i="19"/>
  <c r="K251" i="19" s="1"/>
  <c r="S250" i="19"/>
  <c r="J250" i="19"/>
  <c r="K250" i="19" s="1"/>
  <c r="S249" i="19"/>
  <c r="J249" i="19"/>
  <c r="K249" i="19" s="1"/>
  <c r="S248" i="19"/>
  <c r="J248" i="19"/>
  <c r="K248" i="19" s="1"/>
  <c r="M248" i="19" s="1"/>
  <c r="S247" i="19"/>
  <c r="J247" i="19"/>
  <c r="K247" i="19" s="1"/>
  <c r="O247" i="19" s="1"/>
  <c r="S246" i="19"/>
  <c r="J246" i="19"/>
  <c r="K246" i="19" s="1"/>
  <c r="O246" i="19" s="1"/>
  <c r="S245" i="19"/>
  <c r="J245" i="19"/>
  <c r="K245" i="19" s="1"/>
  <c r="O245" i="19" s="1"/>
  <c r="S244" i="19"/>
  <c r="J244" i="19"/>
  <c r="K244" i="19" s="1"/>
  <c r="O244" i="19" s="1"/>
  <c r="S243" i="19"/>
  <c r="J243" i="19"/>
  <c r="K243" i="19" s="1"/>
  <c r="O243" i="19" s="1"/>
  <c r="S242" i="19"/>
  <c r="J242" i="19"/>
  <c r="K242" i="19" s="1"/>
  <c r="O242" i="19" s="1"/>
  <c r="S240" i="19"/>
  <c r="J240" i="19"/>
  <c r="K240" i="19" s="1"/>
  <c r="O240" i="19" s="1"/>
  <c r="S239" i="19"/>
  <c r="J239" i="19"/>
  <c r="K239" i="19" s="1"/>
  <c r="O239" i="19" s="1"/>
  <c r="S238" i="19"/>
  <c r="J238" i="19"/>
  <c r="K238" i="19" s="1"/>
  <c r="O238" i="19" s="1"/>
  <c r="S237" i="19"/>
  <c r="J237" i="19"/>
  <c r="K237" i="19" s="1"/>
  <c r="O237" i="19" s="1"/>
  <c r="S236" i="19"/>
  <c r="J236" i="19"/>
  <c r="K236" i="19" s="1"/>
  <c r="O236" i="19" s="1"/>
  <c r="S235" i="19"/>
  <c r="J235" i="19"/>
  <c r="K235" i="19" s="1"/>
  <c r="O235" i="19" s="1"/>
  <c r="S234" i="19"/>
  <c r="J234" i="19"/>
  <c r="K234" i="19" s="1"/>
  <c r="O234" i="19" s="1"/>
  <c r="S233" i="19"/>
  <c r="J233" i="19"/>
  <c r="K233" i="19" s="1"/>
  <c r="O233" i="19" s="1"/>
  <c r="S232" i="19"/>
  <c r="J232" i="19"/>
  <c r="K232" i="19" s="1"/>
  <c r="N232" i="19" s="1"/>
  <c r="S231" i="19"/>
  <c r="J231" i="19"/>
  <c r="K231" i="19" s="1"/>
  <c r="S230" i="19"/>
  <c r="J230" i="19"/>
  <c r="K230" i="19" s="1"/>
  <c r="S229" i="19"/>
  <c r="J229" i="19"/>
  <c r="K229" i="19" s="1"/>
  <c r="N229" i="19" s="1"/>
  <c r="S228" i="19"/>
  <c r="J228" i="19"/>
  <c r="K228" i="19" s="1"/>
  <c r="N228" i="19" s="1"/>
  <c r="S227" i="19"/>
  <c r="J227" i="19"/>
  <c r="K227" i="19" s="1"/>
  <c r="S226" i="19"/>
  <c r="J226" i="19"/>
  <c r="K226" i="19" s="1"/>
  <c r="S225" i="19"/>
  <c r="J225" i="19"/>
  <c r="K225" i="19" s="1"/>
  <c r="N225" i="19" s="1"/>
  <c r="S224" i="19"/>
  <c r="J224" i="19"/>
  <c r="K224" i="19" s="1"/>
  <c r="N224" i="19" s="1"/>
  <c r="S223" i="19"/>
  <c r="J223" i="19"/>
  <c r="K223" i="19" s="1"/>
  <c r="S222" i="19"/>
  <c r="J222" i="19"/>
  <c r="K222" i="19" s="1"/>
  <c r="S221" i="19"/>
  <c r="J221" i="19"/>
  <c r="K221" i="19" s="1"/>
  <c r="N221" i="19" s="1"/>
  <c r="S220" i="19"/>
  <c r="J220" i="19"/>
  <c r="K220" i="19" s="1"/>
  <c r="N220" i="19" s="1"/>
  <c r="S219" i="19"/>
  <c r="J219" i="19"/>
  <c r="K219" i="19" s="1"/>
  <c r="S218" i="19"/>
  <c r="J218" i="19"/>
  <c r="K218" i="19" s="1"/>
  <c r="S217" i="19"/>
  <c r="J217" i="19"/>
  <c r="K217" i="19" s="1"/>
  <c r="N217" i="19" s="1"/>
  <c r="S216" i="19"/>
  <c r="J216" i="19"/>
  <c r="K216" i="19" s="1"/>
  <c r="N216" i="19" s="1"/>
  <c r="S215" i="19"/>
  <c r="J215" i="19"/>
  <c r="K215" i="19" s="1"/>
  <c r="S214" i="19"/>
  <c r="J214" i="19"/>
  <c r="K214" i="19" s="1"/>
  <c r="S213" i="19"/>
  <c r="J213" i="19"/>
  <c r="K213" i="19" s="1"/>
  <c r="N213" i="19" s="1"/>
  <c r="S212" i="19"/>
  <c r="J212" i="19"/>
  <c r="K212" i="19" s="1"/>
  <c r="N212" i="19" s="1"/>
  <c r="S211" i="19"/>
  <c r="J211" i="19"/>
  <c r="K211" i="19" s="1"/>
  <c r="S210" i="19"/>
  <c r="J210" i="19"/>
  <c r="K210" i="19" s="1"/>
  <c r="S209" i="19"/>
  <c r="J209" i="19"/>
  <c r="K209" i="19" s="1"/>
  <c r="N209" i="19" s="1"/>
  <c r="S208" i="19"/>
  <c r="J208" i="19"/>
  <c r="K208" i="19" s="1"/>
  <c r="N208" i="19" s="1"/>
  <c r="S207" i="19"/>
  <c r="J207" i="19"/>
  <c r="K207" i="19" s="1"/>
  <c r="S206" i="19"/>
  <c r="J206" i="19"/>
  <c r="K206" i="19" s="1"/>
  <c r="S205" i="19"/>
  <c r="J205" i="19"/>
  <c r="K205" i="19" s="1"/>
  <c r="N205" i="19" s="1"/>
  <c r="S204" i="19"/>
  <c r="J204" i="19"/>
  <c r="K204" i="19" s="1"/>
  <c r="N204" i="19" s="1"/>
  <c r="S203" i="19"/>
  <c r="J203" i="19"/>
  <c r="K203" i="19" s="1"/>
  <c r="S202" i="19"/>
  <c r="J202" i="19"/>
  <c r="K202" i="19" s="1"/>
  <c r="S201" i="19"/>
  <c r="J201" i="19"/>
  <c r="K201" i="19" s="1"/>
  <c r="N201" i="19" s="1"/>
  <c r="S200" i="19"/>
  <c r="J200" i="19"/>
  <c r="K200" i="19" s="1"/>
  <c r="N200" i="19" s="1"/>
  <c r="S199" i="19"/>
  <c r="J199" i="19"/>
  <c r="K199" i="19" s="1"/>
  <c r="S198" i="19"/>
  <c r="J198" i="19"/>
  <c r="K198" i="19" s="1"/>
  <c r="S197" i="19"/>
  <c r="J197" i="19"/>
  <c r="K197" i="19" s="1"/>
  <c r="N197" i="19" s="1"/>
  <c r="S196" i="19"/>
  <c r="J196" i="19"/>
  <c r="K196" i="19" s="1"/>
  <c r="N196" i="19" s="1"/>
  <c r="S195" i="19"/>
  <c r="J195" i="19"/>
  <c r="K195" i="19" s="1"/>
  <c r="S194" i="19"/>
  <c r="J194" i="19"/>
  <c r="K194" i="19" s="1"/>
  <c r="S193" i="19"/>
  <c r="J193" i="19"/>
  <c r="K193" i="19" s="1"/>
  <c r="N193" i="19" s="1"/>
  <c r="S192" i="19"/>
  <c r="J192" i="19"/>
  <c r="K192" i="19" s="1"/>
  <c r="N192" i="19" s="1"/>
  <c r="S191" i="19"/>
  <c r="J191" i="19"/>
  <c r="K191" i="19" s="1"/>
  <c r="S190" i="19"/>
  <c r="J190" i="19"/>
  <c r="K190" i="19" s="1"/>
  <c r="S189" i="19"/>
  <c r="J189" i="19"/>
  <c r="K189" i="19" s="1"/>
  <c r="N189" i="19" s="1"/>
  <c r="S188" i="19"/>
  <c r="J188" i="19"/>
  <c r="K188" i="19" s="1"/>
  <c r="N188" i="19" s="1"/>
  <c r="S187" i="19"/>
  <c r="J187" i="19"/>
  <c r="K187" i="19" s="1"/>
  <c r="S186" i="19"/>
  <c r="J186" i="19"/>
  <c r="K186" i="19" s="1"/>
  <c r="S185" i="19"/>
  <c r="J185" i="19"/>
  <c r="K185" i="19" s="1"/>
  <c r="N185" i="19" s="1"/>
  <c r="S184" i="19"/>
  <c r="J184" i="19"/>
  <c r="K184" i="19" s="1"/>
  <c r="N184" i="19" s="1"/>
  <c r="S183" i="19"/>
  <c r="J183" i="19"/>
  <c r="K183" i="19" s="1"/>
  <c r="S182" i="19"/>
  <c r="J182" i="19"/>
  <c r="K182" i="19" s="1"/>
  <c r="S181" i="19"/>
  <c r="J181" i="19"/>
  <c r="K181" i="19" s="1"/>
  <c r="N181" i="19" s="1"/>
  <c r="S180" i="19"/>
  <c r="J180" i="19"/>
  <c r="K180" i="19" s="1"/>
  <c r="N180" i="19" s="1"/>
  <c r="S179" i="19"/>
  <c r="J179" i="19"/>
  <c r="K179" i="19" s="1"/>
  <c r="S178" i="19"/>
  <c r="J178" i="19"/>
  <c r="K178" i="19" s="1"/>
  <c r="S177" i="19"/>
  <c r="J177" i="19"/>
  <c r="K177" i="19" s="1"/>
  <c r="N177" i="19" s="1"/>
  <c r="S176" i="19"/>
  <c r="J176" i="19"/>
  <c r="K176" i="19" s="1"/>
  <c r="N176" i="19" s="1"/>
  <c r="S175" i="19"/>
  <c r="J175" i="19"/>
  <c r="K175" i="19" s="1"/>
  <c r="S174" i="19"/>
  <c r="J174" i="19"/>
  <c r="K174" i="19" s="1"/>
  <c r="S173" i="19"/>
  <c r="J173" i="19"/>
  <c r="K173" i="19" s="1"/>
  <c r="N173" i="19" s="1"/>
  <c r="S172" i="19"/>
  <c r="J172" i="19"/>
  <c r="K172" i="19" s="1"/>
  <c r="N172" i="19" s="1"/>
  <c r="S171" i="19"/>
  <c r="J171" i="19"/>
  <c r="K171" i="19" s="1"/>
  <c r="S170" i="19"/>
  <c r="J170" i="19"/>
  <c r="K170" i="19" s="1"/>
  <c r="S169" i="19"/>
  <c r="J169" i="19"/>
  <c r="K169" i="19" s="1"/>
  <c r="N169" i="19" s="1"/>
  <c r="S168" i="19"/>
  <c r="J168" i="19"/>
  <c r="K168" i="19" s="1"/>
  <c r="N168" i="19" s="1"/>
  <c r="S167" i="19"/>
  <c r="J167" i="19"/>
  <c r="K167" i="19" s="1"/>
  <c r="S166" i="19"/>
  <c r="J166" i="19"/>
  <c r="K166" i="19" s="1"/>
  <c r="S165" i="19"/>
  <c r="N165" i="19"/>
  <c r="J165" i="19"/>
  <c r="K165" i="19" s="1"/>
  <c r="S164" i="19"/>
  <c r="J164" i="19"/>
  <c r="K164" i="19" s="1"/>
  <c r="N164" i="19" s="1"/>
  <c r="S163" i="19"/>
  <c r="J163" i="19"/>
  <c r="K163" i="19" s="1"/>
  <c r="S162" i="19"/>
  <c r="J162" i="19"/>
  <c r="K162" i="19" s="1"/>
  <c r="S161" i="19"/>
  <c r="J161" i="19"/>
  <c r="K161" i="19" s="1"/>
  <c r="N161" i="19" s="1"/>
  <c r="S160" i="19"/>
  <c r="J160" i="19"/>
  <c r="K160" i="19" s="1"/>
  <c r="N160" i="19" s="1"/>
  <c r="S159" i="19"/>
  <c r="J159" i="19"/>
  <c r="K159" i="19" s="1"/>
  <c r="S158" i="19"/>
  <c r="J158" i="19"/>
  <c r="K158" i="19" s="1"/>
  <c r="S157" i="19"/>
  <c r="J157" i="19"/>
  <c r="K157" i="19" s="1"/>
  <c r="S156" i="19"/>
  <c r="J156" i="19"/>
  <c r="K156" i="19" s="1"/>
  <c r="S155" i="19"/>
  <c r="J155" i="19"/>
  <c r="K155" i="19" s="1"/>
  <c r="S154" i="19"/>
  <c r="J154" i="19"/>
  <c r="K154" i="19" s="1"/>
  <c r="O154" i="19" s="1"/>
  <c r="S153" i="19"/>
  <c r="J153" i="19"/>
  <c r="K153" i="19" s="1"/>
  <c r="S152" i="19"/>
  <c r="J152" i="19"/>
  <c r="K152" i="19" s="1"/>
  <c r="S151" i="19"/>
  <c r="J151" i="19"/>
  <c r="K151" i="19" s="1"/>
  <c r="S150" i="19"/>
  <c r="J150" i="19"/>
  <c r="K150" i="19" s="1"/>
  <c r="O150" i="19" s="1"/>
  <c r="S149" i="19"/>
  <c r="J149" i="19"/>
  <c r="K149" i="19" s="1"/>
  <c r="O149" i="19" s="1"/>
  <c r="S148" i="19"/>
  <c r="J148" i="19"/>
  <c r="K148" i="19" s="1"/>
  <c r="S147" i="19"/>
  <c r="J147" i="19"/>
  <c r="K147" i="19" s="1"/>
  <c r="L147" i="19" s="1"/>
  <c r="S146" i="19"/>
  <c r="J146" i="19"/>
  <c r="K146" i="19" s="1"/>
  <c r="S145" i="19"/>
  <c r="J145" i="19"/>
  <c r="K145" i="19" s="1"/>
  <c r="S144" i="19"/>
  <c r="J144" i="19"/>
  <c r="K144" i="19" s="1"/>
  <c r="N144" i="19" s="1"/>
  <c r="S143" i="19"/>
  <c r="J143" i="19"/>
  <c r="K143" i="19" s="1"/>
  <c r="S142" i="19"/>
  <c r="J142" i="19"/>
  <c r="K142" i="19" s="1"/>
  <c r="O142" i="19" s="1"/>
  <c r="S141" i="19"/>
  <c r="J141" i="19"/>
  <c r="K141" i="19" s="1"/>
  <c r="O141" i="19" s="1"/>
  <c r="S140" i="19"/>
  <c r="J140" i="19"/>
  <c r="K140" i="19" s="1"/>
  <c r="S139" i="19"/>
  <c r="J139" i="19"/>
  <c r="K139" i="19" s="1"/>
  <c r="M139" i="19" s="1"/>
  <c r="S138" i="19"/>
  <c r="J138" i="19"/>
  <c r="K138" i="19" s="1"/>
  <c r="N138" i="19" s="1"/>
  <c r="S137" i="19"/>
  <c r="J137" i="19"/>
  <c r="K137" i="19" s="1"/>
  <c r="O137" i="19" s="1"/>
  <c r="S136" i="19"/>
  <c r="J136" i="19"/>
  <c r="K136" i="19" s="1"/>
  <c r="M136" i="19" s="1"/>
  <c r="S135" i="19"/>
  <c r="J135" i="19"/>
  <c r="K135" i="19" s="1"/>
  <c r="M135" i="19" s="1"/>
  <c r="S134" i="19"/>
  <c r="J134" i="19"/>
  <c r="K134" i="19" s="1"/>
  <c r="N134" i="19" s="1"/>
  <c r="S133" i="19"/>
  <c r="J133" i="19"/>
  <c r="K133" i="19" s="1"/>
  <c r="O133" i="19" s="1"/>
  <c r="S132" i="19"/>
  <c r="J132" i="19"/>
  <c r="K132" i="19" s="1"/>
  <c r="M132" i="19" s="1"/>
  <c r="S131" i="19"/>
  <c r="J131" i="19"/>
  <c r="K131" i="19" s="1"/>
  <c r="S130" i="19"/>
  <c r="J130" i="19"/>
  <c r="K130" i="19" s="1"/>
  <c r="S129" i="19"/>
  <c r="J129" i="19"/>
  <c r="K129" i="19" s="1"/>
  <c r="O129" i="19" s="1"/>
  <c r="S127" i="19"/>
  <c r="J127" i="19"/>
  <c r="K127" i="19" s="1"/>
  <c r="S126" i="19"/>
  <c r="J126" i="19"/>
  <c r="K126" i="19" s="1"/>
  <c r="M126" i="19" s="1"/>
  <c r="S124" i="19"/>
  <c r="J124" i="19"/>
  <c r="K124" i="19" s="1"/>
  <c r="S123" i="19"/>
  <c r="J123" i="19"/>
  <c r="K123" i="19" s="1"/>
  <c r="S120" i="19"/>
  <c r="J120" i="19"/>
  <c r="K120" i="19" s="1"/>
  <c r="S119" i="19"/>
  <c r="J119" i="19"/>
  <c r="K119" i="19" s="1"/>
  <c r="M119" i="19" s="1"/>
  <c r="S118" i="19"/>
  <c r="J118" i="19"/>
  <c r="K118" i="19" s="1"/>
  <c r="N118" i="19" s="1"/>
  <c r="S117" i="19"/>
  <c r="J117" i="19"/>
  <c r="K117" i="19" s="1"/>
  <c r="S116" i="19"/>
  <c r="J116" i="19"/>
  <c r="K116" i="19" s="1"/>
  <c r="S115" i="19"/>
  <c r="J115" i="19"/>
  <c r="K115" i="19" s="1"/>
  <c r="M115" i="19" s="1"/>
  <c r="S112" i="19"/>
  <c r="J112" i="19"/>
  <c r="K112" i="19" s="1"/>
  <c r="O112" i="19" s="1"/>
  <c r="S111" i="19"/>
  <c r="J111" i="19"/>
  <c r="K111" i="19" s="1"/>
  <c r="S110" i="19"/>
  <c r="J110" i="19"/>
  <c r="K110" i="19" s="1"/>
  <c r="N110" i="19" s="1"/>
  <c r="S109" i="19"/>
  <c r="J109" i="19"/>
  <c r="K109" i="19" s="1"/>
  <c r="N109" i="19" s="1"/>
  <c r="S108" i="19"/>
  <c r="J108" i="19"/>
  <c r="K108" i="19" s="1"/>
  <c r="O108" i="19" s="1"/>
  <c r="S105" i="19"/>
  <c r="J105" i="19"/>
  <c r="K105" i="19" s="1"/>
  <c r="S104" i="19"/>
  <c r="J104" i="19"/>
  <c r="K104" i="19" s="1"/>
  <c r="N104" i="19" s="1"/>
  <c r="S103" i="19"/>
  <c r="J103" i="19"/>
  <c r="K103" i="19" s="1"/>
  <c r="L103" i="19" s="1"/>
  <c r="S102" i="19"/>
  <c r="J102" i="19"/>
  <c r="K102" i="19" s="1"/>
  <c r="P102" i="19" s="1"/>
  <c r="S101" i="19"/>
  <c r="J101" i="19"/>
  <c r="K101" i="19" s="1"/>
  <c r="S100" i="19"/>
  <c r="J100" i="19"/>
  <c r="K100" i="19" s="1"/>
  <c r="S99" i="19"/>
  <c r="J99" i="19"/>
  <c r="K99" i="19" s="1"/>
  <c r="P99" i="19" s="1"/>
  <c r="S98" i="19"/>
  <c r="J98" i="19"/>
  <c r="K98" i="19" s="1"/>
  <c r="S97" i="19"/>
  <c r="J97" i="19"/>
  <c r="K97" i="19" s="1"/>
  <c r="N97" i="19" s="1"/>
  <c r="S96" i="19"/>
  <c r="J96" i="19"/>
  <c r="K96" i="19" s="1"/>
  <c r="S95" i="19"/>
  <c r="J95" i="19"/>
  <c r="K95" i="19" s="1"/>
  <c r="S92" i="19"/>
  <c r="J92" i="19"/>
  <c r="K92" i="19" s="1"/>
  <c r="S91" i="19"/>
  <c r="J91" i="19"/>
  <c r="K91" i="19" s="1"/>
  <c r="S90" i="19"/>
  <c r="J90" i="19"/>
  <c r="K90" i="19" s="1"/>
  <c r="P90" i="19" s="1"/>
  <c r="S89" i="19"/>
  <c r="J89" i="19"/>
  <c r="K89" i="19" s="1"/>
  <c r="S88" i="19"/>
  <c r="J88" i="19"/>
  <c r="K88" i="19" s="1"/>
  <c r="N88" i="19" s="1"/>
  <c r="S87" i="19"/>
  <c r="J87" i="19"/>
  <c r="K87" i="19" s="1"/>
  <c r="S86" i="19"/>
  <c r="J86" i="19"/>
  <c r="K86" i="19" s="1"/>
  <c r="S85" i="19"/>
  <c r="J85" i="19"/>
  <c r="K85" i="19" s="1"/>
  <c r="S84" i="19"/>
  <c r="J84" i="19"/>
  <c r="K84" i="19" s="1"/>
  <c r="S83" i="19"/>
  <c r="J83" i="19"/>
  <c r="K83" i="19" s="1"/>
  <c r="S82" i="19"/>
  <c r="J82" i="19"/>
  <c r="K82" i="19" s="1"/>
  <c r="S81" i="19"/>
  <c r="J81" i="19"/>
  <c r="K81" i="19" s="1"/>
  <c r="M81" i="19" s="1"/>
  <c r="S80" i="19"/>
  <c r="J80" i="19"/>
  <c r="K80" i="19" s="1"/>
  <c r="N80" i="19" s="1"/>
  <c r="S79" i="19"/>
  <c r="J79" i="19"/>
  <c r="K79" i="19" s="1"/>
  <c r="N79" i="19" s="1"/>
  <c r="S78" i="19"/>
  <c r="J78" i="19"/>
  <c r="K78" i="19" s="1"/>
  <c r="O78" i="19" s="1"/>
  <c r="S77" i="19"/>
  <c r="J77" i="19"/>
  <c r="K77" i="19" s="1"/>
  <c r="S76" i="19"/>
  <c r="J76" i="19"/>
  <c r="K76" i="19" s="1"/>
  <c r="N76" i="19" s="1"/>
  <c r="S75" i="19"/>
  <c r="J75" i="19"/>
  <c r="K75" i="19" s="1"/>
  <c r="S74" i="19"/>
  <c r="J74" i="19"/>
  <c r="K74" i="19" s="1"/>
  <c r="S73" i="19"/>
  <c r="J73" i="19"/>
  <c r="K73" i="19" s="1"/>
  <c r="S72" i="19"/>
  <c r="J72" i="19"/>
  <c r="K72" i="19" s="1"/>
  <c r="S71" i="19"/>
  <c r="J71" i="19"/>
  <c r="K71" i="19" s="1"/>
  <c r="S70" i="19"/>
  <c r="J70" i="19"/>
  <c r="K70" i="19" s="1"/>
  <c r="L70" i="19" s="1"/>
  <c r="S69" i="19"/>
  <c r="J69" i="19"/>
  <c r="K69" i="19" s="1"/>
  <c r="M69" i="19" s="1"/>
  <c r="S68" i="19"/>
  <c r="J68" i="19"/>
  <c r="K68" i="19" s="1"/>
  <c r="M68" i="19" s="1"/>
  <c r="S67" i="19"/>
  <c r="J67" i="19"/>
  <c r="K67" i="19" s="1"/>
  <c r="S66" i="19"/>
  <c r="J66" i="19"/>
  <c r="K66" i="19" s="1"/>
  <c r="S65" i="19"/>
  <c r="J65" i="19"/>
  <c r="K65" i="19" s="1"/>
  <c r="S64" i="19"/>
  <c r="J64" i="19"/>
  <c r="K64" i="19" s="1"/>
  <c r="N64" i="19" s="1"/>
  <c r="S63" i="19"/>
  <c r="J63" i="19"/>
  <c r="K63" i="19" s="1"/>
  <c r="S62" i="19"/>
  <c r="J62" i="19"/>
  <c r="K62" i="19" s="1"/>
  <c r="S61" i="19"/>
  <c r="J61" i="19"/>
  <c r="K61" i="19" s="1"/>
  <c r="S60" i="19"/>
  <c r="J60" i="19"/>
  <c r="K60" i="19" s="1"/>
  <c r="M60" i="19" s="1"/>
  <c r="S59" i="19"/>
  <c r="J59" i="19"/>
  <c r="K59" i="19" s="1"/>
  <c r="S58" i="19"/>
  <c r="J58" i="19"/>
  <c r="K58" i="19" s="1"/>
  <c r="S57" i="19"/>
  <c r="J57" i="19"/>
  <c r="K57" i="19" s="1"/>
  <c r="S56" i="19"/>
  <c r="J56" i="19"/>
  <c r="K56" i="19" s="1"/>
  <c r="N56" i="19" s="1"/>
  <c r="S55" i="19"/>
  <c r="J55" i="19"/>
  <c r="K55" i="19" s="1"/>
  <c r="S54" i="19"/>
  <c r="J54" i="19"/>
  <c r="K54" i="19" s="1"/>
  <c r="L54" i="19" s="1"/>
  <c r="S53" i="19"/>
  <c r="J53" i="19"/>
  <c r="K53" i="19" s="1"/>
  <c r="S52" i="19"/>
  <c r="J52" i="19"/>
  <c r="K52" i="19" s="1"/>
  <c r="M52" i="19" s="1"/>
  <c r="S51" i="19"/>
  <c r="J51" i="19"/>
  <c r="K51" i="19" s="1"/>
  <c r="O51" i="19" s="1"/>
  <c r="S50" i="19"/>
  <c r="J50" i="19"/>
  <c r="K50" i="19" s="1"/>
  <c r="O50" i="19" s="1"/>
  <c r="S49" i="19"/>
  <c r="J49" i="19"/>
  <c r="K49" i="19" s="1"/>
  <c r="O49" i="19" s="1"/>
  <c r="S48" i="19"/>
  <c r="J48" i="19"/>
  <c r="K48" i="19" s="1"/>
  <c r="N48" i="19" s="1"/>
  <c r="S47" i="19"/>
  <c r="J47" i="19"/>
  <c r="K47" i="19" s="1"/>
  <c r="N47" i="19" s="1"/>
  <c r="S46" i="19"/>
  <c r="J46" i="19"/>
  <c r="K46" i="19" s="1"/>
  <c r="P46" i="19" s="1"/>
  <c r="S45" i="19"/>
  <c r="J45" i="19"/>
  <c r="K45" i="19" s="1"/>
  <c r="S44" i="19"/>
  <c r="J44" i="19"/>
  <c r="K44" i="19" s="1"/>
  <c r="N44" i="19" s="1"/>
  <c r="S43" i="19"/>
  <c r="J43" i="19"/>
  <c r="K43" i="19" s="1"/>
  <c r="S42" i="19"/>
  <c r="J42" i="19"/>
  <c r="K42" i="19" s="1"/>
  <c r="P42" i="19" s="1"/>
  <c r="S41" i="19"/>
  <c r="J41" i="19"/>
  <c r="K41" i="19" s="1"/>
  <c r="S40" i="19"/>
  <c r="J40" i="19"/>
  <c r="K40" i="19" s="1"/>
  <c r="N40" i="19" s="1"/>
  <c r="S39" i="19"/>
  <c r="J39" i="19"/>
  <c r="K39" i="19" s="1"/>
  <c r="S38" i="19"/>
  <c r="J38" i="19"/>
  <c r="K38" i="19" s="1"/>
  <c r="S37" i="19"/>
  <c r="J37" i="19"/>
  <c r="K37" i="19" s="1"/>
  <c r="O37" i="19" s="1"/>
  <c r="S36" i="19"/>
  <c r="J36" i="19"/>
  <c r="K36" i="19" s="1"/>
  <c r="M36" i="19" s="1"/>
  <c r="S35" i="19"/>
  <c r="J35" i="19"/>
  <c r="K35" i="19" s="1"/>
  <c r="S34" i="19"/>
  <c r="J34" i="19"/>
  <c r="K34" i="19" s="1"/>
  <c r="S33" i="19"/>
  <c r="J33" i="19"/>
  <c r="K33" i="19" s="1"/>
  <c r="S32" i="19"/>
  <c r="J32" i="19"/>
  <c r="K32" i="19" s="1"/>
  <c r="N32" i="19" s="1"/>
  <c r="S31" i="19"/>
  <c r="J31" i="19"/>
  <c r="K31" i="19" s="1"/>
  <c r="N31" i="19" s="1"/>
  <c r="S30" i="19"/>
  <c r="J30" i="19"/>
  <c r="K30" i="19" s="1"/>
  <c r="S29" i="19"/>
  <c r="J29" i="19"/>
  <c r="K29" i="19" s="1"/>
  <c r="S28" i="19"/>
  <c r="J28" i="19"/>
  <c r="K28" i="19" s="1"/>
  <c r="N28" i="19" s="1"/>
  <c r="S27" i="19"/>
  <c r="J27" i="19"/>
  <c r="K27" i="19" s="1"/>
  <c r="S26" i="19"/>
  <c r="J26" i="19"/>
  <c r="K26" i="19" s="1"/>
  <c r="S25" i="19"/>
  <c r="J25" i="19"/>
  <c r="K25" i="19" s="1"/>
  <c r="S24" i="19"/>
  <c r="J24" i="19"/>
  <c r="K24" i="19" s="1"/>
  <c r="N24" i="19" s="1"/>
  <c r="S23" i="19"/>
  <c r="J23" i="19"/>
  <c r="K23" i="19" s="1"/>
  <c r="S22" i="19"/>
  <c r="J22" i="19"/>
  <c r="K22" i="19" s="1"/>
  <c r="O22" i="19" s="1"/>
  <c r="S21" i="19"/>
  <c r="J21" i="19"/>
  <c r="K21" i="19" s="1"/>
  <c r="S20" i="19"/>
  <c r="J20" i="19"/>
  <c r="K20" i="19" s="1"/>
  <c r="S19" i="19"/>
  <c r="J19" i="19"/>
  <c r="K19" i="19" s="1"/>
  <c r="S18" i="19"/>
  <c r="J18" i="19"/>
  <c r="K18" i="19" s="1"/>
  <c r="P18" i="19" s="1"/>
  <c r="S17" i="19"/>
  <c r="J17" i="19"/>
  <c r="K17" i="19" s="1"/>
  <c r="S16" i="19"/>
  <c r="J16" i="19"/>
  <c r="K16" i="19" s="1"/>
  <c r="N16" i="19" s="1"/>
  <c r="S15" i="19"/>
  <c r="J15" i="19"/>
  <c r="K15" i="19" s="1"/>
  <c r="O15" i="19" s="1"/>
  <c r="S14" i="19"/>
  <c r="J14" i="19"/>
  <c r="K14" i="19" s="1"/>
  <c r="S13" i="19"/>
  <c r="J13" i="19"/>
  <c r="K13" i="19" s="1"/>
  <c r="O13" i="19" s="1"/>
  <c r="S12" i="19"/>
  <c r="J12" i="19"/>
  <c r="K12" i="19" s="1"/>
  <c r="N12" i="19" s="1"/>
  <c r="S11" i="19"/>
  <c r="J11" i="19"/>
  <c r="K11" i="19" s="1"/>
  <c r="S10" i="19"/>
  <c r="J10" i="19"/>
  <c r="K10" i="19" s="1"/>
  <c r="S9" i="19"/>
  <c r="J9" i="19"/>
  <c r="K9" i="19" s="1"/>
  <c r="O9" i="19" s="1"/>
  <c r="S8" i="19"/>
  <c r="J8" i="19"/>
  <c r="K8" i="19" s="1"/>
  <c r="N8" i="19" s="1"/>
  <c r="N570" i="19" s="1"/>
  <c r="C8" i="19"/>
  <c r="C9" i="19" s="1"/>
  <c r="C10" i="19" s="1"/>
  <c r="C11" i="19" s="1"/>
  <c r="C12" i="19" s="1"/>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C74" i="19" s="1"/>
  <c r="C75" i="19" s="1"/>
  <c r="C76" i="19" s="1"/>
  <c r="C77" i="19" s="1"/>
  <c r="C78" i="19" s="1"/>
  <c r="C79" i="19" s="1"/>
  <c r="C80" i="19" s="1"/>
  <c r="C81" i="19" s="1"/>
  <c r="C82" i="19" s="1"/>
  <c r="C83" i="19" s="1"/>
  <c r="C84" i="19" s="1"/>
  <c r="C85" i="19" s="1"/>
  <c r="C86" i="19" s="1"/>
  <c r="C87" i="19" s="1"/>
  <c r="C88" i="19" s="1"/>
  <c r="C89" i="19" s="1"/>
  <c r="C90" i="19" s="1"/>
  <c r="C91" i="19" s="1"/>
  <c r="C92" i="19" s="1"/>
  <c r="C95" i="19" s="1"/>
  <c r="C96" i="19" s="1"/>
  <c r="C97" i="19" s="1"/>
  <c r="C98" i="19" s="1"/>
  <c r="C99" i="19" s="1"/>
  <c r="C100" i="19" s="1"/>
  <c r="C101" i="19" s="1"/>
  <c r="C102" i="19" s="1"/>
  <c r="C103" i="19" s="1"/>
  <c r="C104" i="19" s="1"/>
  <c r="C105" i="19" s="1"/>
  <c r="C108" i="19" s="1"/>
  <c r="C109" i="19" s="1"/>
  <c r="C110" i="19" s="1"/>
  <c r="C111" i="19" s="1"/>
  <c r="C112" i="19" s="1"/>
  <c r="C115" i="19" s="1"/>
  <c r="C116" i="19" s="1"/>
  <c r="C117" i="19" s="1"/>
  <c r="C118" i="19" s="1"/>
  <c r="C119" i="19" s="1"/>
  <c r="C120" i="19" s="1"/>
  <c r="C123" i="19" s="1"/>
  <c r="C124" i="19" s="1"/>
  <c r="C126" i="19" s="1"/>
  <c r="C127" i="19" s="1"/>
  <c r="C129" i="19" s="1"/>
  <c r="C130" i="19" s="1"/>
  <c r="C131" i="19" s="1"/>
  <c r="C132" i="19" s="1"/>
  <c r="C133" i="19" s="1"/>
  <c r="C134" i="19" s="1"/>
  <c r="C135" i="19" s="1"/>
  <c r="C136" i="19" s="1"/>
  <c r="C137" i="19" s="1"/>
  <c r="C138" i="19" s="1"/>
  <c r="C139" i="19" s="1"/>
  <c r="C140" i="19" s="1"/>
  <c r="C141" i="19" s="1"/>
  <c r="C142" i="19" s="1"/>
  <c r="C143" i="19" s="1"/>
  <c r="C144" i="19" s="1"/>
  <c r="C145" i="19" s="1"/>
  <c r="C146" i="19" s="1"/>
  <c r="C147" i="19" s="1"/>
  <c r="C148" i="19" s="1"/>
  <c r="C149" i="19" s="1"/>
  <c r="C557" i="19" s="1"/>
  <c r="S7" i="19"/>
  <c r="J7" i="19"/>
  <c r="K7" i="19" s="1"/>
  <c r="N306" i="19" l="1"/>
  <c r="L272" i="19"/>
  <c r="L477" i="19"/>
  <c r="N257" i="19"/>
  <c r="P248" i="19"/>
  <c r="N254" i="19"/>
  <c r="L509" i="19"/>
  <c r="N260" i="19"/>
  <c r="M12" i="19"/>
  <c r="N282" i="19"/>
  <c r="L391" i="19"/>
  <c r="M260" i="19"/>
  <c r="L298" i="19"/>
  <c r="P393" i="19"/>
  <c r="M142" i="19"/>
  <c r="N290" i="19"/>
  <c r="N392" i="19"/>
  <c r="L399" i="19"/>
  <c r="L142" i="19"/>
  <c r="N235" i="19"/>
  <c r="L258" i="19"/>
  <c r="M272" i="19"/>
  <c r="N298" i="19"/>
  <c r="M76" i="19"/>
  <c r="N239" i="19"/>
  <c r="M256" i="19"/>
  <c r="P265" i="19"/>
  <c r="L288" i="19"/>
  <c r="L296" i="19"/>
  <c r="L304" i="19"/>
  <c r="N312" i="19"/>
  <c r="L313" i="19"/>
  <c r="L493" i="19"/>
  <c r="N60" i="19"/>
  <c r="N244" i="19"/>
  <c r="N262" i="19"/>
  <c r="M274" i="19"/>
  <c r="L290" i="19"/>
  <c r="M296" i="19"/>
  <c r="L306" i="19"/>
  <c r="N313" i="19"/>
  <c r="P407" i="19"/>
  <c r="M8" i="19"/>
  <c r="M570" i="19" s="1"/>
  <c r="N276" i="19"/>
  <c r="M290" i="19"/>
  <c r="M306" i="19"/>
  <c r="N400" i="19"/>
  <c r="N409" i="19"/>
  <c r="P66" i="19"/>
  <c r="O66" i="19"/>
  <c r="M110" i="19"/>
  <c r="N150" i="19"/>
  <c r="N237" i="19"/>
  <c r="N246" i="19"/>
  <c r="M266" i="19"/>
  <c r="L280" i="19"/>
  <c r="N284" i="19"/>
  <c r="N300" i="19"/>
  <c r="N320" i="19"/>
  <c r="L321" i="19"/>
  <c r="L322" i="19"/>
  <c r="N401" i="19"/>
  <c r="L469" i="19"/>
  <c r="L501" i="19"/>
  <c r="N266" i="19"/>
  <c r="M280" i="19"/>
  <c r="N321" i="19"/>
  <c r="P401" i="19"/>
  <c r="M56" i="19"/>
  <c r="N233" i="19"/>
  <c r="N242" i="19"/>
  <c r="M254" i="19"/>
  <c r="N256" i="19"/>
  <c r="M258" i="19"/>
  <c r="N264" i="19"/>
  <c r="N268" i="19"/>
  <c r="N274" i="19"/>
  <c r="M282" i="19"/>
  <c r="M288" i="19"/>
  <c r="N292" i="19"/>
  <c r="M298" i="19"/>
  <c r="M304" i="19"/>
  <c r="N308" i="19"/>
  <c r="N393" i="19"/>
  <c r="N408" i="19"/>
  <c r="P409" i="19"/>
  <c r="L485" i="19"/>
  <c r="L517" i="19"/>
  <c r="P30" i="19"/>
  <c r="O30" i="19"/>
  <c r="L30" i="19"/>
  <c r="O62" i="19"/>
  <c r="L62" i="19"/>
  <c r="P62" i="19"/>
  <c r="O17" i="19"/>
  <c r="L17" i="19"/>
  <c r="M17" i="19"/>
  <c r="P17" i="19"/>
  <c r="P34" i="19"/>
  <c r="O34" i="19"/>
  <c r="O45" i="19"/>
  <c r="L45" i="19"/>
  <c r="M45" i="19"/>
  <c r="P45" i="19"/>
  <c r="O41" i="19"/>
  <c r="L41" i="19"/>
  <c r="M41" i="19"/>
  <c r="P41" i="19"/>
  <c r="L14" i="19"/>
  <c r="O14" i="19"/>
  <c r="P14" i="19"/>
  <c r="O19" i="19"/>
  <c r="N19" i="19"/>
  <c r="O21" i="19"/>
  <c r="P21" i="19"/>
  <c r="M21" i="19"/>
  <c r="L21" i="19"/>
  <c r="O25" i="19"/>
  <c r="M25" i="19"/>
  <c r="L25" i="19"/>
  <c r="P25" i="19"/>
  <c r="O29" i="19"/>
  <c r="M29" i="19"/>
  <c r="P29" i="19"/>
  <c r="L29" i="19"/>
  <c r="P26" i="19"/>
  <c r="L26" i="19"/>
  <c r="P10" i="19"/>
  <c r="L10" i="19"/>
  <c r="O33" i="19"/>
  <c r="P33" i="19"/>
  <c r="M33" i="19"/>
  <c r="L33" i="19"/>
  <c r="O35" i="19"/>
  <c r="N35" i="19"/>
  <c r="O53" i="19"/>
  <c r="M53" i="19"/>
  <c r="L53" i="19"/>
  <c r="P53" i="19"/>
  <c r="P58" i="19"/>
  <c r="L58" i="19"/>
  <c r="O85" i="19"/>
  <c r="P85" i="19"/>
  <c r="M85" i="19"/>
  <c r="O111" i="19"/>
  <c r="P111" i="19"/>
  <c r="M111" i="19"/>
  <c r="L13" i="19"/>
  <c r="O18" i="19"/>
  <c r="L42" i="19"/>
  <c r="L46" i="19"/>
  <c r="L49" i="19"/>
  <c r="N51" i="19"/>
  <c r="O57" i="19"/>
  <c r="P57" i="19"/>
  <c r="O61" i="19"/>
  <c r="P61" i="19"/>
  <c r="O65" i="19"/>
  <c r="M65" i="19"/>
  <c r="L65" i="19"/>
  <c r="O73" i="19"/>
  <c r="P73" i="19"/>
  <c r="M73" i="19"/>
  <c r="L73" i="19"/>
  <c r="L85" i="19"/>
  <c r="O89" i="19"/>
  <c r="M89" i="19"/>
  <c r="L89" i="19"/>
  <c r="L90" i="19"/>
  <c r="N92" i="19"/>
  <c r="M92" i="19"/>
  <c r="O98" i="19"/>
  <c r="M98" i="19"/>
  <c r="L98" i="19"/>
  <c r="L99" i="19"/>
  <c r="N101" i="19"/>
  <c r="M101" i="19"/>
  <c r="L111" i="19"/>
  <c r="O120" i="19"/>
  <c r="P120" i="19"/>
  <c r="M120" i="19"/>
  <c r="O286" i="19"/>
  <c r="N286" i="19"/>
  <c r="M286" i="19"/>
  <c r="L286" i="19"/>
  <c r="O302" i="19"/>
  <c r="N302" i="19"/>
  <c r="M302" i="19"/>
  <c r="L302" i="19"/>
  <c r="P472" i="19"/>
  <c r="N472" i="19"/>
  <c r="P476" i="19"/>
  <c r="N476" i="19"/>
  <c r="P504" i="19"/>
  <c r="N504" i="19"/>
  <c r="P508" i="19"/>
  <c r="N508" i="19"/>
  <c r="O83" i="19"/>
  <c r="N83" i="19"/>
  <c r="P480" i="19"/>
  <c r="N480" i="19"/>
  <c r="P484" i="19"/>
  <c r="N484" i="19"/>
  <c r="P512" i="19"/>
  <c r="N512" i="19"/>
  <c r="P516" i="19"/>
  <c r="N516" i="19"/>
  <c r="T92" i="19"/>
  <c r="L9" i="19"/>
  <c r="M28" i="19"/>
  <c r="L37" i="19"/>
  <c r="M9" i="19"/>
  <c r="M13" i="19"/>
  <c r="M24" i="19"/>
  <c r="M37" i="19"/>
  <c r="M44" i="19"/>
  <c r="O46" i="19"/>
  <c r="M49" i="19"/>
  <c r="P50" i="19"/>
  <c r="L57" i="19"/>
  <c r="L61" i="19"/>
  <c r="P65" i="19"/>
  <c r="O67" i="19"/>
  <c r="N67" i="19"/>
  <c r="O69" i="19"/>
  <c r="L69" i="19"/>
  <c r="P69" i="19"/>
  <c r="N72" i="19"/>
  <c r="M72" i="19"/>
  <c r="L78" i="19"/>
  <c r="P78" i="19"/>
  <c r="O81" i="19"/>
  <c r="L81" i="19"/>
  <c r="P81" i="19"/>
  <c r="P82" i="19"/>
  <c r="O82" i="19"/>
  <c r="P89" i="19"/>
  <c r="P98" i="19"/>
  <c r="P103" i="19"/>
  <c r="O103" i="19"/>
  <c r="L120" i="19"/>
  <c r="O136" i="19"/>
  <c r="L136" i="19"/>
  <c r="P136" i="19"/>
  <c r="N154" i="19"/>
  <c r="O252" i="19"/>
  <c r="M252" i="19"/>
  <c r="L252" i="19"/>
  <c r="M456" i="19"/>
  <c r="N456" i="19"/>
  <c r="M460" i="19"/>
  <c r="N460" i="19"/>
  <c r="N464" i="19"/>
  <c r="L464" i="19"/>
  <c r="P464" i="19"/>
  <c r="P468" i="19"/>
  <c r="N468" i="19"/>
  <c r="P496" i="19"/>
  <c r="N496" i="19"/>
  <c r="P500" i="19"/>
  <c r="N500" i="19"/>
  <c r="O77" i="19"/>
  <c r="P77" i="19"/>
  <c r="M77" i="19"/>
  <c r="L77" i="19"/>
  <c r="O116" i="19"/>
  <c r="P116" i="19"/>
  <c r="M116" i="19"/>
  <c r="L116" i="19"/>
  <c r="O278" i="19"/>
  <c r="N278" i="19"/>
  <c r="M278" i="19"/>
  <c r="L278" i="19"/>
  <c r="P9" i="19"/>
  <c r="P13" i="19"/>
  <c r="P37" i="19"/>
  <c r="M40" i="19"/>
  <c r="P49" i="19"/>
  <c r="M57" i="19"/>
  <c r="M61" i="19"/>
  <c r="P74" i="19"/>
  <c r="L74" i="19"/>
  <c r="O102" i="19"/>
  <c r="M102" i="19"/>
  <c r="L102" i="19"/>
  <c r="O127" i="19"/>
  <c r="P127" i="19"/>
  <c r="M127" i="19"/>
  <c r="L127" i="19"/>
  <c r="O132" i="19"/>
  <c r="L132" i="19"/>
  <c r="P132" i="19"/>
  <c r="N139" i="19"/>
  <c r="L139" i="19"/>
  <c r="O139" i="19"/>
  <c r="N143" i="19"/>
  <c r="M143" i="19"/>
  <c r="L143" i="19"/>
  <c r="O147" i="19"/>
  <c r="P147" i="19"/>
  <c r="M147" i="19"/>
  <c r="O270" i="19"/>
  <c r="N270" i="19"/>
  <c r="M270" i="19"/>
  <c r="L270" i="19"/>
  <c r="O294" i="19"/>
  <c r="N294" i="19"/>
  <c r="M294" i="19"/>
  <c r="L294" i="19"/>
  <c r="O310" i="19"/>
  <c r="N310" i="19"/>
  <c r="M310" i="19"/>
  <c r="L310" i="19"/>
  <c r="P314" i="19"/>
  <c r="L314" i="19"/>
  <c r="P488" i="19"/>
  <c r="N488" i="19"/>
  <c r="P492" i="19"/>
  <c r="N492" i="19"/>
  <c r="P316" i="19"/>
  <c r="N316" i="19"/>
  <c r="P389" i="19"/>
  <c r="N389" i="19"/>
  <c r="P396" i="19"/>
  <c r="N396" i="19"/>
  <c r="P403" i="19"/>
  <c r="L403" i="19"/>
  <c r="P405" i="19"/>
  <c r="N405" i="19"/>
  <c r="M88" i="19"/>
  <c r="M97" i="19"/>
  <c r="T112" i="19"/>
  <c r="L233" i="19"/>
  <c r="L235" i="19"/>
  <c r="L237" i="19"/>
  <c r="L239" i="19"/>
  <c r="L242" i="19"/>
  <c r="L244" i="19"/>
  <c r="L246" i="19"/>
  <c r="L248" i="19"/>
  <c r="N258" i="19"/>
  <c r="L262" i="19"/>
  <c r="L264" i="19"/>
  <c r="L268" i="19"/>
  <c r="N272" i="19"/>
  <c r="L276" i="19"/>
  <c r="N280" i="19"/>
  <c r="L284" i="19"/>
  <c r="N288" i="19"/>
  <c r="L292" i="19"/>
  <c r="N296" i="19"/>
  <c r="L300" i="19"/>
  <c r="N304" i="19"/>
  <c r="L308" i="19"/>
  <c r="L389" i="19"/>
  <c r="L405" i="19"/>
  <c r="O473" i="19"/>
  <c r="L473" i="19"/>
  <c r="O481" i="19"/>
  <c r="L481" i="19"/>
  <c r="O489" i="19"/>
  <c r="L489" i="19"/>
  <c r="O497" i="19"/>
  <c r="L497" i="19"/>
  <c r="O505" i="19"/>
  <c r="L505" i="19"/>
  <c r="O513" i="19"/>
  <c r="L513" i="19"/>
  <c r="M233" i="19"/>
  <c r="N234" i="19"/>
  <c r="M235" i="19"/>
  <c r="N236" i="19"/>
  <c r="M237" i="19"/>
  <c r="N238" i="19"/>
  <c r="M239" i="19"/>
  <c r="N240" i="19"/>
  <c r="M242" i="19"/>
  <c r="N243" i="19"/>
  <c r="M244" i="19"/>
  <c r="N245" i="19"/>
  <c r="M246" i="19"/>
  <c r="N247" i="19"/>
  <c r="L254" i="19"/>
  <c r="L256" i="19"/>
  <c r="L260" i="19"/>
  <c r="M262" i="19"/>
  <c r="M264" i="19"/>
  <c r="L266" i="19"/>
  <c r="M268" i="19"/>
  <c r="L274" i="19"/>
  <c r="M276" i="19"/>
  <c r="L282" i="19"/>
  <c r="M284" i="19"/>
  <c r="M292" i="19"/>
  <c r="M300" i="19"/>
  <c r="M308" i="19"/>
  <c r="N317" i="19"/>
  <c r="L317" i="19"/>
  <c r="P388" i="19"/>
  <c r="N388" i="19"/>
  <c r="P395" i="19"/>
  <c r="L395" i="19"/>
  <c r="P397" i="19"/>
  <c r="N397" i="19"/>
  <c r="P404" i="19"/>
  <c r="N404" i="19"/>
  <c r="I572" i="19"/>
  <c r="L318" i="19"/>
  <c r="N465" i="19"/>
  <c r="M23" i="19"/>
  <c r="P23" i="19"/>
  <c r="L23" i="19"/>
  <c r="N23" i="19"/>
  <c r="O23" i="19"/>
  <c r="M87" i="19"/>
  <c r="P87" i="19"/>
  <c r="L87" i="19"/>
  <c r="N87" i="19"/>
  <c r="O87" i="19"/>
  <c r="M96" i="19"/>
  <c r="P96" i="19"/>
  <c r="L96" i="19"/>
  <c r="N96" i="19"/>
  <c r="O96" i="19"/>
  <c r="M7" i="19"/>
  <c r="P7" i="19"/>
  <c r="L7" i="19"/>
  <c r="N7" i="19"/>
  <c r="O7" i="19"/>
  <c r="M39" i="19"/>
  <c r="P39" i="19"/>
  <c r="L39" i="19"/>
  <c r="N39" i="19"/>
  <c r="O39" i="19"/>
  <c r="M59" i="19"/>
  <c r="P59" i="19"/>
  <c r="L59" i="19"/>
  <c r="O59" i="19"/>
  <c r="N59" i="19"/>
  <c r="M43" i="19"/>
  <c r="P43" i="19"/>
  <c r="L43" i="19"/>
  <c r="O43" i="19"/>
  <c r="N43" i="19"/>
  <c r="M11" i="19"/>
  <c r="P11" i="19"/>
  <c r="L11" i="19"/>
  <c r="O11" i="19"/>
  <c r="N11" i="19"/>
  <c r="M55" i="19"/>
  <c r="P55" i="19"/>
  <c r="L55" i="19"/>
  <c r="N55" i="19"/>
  <c r="O55" i="19"/>
  <c r="M75" i="19"/>
  <c r="P75" i="19"/>
  <c r="L75" i="19"/>
  <c r="O75" i="19"/>
  <c r="N75" i="19"/>
  <c r="M27" i="19"/>
  <c r="P27" i="19"/>
  <c r="L27" i="19"/>
  <c r="O27" i="19"/>
  <c r="N27" i="19"/>
  <c r="M71" i="19"/>
  <c r="P71" i="19"/>
  <c r="L71" i="19"/>
  <c r="N71" i="19"/>
  <c r="O71" i="19"/>
  <c r="M91" i="19"/>
  <c r="P91" i="19"/>
  <c r="L91" i="19"/>
  <c r="O91" i="19"/>
  <c r="N91" i="19"/>
  <c r="M100" i="19"/>
  <c r="P100" i="19"/>
  <c r="L100" i="19"/>
  <c r="O100" i="19"/>
  <c r="N100" i="19"/>
  <c r="N38" i="19"/>
  <c r="M38" i="19"/>
  <c r="P84" i="19"/>
  <c r="L84" i="19"/>
  <c r="O84" i="19"/>
  <c r="N86" i="19"/>
  <c r="M86" i="19"/>
  <c r="N117" i="19"/>
  <c r="M117" i="19"/>
  <c r="P117" i="19"/>
  <c r="L117" i="19"/>
  <c r="M124" i="19"/>
  <c r="P124" i="19"/>
  <c r="L124" i="19"/>
  <c r="O124" i="19"/>
  <c r="P145" i="19"/>
  <c r="L145" i="19"/>
  <c r="M145" i="19"/>
  <c r="O145" i="19"/>
  <c r="P20" i="19"/>
  <c r="L20" i="19"/>
  <c r="O20" i="19"/>
  <c r="M63" i="19"/>
  <c r="P63" i="19"/>
  <c r="L63" i="19"/>
  <c r="N95" i="19"/>
  <c r="M95" i="19"/>
  <c r="P105" i="19"/>
  <c r="L105" i="19"/>
  <c r="O105" i="19"/>
  <c r="N105" i="19"/>
  <c r="M153" i="19"/>
  <c r="P153" i="19"/>
  <c r="L153" i="19"/>
  <c r="N153" i="19"/>
  <c r="O10" i="19"/>
  <c r="P16" i="19"/>
  <c r="L16" i="19"/>
  <c r="O16" i="19"/>
  <c r="N18" i="19"/>
  <c r="M18" i="19"/>
  <c r="M20" i="19"/>
  <c r="L22" i="19"/>
  <c r="O26" i="19"/>
  <c r="P32" i="19"/>
  <c r="L32" i="19"/>
  <c r="O32" i="19"/>
  <c r="N34" i="19"/>
  <c r="M34" i="19"/>
  <c r="L38" i="19"/>
  <c r="O42" i="19"/>
  <c r="P48" i="19"/>
  <c r="L48" i="19"/>
  <c r="O48" i="19"/>
  <c r="N50" i="19"/>
  <c r="M50" i="19"/>
  <c r="O58" i="19"/>
  <c r="N63" i="19"/>
  <c r="P64" i="19"/>
  <c r="L64" i="19"/>
  <c r="O64" i="19"/>
  <c r="N66" i="19"/>
  <c r="M66" i="19"/>
  <c r="O74" i="19"/>
  <c r="P80" i="19"/>
  <c r="L80" i="19"/>
  <c r="O80" i="19"/>
  <c r="N82" i="19"/>
  <c r="M82" i="19"/>
  <c r="M84" i="19"/>
  <c r="L86" i="19"/>
  <c r="O90" i="19"/>
  <c r="L95" i="19"/>
  <c r="O99" i="19"/>
  <c r="M105" i="19"/>
  <c r="O117" i="19"/>
  <c r="N123" i="19"/>
  <c r="M123" i="19"/>
  <c r="P123" i="19"/>
  <c r="L123" i="19"/>
  <c r="N124" i="19"/>
  <c r="M130" i="19"/>
  <c r="P130" i="19"/>
  <c r="L130" i="19"/>
  <c r="O130" i="19"/>
  <c r="P131" i="19"/>
  <c r="L131" i="19"/>
  <c r="O131" i="19"/>
  <c r="N131" i="19"/>
  <c r="M140" i="19"/>
  <c r="N140" i="19"/>
  <c r="L140" i="19"/>
  <c r="P140" i="19"/>
  <c r="N145" i="19"/>
  <c r="N148" i="19"/>
  <c r="M148" i="19"/>
  <c r="P148" i="19"/>
  <c r="O148" i="19"/>
  <c r="L148" i="19"/>
  <c r="O153" i="19"/>
  <c r="M155" i="19"/>
  <c r="P155" i="19"/>
  <c r="L155" i="19"/>
  <c r="O155" i="19"/>
  <c r="N155" i="19"/>
  <c r="M157" i="19"/>
  <c r="P157" i="19"/>
  <c r="L157" i="19"/>
  <c r="O157" i="19"/>
  <c r="N157" i="19"/>
  <c r="M159" i="19"/>
  <c r="P159" i="19"/>
  <c r="L159" i="19"/>
  <c r="O159" i="19"/>
  <c r="N159" i="19"/>
  <c r="M167" i="19"/>
  <c r="P167" i="19"/>
  <c r="L167" i="19"/>
  <c r="O167" i="19"/>
  <c r="N167" i="19"/>
  <c r="M175" i="19"/>
  <c r="P175" i="19"/>
  <c r="L175" i="19"/>
  <c r="O175" i="19"/>
  <c r="N175" i="19"/>
  <c r="M183" i="19"/>
  <c r="P183" i="19"/>
  <c r="L183" i="19"/>
  <c r="O183" i="19"/>
  <c r="N183" i="19"/>
  <c r="M191" i="19"/>
  <c r="P191" i="19"/>
  <c r="L191" i="19"/>
  <c r="O191" i="19"/>
  <c r="N191" i="19"/>
  <c r="M199" i="19"/>
  <c r="P199" i="19"/>
  <c r="L199" i="19"/>
  <c r="O199" i="19"/>
  <c r="N199" i="19"/>
  <c r="M207" i="19"/>
  <c r="P207" i="19"/>
  <c r="L207" i="19"/>
  <c r="O207" i="19"/>
  <c r="N207" i="19"/>
  <c r="M215" i="19"/>
  <c r="P215" i="19"/>
  <c r="L215" i="19"/>
  <c r="O215" i="19"/>
  <c r="N215" i="19"/>
  <c r="M223" i="19"/>
  <c r="P223" i="19"/>
  <c r="L223" i="19"/>
  <c r="O223" i="19"/>
  <c r="N223" i="19"/>
  <c r="M231" i="19"/>
  <c r="P231" i="19"/>
  <c r="L231" i="19"/>
  <c r="O231" i="19"/>
  <c r="N231" i="19"/>
  <c r="M31" i="19"/>
  <c r="P31" i="19"/>
  <c r="L31" i="19"/>
  <c r="P36" i="19"/>
  <c r="L36" i="19"/>
  <c r="O36" i="19"/>
  <c r="M47" i="19"/>
  <c r="P47" i="19"/>
  <c r="L47" i="19"/>
  <c r="P52" i="19"/>
  <c r="L52" i="19"/>
  <c r="O52" i="19"/>
  <c r="N54" i="19"/>
  <c r="M54" i="19"/>
  <c r="P68" i="19"/>
  <c r="L68" i="19"/>
  <c r="O68" i="19"/>
  <c r="N70" i="19"/>
  <c r="M70" i="19"/>
  <c r="M79" i="19"/>
  <c r="P79" i="19"/>
  <c r="L79" i="19"/>
  <c r="M104" i="19"/>
  <c r="P104" i="19"/>
  <c r="L104" i="19"/>
  <c r="O104" i="19"/>
  <c r="N108" i="19"/>
  <c r="M108" i="19"/>
  <c r="P108" i="19"/>
  <c r="L108" i="19"/>
  <c r="P126" i="19"/>
  <c r="L126" i="19"/>
  <c r="O126" i="19"/>
  <c r="N126" i="19"/>
  <c r="N137" i="19"/>
  <c r="M137" i="19"/>
  <c r="P137" i="19"/>
  <c r="L137" i="19"/>
  <c r="P141" i="19"/>
  <c r="L141" i="19"/>
  <c r="N141" i="19"/>
  <c r="M141" i="19"/>
  <c r="M144" i="19"/>
  <c r="L144" i="19"/>
  <c r="P144" i="19"/>
  <c r="O144" i="19"/>
  <c r="M151" i="19"/>
  <c r="P151" i="19"/>
  <c r="L151" i="19"/>
  <c r="O151" i="19"/>
  <c r="N151" i="19"/>
  <c r="N15" i="19"/>
  <c r="P12" i="19"/>
  <c r="L12" i="19"/>
  <c r="O12" i="19"/>
  <c r="N14" i="19"/>
  <c r="M14" i="19"/>
  <c r="M16" i="19"/>
  <c r="L18" i="19"/>
  <c r="N20" i="19"/>
  <c r="P28" i="19"/>
  <c r="L28" i="19"/>
  <c r="O28" i="19"/>
  <c r="N30" i="19"/>
  <c r="M30" i="19"/>
  <c r="O31" i="19"/>
  <c r="M32" i="19"/>
  <c r="L34" i="19"/>
  <c r="N36" i="19"/>
  <c r="O38" i="19"/>
  <c r="P44" i="19"/>
  <c r="L44" i="19"/>
  <c r="O44" i="19"/>
  <c r="N46" i="19"/>
  <c r="M46" i="19"/>
  <c r="O47" i="19"/>
  <c r="M48" i="19"/>
  <c r="L50" i="19"/>
  <c r="N52" i="19"/>
  <c r="O54" i="19"/>
  <c r="P60" i="19"/>
  <c r="L60" i="19"/>
  <c r="O60" i="19"/>
  <c r="N62" i="19"/>
  <c r="M62" i="19"/>
  <c r="O63" i="19"/>
  <c r="M64" i="19"/>
  <c r="L66" i="19"/>
  <c r="N68" i="19"/>
  <c r="O70" i="19"/>
  <c r="P76" i="19"/>
  <c r="L76" i="19"/>
  <c r="O76" i="19"/>
  <c r="N78" i="19"/>
  <c r="M78" i="19"/>
  <c r="O79" i="19"/>
  <c r="M80" i="19"/>
  <c r="L82" i="19"/>
  <c r="N84" i="19"/>
  <c r="O86" i="19"/>
  <c r="P92" i="19"/>
  <c r="L92" i="19"/>
  <c r="O92" i="19"/>
  <c r="O95" i="19"/>
  <c r="T105" i="19"/>
  <c r="P101" i="19"/>
  <c r="L101" i="19"/>
  <c r="O101" i="19"/>
  <c r="N103" i="19"/>
  <c r="M103" i="19"/>
  <c r="N112" i="19"/>
  <c r="M112" i="19"/>
  <c r="P112" i="19"/>
  <c r="L112" i="19"/>
  <c r="P115" i="19"/>
  <c r="L115" i="19"/>
  <c r="O115" i="19"/>
  <c r="N115" i="19"/>
  <c r="O123" i="19"/>
  <c r="N129" i="19"/>
  <c r="M129" i="19"/>
  <c r="P129" i="19"/>
  <c r="L129" i="19"/>
  <c r="N130" i="19"/>
  <c r="M131" i="19"/>
  <c r="M134" i="19"/>
  <c r="P134" i="19"/>
  <c r="L134" i="19"/>
  <c r="O134" i="19"/>
  <c r="P135" i="19"/>
  <c r="L135" i="19"/>
  <c r="O135" i="19"/>
  <c r="N135" i="19"/>
  <c r="O140" i="19"/>
  <c r="M152" i="19"/>
  <c r="P152" i="19"/>
  <c r="L152" i="19"/>
  <c r="O152" i="19"/>
  <c r="N152" i="19"/>
  <c r="M15" i="19"/>
  <c r="P15" i="19"/>
  <c r="L15" i="19"/>
  <c r="N22" i="19"/>
  <c r="M22" i="19"/>
  <c r="P8" i="19"/>
  <c r="P570" i="19" s="1"/>
  <c r="L8" i="19"/>
  <c r="L570" i="19" s="1"/>
  <c r="O8" i="19"/>
  <c r="O570" i="19" s="1"/>
  <c r="N10" i="19"/>
  <c r="M10" i="19"/>
  <c r="M19" i="19"/>
  <c r="P19" i="19"/>
  <c r="L19" i="19"/>
  <c r="P22" i="19"/>
  <c r="P24" i="19"/>
  <c r="L24" i="19"/>
  <c r="O24" i="19"/>
  <c r="N26" i="19"/>
  <c r="M26" i="19"/>
  <c r="M35" i="19"/>
  <c r="P35" i="19"/>
  <c r="L35" i="19"/>
  <c r="P38" i="19"/>
  <c r="P40" i="19"/>
  <c r="L40" i="19"/>
  <c r="O40" i="19"/>
  <c r="N42" i="19"/>
  <c r="M42" i="19"/>
  <c r="M51" i="19"/>
  <c r="P51" i="19"/>
  <c r="L51" i="19"/>
  <c r="P54" i="19"/>
  <c r="P56" i="19"/>
  <c r="L56" i="19"/>
  <c r="O56" i="19"/>
  <c r="N58" i="19"/>
  <c r="M58" i="19"/>
  <c r="M67" i="19"/>
  <c r="P67" i="19"/>
  <c r="L67" i="19"/>
  <c r="P70" i="19"/>
  <c r="P72" i="19"/>
  <c r="L72" i="19"/>
  <c r="O72" i="19"/>
  <c r="N74" i="19"/>
  <c r="M74" i="19"/>
  <c r="M83" i="19"/>
  <c r="P83" i="19"/>
  <c r="L83" i="19"/>
  <c r="P86" i="19"/>
  <c r="P88" i="19"/>
  <c r="L88" i="19"/>
  <c r="O88" i="19"/>
  <c r="N90" i="19"/>
  <c r="M90" i="19"/>
  <c r="P95" i="19"/>
  <c r="P97" i="19"/>
  <c r="L97" i="19"/>
  <c r="O97" i="19"/>
  <c r="N99" i="19"/>
  <c r="M99" i="19"/>
  <c r="M109" i="19"/>
  <c r="P109" i="19"/>
  <c r="L109" i="19"/>
  <c r="O109" i="19"/>
  <c r="P110" i="19"/>
  <c r="L110" i="19"/>
  <c r="O110" i="19"/>
  <c r="M118" i="19"/>
  <c r="P118" i="19"/>
  <c r="L118" i="19"/>
  <c r="O118" i="19"/>
  <c r="P119" i="19"/>
  <c r="L119" i="19"/>
  <c r="O119" i="19"/>
  <c r="N119" i="19"/>
  <c r="N133" i="19"/>
  <c r="M133" i="19"/>
  <c r="P133" i="19"/>
  <c r="L133" i="19"/>
  <c r="M138" i="19"/>
  <c r="P138" i="19"/>
  <c r="L138" i="19"/>
  <c r="O138" i="19"/>
  <c r="P146" i="19"/>
  <c r="L146" i="19"/>
  <c r="O146" i="19"/>
  <c r="N146" i="19"/>
  <c r="M146" i="19"/>
  <c r="M149" i="19"/>
  <c r="P149" i="19"/>
  <c r="L149" i="19"/>
  <c r="N149" i="19"/>
  <c r="M156" i="19"/>
  <c r="P156" i="19"/>
  <c r="L156" i="19"/>
  <c r="O156" i="19"/>
  <c r="N156" i="19"/>
  <c r="M163" i="19"/>
  <c r="P163" i="19"/>
  <c r="L163" i="19"/>
  <c r="O163" i="19"/>
  <c r="N163" i="19"/>
  <c r="M171" i="19"/>
  <c r="P171" i="19"/>
  <c r="L171" i="19"/>
  <c r="O171" i="19"/>
  <c r="N171" i="19"/>
  <c r="M179" i="19"/>
  <c r="P179" i="19"/>
  <c r="L179" i="19"/>
  <c r="O179" i="19"/>
  <c r="N179" i="19"/>
  <c r="M187" i="19"/>
  <c r="P187" i="19"/>
  <c r="L187" i="19"/>
  <c r="O187" i="19"/>
  <c r="N187" i="19"/>
  <c r="M195" i="19"/>
  <c r="P195" i="19"/>
  <c r="L195" i="19"/>
  <c r="O195" i="19"/>
  <c r="N195" i="19"/>
  <c r="M203" i="19"/>
  <c r="P203" i="19"/>
  <c r="L203" i="19"/>
  <c r="O203" i="19"/>
  <c r="N203" i="19"/>
  <c r="M211" i="19"/>
  <c r="P211" i="19"/>
  <c r="L211" i="19"/>
  <c r="O211" i="19"/>
  <c r="N211" i="19"/>
  <c r="M219" i="19"/>
  <c r="P219" i="19"/>
  <c r="L219" i="19"/>
  <c r="O219" i="19"/>
  <c r="N219" i="19"/>
  <c r="M227" i="19"/>
  <c r="P227" i="19"/>
  <c r="L227" i="19"/>
  <c r="O227" i="19"/>
  <c r="N227" i="19"/>
  <c r="M158" i="19"/>
  <c r="P158" i="19"/>
  <c r="L158" i="19"/>
  <c r="O158" i="19"/>
  <c r="M162" i="19"/>
  <c r="P162" i="19"/>
  <c r="L162" i="19"/>
  <c r="O162" i="19"/>
  <c r="M166" i="19"/>
  <c r="P166" i="19"/>
  <c r="L166" i="19"/>
  <c r="O166" i="19"/>
  <c r="M170" i="19"/>
  <c r="P170" i="19"/>
  <c r="L170" i="19"/>
  <c r="O170" i="19"/>
  <c r="M174" i="19"/>
  <c r="P174" i="19"/>
  <c r="L174" i="19"/>
  <c r="O174" i="19"/>
  <c r="M178" i="19"/>
  <c r="P178" i="19"/>
  <c r="L178" i="19"/>
  <c r="O178" i="19"/>
  <c r="M182" i="19"/>
  <c r="P182" i="19"/>
  <c r="L182" i="19"/>
  <c r="O182" i="19"/>
  <c r="M186" i="19"/>
  <c r="P186" i="19"/>
  <c r="L186" i="19"/>
  <c r="O186" i="19"/>
  <c r="M190" i="19"/>
  <c r="P190" i="19"/>
  <c r="L190" i="19"/>
  <c r="O190" i="19"/>
  <c r="M194" i="19"/>
  <c r="P194" i="19"/>
  <c r="L194" i="19"/>
  <c r="O194" i="19"/>
  <c r="M198" i="19"/>
  <c r="P198" i="19"/>
  <c r="L198" i="19"/>
  <c r="O198" i="19"/>
  <c r="M202" i="19"/>
  <c r="P202" i="19"/>
  <c r="L202" i="19"/>
  <c r="O202" i="19"/>
  <c r="M206" i="19"/>
  <c r="P206" i="19"/>
  <c r="L206" i="19"/>
  <c r="O206" i="19"/>
  <c r="M210" i="19"/>
  <c r="P210" i="19"/>
  <c r="L210" i="19"/>
  <c r="O210" i="19"/>
  <c r="M214" i="19"/>
  <c r="P214" i="19"/>
  <c r="L214" i="19"/>
  <c r="O214" i="19"/>
  <c r="M218" i="19"/>
  <c r="P218" i="19"/>
  <c r="L218" i="19"/>
  <c r="O218" i="19"/>
  <c r="M222" i="19"/>
  <c r="P222" i="19"/>
  <c r="L222" i="19"/>
  <c r="O222" i="19"/>
  <c r="M226" i="19"/>
  <c r="P226" i="19"/>
  <c r="L226" i="19"/>
  <c r="O226" i="19"/>
  <c r="M230" i="19"/>
  <c r="P230" i="19"/>
  <c r="L230" i="19"/>
  <c r="O230" i="19"/>
  <c r="O259" i="19"/>
  <c r="M259" i="19"/>
  <c r="L259" i="19"/>
  <c r="P259" i="19"/>
  <c r="N259" i="19"/>
  <c r="M457" i="19"/>
  <c r="N457" i="19"/>
  <c r="L457" i="19"/>
  <c r="P457" i="19"/>
  <c r="O457" i="19"/>
  <c r="M470" i="19"/>
  <c r="O470" i="19"/>
  <c r="L470" i="19"/>
  <c r="P470" i="19"/>
  <c r="N470" i="19"/>
  <c r="M478" i="19"/>
  <c r="O478" i="19"/>
  <c r="L478" i="19"/>
  <c r="P478" i="19"/>
  <c r="N478" i="19"/>
  <c r="M486" i="19"/>
  <c r="O486" i="19"/>
  <c r="L486" i="19"/>
  <c r="P486" i="19"/>
  <c r="N486" i="19"/>
  <c r="M494" i="19"/>
  <c r="O494" i="19"/>
  <c r="L494" i="19"/>
  <c r="P494" i="19"/>
  <c r="N494" i="19"/>
  <c r="M502" i="19"/>
  <c r="O502" i="19"/>
  <c r="L502" i="19"/>
  <c r="P502" i="19"/>
  <c r="N502" i="19"/>
  <c r="M510" i="19"/>
  <c r="O510" i="19"/>
  <c r="L510" i="19"/>
  <c r="P510" i="19"/>
  <c r="N510" i="19"/>
  <c r="M518" i="19"/>
  <c r="O518" i="19"/>
  <c r="L518" i="19"/>
  <c r="P518" i="19"/>
  <c r="N518" i="19"/>
  <c r="P521" i="19"/>
  <c r="L521" i="19"/>
  <c r="M521" i="19"/>
  <c r="O521" i="19"/>
  <c r="N521" i="19"/>
  <c r="P529" i="19"/>
  <c r="L529" i="19"/>
  <c r="N529" i="19"/>
  <c r="M529" i="19"/>
  <c r="O529" i="19"/>
  <c r="P542" i="19"/>
  <c r="L542" i="19"/>
  <c r="O542" i="19"/>
  <c r="M542" i="19"/>
  <c r="N542" i="19"/>
  <c r="M550" i="19"/>
  <c r="P550" i="19"/>
  <c r="L550" i="19"/>
  <c r="O550" i="19"/>
  <c r="N550" i="19"/>
  <c r="N9" i="19"/>
  <c r="N13" i="19"/>
  <c r="N17" i="19"/>
  <c r="N21" i="19"/>
  <c r="N25" i="19"/>
  <c r="N29" i="19"/>
  <c r="N33" i="19"/>
  <c r="N37" i="19"/>
  <c r="N41" i="19"/>
  <c r="N45" i="19"/>
  <c r="N49" i="19"/>
  <c r="N53" i="19"/>
  <c r="N57" i="19"/>
  <c r="N61" i="19"/>
  <c r="N65" i="19"/>
  <c r="N69" i="19"/>
  <c r="N73" i="19"/>
  <c r="N77" i="19"/>
  <c r="N81" i="19"/>
  <c r="N85" i="19"/>
  <c r="N89" i="19"/>
  <c r="N98" i="19"/>
  <c r="N102" i="19"/>
  <c r="N111" i="19"/>
  <c r="N116" i="19"/>
  <c r="N120" i="19"/>
  <c r="N127" i="19"/>
  <c r="N132" i="19"/>
  <c r="N136" i="19"/>
  <c r="P139" i="19"/>
  <c r="N142" i="19"/>
  <c r="O143" i="19"/>
  <c r="N158" i="19"/>
  <c r="M161" i="19"/>
  <c r="P161" i="19"/>
  <c r="L161" i="19"/>
  <c r="O161" i="19"/>
  <c r="N162" i="19"/>
  <c r="M165" i="19"/>
  <c r="P165" i="19"/>
  <c r="L165" i="19"/>
  <c r="O165" i="19"/>
  <c r="N166" i="19"/>
  <c r="M169" i="19"/>
  <c r="P169" i="19"/>
  <c r="L169" i="19"/>
  <c r="O169" i="19"/>
  <c r="N170" i="19"/>
  <c r="M173" i="19"/>
  <c r="P173" i="19"/>
  <c r="L173" i="19"/>
  <c r="O173" i="19"/>
  <c r="N174" i="19"/>
  <c r="M177" i="19"/>
  <c r="P177" i="19"/>
  <c r="L177" i="19"/>
  <c r="O177" i="19"/>
  <c r="N178" i="19"/>
  <c r="M181" i="19"/>
  <c r="P181" i="19"/>
  <c r="L181" i="19"/>
  <c r="O181" i="19"/>
  <c r="N182" i="19"/>
  <c r="M185" i="19"/>
  <c r="P185" i="19"/>
  <c r="L185" i="19"/>
  <c r="O185" i="19"/>
  <c r="N186" i="19"/>
  <c r="M189" i="19"/>
  <c r="P189" i="19"/>
  <c r="L189" i="19"/>
  <c r="O189" i="19"/>
  <c r="N190" i="19"/>
  <c r="M193" i="19"/>
  <c r="P193" i="19"/>
  <c r="L193" i="19"/>
  <c r="O193" i="19"/>
  <c r="N194" i="19"/>
  <c r="M197" i="19"/>
  <c r="P197" i="19"/>
  <c r="L197" i="19"/>
  <c r="O197" i="19"/>
  <c r="N198" i="19"/>
  <c r="M201" i="19"/>
  <c r="P201" i="19"/>
  <c r="L201" i="19"/>
  <c r="O201" i="19"/>
  <c r="N202" i="19"/>
  <c r="M205" i="19"/>
  <c r="P205" i="19"/>
  <c r="L205" i="19"/>
  <c r="O205" i="19"/>
  <c r="N206" i="19"/>
  <c r="M209" i="19"/>
  <c r="P209" i="19"/>
  <c r="L209" i="19"/>
  <c r="O209" i="19"/>
  <c r="N210" i="19"/>
  <c r="M213" i="19"/>
  <c r="P213" i="19"/>
  <c r="L213" i="19"/>
  <c r="O213" i="19"/>
  <c r="N214" i="19"/>
  <c r="M217" i="19"/>
  <c r="P217" i="19"/>
  <c r="L217" i="19"/>
  <c r="O217" i="19"/>
  <c r="N218" i="19"/>
  <c r="M221" i="19"/>
  <c r="P221" i="19"/>
  <c r="L221" i="19"/>
  <c r="O221" i="19"/>
  <c r="N222" i="19"/>
  <c r="M225" i="19"/>
  <c r="P225" i="19"/>
  <c r="L225" i="19"/>
  <c r="O225" i="19"/>
  <c r="N226" i="19"/>
  <c r="M229" i="19"/>
  <c r="P229" i="19"/>
  <c r="L229" i="19"/>
  <c r="O229" i="19"/>
  <c r="N230" i="19"/>
  <c r="P142" i="19"/>
  <c r="P143" i="19"/>
  <c r="M150" i="19"/>
  <c r="P150" i="19"/>
  <c r="L150" i="19"/>
  <c r="M154" i="19"/>
  <c r="P154" i="19"/>
  <c r="L154" i="19"/>
  <c r="M160" i="19"/>
  <c r="P160" i="19"/>
  <c r="L160" i="19"/>
  <c r="O160" i="19"/>
  <c r="M164" i="19"/>
  <c r="P164" i="19"/>
  <c r="L164" i="19"/>
  <c r="O164" i="19"/>
  <c r="M168" i="19"/>
  <c r="P168" i="19"/>
  <c r="L168" i="19"/>
  <c r="O168" i="19"/>
  <c r="M172" i="19"/>
  <c r="P172" i="19"/>
  <c r="L172" i="19"/>
  <c r="O172" i="19"/>
  <c r="M176" i="19"/>
  <c r="P176" i="19"/>
  <c r="L176" i="19"/>
  <c r="O176" i="19"/>
  <c r="M180" i="19"/>
  <c r="P180" i="19"/>
  <c r="L180" i="19"/>
  <c r="O180" i="19"/>
  <c r="M184" i="19"/>
  <c r="P184" i="19"/>
  <c r="L184" i="19"/>
  <c r="O184" i="19"/>
  <c r="M188" i="19"/>
  <c r="P188" i="19"/>
  <c r="L188" i="19"/>
  <c r="O188" i="19"/>
  <c r="M192" i="19"/>
  <c r="P192" i="19"/>
  <c r="L192" i="19"/>
  <c r="O192" i="19"/>
  <c r="M196" i="19"/>
  <c r="P196" i="19"/>
  <c r="L196" i="19"/>
  <c r="O196" i="19"/>
  <c r="M200" i="19"/>
  <c r="P200" i="19"/>
  <c r="L200" i="19"/>
  <c r="O200" i="19"/>
  <c r="M204" i="19"/>
  <c r="P204" i="19"/>
  <c r="L204" i="19"/>
  <c r="O204" i="19"/>
  <c r="M208" i="19"/>
  <c r="P208" i="19"/>
  <c r="L208" i="19"/>
  <c r="O208" i="19"/>
  <c r="M212" i="19"/>
  <c r="P212" i="19"/>
  <c r="L212" i="19"/>
  <c r="O212" i="19"/>
  <c r="M216" i="19"/>
  <c r="P216" i="19"/>
  <c r="L216" i="19"/>
  <c r="O216" i="19"/>
  <c r="M220" i="19"/>
  <c r="P220" i="19"/>
  <c r="L220" i="19"/>
  <c r="O220" i="19"/>
  <c r="M224" i="19"/>
  <c r="P224" i="19"/>
  <c r="L224" i="19"/>
  <c r="O224" i="19"/>
  <c r="M228" i="19"/>
  <c r="P228" i="19"/>
  <c r="L228" i="19"/>
  <c r="O228" i="19"/>
  <c r="O232" i="19"/>
  <c r="M232" i="19"/>
  <c r="L232" i="19"/>
  <c r="P232" i="19"/>
  <c r="O249" i="19"/>
  <c r="N249" i="19"/>
  <c r="P249" i="19"/>
  <c r="M249" i="19"/>
  <c r="L249" i="19"/>
  <c r="O267" i="19"/>
  <c r="M267" i="19"/>
  <c r="L267" i="19"/>
  <c r="P267" i="19"/>
  <c r="N267" i="19"/>
  <c r="P234" i="19"/>
  <c r="P236" i="19"/>
  <c r="P238" i="19"/>
  <c r="P240" i="19"/>
  <c r="P243" i="19"/>
  <c r="P245" i="19"/>
  <c r="P247" i="19"/>
  <c r="O250" i="19"/>
  <c r="P250" i="19"/>
  <c r="N250" i="19"/>
  <c r="O251" i="19"/>
  <c r="M251" i="19"/>
  <c r="L251" i="19"/>
  <c r="O253" i="19"/>
  <c r="M253" i="19"/>
  <c r="L253" i="19"/>
  <c r="O261" i="19"/>
  <c r="M261" i="19"/>
  <c r="L261" i="19"/>
  <c r="O269" i="19"/>
  <c r="N269" i="19"/>
  <c r="M269" i="19"/>
  <c r="L269" i="19"/>
  <c r="O271" i="19"/>
  <c r="N271" i="19"/>
  <c r="M271" i="19"/>
  <c r="L271" i="19"/>
  <c r="O273" i="19"/>
  <c r="N273" i="19"/>
  <c r="M273" i="19"/>
  <c r="L273" i="19"/>
  <c r="O275" i="19"/>
  <c r="N275" i="19"/>
  <c r="M275" i="19"/>
  <c r="L275" i="19"/>
  <c r="O277" i="19"/>
  <c r="N277" i="19"/>
  <c r="M277" i="19"/>
  <c r="L277" i="19"/>
  <c r="O279" i="19"/>
  <c r="N279" i="19"/>
  <c r="M279" i="19"/>
  <c r="L279" i="19"/>
  <c r="O281" i="19"/>
  <c r="N281" i="19"/>
  <c r="M281" i="19"/>
  <c r="L281" i="19"/>
  <c r="O283" i="19"/>
  <c r="N283" i="19"/>
  <c r="M283" i="19"/>
  <c r="L283" i="19"/>
  <c r="O285" i="19"/>
  <c r="N285" i="19"/>
  <c r="M285" i="19"/>
  <c r="L285" i="19"/>
  <c r="O287" i="19"/>
  <c r="N287" i="19"/>
  <c r="M287" i="19"/>
  <c r="L287" i="19"/>
  <c r="O289" i="19"/>
  <c r="N289" i="19"/>
  <c r="M289" i="19"/>
  <c r="L289" i="19"/>
  <c r="O291" i="19"/>
  <c r="N291" i="19"/>
  <c r="M291" i="19"/>
  <c r="L291" i="19"/>
  <c r="O293" i="19"/>
  <c r="N293" i="19"/>
  <c r="M293" i="19"/>
  <c r="L293" i="19"/>
  <c r="O295" i="19"/>
  <c r="N295" i="19"/>
  <c r="M295" i="19"/>
  <c r="L295" i="19"/>
  <c r="O297" i="19"/>
  <c r="N297" i="19"/>
  <c r="M297" i="19"/>
  <c r="L297" i="19"/>
  <c r="O299" i="19"/>
  <c r="N299" i="19"/>
  <c r="M299" i="19"/>
  <c r="L299" i="19"/>
  <c r="O301" i="19"/>
  <c r="N301" i="19"/>
  <c r="M301" i="19"/>
  <c r="L301" i="19"/>
  <c r="O303" i="19"/>
  <c r="N303" i="19"/>
  <c r="M303" i="19"/>
  <c r="L303" i="19"/>
  <c r="O305" i="19"/>
  <c r="N305" i="19"/>
  <c r="M305" i="19"/>
  <c r="L305" i="19"/>
  <c r="O307" i="19"/>
  <c r="N307" i="19"/>
  <c r="M307" i="19"/>
  <c r="L307" i="19"/>
  <c r="O309" i="19"/>
  <c r="N309" i="19"/>
  <c r="M309" i="19"/>
  <c r="L309" i="19"/>
  <c r="O311" i="19"/>
  <c r="M311" i="19"/>
  <c r="P311" i="19"/>
  <c r="N311" i="19"/>
  <c r="L311" i="19"/>
  <c r="O319" i="19"/>
  <c r="M319" i="19"/>
  <c r="P319" i="19"/>
  <c r="N319" i="19"/>
  <c r="L319" i="19"/>
  <c r="N147" i="19"/>
  <c r="L234" i="19"/>
  <c r="L236" i="19"/>
  <c r="L238" i="19"/>
  <c r="L240" i="19"/>
  <c r="L243" i="19"/>
  <c r="L245" i="19"/>
  <c r="L247" i="19"/>
  <c r="L250" i="19"/>
  <c r="N251" i="19"/>
  <c r="N253" i="19"/>
  <c r="O255" i="19"/>
  <c r="M255" i="19"/>
  <c r="L255" i="19"/>
  <c r="N261" i="19"/>
  <c r="O263" i="19"/>
  <c r="M263" i="19"/>
  <c r="L263" i="19"/>
  <c r="P269" i="19"/>
  <c r="P271" i="19"/>
  <c r="P273" i="19"/>
  <c r="P275" i="19"/>
  <c r="P277" i="19"/>
  <c r="P279" i="19"/>
  <c r="P281" i="19"/>
  <c r="P283" i="19"/>
  <c r="P285" i="19"/>
  <c r="P287" i="19"/>
  <c r="P289" i="19"/>
  <c r="P291" i="19"/>
  <c r="P293" i="19"/>
  <c r="P295" i="19"/>
  <c r="P297" i="19"/>
  <c r="P299" i="19"/>
  <c r="P301" i="19"/>
  <c r="P303" i="19"/>
  <c r="P305" i="19"/>
  <c r="P307" i="19"/>
  <c r="P309" i="19"/>
  <c r="P233" i="19"/>
  <c r="M234" i="19"/>
  <c r="P235" i="19"/>
  <c r="M236" i="19"/>
  <c r="P237" i="19"/>
  <c r="M238" i="19"/>
  <c r="P239" i="19"/>
  <c r="M240" i="19"/>
  <c r="P242" i="19"/>
  <c r="M243" i="19"/>
  <c r="P244" i="19"/>
  <c r="M245" i="19"/>
  <c r="P246" i="19"/>
  <c r="M247" i="19"/>
  <c r="O248" i="19"/>
  <c r="N248" i="19"/>
  <c r="M250" i="19"/>
  <c r="P251" i="19"/>
  <c r="P253" i="19"/>
  <c r="N255" i="19"/>
  <c r="O257" i="19"/>
  <c r="M257" i="19"/>
  <c r="L257" i="19"/>
  <c r="P261" i="19"/>
  <c r="N263" i="19"/>
  <c r="O265" i="19"/>
  <c r="M265" i="19"/>
  <c r="L265" i="19"/>
  <c r="O315" i="19"/>
  <c r="M315" i="19"/>
  <c r="P315" i="19"/>
  <c r="N315" i="19"/>
  <c r="L315" i="19"/>
  <c r="O323" i="19"/>
  <c r="M323" i="19"/>
  <c r="P323" i="19"/>
  <c r="N323" i="19"/>
  <c r="L323" i="19"/>
  <c r="N252" i="19"/>
  <c r="O312" i="19"/>
  <c r="M312" i="19"/>
  <c r="N314" i="19"/>
  <c r="O316" i="19"/>
  <c r="M316" i="19"/>
  <c r="N318" i="19"/>
  <c r="O320" i="19"/>
  <c r="M320" i="19"/>
  <c r="N322" i="19"/>
  <c r="O324" i="19"/>
  <c r="N324" i="19"/>
  <c r="M324" i="19"/>
  <c r="O325" i="19"/>
  <c r="N325" i="19"/>
  <c r="M325" i="19"/>
  <c r="O326" i="19"/>
  <c r="N326" i="19"/>
  <c r="M326" i="19"/>
  <c r="O327" i="19"/>
  <c r="N327" i="19"/>
  <c r="M327" i="19"/>
  <c r="O328" i="19"/>
  <c r="N328" i="19"/>
  <c r="M328" i="19"/>
  <c r="O329" i="19"/>
  <c r="N329" i="19"/>
  <c r="M329" i="19"/>
  <c r="O330" i="19"/>
  <c r="N330" i="19"/>
  <c r="M330" i="19"/>
  <c r="O331" i="19"/>
  <c r="N331" i="19"/>
  <c r="M331" i="19"/>
  <c r="O332" i="19"/>
  <c r="N332" i="19"/>
  <c r="M332" i="19"/>
  <c r="O333" i="19"/>
  <c r="N333" i="19"/>
  <c r="M333" i="19"/>
  <c r="O334" i="19"/>
  <c r="N334" i="19"/>
  <c r="M334" i="19"/>
  <c r="O335" i="19"/>
  <c r="N335" i="19"/>
  <c r="M335" i="19"/>
  <c r="O336" i="19"/>
  <c r="N336" i="19"/>
  <c r="M336" i="19"/>
  <c r="O337" i="19"/>
  <c r="N337" i="19"/>
  <c r="M337" i="19"/>
  <c r="O338" i="19"/>
  <c r="N338" i="19"/>
  <c r="M338" i="19"/>
  <c r="O339" i="19"/>
  <c r="N339" i="19"/>
  <c r="M339" i="19"/>
  <c r="O340" i="19"/>
  <c r="N340" i="19"/>
  <c r="M340" i="19"/>
  <c r="O341" i="19"/>
  <c r="N341" i="19"/>
  <c r="M341" i="19"/>
  <c r="O342" i="19"/>
  <c r="N342" i="19"/>
  <c r="M342" i="19"/>
  <c r="O343" i="19"/>
  <c r="N343" i="19"/>
  <c r="M343" i="19"/>
  <c r="O344" i="19"/>
  <c r="N344" i="19"/>
  <c r="M344" i="19"/>
  <c r="O345" i="19"/>
  <c r="N345" i="19"/>
  <c r="M345" i="19"/>
  <c r="O346" i="19"/>
  <c r="N346" i="19"/>
  <c r="M346" i="19"/>
  <c r="O347" i="19"/>
  <c r="N347" i="19"/>
  <c r="M347" i="19"/>
  <c r="O348" i="19"/>
  <c r="N348" i="19"/>
  <c r="M348" i="19"/>
  <c r="O349" i="19"/>
  <c r="N349" i="19"/>
  <c r="M349" i="19"/>
  <c r="O350" i="19"/>
  <c r="N350" i="19"/>
  <c r="M350" i="19"/>
  <c r="O351" i="19"/>
  <c r="N351" i="19"/>
  <c r="M351" i="19"/>
  <c r="O352" i="19"/>
  <c r="N352" i="19"/>
  <c r="M352" i="19"/>
  <c r="O353" i="19"/>
  <c r="N353" i="19"/>
  <c r="M353" i="19"/>
  <c r="O354" i="19"/>
  <c r="N354" i="19"/>
  <c r="M354" i="19"/>
  <c r="O355" i="19"/>
  <c r="N355" i="19"/>
  <c r="M355" i="19"/>
  <c r="O356" i="19"/>
  <c r="N356" i="19"/>
  <c r="M356" i="19"/>
  <c r="O357" i="19"/>
  <c r="N357" i="19"/>
  <c r="M357" i="19"/>
  <c r="O358" i="19"/>
  <c r="N358" i="19"/>
  <c r="M358" i="19"/>
  <c r="O359" i="19"/>
  <c r="N359" i="19"/>
  <c r="M359" i="19"/>
  <c r="O360" i="19"/>
  <c r="N360" i="19"/>
  <c r="M360" i="19"/>
  <c r="O361" i="19"/>
  <c r="N361" i="19"/>
  <c r="M361" i="19"/>
  <c r="O362" i="19"/>
  <c r="N362" i="19"/>
  <c r="M362" i="19"/>
  <c r="O363" i="19"/>
  <c r="N363" i="19"/>
  <c r="M363" i="19"/>
  <c r="O364" i="19"/>
  <c r="N364" i="19"/>
  <c r="M364" i="19"/>
  <c r="O365" i="19"/>
  <c r="N365" i="19"/>
  <c r="M365" i="19"/>
  <c r="O366" i="19"/>
  <c r="N366" i="19"/>
  <c r="M366" i="19"/>
  <c r="O367" i="19"/>
  <c r="N367" i="19"/>
  <c r="M367" i="19"/>
  <c r="O368" i="19"/>
  <c r="N368" i="19"/>
  <c r="M368" i="19"/>
  <c r="O369" i="19"/>
  <c r="N369" i="19"/>
  <c r="M369" i="19"/>
  <c r="O370" i="19"/>
  <c r="N370" i="19"/>
  <c r="M370" i="19"/>
  <c r="O371" i="19"/>
  <c r="N371" i="19"/>
  <c r="M371" i="19"/>
  <c r="O372" i="19"/>
  <c r="N372" i="19"/>
  <c r="M372" i="19"/>
  <c r="O373" i="19"/>
  <c r="N373" i="19"/>
  <c r="M373" i="19"/>
  <c r="O374" i="19"/>
  <c r="N374" i="19"/>
  <c r="M374" i="19"/>
  <c r="O375" i="19"/>
  <c r="N375" i="19"/>
  <c r="M375" i="19"/>
  <c r="O376" i="19"/>
  <c r="N376" i="19"/>
  <c r="M376" i="19"/>
  <c r="O377" i="19"/>
  <c r="N377" i="19"/>
  <c r="M377" i="19"/>
  <c r="O378" i="19"/>
  <c r="N378" i="19"/>
  <c r="M378" i="19"/>
  <c r="O379" i="19"/>
  <c r="N379" i="19"/>
  <c r="M379" i="19"/>
  <c r="O380" i="19"/>
  <c r="N380" i="19"/>
  <c r="M380" i="19"/>
  <c r="O381" i="19"/>
  <c r="N381" i="19"/>
  <c r="M381" i="19"/>
  <c r="O382" i="19"/>
  <c r="N382" i="19"/>
  <c r="M382" i="19"/>
  <c r="O383" i="19"/>
  <c r="N383" i="19"/>
  <c r="M383" i="19"/>
  <c r="O384" i="19"/>
  <c r="N384" i="19"/>
  <c r="M384" i="19"/>
  <c r="O385" i="19"/>
  <c r="N385" i="19"/>
  <c r="M385" i="19"/>
  <c r="O386" i="19"/>
  <c r="N386" i="19"/>
  <c r="M386" i="19"/>
  <c r="O387" i="19"/>
  <c r="N387" i="19"/>
  <c r="M387" i="19"/>
  <c r="O390" i="19"/>
  <c r="M390" i="19"/>
  <c r="P390" i="19"/>
  <c r="N390" i="19"/>
  <c r="L390" i="19"/>
  <c r="O398" i="19"/>
  <c r="M398" i="19"/>
  <c r="P398" i="19"/>
  <c r="N398" i="19"/>
  <c r="L398" i="19"/>
  <c r="O406" i="19"/>
  <c r="M406" i="19"/>
  <c r="P406" i="19"/>
  <c r="N406" i="19"/>
  <c r="L406" i="19"/>
  <c r="P252" i="19"/>
  <c r="P254" i="19"/>
  <c r="P256" i="19"/>
  <c r="P258" i="19"/>
  <c r="P260" i="19"/>
  <c r="P262" i="19"/>
  <c r="P264" i="19"/>
  <c r="P266" i="19"/>
  <c r="P268" i="19"/>
  <c r="P270" i="19"/>
  <c r="P272" i="19"/>
  <c r="P274" i="19"/>
  <c r="P276" i="19"/>
  <c r="P278" i="19"/>
  <c r="P280" i="19"/>
  <c r="P282" i="19"/>
  <c r="P284" i="19"/>
  <c r="P286" i="19"/>
  <c r="P288" i="19"/>
  <c r="P290" i="19"/>
  <c r="P292" i="19"/>
  <c r="P294" i="19"/>
  <c r="P296" i="19"/>
  <c r="P298" i="19"/>
  <c r="P300" i="19"/>
  <c r="P302" i="19"/>
  <c r="P304" i="19"/>
  <c r="P306" i="19"/>
  <c r="P308" i="19"/>
  <c r="P310" i="19"/>
  <c r="L312" i="19"/>
  <c r="O313" i="19"/>
  <c r="M313" i="19"/>
  <c r="L316" i="19"/>
  <c r="O317" i="19"/>
  <c r="M317" i="19"/>
  <c r="L320" i="19"/>
  <c r="O321" i="19"/>
  <c r="M321" i="19"/>
  <c r="L324" i="19"/>
  <c r="L325" i="19"/>
  <c r="L326" i="19"/>
  <c r="L327" i="19"/>
  <c r="L328" i="19"/>
  <c r="L329" i="19"/>
  <c r="L330" i="19"/>
  <c r="L331" i="19"/>
  <c r="L332" i="19"/>
  <c r="L333" i="19"/>
  <c r="L334" i="19"/>
  <c r="L335" i="19"/>
  <c r="L336" i="19"/>
  <c r="L337" i="19"/>
  <c r="L338" i="19"/>
  <c r="L339" i="19"/>
  <c r="L340" i="19"/>
  <c r="L341" i="19"/>
  <c r="L342" i="19"/>
  <c r="L343" i="19"/>
  <c r="L344" i="19"/>
  <c r="L345" i="19"/>
  <c r="L346" i="19"/>
  <c r="L347" i="19"/>
  <c r="L348" i="19"/>
  <c r="L349" i="19"/>
  <c r="L350" i="19"/>
  <c r="L351" i="19"/>
  <c r="L352" i="19"/>
  <c r="L353" i="19"/>
  <c r="L354" i="19"/>
  <c r="L355" i="19"/>
  <c r="L356" i="19"/>
  <c r="L357" i="19"/>
  <c r="L358" i="19"/>
  <c r="L359" i="19"/>
  <c r="L360" i="19"/>
  <c r="L361" i="19"/>
  <c r="L362" i="19"/>
  <c r="L363" i="19"/>
  <c r="L364" i="19"/>
  <c r="L365" i="19"/>
  <c r="L366" i="19"/>
  <c r="L367" i="19"/>
  <c r="L368" i="19"/>
  <c r="L369" i="19"/>
  <c r="L370" i="19"/>
  <c r="L371" i="19"/>
  <c r="L372" i="19"/>
  <c r="L373" i="19"/>
  <c r="L374" i="19"/>
  <c r="L375" i="19"/>
  <c r="L376" i="19"/>
  <c r="L377" i="19"/>
  <c r="L378" i="19"/>
  <c r="L379" i="19"/>
  <c r="L380" i="19"/>
  <c r="L381" i="19"/>
  <c r="L382" i="19"/>
  <c r="L383" i="19"/>
  <c r="L384" i="19"/>
  <c r="L385" i="19"/>
  <c r="L386" i="19"/>
  <c r="L387" i="19"/>
  <c r="O314" i="19"/>
  <c r="M314" i="19"/>
  <c r="O318" i="19"/>
  <c r="M318" i="19"/>
  <c r="O322" i="19"/>
  <c r="M322" i="19"/>
  <c r="O394" i="19"/>
  <c r="M394" i="19"/>
  <c r="P394" i="19"/>
  <c r="N394" i="19"/>
  <c r="L394" i="19"/>
  <c r="O402" i="19"/>
  <c r="M402" i="19"/>
  <c r="P402" i="19"/>
  <c r="N402" i="19"/>
  <c r="L402" i="19"/>
  <c r="O410" i="19"/>
  <c r="M410" i="19"/>
  <c r="P410" i="19"/>
  <c r="N410" i="19"/>
  <c r="L410" i="19"/>
  <c r="M458" i="19"/>
  <c r="O458" i="19"/>
  <c r="N458" i="19"/>
  <c r="L458" i="19"/>
  <c r="P458" i="19"/>
  <c r="O391" i="19"/>
  <c r="M391" i="19"/>
  <c r="O395" i="19"/>
  <c r="M395" i="19"/>
  <c r="O399" i="19"/>
  <c r="M399" i="19"/>
  <c r="O403" i="19"/>
  <c r="M403" i="19"/>
  <c r="O407" i="19"/>
  <c r="M407" i="19"/>
  <c r="O411" i="19"/>
  <c r="N411" i="19"/>
  <c r="M411" i="19"/>
  <c r="O412" i="19"/>
  <c r="N412" i="19"/>
  <c r="M412" i="19"/>
  <c r="O413" i="19"/>
  <c r="N413" i="19"/>
  <c r="M413" i="19"/>
  <c r="O414" i="19"/>
  <c r="N414" i="19"/>
  <c r="M414" i="19"/>
  <c r="O415" i="19"/>
  <c r="N415" i="19"/>
  <c r="M415" i="19"/>
  <c r="O416" i="19"/>
  <c r="N416" i="19"/>
  <c r="M416" i="19"/>
  <c r="O417" i="19"/>
  <c r="N417" i="19"/>
  <c r="M417" i="19"/>
  <c r="O418" i="19"/>
  <c r="N418" i="19"/>
  <c r="M418" i="19"/>
  <c r="O419" i="19"/>
  <c r="N419" i="19"/>
  <c r="M419" i="19"/>
  <c r="O420" i="19"/>
  <c r="N420" i="19"/>
  <c r="M420" i="19"/>
  <c r="O421" i="19"/>
  <c r="N421" i="19"/>
  <c r="M421" i="19"/>
  <c r="O422" i="19"/>
  <c r="N422" i="19"/>
  <c r="M422" i="19"/>
  <c r="O423" i="19"/>
  <c r="N423" i="19"/>
  <c r="M423" i="19"/>
  <c r="O424" i="19"/>
  <c r="N424" i="19"/>
  <c r="M424" i="19"/>
  <c r="O425" i="19"/>
  <c r="N425" i="19"/>
  <c r="M425" i="19"/>
  <c r="O426" i="19"/>
  <c r="N426" i="19"/>
  <c r="M426" i="19"/>
  <c r="O427" i="19"/>
  <c r="N427" i="19"/>
  <c r="M427" i="19"/>
  <c r="O428" i="19"/>
  <c r="N428" i="19"/>
  <c r="M428" i="19"/>
  <c r="O429" i="19"/>
  <c r="N429" i="19"/>
  <c r="M429" i="19"/>
  <c r="O430" i="19"/>
  <c r="N430" i="19"/>
  <c r="M430" i="19"/>
  <c r="O431" i="19"/>
  <c r="N431" i="19"/>
  <c r="M431" i="19"/>
  <c r="O432" i="19"/>
  <c r="N432" i="19"/>
  <c r="M432" i="19"/>
  <c r="O433" i="19"/>
  <c r="N433" i="19"/>
  <c r="M433" i="19"/>
  <c r="O434" i="19"/>
  <c r="N434" i="19"/>
  <c r="M434" i="19"/>
  <c r="O435" i="19"/>
  <c r="N435" i="19"/>
  <c r="M435" i="19"/>
  <c r="O436" i="19"/>
  <c r="N436" i="19"/>
  <c r="M436" i="19"/>
  <c r="O437" i="19"/>
  <c r="N437" i="19"/>
  <c r="M437" i="19"/>
  <c r="O438" i="19"/>
  <c r="N438" i="19"/>
  <c r="M438" i="19"/>
  <c r="O439" i="19"/>
  <c r="N439" i="19"/>
  <c r="M439" i="19"/>
  <c r="O440" i="19"/>
  <c r="N440" i="19"/>
  <c r="M440" i="19"/>
  <c r="O441" i="19"/>
  <c r="N441" i="19"/>
  <c r="M441" i="19"/>
  <c r="O442" i="19"/>
  <c r="N442" i="19"/>
  <c r="M442" i="19"/>
  <c r="O443" i="19"/>
  <c r="N443" i="19"/>
  <c r="M443" i="19"/>
  <c r="O444" i="19"/>
  <c r="N444" i="19"/>
  <c r="M444" i="19"/>
  <c r="O445" i="19"/>
  <c r="N445" i="19"/>
  <c r="M445" i="19"/>
  <c r="O446" i="19"/>
  <c r="N446" i="19"/>
  <c r="M446" i="19"/>
  <c r="O447" i="19"/>
  <c r="N447" i="19"/>
  <c r="M447" i="19"/>
  <c r="O448" i="19"/>
  <c r="N448" i="19"/>
  <c r="M448" i="19"/>
  <c r="O449" i="19"/>
  <c r="N449" i="19"/>
  <c r="M449" i="19"/>
  <c r="O450" i="19"/>
  <c r="N450" i="19"/>
  <c r="M450" i="19"/>
  <c r="O451" i="19"/>
  <c r="N451" i="19"/>
  <c r="M451" i="19"/>
  <c r="O452" i="19"/>
  <c r="N452" i="19"/>
  <c r="M452" i="19"/>
  <c r="O453" i="19"/>
  <c r="N453" i="19"/>
  <c r="M453" i="19"/>
  <c r="O454" i="19"/>
  <c r="N454" i="19"/>
  <c r="M454" i="19"/>
  <c r="M455" i="19"/>
  <c r="P455" i="19"/>
  <c r="O455" i="19"/>
  <c r="N455" i="19"/>
  <c r="M463" i="19"/>
  <c r="N463" i="19"/>
  <c r="P463" i="19"/>
  <c r="O463" i="19"/>
  <c r="O388" i="19"/>
  <c r="M388" i="19"/>
  <c r="O392" i="19"/>
  <c r="M392" i="19"/>
  <c r="O396" i="19"/>
  <c r="M396" i="19"/>
  <c r="O400" i="19"/>
  <c r="M400" i="19"/>
  <c r="O404" i="19"/>
  <c r="M404" i="19"/>
  <c r="O408" i="19"/>
  <c r="M408" i="19"/>
  <c r="M461" i="19"/>
  <c r="N461" i="19"/>
  <c r="L461" i="19"/>
  <c r="P461" i="19"/>
  <c r="M462" i="19"/>
  <c r="O462" i="19"/>
  <c r="N462" i="19"/>
  <c r="L462" i="19"/>
  <c r="M466" i="19"/>
  <c r="L466" i="19"/>
  <c r="P466" i="19"/>
  <c r="O466" i="19"/>
  <c r="N466" i="19"/>
  <c r="M471" i="19"/>
  <c r="P471" i="19"/>
  <c r="N471" i="19"/>
  <c r="O471" i="19"/>
  <c r="L471" i="19"/>
  <c r="M479" i="19"/>
  <c r="P479" i="19"/>
  <c r="N479" i="19"/>
  <c r="O479" i="19"/>
  <c r="L479" i="19"/>
  <c r="M487" i="19"/>
  <c r="P487" i="19"/>
  <c r="N487" i="19"/>
  <c r="O487" i="19"/>
  <c r="L487" i="19"/>
  <c r="M495" i="19"/>
  <c r="P495" i="19"/>
  <c r="N495" i="19"/>
  <c r="O495" i="19"/>
  <c r="L495" i="19"/>
  <c r="M503" i="19"/>
  <c r="P503" i="19"/>
  <c r="N503" i="19"/>
  <c r="O503" i="19"/>
  <c r="L503" i="19"/>
  <c r="M511" i="19"/>
  <c r="P511" i="19"/>
  <c r="N511" i="19"/>
  <c r="O511" i="19"/>
  <c r="L511" i="19"/>
  <c r="M519" i="19"/>
  <c r="P519" i="19"/>
  <c r="N519" i="19"/>
  <c r="O519" i="19"/>
  <c r="L519" i="19"/>
  <c r="P533" i="19"/>
  <c r="L533" i="19"/>
  <c r="N533" i="19"/>
  <c r="M533" i="19"/>
  <c r="O533" i="19"/>
  <c r="L388" i="19"/>
  <c r="O389" i="19"/>
  <c r="M389" i="19"/>
  <c r="N391" i="19"/>
  <c r="L392" i="19"/>
  <c r="O393" i="19"/>
  <c r="M393" i="19"/>
  <c r="N395" i="19"/>
  <c r="L396" i="19"/>
  <c r="O397" i="19"/>
  <c r="M397" i="19"/>
  <c r="N399" i="19"/>
  <c r="L400" i="19"/>
  <c r="O401" i="19"/>
  <c r="M401" i="19"/>
  <c r="N403" i="19"/>
  <c r="L404" i="19"/>
  <c r="O405" i="19"/>
  <c r="M405" i="19"/>
  <c r="N407" i="19"/>
  <c r="L408" i="19"/>
  <c r="O409" i="19"/>
  <c r="M409" i="19"/>
  <c r="P411" i="19"/>
  <c r="P412" i="19"/>
  <c r="P413" i="19"/>
  <c r="P414" i="19"/>
  <c r="P415" i="19"/>
  <c r="P416" i="19"/>
  <c r="P417" i="19"/>
  <c r="P418" i="19"/>
  <c r="P419" i="19"/>
  <c r="P420" i="19"/>
  <c r="P421" i="19"/>
  <c r="P422" i="19"/>
  <c r="P423" i="19"/>
  <c r="P424" i="19"/>
  <c r="P425" i="19"/>
  <c r="P426" i="19"/>
  <c r="P427" i="19"/>
  <c r="P428" i="19"/>
  <c r="P429" i="19"/>
  <c r="P430" i="19"/>
  <c r="P431" i="19"/>
  <c r="P432" i="19"/>
  <c r="P433" i="19"/>
  <c r="P434" i="19"/>
  <c r="P435" i="19"/>
  <c r="P436" i="19"/>
  <c r="P437" i="19"/>
  <c r="P438" i="19"/>
  <c r="P439" i="19"/>
  <c r="P440" i="19"/>
  <c r="P441" i="19"/>
  <c r="P442" i="19"/>
  <c r="P443" i="19"/>
  <c r="P444" i="19"/>
  <c r="P445" i="19"/>
  <c r="P446" i="19"/>
  <c r="P447" i="19"/>
  <c r="P448" i="19"/>
  <c r="P449" i="19"/>
  <c r="P450" i="19"/>
  <c r="P451" i="19"/>
  <c r="P452" i="19"/>
  <c r="P453" i="19"/>
  <c r="P454" i="19"/>
  <c r="M459" i="19"/>
  <c r="P459" i="19"/>
  <c r="O459" i="19"/>
  <c r="N459" i="19"/>
  <c r="O461" i="19"/>
  <c r="P462" i="19"/>
  <c r="P522" i="19"/>
  <c r="L522" i="19"/>
  <c r="N522" i="19"/>
  <c r="M522" i="19"/>
  <c r="O522" i="19"/>
  <c r="O456" i="19"/>
  <c r="O460" i="19"/>
  <c r="M464" i="19"/>
  <c r="O464" i="19"/>
  <c r="M472" i="19"/>
  <c r="L472" i="19"/>
  <c r="O472" i="19"/>
  <c r="M473" i="19"/>
  <c r="N473" i="19"/>
  <c r="P473" i="19"/>
  <c r="M480" i="19"/>
  <c r="L480" i="19"/>
  <c r="O480" i="19"/>
  <c r="M481" i="19"/>
  <c r="N481" i="19"/>
  <c r="P481" i="19"/>
  <c r="M488" i="19"/>
  <c r="L488" i="19"/>
  <c r="O488" i="19"/>
  <c r="M489" i="19"/>
  <c r="N489" i="19"/>
  <c r="P489" i="19"/>
  <c r="M496" i="19"/>
  <c r="L496" i="19"/>
  <c r="O496" i="19"/>
  <c r="M497" i="19"/>
  <c r="N497" i="19"/>
  <c r="P497" i="19"/>
  <c r="M504" i="19"/>
  <c r="L504" i="19"/>
  <c r="O504" i="19"/>
  <c r="M505" i="19"/>
  <c r="N505" i="19"/>
  <c r="P505" i="19"/>
  <c r="M512" i="19"/>
  <c r="L512" i="19"/>
  <c r="O512" i="19"/>
  <c r="M513" i="19"/>
  <c r="N513" i="19"/>
  <c r="P513" i="19"/>
  <c r="P520" i="19"/>
  <c r="L520" i="19"/>
  <c r="N520" i="19"/>
  <c r="M520" i="19"/>
  <c r="P527" i="19"/>
  <c r="L527" i="19"/>
  <c r="O527" i="19"/>
  <c r="M527" i="19"/>
  <c r="P528" i="19"/>
  <c r="L528" i="19"/>
  <c r="N528" i="19"/>
  <c r="M528" i="19"/>
  <c r="P532" i="19"/>
  <c r="L532" i="19"/>
  <c r="N532" i="19"/>
  <c r="M532" i="19"/>
  <c r="P536" i="19"/>
  <c r="L536" i="19"/>
  <c r="O536" i="19"/>
  <c r="M536" i="19"/>
  <c r="N536" i="19"/>
  <c r="P544" i="19"/>
  <c r="L544" i="19"/>
  <c r="O544" i="19"/>
  <c r="M544" i="19"/>
  <c r="N544" i="19"/>
  <c r="P456" i="19"/>
  <c r="P460" i="19"/>
  <c r="M465" i="19"/>
  <c r="P465" i="19"/>
  <c r="M467" i="19"/>
  <c r="P467" i="19"/>
  <c r="N467" i="19"/>
  <c r="M474" i="19"/>
  <c r="O474" i="19"/>
  <c r="L474" i="19"/>
  <c r="M475" i="19"/>
  <c r="P475" i="19"/>
  <c r="N475" i="19"/>
  <c r="M482" i="19"/>
  <c r="O482" i="19"/>
  <c r="L482" i="19"/>
  <c r="M483" i="19"/>
  <c r="P483" i="19"/>
  <c r="N483" i="19"/>
  <c r="M490" i="19"/>
  <c r="O490" i="19"/>
  <c r="L490" i="19"/>
  <c r="M491" i="19"/>
  <c r="P491" i="19"/>
  <c r="N491" i="19"/>
  <c r="M498" i="19"/>
  <c r="O498" i="19"/>
  <c r="L498" i="19"/>
  <c r="M499" i="19"/>
  <c r="P499" i="19"/>
  <c r="N499" i="19"/>
  <c r="M506" i="19"/>
  <c r="O506" i="19"/>
  <c r="L506" i="19"/>
  <c r="M507" i="19"/>
  <c r="P507" i="19"/>
  <c r="N507" i="19"/>
  <c r="M514" i="19"/>
  <c r="O514" i="19"/>
  <c r="L514" i="19"/>
  <c r="M515" i="19"/>
  <c r="P515" i="19"/>
  <c r="N515" i="19"/>
  <c r="P525" i="19"/>
  <c r="L525" i="19"/>
  <c r="M525" i="19"/>
  <c r="O525" i="19"/>
  <c r="P526" i="19"/>
  <c r="L526" i="19"/>
  <c r="N526" i="19"/>
  <c r="M526" i="19"/>
  <c r="P531" i="19"/>
  <c r="L531" i="19"/>
  <c r="N531" i="19"/>
  <c r="M531" i="19"/>
  <c r="P535" i="19"/>
  <c r="L535" i="19"/>
  <c r="N535" i="19"/>
  <c r="M535" i="19"/>
  <c r="P538" i="19"/>
  <c r="L538" i="19"/>
  <c r="O538" i="19"/>
  <c r="M538" i="19"/>
  <c r="N538" i="19"/>
  <c r="P546" i="19"/>
  <c r="L546" i="19"/>
  <c r="O546" i="19"/>
  <c r="M546" i="19"/>
  <c r="N546" i="19"/>
  <c r="M554" i="19"/>
  <c r="P554" i="19"/>
  <c r="L554" i="19"/>
  <c r="O554" i="19"/>
  <c r="N554" i="19"/>
  <c r="L456" i="19"/>
  <c r="L460" i="19"/>
  <c r="L465" i="19"/>
  <c r="L467" i="19"/>
  <c r="M468" i="19"/>
  <c r="L468" i="19"/>
  <c r="O468" i="19"/>
  <c r="M469" i="19"/>
  <c r="N469" i="19"/>
  <c r="P469" i="19"/>
  <c r="N474" i="19"/>
  <c r="L475" i="19"/>
  <c r="M476" i="19"/>
  <c r="L476" i="19"/>
  <c r="O476" i="19"/>
  <c r="M477" i="19"/>
  <c r="N477" i="19"/>
  <c r="P477" i="19"/>
  <c r="N482" i="19"/>
  <c r="L483" i="19"/>
  <c r="M484" i="19"/>
  <c r="L484" i="19"/>
  <c r="O484" i="19"/>
  <c r="M485" i="19"/>
  <c r="N485" i="19"/>
  <c r="P485" i="19"/>
  <c r="N490" i="19"/>
  <c r="L491" i="19"/>
  <c r="M492" i="19"/>
  <c r="L492" i="19"/>
  <c r="O492" i="19"/>
  <c r="M493" i="19"/>
  <c r="N493" i="19"/>
  <c r="P493" i="19"/>
  <c r="N498" i="19"/>
  <c r="L499" i="19"/>
  <c r="M500" i="19"/>
  <c r="L500" i="19"/>
  <c r="O500" i="19"/>
  <c r="M501" i="19"/>
  <c r="N501" i="19"/>
  <c r="P501" i="19"/>
  <c r="N506" i="19"/>
  <c r="L507" i="19"/>
  <c r="M508" i="19"/>
  <c r="L508" i="19"/>
  <c r="O508" i="19"/>
  <c r="M509" i="19"/>
  <c r="N509" i="19"/>
  <c r="P509" i="19"/>
  <c r="N514" i="19"/>
  <c r="L515" i="19"/>
  <c r="M516" i="19"/>
  <c r="L516" i="19"/>
  <c r="O516" i="19"/>
  <c r="M517" i="19"/>
  <c r="N517" i="19"/>
  <c r="P517" i="19"/>
  <c r="P523" i="19"/>
  <c r="L523" i="19"/>
  <c r="O523" i="19"/>
  <c r="M523" i="19"/>
  <c r="P524" i="19"/>
  <c r="L524" i="19"/>
  <c r="N524" i="19"/>
  <c r="M524" i="19"/>
  <c r="N525" i="19"/>
  <c r="O526" i="19"/>
  <c r="P530" i="19"/>
  <c r="L530" i="19"/>
  <c r="N530" i="19"/>
  <c r="M530" i="19"/>
  <c r="O531" i="19"/>
  <c r="P534" i="19"/>
  <c r="L534" i="19"/>
  <c r="N534" i="19"/>
  <c r="M534" i="19"/>
  <c r="O535" i="19"/>
  <c r="P540" i="19"/>
  <c r="L540" i="19"/>
  <c r="O540" i="19"/>
  <c r="M540" i="19"/>
  <c r="N540" i="19"/>
  <c r="P548" i="19"/>
  <c r="L548" i="19"/>
  <c r="O548" i="19"/>
  <c r="M548" i="19"/>
  <c r="N548" i="19"/>
  <c r="P537" i="19"/>
  <c r="L537" i="19"/>
  <c r="O537" i="19"/>
  <c r="M537" i="19"/>
  <c r="P541" i="19"/>
  <c r="L541" i="19"/>
  <c r="O541" i="19"/>
  <c r="M541" i="19"/>
  <c r="P545" i="19"/>
  <c r="L545" i="19"/>
  <c r="O545" i="19"/>
  <c r="M545" i="19"/>
  <c r="P549" i="19"/>
  <c r="L549" i="19"/>
  <c r="O549" i="19"/>
  <c r="M549" i="19"/>
  <c r="M552" i="19"/>
  <c r="P552" i="19"/>
  <c r="L552" i="19"/>
  <c r="O552" i="19"/>
  <c r="N552" i="19"/>
  <c r="P557" i="19"/>
  <c r="L557" i="19"/>
  <c r="O557" i="19"/>
  <c r="N557" i="19"/>
  <c r="M557" i="19"/>
  <c r="P539" i="19"/>
  <c r="L539" i="19"/>
  <c r="O539" i="19"/>
  <c r="M539" i="19"/>
  <c r="P543" i="19"/>
  <c r="L543" i="19"/>
  <c r="O543" i="19"/>
  <c r="M543" i="19"/>
  <c r="P547" i="19"/>
  <c r="L547" i="19"/>
  <c r="O547" i="19"/>
  <c r="M547" i="19"/>
  <c r="M556" i="19"/>
  <c r="P556" i="19"/>
  <c r="L556" i="19"/>
  <c r="O556" i="19"/>
  <c r="N556" i="19"/>
  <c r="M551" i="19"/>
  <c r="P551" i="19"/>
  <c r="L551" i="19"/>
  <c r="O551" i="19"/>
  <c r="M555" i="19"/>
  <c r="P555" i="19"/>
  <c r="L555" i="19"/>
  <c r="O555" i="19"/>
  <c r="H580" i="19"/>
  <c r="I569" i="19"/>
  <c r="M553" i="19"/>
  <c r="P553" i="19"/>
  <c r="L553" i="19"/>
  <c r="O553" i="19"/>
  <c r="O569" i="19" l="1"/>
  <c r="O580" i="19" s="1"/>
  <c r="O558" i="19"/>
  <c r="O578" i="19"/>
  <c r="M569" i="19"/>
  <c r="M580" i="19" s="1"/>
  <c r="M558" i="19"/>
  <c r="M578" i="19"/>
  <c r="N578" i="19"/>
  <c r="N569" i="19"/>
  <c r="N580" i="19" s="1"/>
  <c r="N558" i="19"/>
  <c r="L569" i="19"/>
  <c r="L580" i="19" s="1"/>
  <c r="L558" i="19"/>
  <c r="L578" i="19"/>
  <c r="P569" i="19"/>
  <c r="P580" i="19" s="1"/>
  <c r="P558" i="19"/>
  <c r="P578" i="19"/>
  <c r="F273" i="2" l="1"/>
  <c r="D40" i="1"/>
  <c r="E40" i="1" s="1"/>
  <c r="E20" i="1"/>
  <c r="E25" i="1" s="1"/>
  <c r="D20" i="1"/>
  <c r="E24" i="1" s="1"/>
  <c r="F18" i="1"/>
  <c r="F17" i="1"/>
  <c r="F15" i="1"/>
  <c r="F14" i="1"/>
  <c r="F13" i="1"/>
  <c r="F12" i="1"/>
  <c r="F11" i="1"/>
  <c r="F10" i="1"/>
  <c r="F9" i="1"/>
  <c r="F8" i="1"/>
  <c r="F7" i="1"/>
  <c r="F6" i="1"/>
  <c r="F5" i="1"/>
  <c r="E26" i="1" l="1"/>
  <c r="E29" i="1" s="1"/>
  <c r="E41" i="1" s="1"/>
  <c r="E43" i="1" s="1"/>
  <c r="E45" i="1" s="1"/>
  <c r="F20" i="1"/>
  <c r="AY19" i="18"/>
  <c r="AY27" i="18"/>
  <c r="AY28" i="18"/>
  <c r="BC29" i="18"/>
  <c r="BC27" i="18"/>
  <c r="AZ29" i="18"/>
  <c r="C44" i="18" l="1"/>
  <c r="C10" i="18" l="1"/>
  <c r="C10" i="35" s="1"/>
  <c r="G49" i="18"/>
  <c r="F49" i="18"/>
  <c r="F48" i="18"/>
  <c r="H48" i="18" s="1"/>
  <c r="P40" i="18"/>
  <c r="F40" i="18"/>
  <c r="P39" i="18"/>
  <c r="F39" i="18"/>
  <c r="F38" i="18"/>
  <c r="R37" i="18"/>
  <c r="P37" i="18"/>
  <c r="P36" i="18"/>
  <c r="S36" i="18" s="1"/>
  <c r="R34" i="18"/>
  <c r="P34" i="18"/>
  <c r="R33" i="18"/>
  <c r="P33" i="18"/>
  <c r="L33" i="18"/>
  <c r="L34" i="18" s="1"/>
  <c r="R29" i="18"/>
  <c r="R35" i="18" s="1"/>
  <c r="F29" i="18"/>
  <c r="H29" i="18" s="1"/>
  <c r="F28" i="18"/>
  <c r="H28" i="18" s="1"/>
  <c r="T27" i="18"/>
  <c r="F27" i="18"/>
  <c r="H27" i="18" s="1"/>
  <c r="T26" i="18"/>
  <c r="F26" i="18"/>
  <c r="H26" i="18" s="1"/>
  <c r="T25" i="18"/>
  <c r="G25" i="18"/>
  <c r="F25" i="18"/>
  <c r="T24" i="18"/>
  <c r="F24" i="18"/>
  <c r="H24" i="18" s="1"/>
  <c r="T23" i="18"/>
  <c r="F23" i="18"/>
  <c r="H23" i="18" s="1"/>
  <c r="J23" i="18" s="1"/>
  <c r="T22" i="18"/>
  <c r="F22" i="18"/>
  <c r="H22" i="18" s="1"/>
  <c r="T21" i="18"/>
  <c r="F21" i="18"/>
  <c r="H21" i="18" s="1"/>
  <c r="T20" i="18"/>
  <c r="F20" i="18"/>
  <c r="H20" i="18" s="1"/>
  <c r="T19" i="18"/>
  <c r="F19" i="18"/>
  <c r="H19" i="18" s="1"/>
  <c r="T18" i="18"/>
  <c r="F18" i="18"/>
  <c r="H18" i="18" s="1"/>
  <c r="T17" i="18"/>
  <c r="T16" i="18"/>
  <c r="C13" i="18"/>
  <c r="C13" i="35" l="1"/>
  <c r="H49" i="18"/>
  <c r="S33" i="18"/>
  <c r="S34" i="18"/>
  <c r="H25" i="18"/>
  <c r="J25" i="18" s="1"/>
  <c r="S37" i="18"/>
  <c r="H37" i="18"/>
  <c r="J21" i="18"/>
  <c r="J20" i="18"/>
  <c r="J27" i="18"/>
  <c r="J19" i="18"/>
  <c r="J24" i="18"/>
  <c r="J18" i="18"/>
  <c r="J22" i="18"/>
  <c r="J29" i="18"/>
  <c r="J48" i="18"/>
  <c r="J26" i="18"/>
  <c r="J28" i="18"/>
  <c r="J16" i="3"/>
  <c r="J15" i="3"/>
  <c r="I15" i="3"/>
  <c r="H15" i="3"/>
  <c r="G15" i="3"/>
  <c r="F15" i="3"/>
  <c r="E15" i="3"/>
  <c r="D15" i="3"/>
  <c r="C15" i="3"/>
  <c r="F67" i="3"/>
  <c r="L67" i="3" s="1"/>
  <c r="F66" i="3"/>
  <c r="L66" i="3" s="1"/>
  <c r="K67" i="3"/>
  <c r="K66" i="3"/>
  <c r="J17" i="3"/>
  <c r="I17" i="3"/>
  <c r="H17" i="3"/>
  <c r="G17" i="3"/>
  <c r="F17" i="3"/>
  <c r="F16" i="3"/>
  <c r="E17" i="3"/>
  <c r="D16" i="3"/>
  <c r="C17" i="3"/>
  <c r="C16" i="3"/>
  <c r="J8" i="3"/>
  <c r="J7" i="3"/>
  <c r="I8" i="3"/>
  <c r="I7" i="3"/>
  <c r="H8" i="3"/>
  <c r="G8" i="3"/>
  <c r="G7" i="3"/>
  <c r="F8" i="3"/>
  <c r="F7" i="3"/>
  <c r="E8" i="3"/>
  <c r="E7" i="3"/>
  <c r="D8" i="3"/>
  <c r="C8" i="3"/>
  <c r="C7" i="3"/>
  <c r="H6" i="3"/>
  <c r="D6" i="3"/>
  <c r="C6" i="3"/>
  <c r="J68" i="3"/>
  <c r="I68" i="3"/>
  <c r="H68" i="3"/>
  <c r="G68" i="3"/>
  <c r="M44" i="3"/>
  <c r="C23" i="3" l="1"/>
  <c r="H23" i="3"/>
  <c r="D23" i="3"/>
  <c r="G70" i="3"/>
  <c r="D68" i="3"/>
  <c r="K7" i="3" s="1"/>
  <c r="K16" i="3"/>
  <c r="K18" i="3" s="1"/>
  <c r="E68" i="3"/>
  <c r="K8" i="3" s="1"/>
  <c r="F18" i="3"/>
  <c r="F68" i="3"/>
  <c r="I70" i="3"/>
  <c r="C9" i="3"/>
  <c r="C18" i="3"/>
  <c r="D7" i="3"/>
  <c r="D9" i="3" s="1"/>
  <c r="H7" i="3"/>
  <c r="H9" i="3" s="1"/>
  <c r="H16" i="3"/>
  <c r="H18" i="3" s="1"/>
  <c r="D17" i="3"/>
  <c r="D18" i="3" s="1"/>
  <c r="E6" i="3"/>
  <c r="I6" i="3"/>
  <c r="E16" i="3"/>
  <c r="E18" i="3" s="1"/>
  <c r="I16" i="3"/>
  <c r="I18" i="3" s="1"/>
  <c r="G6" i="3"/>
  <c r="G16" i="3"/>
  <c r="G18" i="3" s="1"/>
  <c r="C68" i="3"/>
  <c r="K6" i="3" s="1"/>
  <c r="F6" i="3"/>
  <c r="J6" i="3"/>
  <c r="J18" i="3"/>
  <c r="C70" i="3"/>
  <c r="K68" i="3"/>
  <c r="L68" i="3"/>
  <c r="H70" i="3"/>
  <c r="J47" i="3"/>
  <c r="J46" i="3"/>
  <c r="I47" i="3"/>
  <c r="H47" i="3"/>
  <c r="G47" i="3"/>
  <c r="I46" i="3"/>
  <c r="H46" i="3"/>
  <c r="G46" i="3"/>
  <c r="D48" i="3"/>
  <c r="K10" i="3" s="1"/>
  <c r="K47" i="3"/>
  <c r="K48" i="3" s="1"/>
  <c r="J35" i="3"/>
  <c r="I20" i="3"/>
  <c r="H20" i="3"/>
  <c r="G20" i="3"/>
  <c r="F20" i="3"/>
  <c r="E20" i="3"/>
  <c r="D20" i="3"/>
  <c r="C20" i="3"/>
  <c r="J19" i="3"/>
  <c r="I19" i="3"/>
  <c r="H19" i="3"/>
  <c r="G19" i="3"/>
  <c r="F19" i="3"/>
  <c r="E19" i="3"/>
  <c r="D19" i="3"/>
  <c r="C19" i="3"/>
  <c r="J42" i="3"/>
  <c r="N42" i="3" s="1"/>
  <c r="J41" i="3"/>
  <c r="N41" i="3" s="1"/>
  <c r="J40" i="3"/>
  <c r="N40" i="3" s="1"/>
  <c r="J39" i="3"/>
  <c r="N39" i="3" s="1"/>
  <c r="J38" i="3"/>
  <c r="N38" i="3" s="1"/>
  <c r="J37" i="3"/>
  <c r="N37" i="3" s="1"/>
  <c r="J36" i="3"/>
  <c r="N36" i="3" s="1"/>
  <c r="J11" i="3"/>
  <c r="J10" i="3"/>
  <c r="I11" i="3"/>
  <c r="H11" i="3"/>
  <c r="H10" i="3"/>
  <c r="G11" i="3"/>
  <c r="G10" i="3"/>
  <c r="F11" i="3"/>
  <c r="F10" i="3"/>
  <c r="E11" i="3"/>
  <c r="E10" i="3"/>
  <c r="D11" i="3"/>
  <c r="D10" i="3"/>
  <c r="C11" i="3"/>
  <c r="K40" i="3"/>
  <c r="K37" i="3"/>
  <c r="D70" i="3" l="1"/>
  <c r="F21" i="3"/>
  <c r="E70" i="3"/>
  <c r="E58" i="18"/>
  <c r="E21" i="3"/>
  <c r="C21" i="3"/>
  <c r="I48" i="3"/>
  <c r="K23" i="3"/>
  <c r="K9" i="3"/>
  <c r="F42" i="3"/>
  <c r="L42" i="3" s="1"/>
  <c r="J20" i="3"/>
  <c r="J21" i="3" s="1"/>
  <c r="K21" i="3"/>
  <c r="F36" i="3"/>
  <c r="L36" i="3" s="1"/>
  <c r="C48" i="3"/>
  <c r="E48" i="3"/>
  <c r="K11" i="3" s="1"/>
  <c r="H24" i="3"/>
  <c r="J70" i="3"/>
  <c r="C24" i="3"/>
  <c r="D12" i="3"/>
  <c r="D24" i="3"/>
  <c r="F70" i="3"/>
  <c r="G21" i="3"/>
  <c r="F40" i="3"/>
  <c r="L40" i="3" s="1"/>
  <c r="J9" i="3"/>
  <c r="J24" i="3" s="1"/>
  <c r="J23" i="3"/>
  <c r="G9" i="3"/>
  <c r="G24" i="3" s="1"/>
  <c r="G23" i="3"/>
  <c r="E9" i="3"/>
  <c r="E24" i="3" s="1"/>
  <c r="E23" i="3"/>
  <c r="I9" i="3"/>
  <c r="I24" i="3" s="1"/>
  <c r="I23" i="3"/>
  <c r="F9" i="3"/>
  <c r="F24" i="3" s="1"/>
  <c r="F23" i="3"/>
  <c r="D21" i="3"/>
  <c r="G48" i="3"/>
  <c r="H12" i="3"/>
  <c r="F38" i="3"/>
  <c r="H48" i="3"/>
  <c r="H21" i="3"/>
  <c r="E43" i="3"/>
  <c r="C43" i="3"/>
  <c r="F39" i="3"/>
  <c r="L39" i="3" s="1"/>
  <c r="D43" i="3"/>
  <c r="C10" i="3"/>
  <c r="C12" i="3" s="1"/>
  <c r="F41" i="3"/>
  <c r="L41" i="3" s="1"/>
  <c r="I10" i="3"/>
  <c r="G43" i="3"/>
  <c r="G50" i="3" s="1"/>
  <c r="J48" i="3"/>
  <c r="I21" i="3"/>
  <c r="K70" i="3"/>
  <c r="F46" i="3"/>
  <c r="L46" i="3" s="1"/>
  <c r="I43" i="3"/>
  <c r="H43" i="3"/>
  <c r="E15" i="34" s="1"/>
  <c r="K39" i="3"/>
  <c r="K36" i="3"/>
  <c r="J43" i="3"/>
  <c r="K42" i="3"/>
  <c r="F47" i="3"/>
  <c r="L47" i="3" s="1"/>
  <c r="F35" i="3"/>
  <c r="K35" i="3"/>
  <c r="F37" i="3"/>
  <c r="L37" i="3" s="1"/>
  <c r="K38" i="3"/>
  <c r="K41" i="3"/>
  <c r="C25" i="3" l="1"/>
  <c r="B38" i="18"/>
  <c r="B38" i="35" s="1"/>
  <c r="G8" i="2"/>
  <c r="L70" i="3"/>
  <c r="D50" i="3"/>
  <c r="E12" i="3"/>
  <c r="E25" i="3" s="1"/>
  <c r="I50" i="3"/>
  <c r="C50" i="3"/>
  <c r="H25" i="3"/>
  <c r="F12" i="3"/>
  <c r="F25" i="3" s="1"/>
  <c r="J12" i="3"/>
  <c r="J25" i="3" s="1"/>
  <c r="E50" i="3"/>
  <c r="K12" i="3"/>
  <c r="K25" i="3" s="1"/>
  <c r="F9" i="2" s="1"/>
  <c r="D9" i="33" s="1"/>
  <c r="K24" i="3"/>
  <c r="G12" i="3"/>
  <c r="G25" i="3" s="1"/>
  <c r="I12" i="3"/>
  <c r="I25" i="3" s="1"/>
  <c r="D25" i="3"/>
  <c r="J50" i="3"/>
  <c r="H50" i="3"/>
  <c r="F87" i="2"/>
  <c r="L48" i="3"/>
  <c r="F48" i="3"/>
  <c r="L38" i="3"/>
  <c r="K43" i="3"/>
  <c r="L35" i="3"/>
  <c r="F43" i="3"/>
  <c r="K88" i="2" l="1"/>
  <c r="I26" i="36"/>
  <c r="F26" i="36" s="1"/>
  <c r="G23" i="26"/>
  <c r="E8" i="33"/>
  <c r="B11" i="18"/>
  <c r="B11" i="35" s="1"/>
  <c r="I17" i="5"/>
  <c r="K17" i="5" s="1"/>
  <c r="K89" i="2"/>
  <c r="L89" i="2" s="1"/>
  <c r="K50" i="3"/>
  <c r="F50" i="3"/>
  <c r="F8" i="2"/>
  <c r="L43" i="3"/>
  <c r="I13" i="22" s="1"/>
  <c r="I15" i="22" s="1"/>
  <c r="J15" i="22" s="1"/>
  <c r="F23" i="26" l="1"/>
  <c r="D8" i="33"/>
  <c r="J28" i="22"/>
  <c r="F359" i="2"/>
  <c r="N44" i="3"/>
  <c r="L50" i="3"/>
  <c r="M43" i="3"/>
  <c r="G440" i="2" l="1"/>
  <c r="G433" i="2"/>
  <c r="G428" i="2"/>
  <c r="G234" i="2"/>
  <c r="G480" i="2"/>
  <c r="G434" i="2"/>
  <c r="G437" i="2"/>
  <c r="G423" i="2"/>
  <c r="G442" i="2" l="1"/>
  <c r="G438" i="2"/>
  <c r="N506" i="12" l="1"/>
  <c r="P506" i="12" s="1"/>
  <c r="K506" i="12"/>
  <c r="M506" i="12" s="1"/>
  <c r="H506" i="12"/>
  <c r="J506" i="12" s="1"/>
  <c r="E506" i="12"/>
  <c r="G506" i="12" s="1"/>
  <c r="N508" i="12"/>
  <c r="P508" i="12" s="1"/>
  <c r="K508" i="12"/>
  <c r="M508" i="12" s="1"/>
  <c r="H508" i="12"/>
  <c r="J508" i="12" s="1"/>
  <c r="E508" i="12"/>
  <c r="G508" i="12" s="1"/>
  <c r="N347" i="12"/>
  <c r="P347" i="12" s="1"/>
  <c r="K347" i="12"/>
  <c r="M347" i="12" s="1"/>
  <c r="H347" i="12"/>
  <c r="J347" i="12" s="1"/>
  <c r="E347" i="12"/>
  <c r="G347" i="12" s="1"/>
  <c r="I23" i="5"/>
  <c r="F404" i="2"/>
  <c r="I22" i="5"/>
  <c r="J26" i="5" l="1"/>
  <c r="K23" i="5"/>
  <c r="I18" i="22"/>
  <c r="I21" i="22" s="1"/>
  <c r="D115" i="5"/>
  <c r="G115" i="5" s="1"/>
  <c r="D109" i="5"/>
  <c r="C105" i="5"/>
  <c r="C104" i="5"/>
  <c r="C103" i="5"/>
  <c r="E55" i="5"/>
  <c r="K40" i="5"/>
  <c r="I40" i="5"/>
  <c r="E50" i="6"/>
  <c r="D37" i="6" s="1"/>
  <c r="G49" i="6"/>
  <c r="G48" i="6"/>
  <c r="G47" i="6"/>
  <c r="G46" i="6"/>
  <c r="G45" i="6"/>
  <c r="G44" i="6"/>
  <c r="H33" i="6"/>
  <c r="G25" i="6"/>
  <c r="B23" i="6"/>
  <c r="G22" i="6"/>
  <c r="B19" i="6"/>
  <c r="B18" i="6"/>
  <c r="G12" i="6"/>
  <c r="I71" i="5"/>
  <c r="K71" i="5" l="1"/>
  <c r="L71" i="5" s="1"/>
  <c r="G50" i="6"/>
  <c r="F50" i="6" s="1"/>
  <c r="I25" i="22"/>
  <c r="J21" i="22"/>
  <c r="F364" i="2" s="1"/>
  <c r="K18" i="5"/>
  <c r="K22" i="5"/>
  <c r="D105" i="5"/>
  <c r="D110" i="5" s="1"/>
  <c r="J71" i="5"/>
  <c r="N24" i="5"/>
  <c r="M26" i="5"/>
  <c r="F37" i="6" l="1"/>
  <c r="E37" i="6" s="1"/>
  <c r="L26" i="5"/>
  <c r="J25" i="22"/>
  <c r="J27" i="22" s="1"/>
  <c r="L73" i="7"/>
  <c r="M73" i="7" s="1"/>
  <c r="N73" i="7" s="1"/>
  <c r="L72" i="7"/>
  <c r="M72" i="7" s="1"/>
  <c r="N72" i="7" s="1"/>
  <c r="J29" i="22" l="1"/>
  <c r="I31" i="22"/>
  <c r="C31" i="22"/>
  <c r="F29" i="22"/>
  <c r="N74" i="7"/>
  <c r="P42" i="7" s="1"/>
  <c r="M42" i="7" l="1"/>
  <c r="L434" i="2"/>
  <c r="P40" i="7"/>
  <c r="F543" i="2" s="1"/>
  <c r="M9" i="7"/>
  <c r="N34" i="7"/>
  <c r="G36" i="7"/>
  <c r="I35" i="7"/>
  <c r="W24" i="7"/>
  <c r="X24" i="7" s="1"/>
  <c r="Y24" i="7" s="1"/>
  <c r="W23" i="7"/>
  <c r="X23" i="7" s="1"/>
  <c r="Y23" i="7" s="1"/>
  <c r="W22" i="7"/>
  <c r="X22" i="7" s="1"/>
  <c r="Y22" i="7" s="1"/>
  <c r="W21" i="7"/>
  <c r="W20" i="7"/>
  <c r="W17" i="7"/>
  <c r="X17" i="7" s="1"/>
  <c r="Y17" i="7" s="1"/>
  <c r="W16" i="7"/>
  <c r="X16" i="7" s="1"/>
  <c r="Y16" i="7" s="1"/>
  <c r="W15" i="7"/>
  <c r="W14" i="7"/>
  <c r="Z24" i="7"/>
  <c r="Z23" i="7"/>
  <c r="Z22" i="7"/>
  <c r="Z21" i="7"/>
  <c r="Z20" i="7"/>
  <c r="Z19" i="7"/>
  <c r="Z18" i="7"/>
  <c r="Z17" i="7"/>
  <c r="Z16" i="7"/>
  <c r="Z15" i="7"/>
  <c r="Z14" i="7"/>
  <c r="Z13" i="7"/>
  <c r="Z12" i="7"/>
  <c r="W13" i="7"/>
  <c r="X13" i="7" s="1"/>
  <c r="Y13" i="7" s="1"/>
  <c r="X21" i="7"/>
  <c r="Y21" i="7" s="1"/>
  <c r="X20" i="7"/>
  <c r="Y20" i="7" s="1"/>
  <c r="W19" i="7"/>
  <c r="X19" i="7" s="1"/>
  <c r="Y19" i="7" s="1"/>
  <c r="X18" i="7"/>
  <c r="Y18" i="7" s="1"/>
  <c r="X15" i="7"/>
  <c r="Y15" i="7" s="1"/>
  <c r="X14" i="7"/>
  <c r="Y14" i="7" s="1"/>
  <c r="W12" i="7"/>
  <c r="X12" i="7" s="1"/>
  <c r="Y12" i="7" s="1"/>
  <c r="AA12" i="7" s="1"/>
  <c r="AB12" i="7" s="1"/>
  <c r="AA14" i="7" l="1"/>
  <c r="AB14" i="7" s="1"/>
  <c r="AA21" i="7"/>
  <c r="AB21" i="7" s="1"/>
  <c r="AA16" i="7"/>
  <c r="AB16" i="7" s="1"/>
  <c r="AA17" i="7"/>
  <c r="AB17" i="7" s="1"/>
  <c r="AA18" i="7"/>
  <c r="AB18" i="7" s="1"/>
  <c r="AA22" i="7"/>
  <c r="AB22" i="7" s="1"/>
  <c r="O34" i="7"/>
  <c r="AA20" i="7"/>
  <c r="AB20" i="7" s="1"/>
  <c r="M40" i="7"/>
  <c r="F567" i="2" s="1"/>
  <c r="AA23" i="7"/>
  <c r="AB23" i="7" s="1"/>
  <c r="AA19" i="7"/>
  <c r="AB19" i="7" s="1"/>
  <c r="AA13" i="7"/>
  <c r="AB13" i="7" s="1"/>
  <c r="AA15" i="7"/>
  <c r="AB15" i="7" s="1"/>
  <c r="AA24" i="7"/>
  <c r="AB24" i="7" s="1"/>
  <c r="E46" i="7" l="1"/>
  <c r="N42" i="7"/>
  <c r="O42" i="7" s="1"/>
  <c r="L42" i="7"/>
  <c r="I42" i="7"/>
  <c r="E42" i="7"/>
  <c r="P38" i="7"/>
  <c r="O452" i="2" s="1"/>
  <c r="L432" i="2" s="1"/>
  <c r="J44" i="7"/>
  <c r="F34" i="7"/>
  <c r="M32" i="7" s="1"/>
  <c r="D34" i="7"/>
  <c r="I32" i="7"/>
  <c r="E32" i="7"/>
  <c r="E31" i="7"/>
  <c r="E30" i="7"/>
  <c r="E29" i="7"/>
  <c r="E28" i="7"/>
  <c r="E27" i="7"/>
  <c r="E26" i="7"/>
  <c r="E25" i="7"/>
  <c r="O24" i="7"/>
  <c r="E24" i="7"/>
  <c r="O23" i="7"/>
  <c r="E23" i="7"/>
  <c r="O22" i="7"/>
  <c r="E22" i="7"/>
  <c r="O21" i="7"/>
  <c r="E21" i="7"/>
  <c r="O20" i="7"/>
  <c r="E20" i="7"/>
  <c r="O19" i="7"/>
  <c r="E19" i="7"/>
  <c r="O18" i="7"/>
  <c r="E18" i="7"/>
  <c r="O17" i="7"/>
  <c r="E17" i="7"/>
  <c r="O16" i="7"/>
  <c r="E16" i="7"/>
  <c r="O15" i="7"/>
  <c r="E15" i="7"/>
  <c r="O14" i="7"/>
  <c r="E14" i="7"/>
  <c r="O13" i="7"/>
  <c r="E13" i="7"/>
  <c r="O12" i="7"/>
  <c r="E12" i="7"/>
  <c r="P10" i="7"/>
  <c r="M10" i="7"/>
  <c r="F563" i="2" s="1"/>
  <c r="K10" i="7"/>
  <c r="J10" i="7"/>
  <c r="G10" i="7"/>
  <c r="F10" i="7"/>
  <c r="F36" i="7" s="1"/>
  <c r="D10" i="7"/>
  <c r="N9" i="7"/>
  <c r="O9" i="7" s="1"/>
  <c r="L9" i="7"/>
  <c r="I9" i="7"/>
  <c r="E9" i="7"/>
  <c r="F553" i="2" l="1"/>
  <c r="F554" i="2" s="1"/>
  <c r="M36" i="7"/>
  <c r="P36" i="7" s="1"/>
  <c r="F564" i="2"/>
  <c r="N10" i="7"/>
  <c r="Q10" i="7"/>
  <c r="D36" i="7"/>
  <c r="M44" i="7" l="1"/>
  <c r="L431" i="2"/>
  <c r="F542" i="2"/>
  <c r="F44" i="7"/>
  <c r="F50" i="7" s="1"/>
  <c r="P44" i="7"/>
  <c r="F443" i="2"/>
  <c r="F238" i="2" s="1"/>
  <c r="E14" i="8"/>
  <c r="F10" i="8"/>
  <c r="C10" i="8" l="1"/>
  <c r="F19" i="8"/>
  <c r="C19" i="8"/>
  <c r="C20" i="8" s="1"/>
  <c r="F20" i="8" l="1"/>
  <c r="F23" i="8"/>
  <c r="F24" i="8" s="1"/>
  <c r="C23" i="8"/>
  <c r="C24" i="8" s="1"/>
  <c r="F9" i="8"/>
  <c r="J10" i="8" s="1"/>
  <c r="C9" i="8"/>
  <c r="I10" i="8" s="1"/>
  <c r="H14" i="8"/>
  <c r="G450" i="2"/>
  <c r="G489" i="2"/>
  <c r="F428" i="2"/>
  <c r="F452" i="2"/>
  <c r="F450" i="2"/>
  <c r="F451" i="2"/>
  <c r="F441" i="2"/>
  <c r="F489" i="2"/>
  <c r="E23" i="6" l="1"/>
  <c r="G23" i="6" s="1"/>
  <c r="G26" i="6"/>
  <c r="E10" i="6"/>
  <c r="G10" i="6" s="1"/>
  <c r="E24" i="6"/>
  <c r="G24" i="6" s="1"/>
  <c r="H10" i="6"/>
  <c r="F453" i="2"/>
  <c r="F823" i="2"/>
  <c r="G382" i="2"/>
  <c r="G266" i="2"/>
  <c r="F824" i="2"/>
  <c r="G381" i="2"/>
  <c r="F822" i="2"/>
  <c r="F247" i="2" l="1"/>
  <c r="F671" i="2"/>
  <c r="G670" i="2"/>
  <c r="F670" i="2"/>
  <c r="G669" i="2"/>
  <c r="F669" i="2"/>
  <c r="G668" i="2"/>
  <c r="F668" i="2"/>
  <c r="G667" i="2"/>
  <c r="F667" i="2"/>
  <c r="F678" i="2"/>
  <c r="F677" i="2"/>
  <c r="E75" i="11"/>
  <c r="D75" i="11"/>
  <c r="I74" i="11"/>
  <c r="I73" i="11"/>
  <c r="I72" i="11"/>
  <c r="I71" i="11"/>
  <c r="F71" i="11"/>
  <c r="E69" i="11"/>
  <c r="D69" i="11"/>
  <c r="I68" i="11"/>
  <c r="I67" i="11"/>
  <c r="I66" i="11"/>
  <c r="I65" i="11"/>
  <c r="F65" i="11"/>
  <c r="E63" i="11"/>
  <c r="D63" i="11"/>
  <c r="I62" i="11"/>
  <c r="I61" i="11"/>
  <c r="I60" i="11"/>
  <c r="I59" i="11"/>
  <c r="F59" i="11"/>
  <c r="E57" i="11"/>
  <c r="D57" i="11"/>
  <c r="I56" i="11"/>
  <c r="I55" i="11"/>
  <c r="I54" i="11"/>
  <c r="I53" i="11"/>
  <c r="F53" i="11"/>
  <c r="E51" i="11"/>
  <c r="D51" i="11"/>
  <c r="I50" i="11"/>
  <c r="I49" i="11"/>
  <c r="I48" i="11"/>
  <c r="I47" i="11"/>
  <c r="F47" i="11"/>
  <c r="E45" i="11"/>
  <c r="D45" i="11"/>
  <c r="I44" i="11"/>
  <c r="I43" i="11"/>
  <c r="I42" i="11"/>
  <c r="I41" i="11"/>
  <c r="F41" i="11"/>
  <c r="I38" i="11"/>
  <c r="I37" i="11"/>
  <c r="I36" i="11"/>
  <c r="I35" i="11"/>
  <c r="F35" i="11"/>
  <c r="E33" i="11"/>
  <c r="D33" i="11"/>
  <c r="I32" i="11"/>
  <c r="I31" i="11"/>
  <c r="I30" i="11"/>
  <c r="I29" i="11"/>
  <c r="I28" i="11"/>
  <c r="F28" i="11"/>
  <c r="I25" i="11"/>
  <c r="I24" i="11"/>
  <c r="I23" i="11"/>
  <c r="I22" i="11"/>
  <c r="F22" i="11"/>
  <c r="G15" i="11"/>
  <c r="E15" i="11"/>
  <c r="G226" i="2"/>
  <c r="F234" i="2"/>
  <c r="F353" i="2"/>
  <c r="G413" i="2"/>
  <c r="F226" i="2"/>
  <c r="G353" i="2"/>
  <c r="B27" i="18" l="1"/>
  <c r="J71" i="11"/>
  <c r="B27" i="35"/>
  <c r="AZ27" i="18"/>
  <c r="BB27" i="18" s="1"/>
  <c r="AZ24" i="18"/>
  <c r="BB24" i="18" s="1"/>
  <c r="J41" i="11"/>
  <c r="K41" i="11" s="1"/>
  <c r="J65" i="11"/>
  <c r="K65" i="11" s="1"/>
  <c r="J28" i="11"/>
  <c r="K28" i="11" s="1"/>
  <c r="M28" i="11" s="1"/>
  <c r="C29" i="11" s="1"/>
  <c r="F29" i="11" s="1"/>
  <c r="J35" i="11"/>
  <c r="K35" i="11" s="1"/>
  <c r="M35" i="11" s="1"/>
  <c r="C36" i="11" s="1"/>
  <c r="F36" i="11" s="1"/>
  <c r="J47" i="11"/>
  <c r="K47" i="11" s="1"/>
  <c r="M47" i="11" s="1"/>
  <c r="C48" i="11" s="1"/>
  <c r="F48" i="11" s="1"/>
  <c r="E78" i="11"/>
  <c r="D78" i="11"/>
  <c r="F672" i="2"/>
  <c r="K71" i="11"/>
  <c r="J22" i="11"/>
  <c r="J59" i="11"/>
  <c r="J53" i="11"/>
  <c r="J29" i="11" l="1"/>
  <c r="K53" i="11"/>
  <c r="M53" i="11" s="1"/>
  <c r="C54" i="11" s="1"/>
  <c r="F54" i="11" s="1"/>
  <c r="J48" i="11"/>
  <c r="M71" i="11"/>
  <c r="C72" i="11" s="1"/>
  <c r="F72" i="11" s="1"/>
  <c r="J36" i="11"/>
  <c r="M65" i="11"/>
  <c r="C66" i="11" s="1"/>
  <c r="F66" i="11" s="1"/>
  <c r="K59" i="11"/>
  <c r="M59" i="11" s="1"/>
  <c r="C60" i="11" s="1"/>
  <c r="F60" i="11" s="1"/>
  <c r="K22" i="11"/>
  <c r="M41" i="11"/>
  <c r="C42" i="11" s="1"/>
  <c r="F42" i="11" s="1"/>
  <c r="J54" i="11" l="1"/>
  <c r="J42" i="11"/>
  <c r="K36" i="11"/>
  <c r="J60" i="11"/>
  <c r="K48" i="11"/>
  <c r="K29" i="11"/>
  <c r="M29" i="11" s="1"/>
  <c r="C30" i="11" s="1"/>
  <c r="F30" i="11" s="1"/>
  <c r="M22" i="11"/>
  <c r="C23" i="11" s="1"/>
  <c r="F23" i="11" s="1"/>
  <c r="J66" i="11"/>
  <c r="J72" i="11"/>
  <c r="K60" i="11" l="1"/>
  <c r="M60" i="11" s="1"/>
  <c r="C61" i="11" s="1"/>
  <c r="F61" i="11" s="1"/>
  <c r="K42" i="11"/>
  <c r="J23" i="11"/>
  <c r="J30" i="11"/>
  <c r="K54" i="11"/>
  <c r="M54" i="11" s="1"/>
  <c r="C55" i="11" s="1"/>
  <c r="F55" i="11" s="1"/>
  <c r="K72" i="11"/>
  <c r="M72" i="11" s="1"/>
  <c r="C73" i="11" s="1"/>
  <c r="F73" i="11" s="1"/>
  <c r="K66" i="11"/>
  <c r="M48" i="11"/>
  <c r="C49" i="11" s="1"/>
  <c r="F49" i="11" s="1"/>
  <c r="M36" i="11"/>
  <c r="C37" i="11" s="1"/>
  <c r="F37" i="11" s="1"/>
  <c r="J73" i="11" l="1"/>
  <c r="K30" i="11"/>
  <c r="J61" i="11"/>
  <c r="J55" i="11"/>
  <c r="K23" i="11"/>
  <c r="M42" i="11"/>
  <c r="C43" i="11" s="1"/>
  <c r="F43" i="11" s="1"/>
  <c r="M66" i="11"/>
  <c r="C67" i="11" s="1"/>
  <c r="F67" i="11" s="1"/>
  <c r="J37" i="11"/>
  <c r="J49" i="11"/>
  <c r="M30" i="11"/>
  <c r="C31" i="11" s="1"/>
  <c r="F31" i="11" s="1"/>
  <c r="J67" i="11" l="1"/>
  <c r="K61" i="11"/>
  <c r="M61" i="11" s="1"/>
  <c r="C62" i="11" s="1"/>
  <c r="F62" i="11" s="1"/>
  <c r="K49" i="11"/>
  <c r="J43" i="11"/>
  <c r="M23" i="11"/>
  <c r="C24" i="11" s="1"/>
  <c r="F24" i="11" s="1"/>
  <c r="K55" i="11"/>
  <c r="J31" i="11"/>
  <c r="K37" i="11"/>
  <c r="K73" i="11"/>
  <c r="M37" i="11" l="1"/>
  <c r="C38" i="11" s="1"/>
  <c r="F38" i="11" s="1"/>
  <c r="K43" i="11"/>
  <c r="M43" i="11" s="1"/>
  <c r="C44" i="11" s="1"/>
  <c r="F44" i="11" s="1"/>
  <c r="J62" i="11"/>
  <c r="J24" i="11"/>
  <c r="M73" i="11"/>
  <c r="C74" i="11" s="1"/>
  <c r="F74" i="11" s="1"/>
  <c r="K31" i="11"/>
  <c r="M31" i="11" s="1"/>
  <c r="C32" i="11" s="1"/>
  <c r="F32" i="11" s="1"/>
  <c r="M55" i="11"/>
  <c r="C56" i="11" s="1"/>
  <c r="F56" i="11" s="1"/>
  <c r="M49" i="11"/>
  <c r="C50" i="11" s="1"/>
  <c r="F50" i="11" s="1"/>
  <c r="K67" i="11"/>
  <c r="J32" i="11" l="1"/>
  <c r="J38" i="11"/>
  <c r="J44" i="11"/>
  <c r="J50" i="11"/>
  <c r="K62" i="11"/>
  <c r="K63" i="11" s="1"/>
  <c r="J63" i="11"/>
  <c r="J74" i="11"/>
  <c r="M67" i="11"/>
  <c r="C68" i="11" s="1"/>
  <c r="F68" i="11" s="1"/>
  <c r="J56" i="11"/>
  <c r="K24" i="11"/>
  <c r="J68" i="11" l="1"/>
  <c r="M24" i="11"/>
  <c r="C25" i="11" s="1"/>
  <c r="F25" i="11" s="1"/>
  <c r="K74" i="11"/>
  <c r="J75" i="11"/>
  <c r="K44" i="11"/>
  <c r="J45" i="11"/>
  <c r="K50" i="11"/>
  <c r="K51" i="11" s="1"/>
  <c r="J51" i="11"/>
  <c r="K38" i="11"/>
  <c r="K39" i="11" s="1"/>
  <c r="J39" i="11"/>
  <c r="K32" i="11"/>
  <c r="K33" i="11" s="1"/>
  <c r="J33" i="11"/>
  <c r="K56" i="11"/>
  <c r="K57" i="11" s="1"/>
  <c r="J57" i="11"/>
  <c r="M50" i="11"/>
  <c r="M62" i="11"/>
  <c r="M38" i="11" l="1"/>
  <c r="M44" i="11"/>
  <c r="K45" i="11"/>
  <c r="M56" i="11"/>
  <c r="K75" i="11"/>
  <c r="M74" i="11"/>
  <c r="K68" i="11"/>
  <c r="K69" i="11" s="1"/>
  <c r="J69" i="11"/>
  <c r="J25" i="11"/>
  <c r="M32" i="11"/>
  <c r="K25" i="11" l="1"/>
  <c r="J26" i="11"/>
  <c r="J78" i="11" s="1"/>
  <c r="M68" i="11"/>
  <c r="K26" i="11" l="1"/>
  <c r="K78" i="11" s="1"/>
  <c r="M25" i="11"/>
  <c r="M78" i="11" s="1"/>
  <c r="G5" i="10" l="1"/>
  <c r="G417" i="10" s="1"/>
  <c r="D5" i="10"/>
  <c r="F273" i="10"/>
  <c r="E273" i="10"/>
  <c r="F272" i="10"/>
  <c r="E272" i="10"/>
  <c r="F394" i="10"/>
  <c r="E394" i="10"/>
  <c r="F271" i="10"/>
  <c r="E271" i="10"/>
  <c r="F393" i="10"/>
  <c r="E393" i="10"/>
  <c r="F99" i="10"/>
  <c r="E99" i="10"/>
  <c r="F127" i="10"/>
  <c r="E127" i="10"/>
  <c r="F41" i="10"/>
  <c r="E41" i="10"/>
  <c r="F269" i="10"/>
  <c r="E269" i="10"/>
  <c r="F392" i="10"/>
  <c r="E392" i="10"/>
  <c r="F405" i="10"/>
  <c r="E405" i="10"/>
  <c r="F296" i="10"/>
  <c r="E296" i="10"/>
  <c r="F391" i="10"/>
  <c r="E391" i="10"/>
  <c r="F65" i="10"/>
  <c r="E65" i="10"/>
  <c r="F281" i="10"/>
  <c r="E281" i="10"/>
  <c r="F266" i="10"/>
  <c r="E266" i="10"/>
  <c r="F274" i="10"/>
  <c r="E274" i="10"/>
  <c r="F390" i="10"/>
  <c r="E390" i="10"/>
  <c r="F389" i="10"/>
  <c r="E389" i="10"/>
  <c r="F265" i="10"/>
  <c r="E265" i="10"/>
  <c r="F264" i="10"/>
  <c r="E264" i="10"/>
  <c r="F263" i="10"/>
  <c r="E263" i="10"/>
  <c r="F388" i="10"/>
  <c r="E388" i="10"/>
  <c r="F126" i="10"/>
  <c r="E126" i="10"/>
  <c r="F262" i="10"/>
  <c r="E262" i="10"/>
  <c r="F260" i="10"/>
  <c r="E260" i="10"/>
  <c r="F387" i="10"/>
  <c r="E387" i="10"/>
  <c r="F259" i="10"/>
  <c r="E259" i="10"/>
  <c r="F258" i="10"/>
  <c r="E258" i="10"/>
  <c r="F257" i="10"/>
  <c r="E257" i="10"/>
  <c r="F267" i="10"/>
  <c r="E267" i="10"/>
  <c r="F98" i="10"/>
  <c r="E98" i="10"/>
  <c r="F386" i="10"/>
  <c r="E386" i="10"/>
  <c r="F385" i="10"/>
  <c r="E385" i="10"/>
  <c r="F59" i="10"/>
  <c r="E59" i="10"/>
  <c r="F256" i="10"/>
  <c r="E256" i="10"/>
  <c r="F382" i="10"/>
  <c r="E382" i="10"/>
  <c r="F125" i="10"/>
  <c r="E125" i="10"/>
  <c r="F254" i="10"/>
  <c r="E254" i="10"/>
  <c r="F253" i="10"/>
  <c r="E253" i="10"/>
  <c r="F124" i="10"/>
  <c r="E124" i="10"/>
  <c r="F295" i="10"/>
  <c r="E295" i="10"/>
  <c r="F249" i="10"/>
  <c r="E249" i="10"/>
  <c r="F123" i="10"/>
  <c r="E123" i="10"/>
  <c r="F247" i="10"/>
  <c r="E247" i="10"/>
  <c r="F379" i="10"/>
  <c r="E379" i="10"/>
  <c r="F61" i="10"/>
  <c r="E61" i="10"/>
  <c r="F246" i="10"/>
  <c r="E246" i="10"/>
  <c r="F245" i="10"/>
  <c r="E245" i="10"/>
  <c r="F244" i="10"/>
  <c r="E244" i="10"/>
  <c r="F378" i="10"/>
  <c r="E378" i="10"/>
  <c r="F377" i="10"/>
  <c r="E377" i="10"/>
  <c r="F122" i="10"/>
  <c r="E122" i="10"/>
  <c r="F303" i="10"/>
  <c r="E303" i="10"/>
  <c r="F294" i="10"/>
  <c r="E294" i="10"/>
  <c r="F243" i="10"/>
  <c r="E243" i="10"/>
  <c r="F302" i="10"/>
  <c r="E302" i="10"/>
  <c r="F280" i="10"/>
  <c r="E280" i="10"/>
  <c r="F279" i="10"/>
  <c r="E279" i="10"/>
  <c r="F241" i="10"/>
  <c r="E241" i="10"/>
  <c r="F239" i="10"/>
  <c r="E239" i="10"/>
  <c r="F238" i="10"/>
  <c r="E238" i="10"/>
  <c r="F237" i="10"/>
  <c r="E237" i="10"/>
  <c r="F375" i="10"/>
  <c r="E375" i="10"/>
  <c r="F374" i="10"/>
  <c r="E374" i="10"/>
  <c r="F372" i="10"/>
  <c r="E372" i="10"/>
  <c r="F373" i="10"/>
  <c r="E373" i="10"/>
  <c r="F102" i="10"/>
  <c r="E102" i="10"/>
  <c r="F236" i="10"/>
  <c r="E236" i="10"/>
  <c r="F371" i="10"/>
  <c r="E371" i="10"/>
  <c r="F278" i="10"/>
  <c r="E278" i="10"/>
  <c r="F97" i="10"/>
  <c r="E97" i="10"/>
  <c r="F409" i="10"/>
  <c r="E409" i="10"/>
  <c r="F95" i="10"/>
  <c r="E95" i="10"/>
  <c r="F93" i="10"/>
  <c r="E93" i="10"/>
  <c r="F37" i="10"/>
  <c r="E37" i="10"/>
  <c r="F383" i="10"/>
  <c r="E383" i="10"/>
  <c r="F255" i="10"/>
  <c r="E255" i="10"/>
  <c r="F252" i="10"/>
  <c r="E252" i="10"/>
  <c r="F381" i="10"/>
  <c r="E381" i="10"/>
  <c r="F251" i="10"/>
  <c r="E251" i="10"/>
  <c r="F250" i="10"/>
  <c r="E250" i="10"/>
  <c r="F78" i="10"/>
  <c r="E78" i="10"/>
  <c r="F248" i="10"/>
  <c r="E248" i="10"/>
  <c r="F380" i="10"/>
  <c r="E380" i="10"/>
  <c r="F135" i="10"/>
  <c r="E135" i="10"/>
  <c r="F134" i="10"/>
  <c r="E134" i="10"/>
  <c r="F96" i="10"/>
  <c r="E96" i="10"/>
  <c r="F242" i="10"/>
  <c r="E242" i="10"/>
  <c r="F376" i="10"/>
  <c r="E376" i="10"/>
  <c r="F42" i="10"/>
  <c r="E42" i="10"/>
  <c r="F240" i="10"/>
  <c r="E240" i="10"/>
  <c r="F133" i="10"/>
  <c r="E133" i="10"/>
  <c r="F235" i="10"/>
  <c r="E235" i="10"/>
  <c r="F370" i="10"/>
  <c r="E370" i="10"/>
  <c r="F94" i="10"/>
  <c r="E94" i="10"/>
  <c r="F234" i="10"/>
  <c r="E234" i="10"/>
  <c r="F138" i="10"/>
  <c r="E138" i="10"/>
  <c r="F121" i="10"/>
  <c r="E121" i="10"/>
  <c r="F120" i="10"/>
  <c r="E120" i="10"/>
  <c r="F230" i="10"/>
  <c r="E230" i="10"/>
  <c r="F366" i="10"/>
  <c r="E366" i="10"/>
  <c r="F277" i="10"/>
  <c r="E277" i="10"/>
  <c r="F228" i="10"/>
  <c r="E228" i="10"/>
  <c r="F229" i="10"/>
  <c r="E229" i="10"/>
  <c r="F364" i="10"/>
  <c r="E364" i="10"/>
  <c r="F363" i="10"/>
  <c r="E363" i="10"/>
  <c r="F362" i="10"/>
  <c r="E362" i="10"/>
  <c r="F293" i="10"/>
  <c r="E293" i="10"/>
  <c r="F360" i="10"/>
  <c r="E360" i="10"/>
  <c r="F301" i="10"/>
  <c r="E301" i="10"/>
  <c r="F227" i="10"/>
  <c r="E227" i="10"/>
  <c r="F226" i="10"/>
  <c r="E226" i="10"/>
  <c r="F224" i="10"/>
  <c r="E224" i="10"/>
  <c r="F225" i="10"/>
  <c r="E225" i="10"/>
  <c r="F223" i="10"/>
  <c r="E223" i="10"/>
  <c r="F369" i="10"/>
  <c r="E369" i="10"/>
  <c r="F233" i="10"/>
  <c r="E233" i="10"/>
  <c r="F232" i="10"/>
  <c r="E232" i="10"/>
  <c r="F368" i="10"/>
  <c r="E368" i="10"/>
  <c r="F231" i="10"/>
  <c r="E231" i="10"/>
  <c r="F367" i="10"/>
  <c r="E367" i="10"/>
  <c r="F101" i="10"/>
  <c r="E101" i="10"/>
  <c r="F365" i="10"/>
  <c r="E365" i="10"/>
  <c r="F129" i="10"/>
  <c r="E129" i="10"/>
  <c r="F361" i="10"/>
  <c r="E361" i="10"/>
  <c r="F408" i="10"/>
  <c r="E408" i="10"/>
  <c r="F222" i="10"/>
  <c r="E222" i="10"/>
  <c r="F132" i="10"/>
  <c r="E132" i="10"/>
  <c r="F57" i="10"/>
  <c r="E57" i="10"/>
  <c r="F221" i="10"/>
  <c r="E221" i="10"/>
  <c r="F220" i="10"/>
  <c r="E220" i="10"/>
  <c r="F217" i="10"/>
  <c r="E217" i="10"/>
  <c r="F216" i="10"/>
  <c r="E216" i="10"/>
  <c r="F407" i="10"/>
  <c r="E407" i="10"/>
  <c r="F357" i="10"/>
  <c r="E357" i="10"/>
  <c r="F215" i="10"/>
  <c r="E215" i="10"/>
  <c r="F292" i="10"/>
  <c r="E292" i="10"/>
  <c r="F214" i="10"/>
  <c r="E214" i="10"/>
  <c r="F291" i="10"/>
  <c r="E291" i="10"/>
  <c r="F354" i="10"/>
  <c r="E354" i="10"/>
  <c r="F355" i="10"/>
  <c r="E355" i="10"/>
  <c r="F213" i="10"/>
  <c r="E213" i="10"/>
  <c r="F211" i="10"/>
  <c r="E211" i="10"/>
  <c r="F212" i="10"/>
  <c r="E212" i="10"/>
  <c r="F352" i="10"/>
  <c r="E352" i="10"/>
  <c r="F118" i="10"/>
  <c r="E118" i="10"/>
  <c r="F351" i="10"/>
  <c r="E351" i="10"/>
  <c r="F358" i="10"/>
  <c r="E358" i="10"/>
  <c r="F353" i="10"/>
  <c r="E353" i="10"/>
  <c r="F117" i="10"/>
  <c r="E117" i="10"/>
  <c r="F350" i="10"/>
  <c r="E350" i="10"/>
  <c r="F348" i="10"/>
  <c r="E348" i="10"/>
  <c r="F90" i="10"/>
  <c r="E90" i="10"/>
  <c r="F210" i="10"/>
  <c r="E210" i="10"/>
  <c r="F209" i="10"/>
  <c r="E209" i="10"/>
  <c r="F116" i="10"/>
  <c r="E116" i="10"/>
  <c r="F346" i="10"/>
  <c r="E346" i="10"/>
  <c r="F349" i="10"/>
  <c r="E349" i="10"/>
  <c r="F401" i="10"/>
  <c r="E401" i="10"/>
  <c r="F347" i="10"/>
  <c r="E347" i="10"/>
  <c r="F206" i="10"/>
  <c r="E206" i="10"/>
  <c r="F131" i="10"/>
  <c r="E131" i="10"/>
  <c r="F205" i="10"/>
  <c r="E205" i="10"/>
  <c r="F115" i="10"/>
  <c r="E115" i="10"/>
  <c r="F204" i="10"/>
  <c r="E204" i="10"/>
  <c r="F62" i="10"/>
  <c r="E62" i="10"/>
  <c r="F56" i="10"/>
  <c r="E56" i="10"/>
  <c r="F345" i="10"/>
  <c r="E345" i="10"/>
  <c r="F344" i="10"/>
  <c r="E344" i="10"/>
  <c r="F203" i="10"/>
  <c r="E203" i="10"/>
  <c r="F202" i="10"/>
  <c r="E202" i="10"/>
  <c r="F200" i="10"/>
  <c r="E200" i="10"/>
  <c r="F46" i="10"/>
  <c r="E46" i="10"/>
  <c r="F342" i="10"/>
  <c r="E342" i="10"/>
  <c r="F399" i="10"/>
  <c r="E399" i="10"/>
  <c r="F341" i="10"/>
  <c r="E341" i="10"/>
  <c r="F338" i="10"/>
  <c r="E338" i="10"/>
  <c r="F198" i="10"/>
  <c r="E198" i="10"/>
  <c r="F337" i="10"/>
  <c r="E337" i="10"/>
  <c r="F340" i="10"/>
  <c r="E340" i="10"/>
  <c r="F87" i="10"/>
  <c r="E87" i="10"/>
  <c r="F201" i="10"/>
  <c r="E201" i="10"/>
  <c r="F88" i="10"/>
  <c r="E88" i="10"/>
  <c r="F31" i="10"/>
  <c r="E31" i="10"/>
  <c r="F339" i="10"/>
  <c r="E339" i="10"/>
  <c r="F196" i="10"/>
  <c r="E196" i="10"/>
  <c r="F195" i="10"/>
  <c r="E195" i="10"/>
  <c r="F86" i="10"/>
  <c r="E86" i="10"/>
  <c r="F197" i="10"/>
  <c r="E197" i="10"/>
  <c r="F406" i="10"/>
  <c r="E406" i="10"/>
  <c r="F194" i="10"/>
  <c r="E194" i="10"/>
  <c r="F114" i="10"/>
  <c r="E114" i="10"/>
  <c r="F336" i="10"/>
  <c r="E336" i="10"/>
  <c r="F335" i="10"/>
  <c r="E335" i="10"/>
  <c r="F193" i="10"/>
  <c r="E193" i="10"/>
  <c r="F334" i="10"/>
  <c r="E334" i="10"/>
  <c r="F333" i="10"/>
  <c r="E333" i="10"/>
  <c r="F332" i="10"/>
  <c r="E332" i="10"/>
  <c r="F191" i="10"/>
  <c r="E191" i="10"/>
  <c r="F189" i="10"/>
  <c r="E189" i="10"/>
  <c r="F113" i="10"/>
  <c r="E113" i="10"/>
  <c r="F287" i="10"/>
  <c r="E287" i="10"/>
  <c r="F288" i="10"/>
  <c r="E288" i="10"/>
  <c r="F188" i="10"/>
  <c r="E188" i="10"/>
  <c r="F331" i="10"/>
  <c r="E331" i="10"/>
  <c r="F112" i="10"/>
  <c r="E112" i="10"/>
  <c r="F187" i="10"/>
  <c r="E187" i="10"/>
  <c r="F67" i="10"/>
  <c r="E67" i="10"/>
  <c r="F329" i="10"/>
  <c r="E329" i="10"/>
  <c r="F54" i="10"/>
  <c r="E54" i="10"/>
  <c r="F186" i="10"/>
  <c r="E186" i="10"/>
  <c r="F45" i="10"/>
  <c r="E45" i="10"/>
  <c r="F44" i="10"/>
  <c r="E44" i="10"/>
  <c r="F48" i="10"/>
  <c r="E48" i="10"/>
  <c r="F77" i="10"/>
  <c r="E77" i="10"/>
  <c r="F85" i="10"/>
  <c r="E85" i="10"/>
  <c r="F192" i="10"/>
  <c r="E192" i="10"/>
  <c r="F24" i="10"/>
  <c r="E24" i="10"/>
  <c r="F298" i="10"/>
  <c r="E298" i="10"/>
  <c r="F330" i="10"/>
  <c r="E330" i="10"/>
  <c r="F36" i="10"/>
  <c r="E36" i="10"/>
  <c r="F185" i="10"/>
  <c r="E185" i="10"/>
  <c r="F40" i="10"/>
  <c r="E40" i="10"/>
  <c r="F183" i="10"/>
  <c r="E183" i="10"/>
  <c r="F328" i="10"/>
  <c r="E328" i="10"/>
  <c r="F181" i="10"/>
  <c r="E181" i="10"/>
  <c r="F180" i="10"/>
  <c r="E180" i="10"/>
  <c r="F66" i="10"/>
  <c r="E66" i="10"/>
  <c r="F179" i="10"/>
  <c r="E179" i="10"/>
  <c r="F178" i="10"/>
  <c r="E178" i="10"/>
  <c r="F76" i="10"/>
  <c r="E76" i="10"/>
  <c r="F182" i="10"/>
  <c r="E182" i="10"/>
  <c r="F83" i="10"/>
  <c r="E83" i="10"/>
  <c r="F82" i="10"/>
  <c r="E82" i="10"/>
  <c r="F50" i="10"/>
  <c r="E50" i="10"/>
  <c r="F18" i="10"/>
  <c r="E18" i="10"/>
  <c r="F35" i="10"/>
  <c r="E35" i="10"/>
  <c r="F343" i="10"/>
  <c r="E343" i="10"/>
  <c r="F34" i="10"/>
  <c r="E34" i="10"/>
  <c r="F268" i="10"/>
  <c r="E268" i="10"/>
  <c r="F289" i="10"/>
  <c r="E289" i="10"/>
  <c r="F47" i="10"/>
  <c r="E47" i="10"/>
  <c r="F275" i="10"/>
  <c r="E275" i="10"/>
  <c r="F11" i="10"/>
  <c r="E11" i="10"/>
  <c r="F7" i="10"/>
  <c r="E7" i="10"/>
  <c r="F3" i="10"/>
  <c r="E3" i="10"/>
  <c r="F384" i="10"/>
  <c r="E384" i="10"/>
  <c r="F323" i="10"/>
  <c r="E323" i="10"/>
  <c r="F270" i="10"/>
  <c r="E270" i="10"/>
  <c r="F414" i="10"/>
  <c r="J414" i="10" s="1"/>
  <c r="F128" i="10"/>
  <c r="E128" i="10"/>
  <c r="F207" i="10"/>
  <c r="E207" i="10"/>
  <c r="F169" i="10"/>
  <c r="E169" i="10"/>
  <c r="F416" i="10"/>
  <c r="J416" i="10" s="1"/>
  <c r="F58" i="10"/>
  <c r="E58" i="10"/>
  <c r="F60" i="10"/>
  <c r="E60" i="10"/>
  <c r="E159" i="10"/>
  <c r="J159" i="10" s="1"/>
  <c r="F184" i="10"/>
  <c r="E184" i="10"/>
  <c r="F199" i="10"/>
  <c r="E199" i="10"/>
  <c r="F283" i="10"/>
  <c r="E283" i="10"/>
  <c r="F119" i="10"/>
  <c r="E119" i="10"/>
  <c r="F91" i="10"/>
  <c r="E91" i="10"/>
  <c r="F177" i="10"/>
  <c r="E177" i="10"/>
  <c r="F327" i="10"/>
  <c r="E327" i="10"/>
  <c r="F176" i="10"/>
  <c r="E176" i="10"/>
  <c r="F53" i="10"/>
  <c r="E53" i="10"/>
  <c r="F326" i="10"/>
  <c r="E326" i="10"/>
  <c r="F175" i="10"/>
  <c r="E175" i="10"/>
  <c r="F173" i="10"/>
  <c r="E173" i="10"/>
  <c r="F174" i="10"/>
  <c r="E174" i="10"/>
  <c r="F324" i="10"/>
  <c r="E324" i="10"/>
  <c r="F325" i="10"/>
  <c r="E325" i="10"/>
  <c r="F285" i="10"/>
  <c r="E285" i="10"/>
  <c r="F111" i="10"/>
  <c r="E111" i="10"/>
  <c r="F172" i="10"/>
  <c r="E172" i="10"/>
  <c r="F170" i="10"/>
  <c r="E170" i="10"/>
  <c r="F286" i="10"/>
  <c r="E286" i="10"/>
  <c r="F321" i="10"/>
  <c r="E321" i="10"/>
  <c r="F171" i="10"/>
  <c r="E171" i="10"/>
  <c r="F322" i="10"/>
  <c r="E322" i="10"/>
  <c r="F320" i="10"/>
  <c r="E320" i="10"/>
  <c r="F168" i="10"/>
  <c r="E168" i="10"/>
  <c r="F319" i="10"/>
  <c r="E319" i="10"/>
  <c r="F167" i="10"/>
  <c r="E167" i="10"/>
  <c r="F137" i="10"/>
  <c r="E137" i="10"/>
  <c r="F415" i="10"/>
  <c r="J415" i="10" s="1"/>
  <c r="F52" i="10"/>
  <c r="E52" i="10"/>
  <c r="F317" i="10"/>
  <c r="E317" i="10"/>
  <c r="F81" i="10"/>
  <c r="E81" i="10"/>
  <c r="F316" i="10"/>
  <c r="E316" i="10"/>
  <c r="F166" i="10"/>
  <c r="E166" i="10"/>
  <c r="F165" i="10"/>
  <c r="E165" i="10"/>
  <c r="F110" i="10"/>
  <c r="E110" i="10"/>
  <c r="F315" i="10"/>
  <c r="E315" i="10"/>
  <c r="F164" i="10"/>
  <c r="E164" i="10"/>
  <c r="F314" i="10"/>
  <c r="E314" i="10"/>
  <c r="F313" i="10"/>
  <c r="E313" i="10"/>
  <c r="F80" i="10"/>
  <c r="E80" i="10"/>
  <c r="F395" i="10"/>
  <c r="E395" i="10"/>
  <c r="F162" i="10"/>
  <c r="E162" i="10"/>
  <c r="F312" i="10"/>
  <c r="E312" i="10"/>
  <c r="F160" i="10"/>
  <c r="E160" i="10"/>
  <c r="F161" i="10"/>
  <c r="E161" i="10"/>
  <c r="F311" i="10"/>
  <c r="E311" i="10"/>
  <c r="F109" i="10"/>
  <c r="E109" i="10"/>
  <c r="F284" i="10"/>
  <c r="E284" i="10"/>
  <c r="F43" i="10"/>
  <c r="E43" i="10"/>
  <c r="F156" i="10"/>
  <c r="E156" i="10"/>
  <c r="F155" i="10"/>
  <c r="E155" i="10"/>
  <c r="F157" i="10"/>
  <c r="E157" i="10"/>
  <c r="F75" i="10"/>
  <c r="E75" i="10"/>
  <c r="F163" i="10"/>
  <c r="E163" i="10"/>
  <c r="F310" i="10"/>
  <c r="E310" i="10"/>
  <c r="F309" i="10"/>
  <c r="E309" i="10"/>
  <c r="F158" i="10"/>
  <c r="E158" i="10"/>
  <c r="F49" i="10"/>
  <c r="E49" i="10"/>
  <c r="F398" i="10"/>
  <c r="E398" i="10"/>
  <c r="F108" i="10"/>
  <c r="E108" i="10"/>
  <c r="F153" i="10"/>
  <c r="E153" i="10"/>
  <c r="F152" i="10"/>
  <c r="E152" i="10"/>
  <c r="F150" i="10"/>
  <c r="E150" i="10"/>
  <c r="F307" i="10"/>
  <c r="E307" i="10"/>
  <c r="F149" i="10"/>
  <c r="E149" i="10"/>
  <c r="F107" i="10"/>
  <c r="E107" i="10"/>
  <c r="F148" i="10"/>
  <c r="E148" i="10"/>
  <c r="F306" i="10"/>
  <c r="E306" i="10"/>
  <c r="F147" i="10"/>
  <c r="E147" i="10"/>
  <c r="F146" i="10"/>
  <c r="E146" i="10"/>
  <c r="F106" i="10"/>
  <c r="E106" i="10"/>
  <c r="F105" i="10"/>
  <c r="E105" i="10"/>
  <c r="F144" i="10"/>
  <c r="E144" i="10"/>
  <c r="F142" i="10"/>
  <c r="E142" i="10"/>
  <c r="F304" i="10"/>
  <c r="E304" i="10"/>
  <c r="F141" i="10"/>
  <c r="E141" i="10"/>
  <c r="F140" i="10"/>
  <c r="E140" i="10"/>
  <c r="F27" i="10"/>
  <c r="E27" i="10"/>
  <c r="F74" i="10"/>
  <c r="E74" i="10"/>
  <c r="F308" i="10"/>
  <c r="E308" i="10"/>
  <c r="F151" i="10"/>
  <c r="E151" i="10"/>
  <c r="F305" i="10"/>
  <c r="E305" i="10"/>
  <c r="F145" i="10"/>
  <c r="E145" i="10"/>
  <c r="F143" i="10"/>
  <c r="E143" i="10"/>
  <c r="F55" i="10"/>
  <c r="E55" i="10"/>
  <c r="F208" i="10"/>
  <c r="E208" i="10"/>
  <c r="F84" i="10"/>
  <c r="E84" i="10"/>
  <c r="F89" i="10"/>
  <c r="E89" i="10"/>
  <c r="F356" i="10"/>
  <c r="E356" i="10"/>
  <c r="F318" i="10"/>
  <c r="E318" i="10"/>
  <c r="F290" i="10"/>
  <c r="E290" i="10"/>
  <c r="F396" i="10"/>
  <c r="E396" i="10"/>
  <c r="F103" i="10"/>
  <c r="E103" i="10"/>
  <c r="F276" i="10"/>
  <c r="E276" i="10"/>
  <c r="F154" i="10"/>
  <c r="E154" i="10"/>
  <c r="F261" i="10"/>
  <c r="E261" i="10"/>
  <c r="F104" i="10"/>
  <c r="E104" i="10"/>
  <c r="E297" i="10"/>
  <c r="J297" i="10" s="1"/>
  <c r="F68" i="10"/>
  <c r="E68" i="10"/>
  <c r="F20" i="10"/>
  <c r="E20" i="10"/>
  <c r="F17" i="10"/>
  <c r="E17" i="10"/>
  <c r="F22" i="10"/>
  <c r="E22" i="10"/>
  <c r="F21" i="10"/>
  <c r="E21" i="10"/>
  <c r="F8" i="10"/>
  <c r="E8" i="10"/>
  <c r="F6" i="10"/>
  <c r="E6" i="10"/>
  <c r="F12" i="10"/>
  <c r="E12" i="10"/>
  <c r="F359" i="10"/>
  <c r="E359" i="10"/>
  <c r="F136" i="10"/>
  <c r="E136" i="10"/>
  <c r="F15" i="10"/>
  <c r="E15" i="10"/>
  <c r="F33" i="10"/>
  <c r="E33" i="10"/>
  <c r="E9" i="10"/>
  <c r="J9" i="10" s="1"/>
  <c r="F13" i="10"/>
  <c r="E13" i="10"/>
  <c r="F19" i="10"/>
  <c r="E19" i="10"/>
  <c r="F4" i="10"/>
  <c r="E4" i="10"/>
  <c r="F63" i="10"/>
  <c r="E63" i="10"/>
  <c r="F10" i="10"/>
  <c r="E10" i="10"/>
  <c r="F64" i="10"/>
  <c r="E64" i="10"/>
  <c r="F16" i="10"/>
  <c r="E16" i="10"/>
  <c r="F51" i="10"/>
  <c r="E51" i="10"/>
  <c r="F79" i="10"/>
  <c r="E79" i="10"/>
  <c r="F70" i="10"/>
  <c r="E70" i="10"/>
  <c r="F71" i="10"/>
  <c r="E71" i="10"/>
  <c r="F14" i="10"/>
  <c r="E14" i="10"/>
  <c r="F218" i="10"/>
  <c r="E218" i="10"/>
  <c r="F92" i="10"/>
  <c r="E92" i="10"/>
  <c r="F73" i="10"/>
  <c r="E73" i="10"/>
  <c r="F219" i="10"/>
  <c r="E219" i="10"/>
  <c r="F410" i="10"/>
  <c r="E410" i="10"/>
  <c r="F69" i="10"/>
  <c r="E69" i="10"/>
  <c r="F72" i="10"/>
  <c r="E72" i="10"/>
  <c r="F402" i="10"/>
  <c r="E402" i="10"/>
  <c r="F413" i="10"/>
  <c r="E413" i="10"/>
  <c r="F412" i="10"/>
  <c r="E412" i="10"/>
  <c r="F411" i="10"/>
  <c r="E411" i="10"/>
  <c r="F404" i="10"/>
  <c r="E404" i="10"/>
  <c r="F400" i="10"/>
  <c r="E400" i="10"/>
  <c r="F397" i="10"/>
  <c r="E397" i="10"/>
  <c r="F403" i="10"/>
  <c r="E403" i="10"/>
  <c r="F139" i="10"/>
  <c r="E139" i="10"/>
  <c r="F100" i="10"/>
  <c r="E100" i="10"/>
  <c r="F26" i="10"/>
  <c r="E26" i="10"/>
  <c r="F130" i="10"/>
  <c r="E130" i="10"/>
  <c r="F32" i="10"/>
  <c r="E32" i="10"/>
  <c r="F28" i="10"/>
  <c r="E28" i="10"/>
  <c r="F23" i="10"/>
  <c r="E23" i="10"/>
  <c r="F25" i="10"/>
  <c r="E25" i="10"/>
  <c r="F29" i="10"/>
  <c r="E29" i="10"/>
  <c r="F38" i="10"/>
  <c r="E38" i="10"/>
  <c r="F30" i="10"/>
  <c r="E30" i="10"/>
  <c r="F39" i="10"/>
  <c r="E39" i="10"/>
  <c r="F282" i="10"/>
  <c r="E282" i="10"/>
  <c r="F300" i="10"/>
  <c r="E300" i="10"/>
  <c r="F299" i="10"/>
  <c r="E299" i="10"/>
  <c r="F190" i="10"/>
  <c r="E190" i="10"/>
  <c r="G341" i="2"/>
  <c r="G333" i="2"/>
  <c r="F341" i="2"/>
  <c r="G620" i="2" l="1"/>
  <c r="J299" i="10"/>
  <c r="J282" i="10"/>
  <c r="J30" i="10"/>
  <c r="J29" i="10"/>
  <c r="J23" i="10"/>
  <c r="J32" i="10"/>
  <c r="J26" i="10"/>
  <c r="J139" i="10"/>
  <c r="J397" i="10"/>
  <c r="J404" i="10"/>
  <c r="J412" i="10"/>
  <c r="J402" i="10"/>
  <c r="J69" i="10"/>
  <c r="J219" i="10"/>
  <c r="J92" i="10"/>
  <c r="J14" i="10"/>
  <c r="J70" i="10"/>
  <c r="J51" i="10"/>
  <c r="J64" i="10"/>
  <c r="J63" i="10"/>
  <c r="J19" i="10"/>
  <c r="J261" i="10"/>
  <c r="J276" i="10"/>
  <c r="J396" i="10"/>
  <c r="J318" i="10"/>
  <c r="J89" i="10"/>
  <c r="J208" i="10"/>
  <c r="J143" i="10"/>
  <c r="J305" i="10"/>
  <c r="J308" i="10"/>
  <c r="J27" i="10"/>
  <c r="J141" i="10"/>
  <c r="J142" i="10"/>
  <c r="G24" i="26"/>
  <c r="G26" i="26" s="1"/>
  <c r="J105" i="10"/>
  <c r="J146" i="10"/>
  <c r="J306" i="10"/>
  <c r="J107" i="10"/>
  <c r="J307" i="10"/>
  <c r="J152" i="10"/>
  <c r="J108" i="10"/>
  <c r="J49" i="10"/>
  <c r="J309" i="10"/>
  <c r="J163" i="10"/>
  <c r="J157" i="10"/>
  <c r="J156" i="10"/>
  <c r="J284" i="10"/>
  <c r="J311" i="10"/>
  <c r="J160" i="10"/>
  <c r="J162" i="10"/>
  <c r="J80" i="10"/>
  <c r="J314" i="10"/>
  <c r="J315" i="10"/>
  <c r="J165" i="10"/>
  <c r="J316" i="10"/>
  <c r="J317" i="10"/>
  <c r="J58" i="10"/>
  <c r="J323" i="10"/>
  <c r="J3" i="10"/>
  <c r="J11" i="10"/>
  <c r="J47" i="10"/>
  <c r="J268" i="10"/>
  <c r="J343" i="10"/>
  <c r="J18" i="10"/>
  <c r="J82" i="10"/>
  <c r="J182" i="10"/>
  <c r="J178" i="10"/>
  <c r="J66" i="10"/>
  <c r="J181" i="10"/>
  <c r="J183" i="10"/>
  <c r="J185" i="10"/>
  <c r="J330" i="10"/>
  <c r="J24" i="10"/>
  <c r="J85" i="10"/>
  <c r="J190" i="10"/>
  <c r="J39" i="10"/>
  <c r="J38" i="10"/>
  <c r="J25" i="10"/>
  <c r="J28" i="10"/>
  <c r="J130" i="10"/>
  <c r="J100" i="10"/>
  <c r="J403" i="10"/>
  <c r="J400" i="10"/>
  <c r="J411" i="10"/>
  <c r="J413" i="10"/>
  <c r="J72" i="10"/>
  <c r="J410" i="10"/>
  <c r="J207" i="10"/>
  <c r="J401" i="10"/>
  <c r="J57" i="10"/>
  <c r="J248" i="10"/>
  <c r="J95" i="10"/>
  <c r="J385" i="10"/>
  <c r="J73" i="10"/>
  <c r="J15" i="10"/>
  <c r="J174" i="10"/>
  <c r="J169" i="10"/>
  <c r="J128" i="10"/>
  <c r="J48" i="10"/>
  <c r="J45" i="10"/>
  <c r="J54" i="10"/>
  <c r="J67" i="10"/>
  <c r="J112" i="10"/>
  <c r="J188" i="10"/>
  <c r="J287" i="10"/>
  <c r="J189" i="10"/>
  <c r="J332" i="10"/>
  <c r="J334" i="10"/>
  <c r="J335" i="10"/>
  <c r="J114" i="10"/>
  <c r="J406" i="10"/>
  <c r="J86" i="10"/>
  <c r="J196" i="10"/>
  <c r="J31" i="10"/>
  <c r="J201" i="10"/>
  <c r="J340" i="10"/>
  <c r="J198" i="10"/>
  <c r="J341" i="10"/>
  <c r="J342" i="10"/>
  <c r="J200" i="10"/>
  <c r="J203" i="10"/>
  <c r="J345" i="10"/>
  <c r="J62" i="10"/>
  <c r="J115" i="10"/>
  <c r="J131" i="10"/>
  <c r="J33" i="10"/>
  <c r="J136" i="10"/>
  <c r="J12" i="10"/>
  <c r="J8" i="10"/>
  <c r="J22" i="10"/>
  <c r="J20" i="10"/>
  <c r="J137" i="10"/>
  <c r="J319" i="10"/>
  <c r="J320" i="10"/>
  <c r="J171" i="10"/>
  <c r="J286" i="10"/>
  <c r="J172" i="10"/>
  <c r="J285" i="10"/>
  <c r="J324" i="10"/>
  <c r="J173" i="10"/>
  <c r="J326" i="10"/>
  <c r="J176" i="10"/>
  <c r="J177" i="10"/>
  <c r="J119" i="10"/>
  <c r="J199" i="10"/>
  <c r="J218" i="10"/>
  <c r="J71" i="10"/>
  <c r="J79" i="10"/>
  <c r="J16" i="10"/>
  <c r="J10" i="10"/>
  <c r="J4" i="10"/>
  <c r="J13" i="10"/>
  <c r="J104" i="10"/>
  <c r="J154" i="10"/>
  <c r="J103" i="10"/>
  <c r="J290" i="10"/>
  <c r="J356" i="10"/>
  <c r="J84" i="10"/>
  <c r="J55" i="10"/>
  <c r="J145" i="10"/>
  <c r="J151" i="10"/>
  <c r="J74" i="10"/>
  <c r="J140" i="10"/>
  <c r="J304" i="10"/>
  <c r="J144" i="10"/>
  <c r="J106" i="10"/>
  <c r="J147" i="10"/>
  <c r="J148" i="10"/>
  <c r="J149" i="10"/>
  <c r="J150" i="10"/>
  <c r="J153" i="10"/>
  <c r="J398" i="10"/>
  <c r="J158" i="10"/>
  <c r="J310" i="10"/>
  <c r="J75" i="10"/>
  <c r="J155" i="10"/>
  <c r="J43" i="10"/>
  <c r="J109" i="10"/>
  <c r="J161" i="10"/>
  <c r="J312" i="10"/>
  <c r="J395" i="10"/>
  <c r="J313" i="10"/>
  <c r="J164" i="10"/>
  <c r="J110" i="10"/>
  <c r="J166" i="10"/>
  <c r="J81" i="10"/>
  <c r="J52" i="10"/>
  <c r="J60" i="10"/>
  <c r="J7" i="10"/>
  <c r="J35" i="10"/>
  <c r="J333" i="10"/>
  <c r="J350" i="10"/>
  <c r="J120" i="10"/>
  <c r="J253" i="10"/>
  <c r="J270" i="10"/>
  <c r="J384" i="10"/>
  <c r="J275" i="10"/>
  <c r="J289" i="10"/>
  <c r="J34" i="10"/>
  <c r="J50" i="10"/>
  <c r="J288" i="10"/>
  <c r="J202" i="10"/>
  <c r="J222" i="10"/>
  <c r="J364" i="10"/>
  <c r="J65" i="10"/>
  <c r="J347" i="10"/>
  <c r="J349" i="10"/>
  <c r="J116" i="10"/>
  <c r="J210" i="10"/>
  <c r="J348" i="10"/>
  <c r="J117" i="10"/>
  <c r="J358" i="10"/>
  <c r="J118" i="10"/>
  <c r="J212" i="10"/>
  <c r="J213" i="10"/>
  <c r="J354" i="10"/>
  <c r="J214" i="10"/>
  <c r="J215" i="10"/>
  <c r="J407" i="10"/>
  <c r="J217" i="10"/>
  <c r="J221" i="10"/>
  <c r="J132" i="10"/>
  <c r="J408" i="10"/>
  <c r="J129" i="10"/>
  <c r="J101" i="10"/>
  <c r="J231" i="10"/>
  <c r="J232" i="10"/>
  <c r="J369" i="10"/>
  <c r="J225" i="10"/>
  <c r="J226" i="10"/>
  <c r="J301" i="10"/>
  <c r="J293" i="10"/>
  <c r="J363" i="10"/>
  <c r="J229" i="10"/>
  <c r="J277" i="10"/>
  <c r="J230" i="10"/>
  <c r="J121" i="10"/>
  <c r="J234" i="10"/>
  <c r="J370" i="10"/>
  <c r="J133" i="10"/>
  <c r="J42" i="10"/>
  <c r="J242" i="10"/>
  <c r="J134" i="10"/>
  <c r="J380" i="10"/>
  <c r="J78" i="10"/>
  <c r="J251" i="10"/>
  <c r="J252" i="10"/>
  <c r="J383" i="10"/>
  <c r="J93" i="10"/>
  <c r="J409" i="10"/>
  <c r="J278" i="10"/>
  <c r="J236" i="10"/>
  <c r="J373" i="10"/>
  <c r="J374" i="10"/>
  <c r="J237" i="10"/>
  <c r="J239" i="10"/>
  <c r="J279" i="10"/>
  <c r="J302" i="10"/>
  <c r="J294" i="10"/>
  <c r="J122" i="10"/>
  <c r="J378" i="10"/>
  <c r="J245" i="10"/>
  <c r="J61" i="10"/>
  <c r="J247" i="10"/>
  <c r="J249" i="10"/>
  <c r="J124" i="10"/>
  <c r="J254" i="10"/>
  <c r="J382" i="10"/>
  <c r="J59" i="10"/>
  <c r="J386" i="10"/>
  <c r="J267" i="10"/>
  <c r="J258" i="10"/>
  <c r="J387" i="10"/>
  <c r="J262" i="10"/>
  <c r="J388" i="10"/>
  <c r="J264" i="10"/>
  <c r="J389" i="10"/>
  <c r="J274" i="10"/>
  <c r="J281" i="10"/>
  <c r="J391" i="10"/>
  <c r="J405" i="10"/>
  <c r="J269" i="10"/>
  <c r="J127" i="10"/>
  <c r="J393" i="10"/>
  <c r="J394" i="10"/>
  <c r="J273" i="10"/>
  <c r="J83" i="10"/>
  <c r="J76" i="10"/>
  <c r="J179" i="10"/>
  <c r="J180" i="10"/>
  <c r="J328" i="10"/>
  <c r="J40" i="10"/>
  <c r="J36" i="10"/>
  <c r="J298" i="10"/>
  <c r="J192" i="10"/>
  <c r="J77" i="10"/>
  <c r="J44" i="10"/>
  <c r="J186" i="10"/>
  <c r="J329" i="10"/>
  <c r="J187" i="10"/>
  <c r="J331" i="10"/>
  <c r="J113" i="10"/>
  <c r="J191" i="10"/>
  <c r="J193" i="10"/>
  <c r="J336" i="10"/>
  <c r="J194" i="10"/>
  <c r="J197" i="10"/>
  <c r="J195" i="10"/>
  <c r="J339" i="10"/>
  <c r="J88" i="10"/>
  <c r="J87" i="10"/>
  <c r="J337" i="10"/>
  <c r="J338" i="10"/>
  <c r="J399" i="10"/>
  <c r="J46" i="10"/>
  <c r="J344" i="10"/>
  <c r="J56" i="10"/>
  <c r="J204" i="10"/>
  <c r="J205" i="10"/>
  <c r="J206" i="10"/>
  <c r="J346" i="10"/>
  <c r="J209" i="10"/>
  <c r="J90" i="10"/>
  <c r="J353" i="10"/>
  <c r="J351" i="10"/>
  <c r="J352" i="10"/>
  <c r="J211" i="10"/>
  <c r="J355" i="10"/>
  <c r="J291" i="10"/>
  <c r="J292" i="10"/>
  <c r="J357" i="10"/>
  <c r="J216" i="10"/>
  <c r="J220" i="10"/>
  <c r="J361" i="10"/>
  <c r="J365" i="10"/>
  <c r="J367" i="10"/>
  <c r="J368" i="10"/>
  <c r="J233" i="10"/>
  <c r="J223" i="10"/>
  <c r="J224" i="10"/>
  <c r="J227" i="10"/>
  <c r="J360" i="10"/>
  <c r="J362" i="10"/>
  <c r="J228" i="10"/>
  <c r="J94" i="10"/>
  <c r="J255" i="10"/>
  <c r="J37" i="10"/>
  <c r="J97" i="10"/>
  <c r="J377" i="10"/>
  <c r="J125" i="10"/>
  <c r="J257" i="10"/>
  <c r="J266" i="10"/>
  <c r="J41" i="10"/>
  <c r="J6" i="10"/>
  <c r="J21" i="10"/>
  <c r="J17" i="10"/>
  <c r="J68" i="10"/>
  <c r="J168" i="10"/>
  <c r="J325" i="10"/>
  <c r="J53" i="10"/>
  <c r="J91" i="10"/>
  <c r="J300" i="10"/>
  <c r="J366" i="10"/>
  <c r="J138" i="10"/>
  <c r="J235" i="10"/>
  <c r="J240" i="10"/>
  <c r="J376" i="10"/>
  <c r="J96" i="10"/>
  <c r="J135" i="10"/>
  <c r="J250" i="10"/>
  <c r="J381" i="10"/>
  <c r="J371" i="10"/>
  <c r="J102" i="10"/>
  <c r="J372" i="10"/>
  <c r="J375" i="10"/>
  <c r="J238" i="10"/>
  <c r="J241" i="10"/>
  <c r="J280" i="10"/>
  <c r="J243" i="10"/>
  <c r="J303" i="10"/>
  <c r="J244" i="10"/>
  <c r="J246" i="10"/>
  <c r="J379" i="10"/>
  <c r="J123" i="10"/>
  <c r="J295" i="10"/>
  <c r="J256" i="10"/>
  <c r="J98" i="10"/>
  <c r="J259" i="10"/>
  <c r="J260" i="10"/>
  <c r="J126" i="10"/>
  <c r="J263" i="10"/>
  <c r="J265" i="10"/>
  <c r="J390" i="10"/>
  <c r="J296" i="10"/>
  <c r="J392" i="10"/>
  <c r="J99" i="10"/>
  <c r="J271" i="10"/>
  <c r="J272" i="10"/>
  <c r="J359" i="10"/>
  <c r="J167" i="10"/>
  <c r="J322" i="10"/>
  <c r="J321" i="10"/>
  <c r="J170" i="10"/>
  <c r="J111" i="10"/>
  <c r="J175" i="10"/>
  <c r="J327" i="10"/>
  <c r="J283" i="10"/>
  <c r="J184" i="10"/>
  <c r="H127" i="10"/>
  <c r="H269" i="10"/>
  <c r="H262" i="10"/>
  <c r="H124" i="10"/>
  <c r="H302" i="10"/>
  <c r="H409" i="10"/>
  <c r="H242" i="10"/>
  <c r="H229" i="10"/>
  <c r="H231" i="10"/>
  <c r="H215" i="10"/>
  <c r="H348" i="10"/>
  <c r="H345" i="10"/>
  <c r="H31" i="10"/>
  <c r="H189" i="10"/>
  <c r="H85" i="10"/>
  <c r="H182" i="10"/>
  <c r="H384" i="10"/>
  <c r="H315" i="10"/>
  <c r="H157" i="10"/>
  <c r="H306" i="10"/>
  <c r="H308" i="10"/>
  <c r="H89" i="10"/>
  <c r="H261" i="10"/>
  <c r="H8" i="10"/>
  <c r="H13" i="10"/>
  <c r="H79" i="10"/>
  <c r="H410" i="10"/>
  <c r="H400" i="10"/>
  <c r="H28" i="10"/>
  <c r="H300" i="10"/>
  <c r="H405" i="10"/>
  <c r="H387" i="10"/>
  <c r="H249" i="10"/>
  <c r="H279" i="10"/>
  <c r="H93" i="10"/>
  <c r="H42" i="10"/>
  <c r="H363" i="10"/>
  <c r="H101" i="10"/>
  <c r="H214" i="10"/>
  <c r="H210" i="10"/>
  <c r="H203" i="10"/>
  <c r="H196" i="10"/>
  <c r="H287" i="10"/>
  <c r="H24" i="10"/>
  <c r="H82" i="10"/>
  <c r="H270" i="10"/>
  <c r="H327" i="10"/>
  <c r="H322" i="10"/>
  <c r="H314" i="10"/>
  <c r="H163" i="10"/>
  <c r="H146" i="10"/>
  <c r="H151" i="10"/>
  <c r="H356" i="10"/>
  <c r="H104" i="10"/>
  <c r="H6" i="10"/>
  <c r="H19" i="10"/>
  <c r="H70" i="10"/>
  <c r="H69" i="10"/>
  <c r="H397" i="10"/>
  <c r="H23" i="10"/>
  <c r="H299" i="10"/>
  <c r="H273" i="10"/>
  <c r="H274" i="10"/>
  <c r="H386" i="10"/>
  <c r="H245" i="10"/>
  <c r="H374" i="10"/>
  <c r="H251" i="10"/>
  <c r="H234" i="10"/>
  <c r="H226" i="10"/>
  <c r="H132" i="10"/>
  <c r="H212" i="10"/>
  <c r="H347" i="10"/>
  <c r="H341" i="10"/>
  <c r="H114" i="10"/>
  <c r="H67" i="10"/>
  <c r="H183" i="10"/>
  <c r="H268" i="10"/>
  <c r="H58" i="10"/>
  <c r="H174" i="10"/>
  <c r="H415" i="10"/>
  <c r="H160" i="10"/>
  <c r="H108" i="10"/>
  <c r="H142" i="10"/>
  <c r="H143" i="10"/>
  <c r="H396" i="10"/>
  <c r="H20" i="10"/>
  <c r="H136" i="10"/>
  <c r="H10" i="10"/>
  <c r="H218" i="10"/>
  <c r="H413" i="10"/>
  <c r="H100" i="10"/>
  <c r="H38" i="10"/>
  <c r="H321" i="10"/>
  <c r="H394" i="10"/>
  <c r="H389" i="10"/>
  <c r="H59" i="10"/>
  <c r="H378" i="10"/>
  <c r="H373" i="10"/>
  <c r="H78" i="10"/>
  <c r="H121" i="10"/>
  <c r="H225" i="10"/>
  <c r="H221" i="10"/>
  <c r="H118" i="10"/>
  <c r="H131" i="10"/>
  <c r="H198" i="10"/>
  <c r="H335" i="10"/>
  <c r="H54" i="10"/>
  <c r="H181" i="10"/>
  <c r="H47" i="10"/>
  <c r="H159" i="10"/>
  <c r="H325" i="10"/>
  <c r="H317" i="10"/>
  <c r="H311" i="10"/>
  <c r="H152" i="10"/>
  <c r="H141" i="10"/>
  <c r="H55" i="10"/>
  <c r="H103" i="10"/>
  <c r="H17" i="10"/>
  <c r="H15" i="10"/>
  <c r="H64" i="10"/>
  <c r="H92" i="10"/>
  <c r="H412" i="10"/>
  <c r="H26" i="10"/>
  <c r="H30" i="10"/>
  <c r="H91" i="10"/>
  <c r="F5" i="10"/>
  <c r="E5" i="10"/>
  <c r="H282" i="10"/>
  <c r="H29" i="10"/>
  <c r="H32" i="10"/>
  <c r="H139" i="10"/>
  <c r="H404" i="10"/>
  <c r="H402" i="10"/>
  <c r="H219" i="10"/>
  <c r="H14" i="10"/>
  <c r="H51" i="10"/>
  <c r="H63" i="10"/>
  <c r="H9" i="10"/>
  <c r="H359" i="10"/>
  <c r="H21" i="10"/>
  <c r="H68" i="10"/>
  <c r="H154" i="10"/>
  <c r="H290" i="10"/>
  <c r="H84" i="10"/>
  <c r="H145" i="10"/>
  <c r="H27" i="10"/>
  <c r="H144" i="10"/>
  <c r="H107" i="10"/>
  <c r="H49" i="10"/>
  <c r="H156" i="10"/>
  <c r="H162" i="10"/>
  <c r="H165" i="10"/>
  <c r="H167" i="10"/>
  <c r="H170" i="10"/>
  <c r="H175" i="10"/>
  <c r="H119" i="10"/>
  <c r="H169" i="10"/>
  <c r="H5" i="10"/>
  <c r="H343" i="10"/>
  <c r="H178" i="10"/>
  <c r="H185" i="10"/>
  <c r="H48" i="10"/>
  <c r="H112" i="10"/>
  <c r="H332" i="10"/>
  <c r="H406" i="10"/>
  <c r="H201" i="10"/>
  <c r="H342" i="10"/>
  <c r="H62" i="10"/>
  <c r="H349" i="10"/>
  <c r="H117" i="10"/>
  <c r="H213" i="10"/>
  <c r="H407" i="10"/>
  <c r="H408" i="10"/>
  <c r="H232" i="10"/>
  <c r="H301" i="10"/>
  <c r="H277" i="10"/>
  <c r="H370" i="10"/>
  <c r="H134" i="10"/>
  <c r="H252" i="10"/>
  <c r="H278" i="10"/>
  <c r="H237" i="10"/>
  <c r="H294" i="10"/>
  <c r="H61" i="10"/>
  <c r="H254" i="10"/>
  <c r="H267" i="10"/>
  <c r="H388" i="10"/>
  <c r="H281" i="10"/>
  <c r="H190" i="10"/>
  <c r="H272" i="10"/>
  <c r="H99" i="10"/>
  <c r="H392" i="10"/>
  <c r="H65" i="10"/>
  <c r="H390" i="10"/>
  <c r="H263" i="10"/>
  <c r="H260" i="10"/>
  <c r="H257" i="10"/>
  <c r="H385" i="10"/>
  <c r="H125" i="10"/>
  <c r="H295" i="10"/>
  <c r="H379" i="10"/>
  <c r="H244" i="10"/>
  <c r="H303" i="10"/>
  <c r="H280" i="10"/>
  <c r="H238" i="10"/>
  <c r="H372" i="10"/>
  <c r="H371" i="10"/>
  <c r="H95" i="10"/>
  <c r="H255" i="10"/>
  <c r="H250" i="10"/>
  <c r="H135" i="10"/>
  <c r="H376" i="10"/>
  <c r="H235" i="10"/>
  <c r="H138" i="10"/>
  <c r="H366" i="10"/>
  <c r="H364" i="10"/>
  <c r="H360" i="10"/>
  <c r="H224" i="10"/>
  <c r="H233" i="10"/>
  <c r="H367" i="10"/>
  <c r="H361" i="10"/>
  <c r="H57" i="10"/>
  <c r="H216" i="10"/>
  <c r="H292" i="10"/>
  <c r="H355" i="10"/>
  <c r="H352" i="10"/>
  <c r="H353" i="10"/>
  <c r="H90" i="10"/>
  <c r="H346" i="10"/>
  <c r="H206" i="10"/>
  <c r="H204" i="10"/>
  <c r="H344" i="10"/>
  <c r="H46" i="10"/>
  <c r="H338" i="10"/>
  <c r="H87" i="10"/>
  <c r="H339" i="10"/>
  <c r="H197" i="10"/>
  <c r="H336" i="10"/>
  <c r="H333" i="10"/>
  <c r="H113" i="10"/>
  <c r="H331" i="10"/>
  <c r="H329" i="10"/>
  <c r="H44" i="10"/>
  <c r="H192" i="10"/>
  <c r="H36" i="10"/>
  <c r="H328" i="10"/>
  <c r="H179" i="10"/>
  <c r="H83" i="10"/>
  <c r="H35" i="10"/>
  <c r="H289" i="10"/>
  <c r="H7" i="10"/>
  <c r="H323" i="10"/>
  <c r="H207" i="10"/>
  <c r="H60" i="10"/>
  <c r="H283" i="10"/>
  <c r="H177" i="10"/>
  <c r="H326" i="10"/>
  <c r="H324" i="10"/>
  <c r="H172" i="10"/>
  <c r="H171" i="10"/>
  <c r="H319" i="10"/>
  <c r="H52" i="10"/>
  <c r="H166" i="10"/>
  <c r="H164" i="10"/>
  <c r="H395" i="10"/>
  <c r="H161" i="10"/>
  <c r="H43" i="10"/>
  <c r="H75" i="10"/>
  <c r="H158" i="10"/>
  <c r="H153" i="10"/>
  <c r="H149" i="10"/>
  <c r="H147" i="10"/>
  <c r="H271" i="10"/>
  <c r="H41" i="10"/>
  <c r="H296" i="10"/>
  <c r="H266" i="10"/>
  <c r="H265" i="10"/>
  <c r="H126" i="10"/>
  <c r="H259" i="10"/>
  <c r="H98" i="10"/>
  <c r="H256" i="10"/>
  <c r="H253" i="10"/>
  <c r="H123" i="10"/>
  <c r="H246" i="10"/>
  <c r="H377" i="10"/>
  <c r="H243" i="10"/>
  <c r="H241" i="10"/>
  <c r="H375" i="10"/>
  <c r="H102" i="10"/>
  <c r="H97" i="10"/>
  <c r="H37" i="10"/>
  <c r="H381" i="10"/>
  <c r="H248" i="10"/>
  <c r="H96" i="10"/>
  <c r="H240" i="10"/>
  <c r="H94" i="10"/>
  <c r="H120" i="10"/>
  <c r="H228" i="10"/>
  <c r="H362" i="10"/>
  <c r="H227" i="10"/>
  <c r="H223" i="10"/>
  <c r="H368" i="10"/>
  <c r="H365" i="10"/>
  <c r="H222" i="10"/>
  <c r="H220" i="10"/>
  <c r="H357" i="10"/>
  <c r="H291" i="10"/>
  <c r="H211" i="10"/>
  <c r="H351" i="10"/>
  <c r="H350" i="10"/>
  <c r="H209" i="10"/>
  <c r="H401" i="10"/>
  <c r="H205" i="10"/>
  <c r="H56" i="10"/>
  <c r="H202" i="10"/>
  <c r="H399" i="10"/>
  <c r="H337" i="10"/>
  <c r="H88" i="10"/>
  <c r="H195" i="10"/>
  <c r="H194" i="10"/>
  <c r="H193" i="10"/>
  <c r="H191" i="10"/>
  <c r="H288" i="10"/>
  <c r="H187" i="10"/>
  <c r="H186" i="10"/>
  <c r="H77" i="10"/>
  <c r="H298" i="10"/>
  <c r="H40" i="10"/>
  <c r="H180" i="10"/>
  <c r="H76" i="10"/>
  <c r="H50" i="10"/>
  <c r="H34" i="10"/>
  <c r="H275" i="10"/>
  <c r="H3" i="10"/>
  <c r="H414" i="10"/>
  <c r="H416" i="10"/>
  <c r="H184" i="10"/>
  <c r="H176" i="10"/>
  <c r="H173" i="10"/>
  <c r="H285" i="10"/>
  <c r="H286" i="10"/>
  <c r="H320" i="10"/>
  <c r="H137" i="10"/>
  <c r="H81" i="10"/>
  <c r="H110" i="10"/>
  <c r="H313" i="10"/>
  <c r="H312" i="10"/>
  <c r="H109" i="10"/>
  <c r="H155" i="10"/>
  <c r="H310" i="10"/>
  <c r="H398" i="10"/>
  <c r="H150" i="10"/>
  <c r="H148" i="10"/>
  <c r="H106" i="10"/>
  <c r="H304" i="10"/>
  <c r="H74" i="10"/>
  <c r="H39" i="10"/>
  <c r="H25" i="10"/>
  <c r="H130" i="10"/>
  <c r="H403" i="10"/>
  <c r="H411" i="10"/>
  <c r="H72" i="10"/>
  <c r="H73" i="10"/>
  <c r="H71" i="10"/>
  <c r="H16" i="10"/>
  <c r="H4" i="10"/>
  <c r="H33" i="10"/>
  <c r="H12" i="10"/>
  <c r="H22" i="10"/>
  <c r="H297" i="10"/>
  <c r="H276" i="10"/>
  <c r="H318" i="10"/>
  <c r="H208" i="10"/>
  <c r="H305" i="10"/>
  <c r="H140" i="10"/>
  <c r="H105" i="10"/>
  <c r="H307" i="10"/>
  <c r="H309" i="10"/>
  <c r="H284" i="10"/>
  <c r="H80" i="10"/>
  <c r="H316" i="10"/>
  <c r="H168" i="10"/>
  <c r="H111" i="10"/>
  <c r="H53" i="10"/>
  <c r="H199" i="10"/>
  <c r="H128" i="10"/>
  <c r="H11" i="10"/>
  <c r="H18" i="10"/>
  <c r="H66" i="10"/>
  <c r="H330" i="10"/>
  <c r="H45" i="10"/>
  <c r="H188" i="10"/>
  <c r="H334" i="10"/>
  <c r="H86" i="10"/>
  <c r="H340" i="10"/>
  <c r="H200" i="10"/>
  <c r="H115" i="10"/>
  <c r="H116" i="10"/>
  <c r="H358" i="10"/>
  <c r="H354" i="10"/>
  <c r="H217" i="10"/>
  <c r="H129" i="10"/>
  <c r="H369" i="10"/>
  <c r="H293" i="10"/>
  <c r="H230" i="10"/>
  <c r="H133" i="10"/>
  <c r="H380" i="10"/>
  <c r="H383" i="10"/>
  <c r="H236" i="10"/>
  <c r="H239" i="10"/>
  <c r="H122" i="10"/>
  <c r="H247" i="10"/>
  <c r="H382" i="10"/>
  <c r="H258" i="10"/>
  <c r="H264" i="10"/>
  <c r="H391" i="10"/>
  <c r="H393" i="10"/>
  <c r="E221" i="12"/>
  <c r="G221" i="12" s="1"/>
  <c r="G487" i="2"/>
  <c r="G481" i="2"/>
  <c r="G484" i="2"/>
  <c r="G486" i="2"/>
  <c r="G482" i="2"/>
  <c r="G479" i="2"/>
  <c r="J5" i="10" l="1"/>
  <c r="E312" i="12"/>
  <c r="N332" i="12" l="1"/>
  <c r="P332" i="12" s="1"/>
  <c r="K332" i="12"/>
  <c r="M332" i="12" s="1"/>
  <c r="H332" i="12"/>
  <c r="J332" i="12" s="1"/>
  <c r="E332" i="12"/>
  <c r="G332" i="12" s="1"/>
  <c r="N8" i="12"/>
  <c r="P8" i="12" s="1"/>
  <c r="K8" i="12"/>
  <c r="M8" i="12" s="1"/>
  <c r="H8" i="12"/>
  <c r="J8" i="12" s="1"/>
  <c r="E8" i="12"/>
  <c r="G8" i="12" s="1"/>
  <c r="N208" i="12"/>
  <c r="P208" i="12" s="1"/>
  <c r="K208" i="12"/>
  <c r="M208" i="12" s="1"/>
  <c r="H208" i="12"/>
  <c r="J208" i="12" s="1"/>
  <c r="E208" i="12"/>
  <c r="G208" i="12" s="1"/>
  <c r="F402" i="2"/>
  <c r="G402" i="2"/>
  <c r="G426" i="2" l="1"/>
  <c r="H7" i="8" s="1"/>
  <c r="E93" i="12"/>
  <c r="G7" i="8" l="1"/>
  <c r="D6" i="9"/>
  <c r="D5" i="9"/>
  <c r="D4" i="9"/>
  <c r="O18" i="9"/>
  <c r="O19" i="9" s="1"/>
  <c r="N17" i="9"/>
  <c r="P17" i="9" s="1"/>
  <c r="N18" i="9" s="1"/>
  <c r="J18" i="9"/>
  <c r="J19" i="9" s="1"/>
  <c r="J20" i="9" s="1"/>
  <c r="I17" i="9"/>
  <c r="K17" i="9" s="1"/>
  <c r="I18" i="9" s="1"/>
  <c r="D17" i="9"/>
  <c r="F17" i="9" s="1"/>
  <c r="D18" i="9" s="1"/>
  <c r="B18" i="9"/>
  <c r="B19" i="9" s="1"/>
  <c r="B20" i="9" s="1"/>
  <c r="B21" i="9" s="1"/>
  <c r="B22" i="9" s="1"/>
  <c r="B23" i="9" s="1"/>
  <c r="B24" i="9" s="1"/>
  <c r="B25" i="9" s="1"/>
  <c r="B26" i="9" s="1"/>
  <c r="B29" i="9" s="1"/>
  <c r="B30" i="9" s="1"/>
  <c r="B31" i="9" s="1"/>
  <c r="B32" i="9" s="1"/>
  <c r="B33" i="9" s="1"/>
  <c r="B34" i="9" s="1"/>
  <c r="B35" i="9" s="1"/>
  <c r="B36" i="9" s="1"/>
  <c r="B37" i="9" s="1"/>
  <c r="B38" i="9" s="1"/>
  <c r="B39" i="9" s="1"/>
  <c r="B40" i="9" s="1"/>
  <c r="B43" i="9" s="1"/>
  <c r="B44" i="9" s="1"/>
  <c r="B45" i="9" s="1"/>
  <c r="B46" i="9" s="1"/>
  <c r="B47" i="9" s="1"/>
  <c r="B48" i="9" s="1"/>
  <c r="B49" i="9" s="1"/>
  <c r="B50" i="9" s="1"/>
  <c r="B51" i="9" s="1"/>
  <c r="B52" i="9" s="1"/>
  <c r="B53" i="9" s="1"/>
  <c r="B54" i="9" s="1"/>
  <c r="B57" i="9" s="1"/>
  <c r="B58" i="9" s="1"/>
  <c r="E18" i="9"/>
  <c r="E19" i="9" s="1"/>
  <c r="E20" i="9" s="1"/>
  <c r="E21" i="9" s="1"/>
  <c r="E22" i="9" s="1"/>
  <c r="E23" i="9" s="1"/>
  <c r="E24" i="9" s="1"/>
  <c r="E25" i="9" s="1"/>
  <c r="E26" i="9" s="1"/>
  <c r="E29" i="9" s="1"/>
  <c r="E30" i="9" s="1"/>
  <c r="E31" i="9" s="1"/>
  <c r="E32" i="9" s="1"/>
  <c r="E33" i="9" s="1"/>
  <c r="E34" i="9" s="1"/>
  <c r="E35" i="9" s="1"/>
  <c r="E36" i="9" s="1"/>
  <c r="E37" i="9" s="1"/>
  <c r="E38" i="9" s="1"/>
  <c r="E39" i="9" s="1"/>
  <c r="E40" i="9" s="1"/>
  <c r="E43" i="9" s="1"/>
  <c r="E44" i="9" s="1"/>
  <c r="E45" i="9" s="1"/>
  <c r="E46" i="9" s="1"/>
  <c r="E47" i="9" s="1"/>
  <c r="E48" i="9" s="1"/>
  <c r="E49" i="9" s="1"/>
  <c r="E50" i="9" s="1"/>
  <c r="E51" i="9" s="1"/>
  <c r="E52" i="9" s="1"/>
  <c r="E53" i="9" s="1"/>
  <c r="E54" i="9" s="1"/>
  <c r="E57" i="9" s="1"/>
  <c r="E58" i="9" s="1"/>
  <c r="G240" i="2"/>
  <c r="G446" i="2"/>
  <c r="F446" i="2"/>
  <c r="G447" i="2"/>
  <c r="G241" i="2" s="1"/>
  <c r="N420" i="2"/>
  <c r="L420" i="2"/>
  <c r="J420" i="2"/>
  <c r="L419" i="2"/>
  <c r="J419" i="2"/>
  <c r="N419" i="2"/>
  <c r="G477" i="2"/>
  <c r="G271" i="2"/>
  <c r="G498" i="2"/>
  <c r="G279" i="2"/>
  <c r="G500" i="2"/>
  <c r="G464" i="2"/>
  <c r="G490" i="2"/>
  <c r="G277" i="2"/>
  <c r="G470" i="2"/>
  <c r="G497" i="2"/>
  <c r="G478" i="2"/>
  <c r="G403" i="2"/>
  <c r="G469" i="2"/>
  <c r="G463" i="2"/>
  <c r="G507" i="2"/>
  <c r="N418" i="2"/>
  <c r="G248" i="2"/>
  <c r="G375" i="2"/>
  <c r="G405" i="2"/>
  <c r="G502" i="2"/>
  <c r="G501" i="2"/>
  <c r="G259" i="2"/>
  <c r="G345" i="2"/>
  <c r="G471" i="2"/>
  <c r="G504" i="2"/>
  <c r="G467" i="2"/>
  <c r="G452" i="2"/>
  <c r="J418" i="2"/>
  <c r="G473" i="2"/>
  <c r="G508" i="2"/>
  <c r="G274" i="2"/>
  <c r="G87" i="2"/>
  <c r="G503" i="2"/>
  <c r="G492" i="2"/>
  <c r="G408" i="2"/>
  <c r="L418" i="2"/>
  <c r="G179" i="2"/>
  <c r="J26" i="36" l="1"/>
  <c r="G621" i="2"/>
  <c r="G623" i="2" s="1"/>
  <c r="G583" i="2"/>
  <c r="G505" i="2"/>
  <c r="C11" i="18"/>
  <c r="C11" i="35" s="1"/>
  <c r="G182" i="2"/>
  <c r="H21" i="6"/>
  <c r="H17" i="8"/>
  <c r="H18" i="6"/>
  <c r="H19" i="6"/>
  <c r="H24" i="6"/>
  <c r="H17" i="6"/>
  <c r="H13" i="6"/>
  <c r="H26" i="6"/>
  <c r="H20" i="6"/>
  <c r="H16" i="6"/>
  <c r="G511" i="2"/>
  <c r="P18" i="9"/>
  <c r="N19" i="9" s="1"/>
  <c r="P19" i="9" s="1"/>
  <c r="N20" i="9" s="1"/>
  <c r="G409" i="2"/>
  <c r="H438" i="2"/>
  <c r="G281" i="2"/>
  <c r="D7" i="9"/>
  <c r="O20" i="9"/>
  <c r="O21" i="9" s="1"/>
  <c r="O22" i="9" s="1"/>
  <c r="O23" i="9" s="1"/>
  <c r="O24" i="9" s="1"/>
  <c r="O25" i="9" s="1"/>
  <c r="O26" i="9" s="1"/>
  <c r="O27" i="9" s="1"/>
  <c r="O28" i="9" s="1"/>
  <c r="O31" i="9" s="1"/>
  <c r="K18" i="9"/>
  <c r="I19" i="9" s="1"/>
  <c r="K19" i="9" s="1"/>
  <c r="I20" i="9" s="1"/>
  <c r="K20" i="9" s="1"/>
  <c r="I21" i="9" s="1"/>
  <c r="F18" i="9"/>
  <c r="D19" i="9" s="1"/>
  <c r="F19" i="9" s="1"/>
  <c r="D20" i="9" s="1"/>
  <c r="F20" i="9" s="1"/>
  <c r="D21" i="9" s="1"/>
  <c r="F21" i="9" s="1"/>
  <c r="D22" i="9" s="1"/>
  <c r="F22" i="9" s="1"/>
  <c r="D23" i="9" s="1"/>
  <c r="F23" i="9" s="1"/>
  <c r="D24" i="9" s="1"/>
  <c r="F24" i="9" s="1"/>
  <c r="D25" i="9" s="1"/>
  <c r="F25" i="9" s="1"/>
  <c r="D26" i="9" s="1"/>
  <c r="F26" i="9" s="1"/>
  <c r="D29" i="9" s="1"/>
  <c r="F29" i="9" s="1"/>
  <c r="D30" i="9" s="1"/>
  <c r="F30" i="9" s="1"/>
  <c r="D31" i="9" s="1"/>
  <c r="F31" i="9" s="1"/>
  <c r="D32" i="9" s="1"/>
  <c r="F32" i="9" s="1"/>
  <c r="D33" i="9" s="1"/>
  <c r="F33" i="9" s="1"/>
  <c r="D34" i="9" s="1"/>
  <c r="F34" i="9" s="1"/>
  <c r="D35" i="9" s="1"/>
  <c r="F35" i="9" s="1"/>
  <c r="D36" i="9" s="1"/>
  <c r="F36" i="9" s="1"/>
  <c r="D37" i="9" s="1"/>
  <c r="F37" i="9" s="1"/>
  <c r="D38" i="9" s="1"/>
  <c r="F38" i="9" s="1"/>
  <c r="D39" i="9" s="1"/>
  <c r="F39" i="9" s="1"/>
  <c r="D40" i="9" s="1"/>
  <c r="F40" i="9" s="1"/>
  <c r="D43" i="9" s="1"/>
  <c r="F43" i="9" s="1"/>
  <c r="D44" i="9" s="1"/>
  <c r="F44" i="9" s="1"/>
  <c r="D45" i="9" s="1"/>
  <c r="F45" i="9" s="1"/>
  <c r="D46" i="9" s="1"/>
  <c r="F46" i="9" s="1"/>
  <c r="D47" i="9" s="1"/>
  <c r="F47" i="9" s="1"/>
  <c r="D48" i="9" s="1"/>
  <c r="F48" i="9" s="1"/>
  <c r="D49" i="9" s="1"/>
  <c r="F49" i="9" s="1"/>
  <c r="D50" i="9" s="1"/>
  <c r="F50" i="9" s="1"/>
  <c r="D51" i="9" s="1"/>
  <c r="F51" i="9" s="1"/>
  <c r="D52" i="9" s="1"/>
  <c r="F52" i="9" s="1"/>
  <c r="D53" i="9" s="1"/>
  <c r="F53" i="9" s="1"/>
  <c r="D54" i="9" s="1"/>
  <c r="F54" i="9" s="1"/>
  <c r="D57" i="9" s="1"/>
  <c r="F57" i="9" s="1"/>
  <c r="D58" i="9" s="1"/>
  <c r="F58" i="9" s="1"/>
  <c r="J21" i="9"/>
  <c r="E59" i="9"/>
  <c r="E55" i="9"/>
  <c r="E41" i="9"/>
  <c r="E27" i="9"/>
  <c r="E4" i="9" s="1"/>
  <c r="F400" i="2" s="1"/>
  <c r="G268" i="2"/>
  <c r="G249" i="2"/>
  <c r="G263" i="2"/>
  <c r="G272" i="2"/>
  <c r="G275" i="2" s="1"/>
  <c r="N422" i="2"/>
  <c r="G465" i="2" s="1"/>
  <c r="H15" i="6" s="1"/>
  <c r="G21" i="2" l="1"/>
  <c r="I21" i="2" s="1"/>
  <c r="H22" i="8"/>
  <c r="O29" i="9"/>
  <c r="E6" i="9" s="1"/>
  <c r="F6" i="9" s="1"/>
  <c r="F4" i="9"/>
  <c r="F337" i="2" s="1"/>
  <c r="F25" i="26" s="1"/>
  <c r="J22" i="9"/>
  <c r="J23" i="9" s="1"/>
  <c r="J24" i="9" s="1"/>
  <c r="J25" i="9" s="1"/>
  <c r="J26" i="9" s="1"/>
  <c r="J27" i="9" s="1"/>
  <c r="J28" i="9" s="1"/>
  <c r="J31" i="9" s="1"/>
  <c r="J32" i="9" s="1"/>
  <c r="O32" i="9"/>
  <c r="O33" i="9" s="1"/>
  <c r="P20" i="9"/>
  <c r="N21" i="9" s="1"/>
  <c r="P21" i="9" s="1"/>
  <c r="N22" i="9" s="1"/>
  <c r="P22" i="9" s="1"/>
  <c r="N23" i="9" s="1"/>
  <c r="P23" i="9" s="1"/>
  <c r="N24" i="9" s="1"/>
  <c r="P24" i="9" s="1"/>
  <c r="N25" i="9" s="1"/>
  <c r="P25" i="9" s="1"/>
  <c r="N26" i="9" s="1"/>
  <c r="P26" i="9" s="1"/>
  <c r="N27" i="9" s="1"/>
  <c r="P27" i="9" s="1"/>
  <c r="N28" i="9" s="1"/>
  <c r="P28" i="9" s="1"/>
  <c r="N31" i="9" s="1"/>
  <c r="P31" i="9" s="1"/>
  <c r="N32" i="9" s="1"/>
  <c r="K21" i="9"/>
  <c r="I22" i="9" s="1"/>
  <c r="L422" i="2"/>
  <c r="G472" i="2" s="1"/>
  <c r="H14" i="6" l="1"/>
  <c r="J29" i="9"/>
  <c r="E5" i="9" s="1"/>
  <c r="O35" i="9"/>
  <c r="K22" i="9"/>
  <c r="I23" i="9" s="1"/>
  <c r="K23" i="9" s="1"/>
  <c r="I24" i="9" s="1"/>
  <c r="K24" i="9" s="1"/>
  <c r="I25" i="9" s="1"/>
  <c r="K25" i="9" s="1"/>
  <c r="I26" i="9" s="1"/>
  <c r="K26" i="9" s="1"/>
  <c r="I27" i="9" s="1"/>
  <c r="K27" i="9" s="1"/>
  <c r="I28" i="9" s="1"/>
  <c r="K28" i="9" s="1"/>
  <c r="I31" i="9" s="1"/>
  <c r="K31" i="9" s="1"/>
  <c r="I32" i="9" s="1"/>
  <c r="K32" i="9" s="1"/>
  <c r="I33" i="9" s="1"/>
  <c r="K33" i="9" s="1"/>
  <c r="J34" i="9"/>
  <c r="P32" i="9"/>
  <c r="N33" i="9" s="1"/>
  <c r="P33" i="9" s="1"/>
  <c r="N34" i="9" s="1"/>
  <c r="P34" i="9" s="1"/>
  <c r="J422" i="2"/>
  <c r="G466" i="2" s="1"/>
  <c r="H11" i="6" s="1"/>
  <c r="F5" i="9" l="1"/>
  <c r="F399" i="2"/>
  <c r="F622" i="2" s="1"/>
  <c r="E7" i="9"/>
  <c r="K435" i="2"/>
  <c r="F333" i="2" l="1"/>
  <c r="F7" i="9"/>
  <c r="N79" i="12"/>
  <c r="P79" i="12" s="1"/>
  <c r="K79" i="12"/>
  <c r="M79" i="12" s="1"/>
  <c r="H79" i="12"/>
  <c r="J79" i="12" s="1"/>
  <c r="E79" i="12"/>
  <c r="G79" i="12" s="1"/>
  <c r="N726" i="12"/>
  <c r="P726" i="12" s="1"/>
  <c r="K726" i="12"/>
  <c r="M726" i="12" s="1"/>
  <c r="N725" i="12"/>
  <c r="P725" i="12" s="1"/>
  <c r="K725" i="12"/>
  <c r="M725" i="12" s="1"/>
  <c r="N724" i="12"/>
  <c r="P724" i="12" s="1"/>
  <c r="K724" i="12"/>
  <c r="M724" i="12" s="1"/>
  <c r="N723" i="12"/>
  <c r="P723" i="12" s="1"/>
  <c r="K723" i="12"/>
  <c r="M723" i="12" s="1"/>
  <c r="N722" i="12"/>
  <c r="P722" i="12" s="1"/>
  <c r="K722" i="12"/>
  <c r="M722" i="12" s="1"/>
  <c r="N721" i="12"/>
  <c r="P721" i="12" s="1"/>
  <c r="K721" i="12"/>
  <c r="M721" i="12" s="1"/>
  <c r="N720" i="12"/>
  <c r="P720" i="12" s="1"/>
  <c r="K720" i="12"/>
  <c r="M720" i="12" s="1"/>
  <c r="N719" i="12"/>
  <c r="P719" i="12" s="1"/>
  <c r="K719" i="12"/>
  <c r="M719" i="12" s="1"/>
  <c r="N718" i="12"/>
  <c r="P718" i="12" s="1"/>
  <c r="K718" i="12"/>
  <c r="M718" i="12" s="1"/>
  <c r="N717" i="12"/>
  <c r="P717" i="12" s="1"/>
  <c r="K717" i="12"/>
  <c r="M717" i="12" s="1"/>
  <c r="N716" i="12"/>
  <c r="P716" i="12" s="1"/>
  <c r="K716" i="12"/>
  <c r="M716" i="12" s="1"/>
  <c r="N715" i="12"/>
  <c r="P715" i="12" s="1"/>
  <c r="K715" i="12"/>
  <c r="M715" i="12" s="1"/>
  <c r="N714" i="12"/>
  <c r="P714" i="12" s="1"/>
  <c r="K714" i="12"/>
  <c r="M714" i="12" s="1"/>
  <c r="N713" i="12"/>
  <c r="P713" i="12" s="1"/>
  <c r="K713" i="12"/>
  <c r="M713" i="12" s="1"/>
  <c r="N712" i="12"/>
  <c r="P712" i="12" s="1"/>
  <c r="K712" i="12"/>
  <c r="M712" i="12" s="1"/>
  <c r="N711" i="12"/>
  <c r="P711" i="12" s="1"/>
  <c r="K711" i="12"/>
  <c r="M711" i="12" s="1"/>
  <c r="N710" i="12"/>
  <c r="P710" i="12" s="1"/>
  <c r="K710" i="12"/>
  <c r="M710" i="12" s="1"/>
  <c r="N709" i="12"/>
  <c r="P709" i="12" s="1"/>
  <c r="K709" i="12"/>
  <c r="M709" i="12" s="1"/>
  <c r="N708" i="12"/>
  <c r="P708" i="12" s="1"/>
  <c r="K708" i="12"/>
  <c r="M708" i="12" s="1"/>
  <c r="N707" i="12"/>
  <c r="P707" i="12" s="1"/>
  <c r="K707" i="12"/>
  <c r="M707" i="12" s="1"/>
  <c r="N706" i="12"/>
  <c r="P706" i="12" s="1"/>
  <c r="K706" i="12"/>
  <c r="M706" i="12" s="1"/>
  <c r="N705" i="12"/>
  <c r="P705" i="12" s="1"/>
  <c r="K705" i="12"/>
  <c r="M705" i="12" s="1"/>
  <c r="N704" i="12"/>
  <c r="P704" i="12" s="1"/>
  <c r="K704" i="12"/>
  <c r="M704" i="12" s="1"/>
  <c r="N703" i="12"/>
  <c r="P703" i="12" s="1"/>
  <c r="K703" i="12"/>
  <c r="M703" i="12" s="1"/>
  <c r="N702" i="12"/>
  <c r="P702" i="12" s="1"/>
  <c r="K702" i="12"/>
  <c r="M702" i="12" s="1"/>
  <c r="N701" i="12"/>
  <c r="P701" i="12" s="1"/>
  <c r="K701" i="12"/>
  <c r="M701" i="12" s="1"/>
  <c r="N700" i="12"/>
  <c r="P700" i="12" s="1"/>
  <c r="K700" i="12"/>
  <c r="M700" i="12" s="1"/>
  <c r="N699" i="12"/>
  <c r="P699" i="12" s="1"/>
  <c r="K699" i="12"/>
  <c r="M699" i="12" s="1"/>
  <c r="N698" i="12"/>
  <c r="P698" i="12" s="1"/>
  <c r="K698" i="12"/>
  <c r="M698" i="12" s="1"/>
  <c r="N697" i="12"/>
  <c r="P697" i="12" s="1"/>
  <c r="K697" i="12"/>
  <c r="M697" i="12" s="1"/>
  <c r="N696" i="12"/>
  <c r="P696" i="12" s="1"/>
  <c r="K696" i="12"/>
  <c r="M696" i="12" s="1"/>
  <c r="N695" i="12"/>
  <c r="P695" i="12" s="1"/>
  <c r="K695" i="12"/>
  <c r="M695" i="12" s="1"/>
  <c r="N694" i="12"/>
  <c r="P694" i="12" s="1"/>
  <c r="K694" i="12"/>
  <c r="M694" i="12" s="1"/>
  <c r="N693" i="12"/>
  <c r="P693" i="12" s="1"/>
  <c r="K693" i="12"/>
  <c r="M693" i="12" s="1"/>
  <c r="N692" i="12"/>
  <c r="P692" i="12" s="1"/>
  <c r="K692" i="12"/>
  <c r="M692" i="12" s="1"/>
  <c r="N691" i="12"/>
  <c r="P691" i="12" s="1"/>
  <c r="K691" i="12"/>
  <c r="M691" i="12" s="1"/>
  <c r="N690" i="12"/>
  <c r="P690" i="12" s="1"/>
  <c r="K690" i="12"/>
  <c r="M690" i="12" s="1"/>
  <c r="N689" i="12"/>
  <c r="P689" i="12" s="1"/>
  <c r="K689" i="12"/>
  <c r="M689" i="12" s="1"/>
  <c r="N688" i="12"/>
  <c r="P688" i="12" s="1"/>
  <c r="K688" i="12"/>
  <c r="M688" i="12" s="1"/>
  <c r="N687" i="12"/>
  <c r="P687" i="12" s="1"/>
  <c r="K687" i="12"/>
  <c r="M687" i="12" s="1"/>
  <c r="N686" i="12"/>
  <c r="P686" i="12" s="1"/>
  <c r="K686" i="12"/>
  <c r="M686" i="12" s="1"/>
  <c r="N685" i="12"/>
  <c r="P685" i="12" s="1"/>
  <c r="K685" i="12"/>
  <c r="M685" i="12" s="1"/>
  <c r="N684" i="12"/>
  <c r="P684" i="12" s="1"/>
  <c r="K684" i="12"/>
  <c r="M684" i="12" s="1"/>
  <c r="N683" i="12"/>
  <c r="P683" i="12" s="1"/>
  <c r="K683" i="12"/>
  <c r="M683" i="12" s="1"/>
  <c r="N682" i="12"/>
  <c r="P682" i="12" s="1"/>
  <c r="K682" i="12"/>
  <c r="M682" i="12" s="1"/>
  <c r="N681" i="12"/>
  <c r="P681" i="12" s="1"/>
  <c r="K681" i="12"/>
  <c r="M681" i="12" s="1"/>
  <c r="N680" i="12"/>
  <c r="P680" i="12" s="1"/>
  <c r="K680" i="12"/>
  <c r="M680" i="12" s="1"/>
  <c r="N679" i="12"/>
  <c r="P679" i="12" s="1"/>
  <c r="K679" i="12"/>
  <c r="M679" i="12" s="1"/>
  <c r="N678" i="12"/>
  <c r="P678" i="12" s="1"/>
  <c r="K678" i="12"/>
  <c r="M678" i="12" s="1"/>
  <c r="N677" i="12"/>
  <c r="P677" i="12" s="1"/>
  <c r="K677" i="12"/>
  <c r="M677" i="12" s="1"/>
  <c r="N676" i="12"/>
  <c r="P676" i="12" s="1"/>
  <c r="K676" i="12"/>
  <c r="M676" i="12" s="1"/>
  <c r="N675" i="12"/>
  <c r="P675" i="12" s="1"/>
  <c r="K675" i="12"/>
  <c r="M675" i="12" s="1"/>
  <c r="N674" i="12"/>
  <c r="P674" i="12" s="1"/>
  <c r="K674" i="12"/>
  <c r="M674" i="12" s="1"/>
  <c r="N673" i="12"/>
  <c r="P673" i="12" s="1"/>
  <c r="K673" i="12"/>
  <c r="M673" i="12" s="1"/>
  <c r="N672" i="12"/>
  <c r="P672" i="12" s="1"/>
  <c r="K672" i="12"/>
  <c r="M672" i="12" s="1"/>
  <c r="N671" i="12"/>
  <c r="P671" i="12" s="1"/>
  <c r="K671" i="12"/>
  <c r="M671" i="12" s="1"/>
  <c r="N670" i="12"/>
  <c r="P670" i="12" s="1"/>
  <c r="K670" i="12"/>
  <c r="M670" i="12" s="1"/>
  <c r="N669" i="12"/>
  <c r="P669" i="12" s="1"/>
  <c r="K669" i="12"/>
  <c r="M669" i="12" s="1"/>
  <c r="N668" i="12"/>
  <c r="P668" i="12" s="1"/>
  <c r="K668" i="12"/>
  <c r="M668" i="12" s="1"/>
  <c r="N667" i="12"/>
  <c r="P667" i="12" s="1"/>
  <c r="K667" i="12"/>
  <c r="M667" i="12" s="1"/>
  <c r="N666" i="12"/>
  <c r="P666" i="12" s="1"/>
  <c r="K666" i="12"/>
  <c r="M666" i="12" s="1"/>
  <c r="N665" i="12"/>
  <c r="P665" i="12" s="1"/>
  <c r="K665" i="12"/>
  <c r="M665" i="12" s="1"/>
  <c r="N664" i="12"/>
  <c r="P664" i="12" s="1"/>
  <c r="K664" i="12"/>
  <c r="M664" i="12" s="1"/>
  <c r="N663" i="12"/>
  <c r="P663" i="12" s="1"/>
  <c r="K663" i="12"/>
  <c r="M663" i="12" s="1"/>
  <c r="N662" i="12"/>
  <c r="P662" i="12" s="1"/>
  <c r="K662" i="12"/>
  <c r="M662" i="12" s="1"/>
  <c r="N661" i="12"/>
  <c r="P661" i="12" s="1"/>
  <c r="K661" i="12"/>
  <c r="M661" i="12" s="1"/>
  <c r="N660" i="12"/>
  <c r="P660" i="12" s="1"/>
  <c r="K660" i="12"/>
  <c r="M660" i="12" s="1"/>
  <c r="N659" i="12"/>
  <c r="P659" i="12" s="1"/>
  <c r="K659" i="12"/>
  <c r="M659" i="12" s="1"/>
  <c r="N658" i="12"/>
  <c r="P658" i="12" s="1"/>
  <c r="K658" i="12"/>
  <c r="M658" i="12" s="1"/>
  <c r="N657" i="12"/>
  <c r="P657" i="12" s="1"/>
  <c r="K657" i="12"/>
  <c r="M657" i="12" s="1"/>
  <c r="N656" i="12"/>
  <c r="P656" i="12" s="1"/>
  <c r="K656" i="12"/>
  <c r="M656" i="12" s="1"/>
  <c r="N655" i="12"/>
  <c r="P655" i="12" s="1"/>
  <c r="K655" i="12"/>
  <c r="M655" i="12" s="1"/>
  <c r="N654" i="12"/>
  <c r="P654" i="12" s="1"/>
  <c r="K654" i="12"/>
  <c r="M654" i="12" s="1"/>
  <c r="N653" i="12"/>
  <c r="P653" i="12" s="1"/>
  <c r="K653" i="12"/>
  <c r="M653" i="12" s="1"/>
  <c r="N652" i="12"/>
  <c r="P652" i="12" s="1"/>
  <c r="K652" i="12"/>
  <c r="M652" i="12" s="1"/>
  <c r="N651" i="12"/>
  <c r="P651" i="12" s="1"/>
  <c r="K651" i="12"/>
  <c r="M651" i="12" s="1"/>
  <c r="N650" i="12"/>
  <c r="P650" i="12" s="1"/>
  <c r="K650" i="12"/>
  <c r="M650" i="12" s="1"/>
  <c r="N649" i="12"/>
  <c r="P649" i="12" s="1"/>
  <c r="K649" i="12"/>
  <c r="M649" i="12" s="1"/>
  <c r="N648" i="12"/>
  <c r="P648" i="12" s="1"/>
  <c r="K648" i="12"/>
  <c r="M648" i="12" s="1"/>
  <c r="N647" i="12"/>
  <c r="P647" i="12" s="1"/>
  <c r="K647" i="12"/>
  <c r="M647" i="12" s="1"/>
  <c r="N646" i="12"/>
  <c r="P646" i="12" s="1"/>
  <c r="K646" i="12"/>
  <c r="M646" i="12" s="1"/>
  <c r="N645" i="12"/>
  <c r="P645" i="12" s="1"/>
  <c r="K645" i="12"/>
  <c r="M645" i="12" s="1"/>
  <c r="N644" i="12"/>
  <c r="P644" i="12" s="1"/>
  <c r="K644" i="12"/>
  <c r="M644" i="12" s="1"/>
  <c r="N643" i="12"/>
  <c r="P643" i="12" s="1"/>
  <c r="K643" i="12"/>
  <c r="M643" i="12" s="1"/>
  <c r="N642" i="12"/>
  <c r="P642" i="12" s="1"/>
  <c r="K642" i="12"/>
  <c r="M642" i="12" s="1"/>
  <c r="N641" i="12"/>
  <c r="P641" i="12" s="1"/>
  <c r="K641" i="12"/>
  <c r="M641" i="12" s="1"/>
  <c r="N640" i="12"/>
  <c r="P640" i="12" s="1"/>
  <c r="K640" i="12"/>
  <c r="M640" i="12" s="1"/>
  <c r="N639" i="12"/>
  <c r="P639" i="12" s="1"/>
  <c r="K639" i="12"/>
  <c r="M639" i="12" s="1"/>
  <c r="N638" i="12"/>
  <c r="P638" i="12" s="1"/>
  <c r="K638" i="12"/>
  <c r="M638" i="12" s="1"/>
  <c r="N637" i="12"/>
  <c r="P637" i="12" s="1"/>
  <c r="K637" i="12"/>
  <c r="M637" i="12" s="1"/>
  <c r="N636" i="12"/>
  <c r="P636" i="12" s="1"/>
  <c r="K636" i="12"/>
  <c r="M636" i="12" s="1"/>
  <c r="N635" i="12"/>
  <c r="P635" i="12" s="1"/>
  <c r="K635" i="12"/>
  <c r="M635" i="12" s="1"/>
  <c r="N634" i="12"/>
  <c r="P634" i="12" s="1"/>
  <c r="K634" i="12"/>
  <c r="M634" i="12" s="1"/>
  <c r="N633" i="12"/>
  <c r="P633" i="12" s="1"/>
  <c r="K633" i="12"/>
  <c r="M633" i="12" s="1"/>
  <c r="N632" i="12"/>
  <c r="P632" i="12" s="1"/>
  <c r="K632" i="12"/>
  <c r="M632" i="12" s="1"/>
  <c r="N631" i="12"/>
  <c r="P631" i="12" s="1"/>
  <c r="K631" i="12"/>
  <c r="M631" i="12" s="1"/>
  <c r="N630" i="12"/>
  <c r="P630" i="12" s="1"/>
  <c r="K630" i="12"/>
  <c r="M630" i="12" s="1"/>
  <c r="N629" i="12"/>
  <c r="P629" i="12" s="1"/>
  <c r="K629" i="12"/>
  <c r="M629" i="12" s="1"/>
  <c r="N628" i="12"/>
  <c r="P628" i="12" s="1"/>
  <c r="K628" i="12"/>
  <c r="M628" i="12" s="1"/>
  <c r="N627" i="12"/>
  <c r="P627" i="12" s="1"/>
  <c r="K627" i="12"/>
  <c r="M627" i="12" s="1"/>
  <c r="N626" i="12"/>
  <c r="P626" i="12" s="1"/>
  <c r="K626" i="12"/>
  <c r="M626" i="12" s="1"/>
  <c r="N625" i="12"/>
  <c r="P625" i="12" s="1"/>
  <c r="K625" i="12"/>
  <c r="M625" i="12" s="1"/>
  <c r="N624" i="12"/>
  <c r="P624" i="12" s="1"/>
  <c r="K624" i="12"/>
  <c r="M624" i="12" s="1"/>
  <c r="N623" i="12"/>
  <c r="P623" i="12" s="1"/>
  <c r="K623" i="12"/>
  <c r="M623" i="12" s="1"/>
  <c r="N622" i="12"/>
  <c r="P622" i="12" s="1"/>
  <c r="K622" i="12"/>
  <c r="M622" i="12" s="1"/>
  <c r="N621" i="12"/>
  <c r="P621" i="12" s="1"/>
  <c r="K621" i="12"/>
  <c r="M621" i="12" s="1"/>
  <c r="N620" i="12"/>
  <c r="P620" i="12" s="1"/>
  <c r="K620" i="12"/>
  <c r="M620" i="12" s="1"/>
  <c r="N619" i="12"/>
  <c r="P619" i="12" s="1"/>
  <c r="K619" i="12"/>
  <c r="M619" i="12" s="1"/>
  <c r="N618" i="12"/>
  <c r="P618" i="12" s="1"/>
  <c r="K618" i="12"/>
  <c r="M618" i="12" s="1"/>
  <c r="N617" i="12"/>
  <c r="P617" i="12" s="1"/>
  <c r="K617" i="12"/>
  <c r="M617" i="12" s="1"/>
  <c r="N616" i="12"/>
  <c r="P616" i="12" s="1"/>
  <c r="K616" i="12"/>
  <c r="M616" i="12" s="1"/>
  <c r="N615" i="12"/>
  <c r="P615" i="12" s="1"/>
  <c r="K615" i="12"/>
  <c r="M615" i="12" s="1"/>
  <c r="N614" i="12"/>
  <c r="P614" i="12" s="1"/>
  <c r="K614" i="12"/>
  <c r="M614" i="12" s="1"/>
  <c r="N613" i="12"/>
  <c r="P613" i="12" s="1"/>
  <c r="K613" i="12"/>
  <c r="M613" i="12" s="1"/>
  <c r="N612" i="12"/>
  <c r="P612" i="12" s="1"/>
  <c r="K612" i="12"/>
  <c r="M612" i="12" s="1"/>
  <c r="N611" i="12"/>
  <c r="P611" i="12" s="1"/>
  <c r="K611" i="12"/>
  <c r="M611" i="12" s="1"/>
  <c r="N610" i="12"/>
  <c r="P610" i="12" s="1"/>
  <c r="K610" i="12"/>
  <c r="M610" i="12" s="1"/>
  <c r="N609" i="12"/>
  <c r="P609" i="12" s="1"/>
  <c r="K609" i="12"/>
  <c r="M609" i="12" s="1"/>
  <c r="N608" i="12"/>
  <c r="P608" i="12" s="1"/>
  <c r="K608" i="12"/>
  <c r="M608" i="12" s="1"/>
  <c r="N607" i="12"/>
  <c r="P607" i="12" s="1"/>
  <c r="K607" i="12"/>
  <c r="M607" i="12" s="1"/>
  <c r="N606" i="12"/>
  <c r="P606" i="12" s="1"/>
  <c r="K606" i="12"/>
  <c r="M606" i="12" s="1"/>
  <c r="N605" i="12"/>
  <c r="P605" i="12" s="1"/>
  <c r="K605" i="12"/>
  <c r="M605" i="12" s="1"/>
  <c r="N604" i="12"/>
  <c r="P604" i="12" s="1"/>
  <c r="K604" i="12"/>
  <c r="M604" i="12" s="1"/>
  <c r="N603" i="12"/>
  <c r="P603" i="12" s="1"/>
  <c r="K603" i="12"/>
  <c r="M603" i="12" s="1"/>
  <c r="N602" i="12"/>
  <c r="P602" i="12" s="1"/>
  <c r="K602" i="12"/>
  <c r="M602" i="12" s="1"/>
  <c r="N601" i="12"/>
  <c r="P601" i="12" s="1"/>
  <c r="K601" i="12"/>
  <c r="M601" i="12" s="1"/>
  <c r="N600" i="12"/>
  <c r="P600" i="12" s="1"/>
  <c r="K600" i="12"/>
  <c r="M600" i="12" s="1"/>
  <c r="N599" i="12"/>
  <c r="P599" i="12" s="1"/>
  <c r="K599" i="12"/>
  <c r="M599" i="12" s="1"/>
  <c r="N598" i="12"/>
  <c r="P598" i="12" s="1"/>
  <c r="K598" i="12"/>
  <c r="M598" i="12" s="1"/>
  <c r="N597" i="12"/>
  <c r="P597" i="12" s="1"/>
  <c r="K597" i="12"/>
  <c r="M597" i="12" s="1"/>
  <c r="N596" i="12"/>
  <c r="P596" i="12" s="1"/>
  <c r="K596" i="12"/>
  <c r="M596" i="12" s="1"/>
  <c r="N595" i="12"/>
  <c r="P595" i="12" s="1"/>
  <c r="K595" i="12"/>
  <c r="M595" i="12" s="1"/>
  <c r="N594" i="12"/>
  <c r="P594" i="12" s="1"/>
  <c r="K594" i="12"/>
  <c r="M594" i="12" s="1"/>
  <c r="N593" i="12"/>
  <c r="P593" i="12" s="1"/>
  <c r="K593" i="12"/>
  <c r="M593" i="12" s="1"/>
  <c r="N592" i="12"/>
  <c r="P592" i="12" s="1"/>
  <c r="K592" i="12"/>
  <c r="M592" i="12" s="1"/>
  <c r="N591" i="12"/>
  <c r="P591" i="12" s="1"/>
  <c r="K591" i="12"/>
  <c r="M591" i="12" s="1"/>
  <c r="N590" i="12"/>
  <c r="P590" i="12" s="1"/>
  <c r="K590" i="12"/>
  <c r="M590" i="12" s="1"/>
  <c r="N589" i="12"/>
  <c r="P589" i="12" s="1"/>
  <c r="K589" i="12"/>
  <c r="M589" i="12" s="1"/>
  <c r="N588" i="12"/>
  <c r="P588" i="12" s="1"/>
  <c r="K588" i="12"/>
  <c r="M588" i="12" s="1"/>
  <c r="N587" i="12"/>
  <c r="P587" i="12" s="1"/>
  <c r="K587" i="12"/>
  <c r="M587" i="12" s="1"/>
  <c r="N586" i="12"/>
  <c r="P586" i="12" s="1"/>
  <c r="K586" i="12"/>
  <c r="M586" i="12" s="1"/>
  <c r="N585" i="12"/>
  <c r="P585" i="12" s="1"/>
  <c r="K585" i="12"/>
  <c r="M585" i="12" s="1"/>
  <c r="N584" i="12"/>
  <c r="P584" i="12" s="1"/>
  <c r="K584" i="12"/>
  <c r="M584" i="12" s="1"/>
  <c r="N583" i="12"/>
  <c r="P583" i="12" s="1"/>
  <c r="K583" i="12"/>
  <c r="M583" i="12" s="1"/>
  <c r="N582" i="12"/>
  <c r="P582" i="12" s="1"/>
  <c r="K582" i="12"/>
  <c r="M582" i="12" s="1"/>
  <c r="N581" i="12"/>
  <c r="P581" i="12" s="1"/>
  <c r="K581" i="12"/>
  <c r="M581" i="12" s="1"/>
  <c r="N580" i="12"/>
  <c r="P580" i="12" s="1"/>
  <c r="K580" i="12"/>
  <c r="M580" i="12" s="1"/>
  <c r="N579" i="12"/>
  <c r="P579" i="12" s="1"/>
  <c r="K579" i="12"/>
  <c r="M579" i="12" s="1"/>
  <c r="N578" i="12"/>
  <c r="P578" i="12" s="1"/>
  <c r="K578" i="12"/>
  <c r="M578" i="12" s="1"/>
  <c r="N577" i="12"/>
  <c r="P577" i="12" s="1"/>
  <c r="K577" i="12"/>
  <c r="M577" i="12" s="1"/>
  <c r="N576" i="12"/>
  <c r="P576" i="12" s="1"/>
  <c r="K576" i="12"/>
  <c r="M576" i="12" s="1"/>
  <c r="N575" i="12"/>
  <c r="P575" i="12" s="1"/>
  <c r="K575" i="12"/>
  <c r="M575" i="12" s="1"/>
  <c r="N574" i="12"/>
  <c r="P574" i="12" s="1"/>
  <c r="K574" i="12"/>
  <c r="M574" i="12" s="1"/>
  <c r="N573" i="12"/>
  <c r="P573" i="12" s="1"/>
  <c r="K573" i="12"/>
  <c r="M573" i="12" s="1"/>
  <c r="N572" i="12"/>
  <c r="P572" i="12" s="1"/>
  <c r="K572" i="12"/>
  <c r="M572" i="12" s="1"/>
  <c r="N571" i="12"/>
  <c r="P571" i="12" s="1"/>
  <c r="K571" i="12"/>
  <c r="M571" i="12" s="1"/>
  <c r="N570" i="12"/>
  <c r="P570" i="12" s="1"/>
  <c r="K570" i="12"/>
  <c r="M570" i="12" s="1"/>
  <c r="N569" i="12"/>
  <c r="P569" i="12" s="1"/>
  <c r="K569" i="12"/>
  <c r="M569" i="12" s="1"/>
  <c r="N568" i="12"/>
  <c r="P568" i="12" s="1"/>
  <c r="K568" i="12"/>
  <c r="M568" i="12" s="1"/>
  <c r="N567" i="12"/>
  <c r="P567" i="12" s="1"/>
  <c r="K567" i="12"/>
  <c r="M567" i="12" s="1"/>
  <c r="N566" i="12"/>
  <c r="P566" i="12" s="1"/>
  <c r="K566" i="12"/>
  <c r="M566" i="12" s="1"/>
  <c r="N565" i="12"/>
  <c r="P565" i="12" s="1"/>
  <c r="K565" i="12"/>
  <c r="M565" i="12" s="1"/>
  <c r="N564" i="12"/>
  <c r="P564" i="12" s="1"/>
  <c r="K564" i="12"/>
  <c r="M564" i="12" s="1"/>
  <c r="N563" i="12"/>
  <c r="P563" i="12" s="1"/>
  <c r="K563" i="12"/>
  <c r="M563" i="12" s="1"/>
  <c r="N562" i="12"/>
  <c r="P562" i="12" s="1"/>
  <c r="K562" i="12"/>
  <c r="M562" i="12" s="1"/>
  <c r="N561" i="12"/>
  <c r="P561" i="12" s="1"/>
  <c r="K561" i="12"/>
  <c r="M561" i="12" s="1"/>
  <c r="N560" i="12"/>
  <c r="P560" i="12" s="1"/>
  <c r="K560" i="12"/>
  <c r="M560" i="12" s="1"/>
  <c r="N559" i="12"/>
  <c r="P559" i="12" s="1"/>
  <c r="K559" i="12"/>
  <c r="M559" i="12" s="1"/>
  <c r="N558" i="12"/>
  <c r="P558" i="12" s="1"/>
  <c r="K558" i="12"/>
  <c r="M558" i="12" s="1"/>
  <c r="N557" i="12"/>
  <c r="P557" i="12" s="1"/>
  <c r="K557" i="12"/>
  <c r="M557" i="12" s="1"/>
  <c r="N556" i="12"/>
  <c r="P556" i="12" s="1"/>
  <c r="K556" i="12"/>
  <c r="M556" i="12" s="1"/>
  <c r="N555" i="12"/>
  <c r="P555" i="12" s="1"/>
  <c r="K555" i="12"/>
  <c r="M555" i="12" s="1"/>
  <c r="N554" i="12"/>
  <c r="P554" i="12" s="1"/>
  <c r="K554" i="12"/>
  <c r="M554" i="12" s="1"/>
  <c r="N553" i="12"/>
  <c r="P553" i="12" s="1"/>
  <c r="K553" i="12"/>
  <c r="M553" i="12" s="1"/>
  <c r="N552" i="12"/>
  <c r="P552" i="12" s="1"/>
  <c r="K552" i="12"/>
  <c r="M552" i="12" s="1"/>
  <c r="N551" i="12"/>
  <c r="P551" i="12" s="1"/>
  <c r="K551" i="12"/>
  <c r="M551" i="12" s="1"/>
  <c r="N550" i="12"/>
  <c r="P550" i="12" s="1"/>
  <c r="K550" i="12"/>
  <c r="M550" i="12" s="1"/>
  <c r="N549" i="12"/>
  <c r="P549" i="12" s="1"/>
  <c r="K549" i="12"/>
  <c r="M549" i="12" s="1"/>
  <c r="N548" i="12"/>
  <c r="P548" i="12" s="1"/>
  <c r="K548" i="12"/>
  <c r="M548" i="12" s="1"/>
  <c r="N547" i="12"/>
  <c r="P547" i="12" s="1"/>
  <c r="K547" i="12"/>
  <c r="M547" i="12" s="1"/>
  <c r="N546" i="12"/>
  <c r="P546" i="12" s="1"/>
  <c r="K546" i="12"/>
  <c r="M546" i="12" s="1"/>
  <c r="N545" i="12"/>
  <c r="P545" i="12" s="1"/>
  <c r="K545" i="12"/>
  <c r="M545" i="12" s="1"/>
  <c r="N544" i="12"/>
  <c r="P544" i="12" s="1"/>
  <c r="K544" i="12"/>
  <c r="M544" i="12" s="1"/>
  <c r="N543" i="12"/>
  <c r="P543" i="12" s="1"/>
  <c r="K543" i="12"/>
  <c r="M543" i="12" s="1"/>
  <c r="N542" i="12"/>
  <c r="P542" i="12" s="1"/>
  <c r="K542" i="12"/>
  <c r="M542" i="12" s="1"/>
  <c r="N541" i="12"/>
  <c r="P541" i="12" s="1"/>
  <c r="K541" i="12"/>
  <c r="M541" i="12" s="1"/>
  <c r="N540" i="12"/>
  <c r="P540" i="12" s="1"/>
  <c r="K540" i="12"/>
  <c r="M540" i="12" s="1"/>
  <c r="N539" i="12"/>
  <c r="P539" i="12" s="1"/>
  <c r="K539" i="12"/>
  <c r="M539" i="12" s="1"/>
  <c r="N538" i="12"/>
  <c r="P538" i="12" s="1"/>
  <c r="K538" i="12"/>
  <c r="M538" i="12" s="1"/>
  <c r="N537" i="12"/>
  <c r="P537" i="12" s="1"/>
  <c r="K537" i="12"/>
  <c r="M537" i="12" s="1"/>
  <c r="N536" i="12"/>
  <c r="P536" i="12" s="1"/>
  <c r="K536" i="12"/>
  <c r="M536" i="12" s="1"/>
  <c r="N535" i="12"/>
  <c r="P535" i="12" s="1"/>
  <c r="K535" i="12"/>
  <c r="M535" i="12" s="1"/>
  <c r="N534" i="12"/>
  <c r="P534" i="12" s="1"/>
  <c r="K534" i="12"/>
  <c r="M534" i="12" s="1"/>
  <c r="N533" i="12"/>
  <c r="P533" i="12" s="1"/>
  <c r="K533" i="12"/>
  <c r="M533" i="12" s="1"/>
  <c r="N532" i="12"/>
  <c r="P532" i="12" s="1"/>
  <c r="K532" i="12"/>
  <c r="M532" i="12" s="1"/>
  <c r="N531" i="12"/>
  <c r="P531" i="12" s="1"/>
  <c r="K531" i="12"/>
  <c r="M531" i="12" s="1"/>
  <c r="N530" i="12"/>
  <c r="P530" i="12" s="1"/>
  <c r="K530" i="12"/>
  <c r="M530" i="12" s="1"/>
  <c r="N529" i="12"/>
  <c r="P529" i="12" s="1"/>
  <c r="K529" i="12"/>
  <c r="M529" i="12" s="1"/>
  <c r="N528" i="12"/>
  <c r="P528" i="12" s="1"/>
  <c r="K528" i="12"/>
  <c r="M528" i="12" s="1"/>
  <c r="N527" i="12"/>
  <c r="P527" i="12" s="1"/>
  <c r="K527" i="12"/>
  <c r="M527" i="12" s="1"/>
  <c r="N526" i="12"/>
  <c r="P526" i="12" s="1"/>
  <c r="K526" i="12"/>
  <c r="M526" i="12" s="1"/>
  <c r="N525" i="12"/>
  <c r="P525" i="12" s="1"/>
  <c r="K525" i="12"/>
  <c r="M525" i="12" s="1"/>
  <c r="N524" i="12"/>
  <c r="P524" i="12" s="1"/>
  <c r="K524" i="12"/>
  <c r="M524" i="12" s="1"/>
  <c r="N523" i="12"/>
  <c r="P523" i="12" s="1"/>
  <c r="K523" i="12"/>
  <c r="M523" i="12" s="1"/>
  <c r="N522" i="12"/>
  <c r="P522" i="12" s="1"/>
  <c r="K522" i="12"/>
  <c r="M522" i="12" s="1"/>
  <c r="N521" i="12"/>
  <c r="P521" i="12" s="1"/>
  <c r="K521" i="12"/>
  <c r="M521" i="12" s="1"/>
  <c r="N520" i="12"/>
  <c r="P520" i="12" s="1"/>
  <c r="K520" i="12"/>
  <c r="M520" i="12" s="1"/>
  <c r="N519" i="12"/>
  <c r="P519" i="12" s="1"/>
  <c r="K519" i="12"/>
  <c r="M519" i="12" s="1"/>
  <c r="N518" i="12"/>
  <c r="P518" i="12" s="1"/>
  <c r="K518" i="12"/>
  <c r="M518" i="12" s="1"/>
  <c r="N517" i="12"/>
  <c r="P517" i="12" s="1"/>
  <c r="K517" i="12"/>
  <c r="M517" i="12" s="1"/>
  <c r="N516" i="12"/>
  <c r="P516" i="12" s="1"/>
  <c r="K516" i="12"/>
  <c r="M516" i="12" s="1"/>
  <c r="N515" i="12"/>
  <c r="P515" i="12" s="1"/>
  <c r="K515" i="12"/>
  <c r="M515" i="12" s="1"/>
  <c r="N514" i="12"/>
  <c r="P514" i="12" s="1"/>
  <c r="K514" i="12"/>
  <c r="M514" i="12" s="1"/>
  <c r="N513" i="12"/>
  <c r="P513" i="12" s="1"/>
  <c r="K513" i="12"/>
  <c r="M513" i="12" s="1"/>
  <c r="N512" i="12"/>
  <c r="P512" i="12" s="1"/>
  <c r="K512" i="12"/>
  <c r="M512" i="12" s="1"/>
  <c r="N511" i="12"/>
  <c r="P511" i="12" s="1"/>
  <c r="K511" i="12"/>
  <c r="M511" i="12" s="1"/>
  <c r="N509" i="12"/>
  <c r="P509" i="12" s="1"/>
  <c r="K509" i="12"/>
  <c r="M509" i="12" s="1"/>
  <c r="N507" i="12"/>
  <c r="P507" i="12" s="1"/>
  <c r="K507" i="12"/>
  <c r="M507" i="12" s="1"/>
  <c r="N505" i="12"/>
  <c r="P505" i="12" s="1"/>
  <c r="K505" i="12"/>
  <c r="M505" i="12" s="1"/>
  <c r="N504" i="12"/>
  <c r="P504" i="12" s="1"/>
  <c r="K504" i="12"/>
  <c r="M504" i="12" s="1"/>
  <c r="N503" i="12"/>
  <c r="P503" i="12" s="1"/>
  <c r="K503" i="12"/>
  <c r="M503" i="12" s="1"/>
  <c r="N502" i="12"/>
  <c r="P502" i="12" s="1"/>
  <c r="K502" i="12"/>
  <c r="M502" i="12" s="1"/>
  <c r="N500" i="12"/>
  <c r="P500" i="12" s="1"/>
  <c r="K500" i="12"/>
  <c r="M500" i="12" s="1"/>
  <c r="N499" i="12"/>
  <c r="P499" i="12" s="1"/>
  <c r="K499" i="12"/>
  <c r="M499" i="12" s="1"/>
  <c r="N498" i="12"/>
  <c r="P498" i="12" s="1"/>
  <c r="K498" i="12"/>
  <c r="M498" i="12" s="1"/>
  <c r="N497" i="12"/>
  <c r="P497" i="12" s="1"/>
  <c r="K497" i="12"/>
  <c r="M497" i="12" s="1"/>
  <c r="N496" i="12"/>
  <c r="P496" i="12" s="1"/>
  <c r="K496" i="12"/>
  <c r="M496" i="12" s="1"/>
  <c r="N495" i="12"/>
  <c r="P495" i="12" s="1"/>
  <c r="K495" i="12"/>
  <c r="M495" i="12" s="1"/>
  <c r="N494" i="12"/>
  <c r="P494" i="12" s="1"/>
  <c r="K494" i="12"/>
  <c r="M494" i="12" s="1"/>
  <c r="N493" i="12"/>
  <c r="P493" i="12" s="1"/>
  <c r="K493" i="12"/>
  <c r="M493" i="12" s="1"/>
  <c r="N492" i="12"/>
  <c r="P492" i="12" s="1"/>
  <c r="K492" i="12"/>
  <c r="M492" i="12" s="1"/>
  <c r="N491" i="12"/>
  <c r="P491" i="12" s="1"/>
  <c r="K491" i="12"/>
  <c r="M491" i="12" s="1"/>
  <c r="N490" i="12"/>
  <c r="P490" i="12" s="1"/>
  <c r="K490" i="12"/>
  <c r="M490" i="12" s="1"/>
  <c r="N489" i="12"/>
  <c r="P489" i="12" s="1"/>
  <c r="K489" i="12"/>
  <c r="M489" i="12" s="1"/>
  <c r="N488" i="12"/>
  <c r="P488" i="12" s="1"/>
  <c r="K488" i="12"/>
  <c r="M488" i="12" s="1"/>
  <c r="N487" i="12"/>
  <c r="P487" i="12" s="1"/>
  <c r="K487" i="12"/>
  <c r="M487" i="12" s="1"/>
  <c r="N486" i="12"/>
  <c r="P486" i="12" s="1"/>
  <c r="K486" i="12"/>
  <c r="M486" i="12" s="1"/>
  <c r="N485" i="12"/>
  <c r="P485" i="12" s="1"/>
  <c r="K485" i="12"/>
  <c r="M485" i="12" s="1"/>
  <c r="N484" i="12"/>
  <c r="P484" i="12" s="1"/>
  <c r="K484" i="12"/>
  <c r="M484" i="12" s="1"/>
  <c r="N483" i="12"/>
  <c r="P483" i="12" s="1"/>
  <c r="K483" i="12"/>
  <c r="M483" i="12" s="1"/>
  <c r="N482" i="12"/>
  <c r="P482" i="12" s="1"/>
  <c r="K482" i="12"/>
  <c r="M482" i="12" s="1"/>
  <c r="N481" i="12"/>
  <c r="P481" i="12" s="1"/>
  <c r="K481" i="12"/>
  <c r="M481" i="12" s="1"/>
  <c r="N480" i="12"/>
  <c r="P480" i="12" s="1"/>
  <c r="K480" i="12"/>
  <c r="M480" i="12" s="1"/>
  <c r="N479" i="12"/>
  <c r="P479" i="12" s="1"/>
  <c r="K479" i="12"/>
  <c r="M479" i="12" s="1"/>
  <c r="N478" i="12"/>
  <c r="P478" i="12" s="1"/>
  <c r="K478" i="12"/>
  <c r="M478" i="12" s="1"/>
  <c r="N477" i="12"/>
  <c r="P477" i="12" s="1"/>
  <c r="K477" i="12"/>
  <c r="M477" i="12" s="1"/>
  <c r="N476" i="12"/>
  <c r="P476" i="12" s="1"/>
  <c r="K476" i="12"/>
  <c r="M476" i="12" s="1"/>
  <c r="N475" i="12"/>
  <c r="P475" i="12" s="1"/>
  <c r="K475" i="12"/>
  <c r="M475" i="12" s="1"/>
  <c r="N474" i="12"/>
  <c r="P474" i="12" s="1"/>
  <c r="K474" i="12"/>
  <c r="M474" i="12" s="1"/>
  <c r="N473" i="12"/>
  <c r="P473" i="12" s="1"/>
  <c r="K473" i="12"/>
  <c r="M473" i="12" s="1"/>
  <c r="N472" i="12"/>
  <c r="P472" i="12" s="1"/>
  <c r="K472" i="12"/>
  <c r="M472" i="12" s="1"/>
  <c r="N471" i="12"/>
  <c r="P471" i="12" s="1"/>
  <c r="K471" i="12"/>
  <c r="M471" i="12" s="1"/>
  <c r="N470" i="12"/>
  <c r="P470" i="12" s="1"/>
  <c r="K470" i="12"/>
  <c r="M470" i="12" s="1"/>
  <c r="N469" i="12"/>
  <c r="P469" i="12" s="1"/>
  <c r="K469" i="12"/>
  <c r="M469" i="12" s="1"/>
  <c r="N468" i="12"/>
  <c r="P468" i="12" s="1"/>
  <c r="K468" i="12"/>
  <c r="M468" i="12" s="1"/>
  <c r="N467" i="12"/>
  <c r="P467" i="12" s="1"/>
  <c r="K467" i="12"/>
  <c r="M467" i="12" s="1"/>
  <c r="N466" i="12"/>
  <c r="P466" i="12" s="1"/>
  <c r="K466" i="12"/>
  <c r="M466" i="12" s="1"/>
  <c r="N465" i="12"/>
  <c r="P465" i="12" s="1"/>
  <c r="K465" i="12"/>
  <c r="M465" i="12" s="1"/>
  <c r="N464" i="12"/>
  <c r="P464" i="12" s="1"/>
  <c r="K464" i="12"/>
  <c r="M464" i="12" s="1"/>
  <c r="N463" i="12"/>
  <c r="P463" i="12" s="1"/>
  <c r="K463" i="12"/>
  <c r="M463" i="12" s="1"/>
  <c r="N462" i="12"/>
  <c r="P462" i="12" s="1"/>
  <c r="K462" i="12"/>
  <c r="M462" i="12" s="1"/>
  <c r="N461" i="12"/>
  <c r="P461" i="12" s="1"/>
  <c r="K461" i="12"/>
  <c r="M461" i="12" s="1"/>
  <c r="N460" i="12"/>
  <c r="P460" i="12" s="1"/>
  <c r="K460" i="12"/>
  <c r="M460" i="12" s="1"/>
  <c r="N459" i="12"/>
  <c r="P459" i="12" s="1"/>
  <c r="K459" i="12"/>
  <c r="M459" i="12" s="1"/>
  <c r="N458" i="12"/>
  <c r="P458" i="12" s="1"/>
  <c r="K458" i="12"/>
  <c r="M458" i="12" s="1"/>
  <c r="N457" i="12"/>
  <c r="P457" i="12" s="1"/>
  <c r="K457" i="12"/>
  <c r="M457" i="12" s="1"/>
  <c r="N456" i="12"/>
  <c r="P456" i="12" s="1"/>
  <c r="K456" i="12"/>
  <c r="M456" i="12" s="1"/>
  <c r="N455" i="12"/>
  <c r="P455" i="12" s="1"/>
  <c r="K455" i="12"/>
  <c r="M455" i="12" s="1"/>
  <c r="N454" i="12"/>
  <c r="P454" i="12" s="1"/>
  <c r="K454" i="12"/>
  <c r="M454" i="12" s="1"/>
  <c r="N453" i="12"/>
  <c r="P453" i="12" s="1"/>
  <c r="K453" i="12"/>
  <c r="M453" i="12" s="1"/>
  <c r="N452" i="12"/>
  <c r="P452" i="12" s="1"/>
  <c r="K452" i="12"/>
  <c r="M452" i="12" s="1"/>
  <c r="N451" i="12"/>
  <c r="P451" i="12" s="1"/>
  <c r="K451" i="12"/>
  <c r="M451" i="12" s="1"/>
  <c r="N450" i="12"/>
  <c r="P450" i="12" s="1"/>
  <c r="K450" i="12"/>
  <c r="M450" i="12" s="1"/>
  <c r="N449" i="12"/>
  <c r="P449" i="12" s="1"/>
  <c r="K449" i="12"/>
  <c r="M449" i="12" s="1"/>
  <c r="N448" i="12"/>
  <c r="P448" i="12" s="1"/>
  <c r="K448" i="12"/>
  <c r="M448" i="12" s="1"/>
  <c r="N447" i="12"/>
  <c r="P447" i="12" s="1"/>
  <c r="K447" i="12"/>
  <c r="M447" i="12" s="1"/>
  <c r="N446" i="12"/>
  <c r="P446" i="12" s="1"/>
  <c r="K446" i="12"/>
  <c r="M446" i="12" s="1"/>
  <c r="N445" i="12"/>
  <c r="P445" i="12" s="1"/>
  <c r="K445" i="12"/>
  <c r="M445" i="12" s="1"/>
  <c r="N444" i="12"/>
  <c r="P444" i="12" s="1"/>
  <c r="K444" i="12"/>
  <c r="M444" i="12" s="1"/>
  <c r="N443" i="12"/>
  <c r="P443" i="12" s="1"/>
  <c r="K443" i="12"/>
  <c r="M443" i="12" s="1"/>
  <c r="N442" i="12"/>
  <c r="P442" i="12" s="1"/>
  <c r="K442" i="12"/>
  <c r="M442" i="12" s="1"/>
  <c r="N441" i="12"/>
  <c r="P441" i="12" s="1"/>
  <c r="K441" i="12"/>
  <c r="M441" i="12" s="1"/>
  <c r="N440" i="12"/>
  <c r="P440" i="12" s="1"/>
  <c r="K440" i="12"/>
  <c r="M440" i="12" s="1"/>
  <c r="N439" i="12"/>
  <c r="P439" i="12" s="1"/>
  <c r="K439" i="12"/>
  <c r="M439" i="12" s="1"/>
  <c r="N438" i="12"/>
  <c r="P438" i="12" s="1"/>
  <c r="K438" i="12"/>
  <c r="M438" i="12" s="1"/>
  <c r="N437" i="12"/>
  <c r="P437" i="12" s="1"/>
  <c r="K437" i="12"/>
  <c r="M437" i="12" s="1"/>
  <c r="N436" i="12"/>
  <c r="P436" i="12" s="1"/>
  <c r="K436" i="12"/>
  <c r="M436" i="12" s="1"/>
  <c r="N435" i="12"/>
  <c r="P435" i="12" s="1"/>
  <c r="K435" i="12"/>
  <c r="M435" i="12" s="1"/>
  <c r="N434" i="12"/>
  <c r="P434" i="12" s="1"/>
  <c r="K434" i="12"/>
  <c r="M434" i="12" s="1"/>
  <c r="N433" i="12"/>
  <c r="P433" i="12" s="1"/>
  <c r="K433" i="12"/>
  <c r="M433" i="12" s="1"/>
  <c r="N432" i="12"/>
  <c r="P432" i="12" s="1"/>
  <c r="K432" i="12"/>
  <c r="M432" i="12" s="1"/>
  <c r="N431" i="12"/>
  <c r="P431" i="12" s="1"/>
  <c r="K431" i="12"/>
  <c r="M431" i="12" s="1"/>
  <c r="N430" i="12"/>
  <c r="P430" i="12" s="1"/>
  <c r="K430" i="12"/>
  <c r="M430" i="12" s="1"/>
  <c r="N429" i="12"/>
  <c r="P429" i="12" s="1"/>
  <c r="K429" i="12"/>
  <c r="M429" i="12" s="1"/>
  <c r="N428" i="12"/>
  <c r="P428" i="12" s="1"/>
  <c r="K428" i="12"/>
  <c r="M428" i="12" s="1"/>
  <c r="N427" i="12"/>
  <c r="P427" i="12" s="1"/>
  <c r="K427" i="12"/>
  <c r="M427" i="12" s="1"/>
  <c r="N426" i="12"/>
  <c r="P426" i="12" s="1"/>
  <c r="K426" i="12"/>
  <c r="M426" i="12" s="1"/>
  <c r="N425" i="12"/>
  <c r="P425" i="12" s="1"/>
  <c r="K425" i="12"/>
  <c r="M425" i="12" s="1"/>
  <c r="N424" i="12"/>
  <c r="P424" i="12" s="1"/>
  <c r="K424" i="12"/>
  <c r="M424" i="12" s="1"/>
  <c r="N423" i="12"/>
  <c r="P423" i="12" s="1"/>
  <c r="K423" i="12"/>
  <c r="M423" i="12" s="1"/>
  <c r="N422" i="12"/>
  <c r="P422" i="12" s="1"/>
  <c r="K422" i="12"/>
  <c r="M422" i="12" s="1"/>
  <c r="N421" i="12"/>
  <c r="P421" i="12" s="1"/>
  <c r="K421" i="12"/>
  <c r="M421" i="12" s="1"/>
  <c r="N420" i="12"/>
  <c r="P420" i="12" s="1"/>
  <c r="K420" i="12"/>
  <c r="M420" i="12" s="1"/>
  <c r="N419" i="12"/>
  <c r="P419" i="12" s="1"/>
  <c r="K419" i="12"/>
  <c r="M419" i="12" s="1"/>
  <c r="N418" i="12"/>
  <c r="P418" i="12" s="1"/>
  <c r="K418" i="12"/>
  <c r="M418" i="12" s="1"/>
  <c r="N417" i="12"/>
  <c r="P417" i="12" s="1"/>
  <c r="K417" i="12"/>
  <c r="M417" i="12" s="1"/>
  <c r="N416" i="12"/>
  <c r="P416" i="12" s="1"/>
  <c r="K416" i="12"/>
  <c r="M416" i="12" s="1"/>
  <c r="N415" i="12"/>
  <c r="P415" i="12" s="1"/>
  <c r="K415" i="12"/>
  <c r="M415" i="12" s="1"/>
  <c r="N414" i="12"/>
  <c r="P414" i="12" s="1"/>
  <c r="K414" i="12"/>
  <c r="M414" i="12" s="1"/>
  <c r="N413" i="12"/>
  <c r="P413" i="12" s="1"/>
  <c r="K413" i="12"/>
  <c r="M413" i="12" s="1"/>
  <c r="N412" i="12"/>
  <c r="P412" i="12" s="1"/>
  <c r="K412" i="12"/>
  <c r="M412" i="12" s="1"/>
  <c r="N411" i="12"/>
  <c r="P411" i="12" s="1"/>
  <c r="K411" i="12"/>
  <c r="M411" i="12" s="1"/>
  <c r="N410" i="12"/>
  <c r="P410" i="12" s="1"/>
  <c r="K410" i="12"/>
  <c r="M410" i="12" s="1"/>
  <c r="N409" i="12"/>
  <c r="P409" i="12" s="1"/>
  <c r="K409" i="12"/>
  <c r="M409" i="12" s="1"/>
  <c r="N408" i="12"/>
  <c r="P408" i="12" s="1"/>
  <c r="K408" i="12"/>
  <c r="M408" i="12" s="1"/>
  <c r="N407" i="12"/>
  <c r="P407" i="12" s="1"/>
  <c r="K407" i="12"/>
  <c r="M407" i="12" s="1"/>
  <c r="N406" i="12"/>
  <c r="P406" i="12" s="1"/>
  <c r="K406" i="12"/>
  <c r="M406" i="12" s="1"/>
  <c r="N405" i="12"/>
  <c r="P405" i="12" s="1"/>
  <c r="K405" i="12"/>
  <c r="M405" i="12" s="1"/>
  <c r="N404" i="12"/>
  <c r="P404" i="12" s="1"/>
  <c r="K404" i="12"/>
  <c r="M404" i="12" s="1"/>
  <c r="N403" i="12"/>
  <c r="P403" i="12" s="1"/>
  <c r="K403" i="12"/>
  <c r="M403" i="12" s="1"/>
  <c r="N402" i="12"/>
  <c r="P402" i="12" s="1"/>
  <c r="K402" i="12"/>
  <c r="M402" i="12" s="1"/>
  <c r="N401" i="12"/>
  <c r="P401" i="12" s="1"/>
  <c r="K401" i="12"/>
  <c r="M401" i="12" s="1"/>
  <c r="N400" i="12"/>
  <c r="P400" i="12" s="1"/>
  <c r="K400" i="12"/>
  <c r="M400" i="12" s="1"/>
  <c r="N399" i="12"/>
  <c r="P399" i="12" s="1"/>
  <c r="K399" i="12"/>
  <c r="M399" i="12" s="1"/>
  <c r="N398" i="12"/>
  <c r="P398" i="12" s="1"/>
  <c r="K398" i="12"/>
  <c r="M398" i="12" s="1"/>
  <c r="N397" i="12"/>
  <c r="P397" i="12" s="1"/>
  <c r="K397" i="12"/>
  <c r="M397" i="12" s="1"/>
  <c r="N396" i="12"/>
  <c r="P396" i="12" s="1"/>
  <c r="K396" i="12"/>
  <c r="M396" i="12" s="1"/>
  <c r="N395" i="12"/>
  <c r="P395" i="12" s="1"/>
  <c r="K395" i="12"/>
  <c r="M395" i="12" s="1"/>
  <c r="N394" i="12"/>
  <c r="P394" i="12" s="1"/>
  <c r="K394" i="12"/>
  <c r="M394" i="12" s="1"/>
  <c r="N393" i="12"/>
  <c r="P393" i="12" s="1"/>
  <c r="K393" i="12"/>
  <c r="M393" i="12" s="1"/>
  <c r="N392" i="12"/>
  <c r="P392" i="12" s="1"/>
  <c r="K392" i="12"/>
  <c r="M392" i="12" s="1"/>
  <c r="N391" i="12"/>
  <c r="P391" i="12" s="1"/>
  <c r="K391" i="12"/>
  <c r="M391" i="12" s="1"/>
  <c r="N390" i="12"/>
  <c r="P390" i="12" s="1"/>
  <c r="K390" i="12"/>
  <c r="M390" i="12" s="1"/>
  <c r="N389" i="12"/>
  <c r="P389" i="12" s="1"/>
  <c r="K389" i="12"/>
  <c r="M389" i="12" s="1"/>
  <c r="N388" i="12"/>
  <c r="P388" i="12" s="1"/>
  <c r="K388" i="12"/>
  <c r="M388" i="12" s="1"/>
  <c r="N387" i="12"/>
  <c r="P387" i="12" s="1"/>
  <c r="K387" i="12"/>
  <c r="M387" i="12" s="1"/>
  <c r="N386" i="12"/>
  <c r="P386" i="12" s="1"/>
  <c r="K386" i="12"/>
  <c r="M386" i="12" s="1"/>
  <c r="N385" i="12"/>
  <c r="P385" i="12" s="1"/>
  <c r="K385" i="12"/>
  <c r="M385" i="12" s="1"/>
  <c r="N384" i="12"/>
  <c r="P384" i="12" s="1"/>
  <c r="K384" i="12"/>
  <c r="M384" i="12" s="1"/>
  <c r="N383" i="12"/>
  <c r="P383" i="12" s="1"/>
  <c r="K383" i="12"/>
  <c r="M383" i="12" s="1"/>
  <c r="N382" i="12"/>
  <c r="P382" i="12" s="1"/>
  <c r="K382" i="12"/>
  <c r="M382" i="12" s="1"/>
  <c r="N381" i="12"/>
  <c r="P381" i="12" s="1"/>
  <c r="K381" i="12"/>
  <c r="M381" i="12" s="1"/>
  <c r="N380" i="12"/>
  <c r="P380" i="12" s="1"/>
  <c r="K380" i="12"/>
  <c r="M380" i="12" s="1"/>
  <c r="N379" i="12"/>
  <c r="P379" i="12" s="1"/>
  <c r="K379" i="12"/>
  <c r="M379" i="12" s="1"/>
  <c r="N378" i="12"/>
  <c r="P378" i="12" s="1"/>
  <c r="K378" i="12"/>
  <c r="M378" i="12" s="1"/>
  <c r="N377" i="12"/>
  <c r="P377" i="12" s="1"/>
  <c r="K377" i="12"/>
  <c r="M377" i="12" s="1"/>
  <c r="N376" i="12"/>
  <c r="P376" i="12" s="1"/>
  <c r="K376" i="12"/>
  <c r="M376" i="12" s="1"/>
  <c r="N375" i="12"/>
  <c r="P375" i="12" s="1"/>
  <c r="K375" i="12"/>
  <c r="M375" i="12" s="1"/>
  <c r="N374" i="12"/>
  <c r="P374" i="12" s="1"/>
  <c r="K374" i="12"/>
  <c r="M374" i="12" s="1"/>
  <c r="N373" i="12"/>
  <c r="P373" i="12" s="1"/>
  <c r="K373" i="12"/>
  <c r="M373" i="12" s="1"/>
  <c r="N372" i="12"/>
  <c r="P372" i="12" s="1"/>
  <c r="K372" i="12"/>
  <c r="M372" i="12" s="1"/>
  <c r="N371" i="12"/>
  <c r="P371" i="12" s="1"/>
  <c r="K371" i="12"/>
  <c r="M371" i="12" s="1"/>
  <c r="N370" i="12"/>
  <c r="P370" i="12" s="1"/>
  <c r="K370" i="12"/>
  <c r="M370" i="12" s="1"/>
  <c r="N369" i="12"/>
  <c r="P369" i="12" s="1"/>
  <c r="K369" i="12"/>
  <c r="M369" i="12" s="1"/>
  <c r="N368" i="12"/>
  <c r="P368" i="12" s="1"/>
  <c r="K368" i="12"/>
  <c r="M368" i="12" s="1"/>
  <c r="N367" i="12"/>
  <c r="P367" i="12" s="1"/>
  <c r="K367" i="12"/>
  <c r="M367" i="12" s="1"/>
  <c r="N366" i="12"/>
  <c r="P366" i="12" s="1"/>
  <c r="K366" i="12"/>
  <c r="M366" i="12" s="1"/>
  <c r="N365" i="12"/>
  <c r="P365" i="12" s="1"/>
  <c r="K365" i="12"/>
  <c r="M365" i="12" s="1"/>
  <c r="N364" i="12"/>
  <c r="P364" i="12" s="1"/>
  <c r="K364" i="12"/>
  <c r="M364" i="12" s="1"/>
  <c r="N363" i="12"/>
  <c r="P363" i="12" s="1"/>
  <c r="K363" i="12"/>
  <c r="M363" i="12" s="1"/>
  <c r="N362" i="12"/>
  <c r="P362" i="12" s="1"/>
  <c r="K362" i="12"/>
  <c r="M362" i="12" s="1"/>
  <c r="N361" i="12"/>
  <c r="P361" i="12" s="1"/>
  <c r="K361" i="12"/>
  <c r="M361" i="12" s="1"/>
  <c r="N360" i="12"/>
  <c r="P360" i="12" s="1"/>
  <c r="K360" i="12"/>
  <c r="M360" i="12" s="1"/>
  <c r="N359" i="12"/>
  <c r="P359" i="12" s="1"/>
  <c r="K359" i="12"/>
  <c r="M359" i="12" s="1"/>
  <c r="N358" i="12"/>
  <c r="P358" i="12" s="1"/>
  <c r="K358" i="12"/>
  <c r="M358" i="12" s="1"/>
  <c r="N357" i="12"/>
  <c r="P357" i="12" s="1"/>
  <c r="K357" i="12"/>
  <c r="M357" i="12" s="1"/>
  <c r="N356" i="12"/>
  <c r="P356" i="12" s="1"/>
  <c r="K356" i="12"/>
  <c r="M356" i="12" s="1"/>
  <c r="N355" i="12"/>
  <c r="P355" i="12" s="1"/>
  <c r="K355" i="12"/>
  <c r="M355" i="12" s="1"/>
  <c r="N354" i="12"/>
  <c r="P354" i="12" s="1"/>
  <c r="K354" i="12"/>
  <c r="M354" i="12" s="1"/>
  <c r="N353" i="12"/>
  <c r="P353" i="12" s="1"/>
  <c r="K353" i="12"/>
  <c r="M353" i="12" s="1"/>
  <c r="N352" i="12"/>
  <c r="P352" i="12" s="1"/>
  <c r="K352" i="12"/>
  <c r="M352" i="12" s="1"/>
  <c r="N351" i="12"/>
  <c r="P351" i="12" s="1"/>
  <c r="K351" i="12"/>
  <c r="M351" i="12" s="1"/>
  <c r="N350" i="12"/>
  <c r="P350" i="12" s="1"/>
  <c r="K350" i="12"/>
  <c r="M350" i="12" s="1"/>
  <c r="N349" i="12"/>
  <c r="P349" i="12" s="1"/>
  <c r="K349" i="12"/>
  <c r="M349" i="12" s="1"/>
  <c r="N348" i="12"/>
  <c r="P348" i="12" s="1"/>
  <c r="K348" i="12"/>
  <c r="M348" i="12" s="1"/>
  <c r="N346" i="12"/>
  <c r="P346" i="12" s="1"/>
  <c r="K346" i="12"/>
  <c r="M346" i="12" s="1"/>
  <c r="N345" i="12"/>
  <c r="P345" i="12" s="1"/>
  <c r="K345" i="12"/>
  <c r="M345" i="12" s="1"/>
  <c r="N344" i="12"/>
  <c r="P344" i="12" s="1"/>
  <c r="K344" i="12"/>
  <c r="M344" i="12" s="1"/>
  <c r="N343" i="12"/>
  <c r="P343" i="12" s="1"/>
  <c r="K343" i="12"/>
  <c r="M343" i="12" s="1"/>
  <c r="N342" i="12"/>
  <c r="P342" i="12" s="1"/>
  <c r="K342" i="12"/>
  <c r="M342" i="12" s="1"/>
  <c r="N341" i="12"/>
  <c r="P341" i="12" s="1"/>
  <c r="K341" i="12"/>
  <c r="M341" i="12" s="1"/>
  <c r="N340" i="12"/>
  <c r="P340" i="12" s="1"/>
  <c r="K340" i="12"/>
  <c r="M340" i="12" s="1"/>
  <c r="N339" i="12"/>
  <c r="P339" i="12" s="1"/>
  <c r="K339" i="12"/>
  <c r="M339" i="12" s="1"/>
  <c r="N338" i="12"/>
  <c r="P338" i="12" s="1"/>
  <c r="K338" i="12"/>
  <c r="M338" i="12" s="1"/>
  <c r="N337" i="12"/>
  <c r="P337" i="12" s="1"/>
  <c r="K337" i="12"/>
  <c r="M337" i="12" s="1"/>
  <c r="N336" i="12"/>
  <c r="P336" i="12" s="1"/>
  <c r="K336" i="12"/>
  <c r="M336" i="12" s="1"/>
  <c r="N335" i="12"/>
  <c r="P335" i="12" s="1"/>
  <c r="K335" i="12"/>
  <c r="M335" i="12" s="1"/>
  <c r="N334" i="12"/>
  <c r="P334" i="12" s="1"/>
  <c r="K334" i="12"/>
  <c r="M334" i="12" s="1"/>
  <c r="N333" i="12"/>
  <c r="P333" i="12" s="1"/>
  <c r="K333" i="12"/>
  <c r="M333" i="12" s="1"/>
  <c r="N331" i="12"/>
  <c r="P331" i="12" s="1"/>
  <c r="K331" i="12"/>
  <c r="M331" i="12" s="1"/>
  <c r="N330" i="12"/>
  <c r="P330" i="12" s="1"/>
  <c r="K330" i="12"/>
  <c r="M330" i="12" s="1"/>
  <c r="N329" i="12"/>
  <c r="P329" i="12" s="1"/>
  <c r="K329" i="12"/>
  <c r="M329" i="12" s="1"/>
  <c r="N328" i="12"/>
  <c r="P328" i="12" s="1"/>
  <c r="K328" i="12"/>
  <c r="M328" i="12" s="1"/>
  <c r="N327" i="12"/>
  <c r="P327" i="12" s="1"/>
  <c r="K327" i="12"/>
  <c r="M327" i="12" s="1"/>
  <c r="N326" i="12"/>
  <c r="P326" i="12" s="1"/>
  <c r="K326" i="12"/>
  <c r="M326" i="12" s="1"/>
  <c r="N325" i="12"/>
  <c r="P325" i="12" s="1"/>
  <c r="K325" i="12"/>
  <c r="M325" i="12" s="1"/>
  <c r="N324" i="12"/>
  <c r="P324" i="12" s="1"/>
  <c r="K324" i="12"/>
  <c r="M324" i="12" s="1"/>
  <c r="N323" i="12"/>
  <c r="P323" i="12" s="1"/>
  <c r="K323" i="12"/>
  <c r="M323" i="12" s="1"/>
  <c r="N322" i="12"/>
  <c r="P322" i="12" s="1"/>
  <c r="K322" i="12"/>
  <c r="M322" i="12" s="1"/>
  <c r="N321" i="12"/>
  <c r="P321" i="12" s="1"/>
  <c r="K321" i="12"/>
  <c r="M321" i="12" s="1"/>
  <c r="N320" i="12"/>
  <c r="P320" i="12" s="1"/>
  <c r="K320" i="12"/>
  <c r="M320" i="12" s="1"/>
  <c r="N319" i="12"/>
  <c r="P319" i="12" s="1"/>
  <c r="K319" i="12"/>
  <c r="M319" i="12" s="1"/>
  <c r="N318" i="12"/>
  <c r="P318" i="12" s="1"/>
  <c r="K318" i="12"/>
  <c r="M318" i="12" s="1"/>
  <c r="N317" i="12"/>
  <c r="P317" i="12" s="1"/>
  <c r="K317" i="12"/>
  <c r="M317" i="12" s="1"/>
  <c r="N316" i="12"/>
  <c r="P316" i="12" s="1"/>
  <c r="K316" i="12"/>
  <c r="M316" i="12" s="1"/>
  <c r="N315" i="12"/>
  <c r="P315" i="12" s="1"/>
  <c r="K315" i="12"/>
  <c r="M315" i="12" s="1"/>
  <c r="N314" i="12"/>
  <c r="P314" i="12" s="1"/>
  <c r="K314" i="12"/>
  <c r="M314" i="12" s="1"/>
  <c r="N313" i="12"/>
  <c r="P313" i="12" s="1"/>
  <c r="K313" i="12"/>
  <c r="M313" i="12" s="1"/>
  <c r="N312" i="12"/>
  <c r="P312" i="12" s="1"/>
  <c r="K312" i="12"/>
  <c r="M312" i="12" s="1"/>
  <c r="N311" i="12"/>
  <c r="P311" i="12" s="1"/>
  <c r="K311" i="12"/>
  <c r="M311" i="12" s="1"/>
  <c r="N310" i="12"/>
  <c r="P310" i="12" s="1"/>
  <c r="K310" i="12"/>
  <c r="M310" i="12" s="1"/>
  <c r="N309" i="12"/>
  <c r="P309" i="12" s="1"/>
  <c r="K309" i="12"/>
  <c r="M309" i="12" s="1"/>
  <c r="N308" i="12"/>
  <c r="P308" i="12" s="1"/>
  <c r="K308" i="12"/>
  <c r="M308" i="12" s="1"/>
  <c r="N307" i="12"/>
  <c r="P307" i="12" s="1"/>
  <c r="K307" i="12"/>
  <c r="M307" i="12" s="1"/>
  <c r="N306" i="12"/>
  <c r="P306" i="12" s="1"/>
  <c r="K306" i="12"/>
  <c r="M306" i="12" s="1"/>
  <c r="N305" i="12"/>
  <c r="P305" i="12" s="1"/>
  <c r="K305" i="12"/>
  <c r="M305" i="12" s="1"/>
  <c r="N304" i="12"/>
  <c r="P304" i="12" s="1"/>
  <c r="K304" i="12"/>
  <c r="M304" i="12" s="1"/>
  <c r="N303" i="12"/>
  <c r="P303" i="12" s="1"/>
  <c r="K303" i="12"/>
  <c r="M303" i="12" s="1"/>
  <c r="N302" i="12"/>
  <c r="P302" i="12" s="1"/>
  <c r="K302" i="12"/>
  <c r="M302" i="12" s="1"/>
  <c r="N301" i="12"/>
  <c r="P301" i="12" s="1"/>
  <c r="K301" i="12"/>
  <c r="M301" i="12" s="1"/>
  <c r="N300" i="12"/>
  <c r="P300" i="12" s="1"/>
  <c r="K300" i="12"/>
  <c r="M300" i="12" s="1"/>
  <c r="N299" i="12"/>
  <c r="P299" i="12" s="1"/>
  <c r="K299" i="12"/>
  <c r="M299" i="12" s="1"/>
  <c r="N298" i="12"/>
  <c r="P298" i="12" s="1"/>
  <c r="K298" i="12"/>
  <c r="M298" i="12" s="1"/>
  <c r="N297" i="12"/>
  <c r="P297" i="12" s="1"/>
  <c r="K297" i="12"/>
  <c r="M297" i="12" s="1"/>
  <c r="N296" i="12"/>
  <c r="P296" i="12" s="1"/>
  <c r="K296" i="12"/>
  <c r="M296" i="12" s="1"/>
  <c r="N295" i="12"/>
  <c r="P295" i="12" s="1"/>
  <c r="K295" i="12"/>
  <c r="M295" i="12" s="1"/>
  <c r="N294" i="12"/>
  <c r="P294" i="12" s="1"/>
  <c r="K294" i="12"/>
  <c r="M294" i="12" s="1"/>
  <c r="N293" i="12"/>
  <c r="P293" i="12" s="1"/>
  <c r="K293" i="12"/>
  <c r="M293" i="12" s="1"/>
  <c r="N292" i="12"/>
  <c r="P292" i="12" s="1"/>
  <c r="K292" i="12"/>
  <c r="M292" i="12" s="1"/>
  <c r="N291" i="12"/>
  <c r="P291" i="12" s="1"/>
  <c r="K291" i="12"/>
  <c r="M291" i="12" s="1"/>
  <c r="N290" i="12"/>
  <c r="P290" i="12" s="1"/>
  <c r="K290" i="12"/>
  <c r="M290" i="12" s="1"/>
  <c r="N289" i="12"/>
  <c r="P289" i="12" s="1"/>
  <c r="K289" i="12"/>
  <c r="M289" i="12" s="1"/>
  <c r="N288" i="12"/>
  <c r="P288" i="12" s="1"/>
  <c r="K288" i="12"/>
  <c r="M288" i="12" s="1"/>
  <c r="N287" i="12"/>
  <c r="P287" i="12" s="1"/>
  <c r="K287" i="12"/>
  <c r="M287" i="12" s="1"/>
  <c r="N286" i="12"/>
  <c r="P286" i="12" s="1"/>
  <c r="K286" i="12"/>
  <c r="M286" i="12" s="1"/>
  <c r="N285" i="12"/>
  <c r="P285" i="12" s="1"/>
  <c r="K285" i="12"/>
  <c r="M285" i="12" s="1"/>
  <c r="N284" i="12"/>
  <c r="P284" i="12" s="1"/>
  <c r="K284" i="12"/>
  <c r="M284" i="12" s="1"/>
  <c r="N283" i="12"/>
  <c r="P283" i="12" s="1"/>
  <c r="K283" i="12"/>
  <c r="M283" i="12" s="1"/>
  <c r="N282" i="12"/>
  <c r="P282" i="12" s="1"/>
  <c r="K282" i="12"/>
  <c r="M282" i="12" s="1"/>
  <c r="N281" i="12"/>
  <c r="P281" i="12" s="1"/>
  <c r="K281" i="12"/>
  <c r="M281" i="12" s="1"/>
  <c r="N280" i="12"/>
  <c r="P280" i="12" s="1"/>
  <c r="K280" i="12"/>
  <c r="M280" i="12" s="1"/>
  <c r="N279" i="12"/>
  <c r="P279" i="12" s="1"/>
  <c r="K279" i="12"/>
  <c r="M279" i="12" s="1"/>
  <c r="N278" i="12"/>
  <c r="P278" i="12" s="1"/>
  <c r="K278" i="12"/>
  <c r="M278" i="12" s="1"/>
  <c r="N277" i="12"/>
  <c r="P277" i="12" s="1"/>
  <c r="K277" i="12"/>
  <c r="M277" i="12" s="1"/>
  <c r="N276" i="12"/>
  <c r="P276" i="12" s="1"/>
  <c r="K276" i="12"/>
  <c r="M276" i="12" s="1"/>
  <c r="N275" i="12"/>
  <c r="P275" i="12" s="1"/>
  <c r="K275" i="12"/>
  <c r="M275" i="12" s="1"/>
  <c r="N274" i="12"/>
  <c r="P274" i="12" s="1"/>
  <c r="K274" i="12"/>
  <c r="M274" i="12" s="1"/>
  <c r="N273" i="12"/>
  <c r="P273" i="12" s="1"/>
  <c r="K273" i="12"/>
  <c r="M273" i="12" s="1"/>
  <c r="N272" i="12"/>
  <c r="P272" i="12" s="1"/>
  <c r="K272" i="12"/>
  <c r="M272" i="12" s="1"/>
  <c r="N271" i="12"/>
  <c r="P271" i="12" s="1"/>
  <c r="K271" i="12"/>
  <c r="M271" i="12" s="1"/>
  <c r="N270" i="12"/>
  <c r="P270" i="12" s="1"/>
  <c r="K270" i="12"/>
  <c r="M270" i="12" s="1"/>
  <c r="N269" i="12"/>
  <c r="P269" i="12" s="1"/>
  <c r="K269" i="12"/>
  <c r="M269" i="12" s="1"/>
  <c r="N268" i="12"/>
  <c r="P268" i="12" s="1"/>
  <c r="K268" i="12"/>
  <c r="M268" i="12" s="1"/>
  <c r="N267" i="12"/>
  <c r="P267" i="12" s="1"/>
  <c r="K267" i="12"/>
  <c r="M267" i="12" s="1"/>
  <c r="N266" i="12"/>
  <c r="P266" i="12" s="1"/>
  <c r="K266" i="12"/>
  <c r="M266" i="12" s="1"/>
  <c r="N265" i="12"/>
  <c r="P265" i="12" s="1"/>
  <c r="K265" i="12"/>
  <c r="M265" i="12" s="1"/>
  <c r="N264" i="12"/>
  <c r="P264" i="12" s="1"/>
  <c r="K264" i="12"/>
  <c r="M264" i="12" s="1"/>
  <c r="N263" i="12"/>
  <c r="P263" i="12" s="1"/>
  <c r="K263" i="12"/>
  <c r="M263" i="12" s="1"/>
  <c r="N262" i="12"/>
  <c r="P262" i="12" s="1"/>
  <c r="K262" i="12"/>
  <c r="M262" i="12" s="1"/>
  <c r="N261" i="12"/>
  <c r="P261" i="12" s="1"/>
  <c r="K261" i="12"/>
  <c r="M261" i="12" s="1"/>
  <c r="N260" i="12"/>
  <c r="P260" i="12" s="1"/>
  <c r="K260" i="12"/>
  <c r="M260" i="12" s="1"/>
  <c r="N259" i="12"/>
  <c r="P259" i="12" s="1"/>
  <c r="K259" i="12"/>
  <c r="M259" i="12" s="1"/>
  <c r="N258" i="12"/>
  <c r="P258" i="12" s="1"/>
  <c r="K258" i="12"/>
  <c r="M258" i="12" s="1"/>
  <c r="N257" i="12"/>
  <c r="P257" i="12" s="1"/>
  <c r="K257" i="12"/>
  <c r="M257" i="12" s="1"/>
  <c r="N256" i="12"/>
  <c r="P256" i="12" s="1"/>
  <c r="K256" i="12"/>
  <c r="M256" i="12" s="1"/>
  <c r="N255" i="12"/>
  <c r="P255" i="12" s="1"/>
  <c r="K255" i="12"/>
  <c r="M255" i="12" s="1"/>
  <c r="N254" i="12"/>
  <c r="P254" i="12" s="1"/>
  <c r="K254" i="12"/>
  <c r="M254" i="12" s="1"/>
  <c r="N253" i="12"/>
  <c r="P253" i="12" s="1"/>
  <c r="K253" i="12"/>
  <c r="M253" i="12" s="1"/>
  <c r="N252" i="12"/>
  <c r="P252" i="12" s="1"/>
  <c r="K252" i="12"/>
  <c r="M252" i="12" s="1"/>
  <c r="N251" i="12"/>
  <c r="P251" i="12" s="1"/>
  <c r="K251" i="12"/>
  <c r="M251" i="12" s="1"/>
  <c r="N250" i="12"/>
  <c r="P250" i="12" s="1"/>
  <c r="K250" i="12"/>
  <c r="M250" i="12" s="1"/>
  <c r="N249" i="12"/>
  <c r="P249" i="12" s="1"/>
  <c r="K249" i="12"/>
  <c r="M249" i="12" s="1"/>
  <c r="N248" i="12"/>
  <c r="P248" i="12" s="1"/>
  <c r="K248" i="12"/>
  <c r="M248" i="12" s="1"/>
  <c r="N247" i="12"/>
  <c r="P247" i="12" s="1"/>
  <c r="K247" i="12"/>
  <c r="M247" i="12" s="1"/>
  <c r="N246" i="12"/>
  <c r="P246" i="12" s="1"/>
  <c r="K246" i="12"/>
  <c r="M246" i="12" s="1"/>
  <c r="N245" i="12"/>
  <c r="P245" i="12" s="1"/>
  <c r="K245" i="12"/>
  <c r="M245" i="12" s="1"/>
  <c r="N244" i="12"/>
  <c r="P244" i="12" s="1"/>
  <c r="K244" i="12"/>
  <c r="M244" i="12" s="1"/>
  <c r="N243" i="12"/>
  <c r="P243" i="12" s="1"/>
  <c r="K243" i="12"/>
  <c r="M243" i="12" s="1"/>
  <c r="N242" i="12"/>
  <c r="P242" i="12" s="1"/>
  <c r="K242" i="12"/>
  <c r="M242" i="12" s="1"/>
  <c r="N241" i="12"/>
  <c r="P241" i="12" s="1"/>
  <c r="K241" i="12"/>
  <c r="M241" i="12" s="1"/>
  <c r="N240" i="12"/>
  <c r="P240" i="12" s="1"/>
  <c r="K240" i="12"/>
  <c r="M240" i="12" s="1"/>
  <c r="N239" i="12"/>
  <c r="P239" i="12" s="1"/>
  <c r="K239" i="12"/>
  <c r="M239" i="12" s="1"/>
  <c r="N238" i="12"/>
  <c r="P238" i="12" s="1"/>
  <c r="K238" i="12"/>
  <c r="M238" i="12" s="1"/>
  <c r="N237" i="12"/>
  <c r="P237" i="12" s="1"/>
  <c r="K237" i="12"/>
  <c r="M237" i="12" s="1"/>
  <c r="N236" i="12"/>
  <c r="P236" i="12" s="1"/>
  <c r="K236" i="12"/>
  <c r="M236" i="12" s="1"/>
  <c r="N235" i="12"/>
  <c r="P235" i="12" s="1"/>
  <c r="K235" i="12"/>
  <c r="M235" i="12" s="1"/>
  <c r="N234" i="12"/>
  <c r="P234" i="12" s="1"/>
  <c r="K234" i="12"/>
  <c r="M234" i="12" s="1"/>
  <c r="N233" i="12"/>
  <c r="P233" i="12" s="1"/>
  <c r="K233" i="12"/>
  <c r="M233" i="12" s="1"/>
  <c r="N232" i="12"/>
  <c r="P232" i="12" s="1"/>
  <c r="K232" i="12"/>
  <c r="M232" i="12" s="1"/>
  <c r="N231" i="12"/>
  <c r="P231" i="12" s="1"/>
  <c r="K231" i="12"/>
  <c r="M231" i="12" s="1"/>
  <c r="N230" i="12"/>
  <c r="P230" i="12" s="1"/>
  <c r="K230" i="12"/>
  <c r="M230" i="12" s="1"/>
  <c r="N229" i="12"/>
  <c r="P229" i="12" s="1"/>
  <c r="K229" i="12"/>
  <c r="M229" i="12" s="1"/>
  <c r="N228" i="12"/>
  <c r="P228" i="12" s="1"/>
  <c r="K228" i="12"/>
  <c r="M228" i="12" s="1"/>
  <c r="N227" i="12"/>
  <c r="P227" i="12" s="1"/>
  <c r="K227" i="12"/>
  <c r="M227" i="12" s="1"/>
  <c r="N226" i="12"/>
  <c r="P226" i="12" s="1"/>
  <c r="K226" i="12"/>
  <c r="M226" i="12" s="1"/>
  <c r="N225" i="12"/>
  <c r="P225" i="12" s="1"/>
  <c r="K225" i="12"/>
  <c r="M225" i="12" s="1"/>
  <c r="N224" i="12"/>
  <c r="P224" i="12" s="1"/>
  <c r="K224" i="12"/>
  <c r="M224" i="12" s="1"/>
  <c r="N223" i="12"/>
  <c r="P223" i="12" s="1"/>
  <c r="K223" i="12"/>
  <c r="M223" i="12" s="1"/>
  <c r="N222" i="12"/>
  <c r="P222" i="12" s="1"/>
  <c r="K222" i="12"/>
  <c r="M222" i="12" s="1"/>
  <c r="N221" i="12"/>
  <c r="P221" i="12" s="1"/>
  <c r="K221" i="12"/>
  <c r="M221" i="12" s="1"/>
  <c r="N220" i="12"/>
  <c r="P220" i="12" s="1"/>
  <c r="K220" i="12"/>
  <c r="M220" i="12" s="1"/>
  <c r="N219" i="12"/>
  <c r="P219" i="12" s="1"/>
  <c r="K219" i="12"/>
  <c r="M219" i="12" s="1"/>
  <c r="N218" i="12"/>
  <c r="P218" i="12" s="1"/>
  <c r="K218" i="12"/>
  <c r="M218" i="12" s="1"/>
  <c r="N217" i="12"/>
  <c r="P217" i="12" s="1"/>
  <c r="K217" i="12"/>
  <c r="M217" i="12" s="1"/>
  <c r="N216" i="12"/>
  <c r="P216" i="12" s="1"/>
  <c r="K216" i="12"/>
  <c r="M216" i="12" s="1"/>
  <c r="N215" i="12"/>
  <c r="P215" i="12" s="1"/>
  <c r="K215" i="12"/>
  <c r="M215" i="12" s="1"/>
  <c r="N214" i="12"/>
  <c r="P214" i="12" s="1"/>
  <c r="K214" i="12"/>
  <c r="M214" i="12" s="1"/>
  <c r="N213" i="12"/>
  <c r="P213" i="12" s="1"/>
  <c r="K213" i="12"/>
  <c r="M213" i="12" s="1"/>
  <c r="N212" i="12"/>
  <c r="P212" i="12" s="1"/>
  <c r="K212" i="12"/>
  <c r="M212" i="12" s="1"/>
  <c r="N211" i="12"/>
  <c r="P211" i="12" s="1"/>
  <c r="K211" i="12"/>
  <c r="M211" i="12" s="1"/>
  <c r="N210" i="12"/>
  <c r="P210" i="12" s="1"/>
  <c r="K210" i="12"/>
  <c r="M210" i="12" s="1"/>
  <c r="N209" i="12"/>
  <c r="P209" i="12" s="1"/>
  <c r="K209" i="12"/>
  <c r="M209" i="12" s="1"/>
  <c r="N207" i="12"/>
  <c r="P207" i="12" s="1"/>
  <c r="K207" i="12"/>
  <c r="M207" i="12" s="1"/>
  <c r="N206" i="12"/>
  <c r="P206" i="12" s="1"/>
  <c r="K206" i="12"/>
  <c r="M206" i="12" s="1"/>
  <c r="N205" i="12"/>
  <c r="P205" i="12" s="1"/>
  <c r="K205" i="12"/>
  <c r="M205" i="12" s="1"/>
  <c r="N204" i="12"/>
  <c r="P204" i="12" s="1"/>
  <c r="K204" i="12"/>
  <c r="M204" i="12" s="1"/>
  <c r="N203" i="12"/>
  <c r="P203" i="12" s="1"/>
  <c r="K203" i="12"/>
  <c r="M203" i="12" s="1"/>
  <c r="N202" i="12"/>
  <c r="P202" i="12" s="1"/>
  <c r="K202" i="12"/>
  <c r="M202" i="12" s="1"/>
  <c r="N201" i="12"/>
  <c r="P201" i="12" s="1"/>
  <c r="K201" i="12"/>
  <c r="M201" i="12" s="1"/>
  <c r="N200" i="12"/>
  <c r="P200" i="12" s="1"/>
  <c r="K200" i="12"/>
  <c r="M200" i="12" s="1"/>
  <c r="N199" i="12"/>
  <c r="P199" i="12" s="1"/>
  <c r="K199" i="12"/>
  <c r="M199" i="12" s="1"/>
  <c r="N198" i="12"/>
  <c r="P198" i="12" s="1"/>
  <c r="K198" i="12"/>
  <c r="M198" i="12" s="1"/>
  <c r="N197" i="12"/>
  <c r="P197" i="12" s="1"/>
  <c r="K197" i="12"/>
  <c r="M197" i="12" s="1"/>
  <c r="N196" i="12"/>
  <c r="P196" i="12" s="1"/>
  <c r="K196" i="12"/>
  <c r="M196" i="12" s="1"/>
  <c r="N195" i="12"/>
  <c r="P195" i="12" s="1"/>
  <c r="K195" i="12"/>
  <c r="M195" i="12" s="1"/>
  <c r="N194" i="12"/>
  <c r="P194" i="12" s="1"/>
  <c r="K194" i="12"/>
  <c r="M194" i="12" s="1"/>
  <c r="N193" i="12"/>
  <c r="P193" i="12" s="1"/>
  <c r="K193" i="12"/>
  <c r="M193" i="12" s="1"/>
  <c r="N192" i="12"/>
  <c r="P192" i="12" s="1"/>
  <c r="K192" i="12"/>
  <c r="M192" i="12" s="1"/>
  <c r="N191" i="12"/>
  <c r="P191" i="12" s="1"/>
  <c r="K191" i="12"/>
  <c r="M191" i="12" s="1"/>
  <c r="N190" i="12"/>
  <c r="P190" i="12" s="1"/>
  <c r="K190" i="12"/>
  <c r="M190" i="12" s="1"/>
  <c r="N189" i="12"/>
  <c r="P189" i="12" s="1"/>
  <c r="K189" i="12"/>
  <c r="M189" i="12" s="1"/>
  <c r="N188" i="12"/>
  <c r="P188" i="12" s="1"/>
  <c r="K188" i="12"/>
  <c r="M188" i="12" s="1"/>
  <c r="N187" i="12"/>
  <c r="P187" i="12" s="1"/>
  <c r="K187" i="12"/>
  <c r="M187" i="12" s="1"/>
  <c r="N186" i="12"/>
  <c r="P186" i="12" s="1"/>
  <c r="K186" i="12"/>
  <c r="M186" i="12" s="1"/>
  <c r="N185" i="12"/>
  <c r="P185" i="12" s="1"/>
  <c r="K185" i="12"/>
  <c r="M185" i="12" s="1"/>
  <c r="N184" i="12"/>
  <c r="P184" i="12" s="1"/>
  <c r="K184" i="12"/>
  <c r="M184" i="12" s="1"/>
  <c r="N183" i="12"/>
  <c r="P183" i="12" s="1"/>
  <c r="K183" i="12"/>
  <c r="M183" i="12" s="1"/>
  <c r="N182" i="12"/>
  <c r="P182" i="12" s="1"/>
  <c r="K182" i="12"/>
  <c r="M182" i="12" s="1"/>
  <c r="N181" i="12"/>
  <c r="P181" i="12" s="1"/>
  <c r="K181" i="12"/>
  <c r="M181" i="12" s="1"/>
  <c r="N180" i="12"/>
  <c r="P180" i="12" s="1"/>
  <c r="K180" i="12"/>
  <c r="M180" i="12" s="1"/>
  <c r="N179" i="12"/>
  <c r="P179" i="12" s="1"/>
  <c r="K179" i="12"/>
  <c r="M179" i="12" s="1"/>
  <c r="N178" i="12"/>
  <c r="P178" i="12" s="1"/>
  <c r="K178" i="12"/>
  <c r="M178" i="12" s="1"/>
  <c r="N177" i="12"/>
  <c r="P177" i="12" s="1"/>
  <c r="K177" i="12"/>
  <c r="M177" i="12" s="1"/>
  <c r="N176" i="12"/>
  <c r="P176" i="12" s="1"/>
  <c r="K176" i="12"/>
  <c r="M176" i="12" s="1"/>
  <c r="N175" i="12"/>
  <c r="P175" i="12" s="1"/>
  <c r="K175" i="12"/>
  <c r="M175" i="12" s="1"/>
  <c r="N174" i="12"/>
  <c r="P174" i="12" s="1"/>
  <c r="K174" i="12"/>
  <c r="M174" i="12" s="1"/>
  <c r="N173" i="12"/>
  <c r="P173" i="12" s="1"/>
  <c r="K173" i="12"/>
  <c r="M173" i="12" s="1"/>
  <c r="N172" i="12"/>
  <c r="P172" i="12" s="1"/>
  <c r="K172" i="12"/>
  <c r="M172" i="12" s="1"/>
  <c r="N171" i="12"/>
  <c r="P171" i="12" s="1"/>
  <c r="K171" i="12"/>
  <c r="M171" i="12" s="1"/>
  <c r="N170" i="12"/>
  <c r="P170" i="12" s="1"/>
  <c r="K170" i="12"/>
  <c r="M170" i="12" s="1"/>
  <c r="N169" i="12"/>
  <c r="P169" i="12" s="1"/>
  <c r="K169" i="12"/>
  <c r="M169" i="12" s="1"/>
  <c r="N168" i="12"/>
  <c r="P168" i="12" s="1"/>
  <c r="K168" i="12"/>
  <c r="M168" i="12" s="1"/>
  <c r="N167" i="12"/>
  <c r="P167" i="12" s="1"/>
  <c r="K167" i="12"/>
  <c r="M167" i="12" s="1"/>
  <c r="N166" i="12"/>
  <c r="P166" i="12" s="1"/>
  <c r="K166" i="12"/>
  <c r="M166" i="12" s="1"/>
  <c r="N165" i="12"/>
  <c r="P165" i="12" s="1"/>
  <c r="K165" i="12"/>
  <c r="M165" i="12" s="1"/>
  <c r="N164" i="12"/>
  <c r="P164" i="12" s="1"/>
  <c r="K164" i="12"/>
  <c r="M164" i="12" s="1"/>
  <c r="N163" i="12"/>
  <c r="P163" i="12" s="1"/>
  <c r="K163" i="12"/>
  <c r="M163" i="12" s="1"/>
  <c r="N162" i="12"/>
  <c r="P162" i="12" s="1"/>
  <c r="K162" i="12"/>
  <c r="M162" i="12" s="1"/>
  <c r="N161" i="12"/>
  <c r="P161" i="12" s="1"/>
  <c r="K161" i="12"/>
  <c r="M161" i="12" s="1"/>
  <c r="N160" i="12"/>
  <c r="P160" i="12" s="1"/>
  <c r="K160" i="12"/>
  <c r="M160" i="12" s="1"/>
  <c r="N159" i="12"/>
  <c r="P159" i="12" s="1"/>
  <c r="K159" i="12"/>
  <c r="M159" i="12" s="1"/>
  <c r="N158" i="12"/>
  <c r="P158" i="12" s="1"/>
  <c r="K158" i="12"/>
  <c r="M158" i="12" s="1"/>
  <c r="N157" i="12"/>
  <c r="P157" i="12" s="1"/>
  <c r="K157" i="12"/>
  <c r="M157" i="12" s="1"/>
  <c r="N156" i="12"/>
  <c r="P156" i="12" s="1"/>
  <c r="K156" i="12"/>
  <c r="M156" i="12" s="1"/>
  <c r="N155" i="12"/>
  <c r="P155" i="12" s="1"/>
  <c r="K155" i="12"/>
  <c r="M155" i="12" s="1"/>
  <c r="N154" i="12"/>
  <c r="P154" i="12" s="1"/>
  <c r="K154" i="12"/>
  <c r="M154" i="12" s="1"/>
  <c r="N153" i="12"/>
  <c r="P153" i="12" s="1"/>
  <c r="K153" i="12"/>
  <c r="M153" i="12" s="1"/>
  <c r="N152" i="12"/>
  <c r="P152" i="12" s="1"/>
  <c r="K152" i="12"/>
  <c r="M152" i="12" s="1"/>
  <c r="N151" i="12"/>
  <c r="P151" i="12" s="1"/>
  <c r="K151" i="12"/>
  <c r="M151" i="12" s="1"/>
  <c r="N150" i="12"/>
  <c r="P150" i="12" s="1"/>
  <c r="K150" i="12"/>
  <c r="M150" i="12" s="1"/>
  <c r="N149" i="12"/>
  <c r="P149" i="12" s="1"/>
  <c r="K149" i="12"/>
  <c r="M149" i="12" s="1"/>
  <c r="N148" i="12"/>
  <c r="P148" i="12" s="1"/>
  <c r="K148" i="12"/>
  <c r="M148" i="12" s="1"/>
  <c r="N147" i="12"/>
  <c r="P147" i="12" s="1"/>
  <c r="K147" i="12"/>
  <c r="M147" i="12" s="1"/>
  <c r="N146" i="12"/>
  <c r="P146" i="12" s="1"/>
  <c r="K146" i="12"/>
  <c r="M146" i="12" s="1"/>
  <c r="N145" i="12"/>
  <c r="P145" i="12" s="1"/>
  <c r="K145" i="12"/>
  <c r="M145" i="12" s="1"/>
  <c r="N144" i="12"/>
  <c r="P144" i="12" s="1"/>
  <c r="K144" i="12"/>
  <c r="M144" i="12" s="1"/>
  <c r="N143" i="12"/>
  <c r="P143" i="12" s="1"/>
  <c r="K143" i="12"/>
  <c r="M143" i="12" s="1"/>
  <c r="N142" i="12"/>
  <c r="P142" i="12" s="1"/>
  <c r="K142" i="12"/>
  <c r="M142" i="12" s="1"/>
  <c r="N141" i="12"/>
  <c r="P141" i="12" s="1"/>
  <c r="K141" i="12"/>
  <c r="M141" i="12" s="1"/>
  <c r="N140" i="12"/>
  <c r="P140" i="12" s="1"/>
  <c r="K140" i="12"/>
  <c r="M140" i="12" s="1"/>
  <c r="N139" i="12"/>
  <c r="P139" i="12" s="1"/>
  <c r="K139" i="12"/>
  <c r="M139" i="12" s="1"/>
  <c r="N138" i="12"/>
  <c r="P138" i="12" s="1"/>
  <c r="K138" i="12"/>
  <c r="M138" i="12" s="1"/>
  <c r="N137" i="12"/>
  <c r="P137" i="12" s="1"/>
  <c r="K137" i="12"/>
  <c r="M137" i="12" s="1"/>
  <c r="N136" i="12"/>
  <c r="P136" i="12" s="1"/>
  <c r="K136" i="12"/>
  <c r="M136" i="12" s="1"/>
  <c r="N135" i="12"/>
  <c r="P135" i="12" s="1"/>
  <c r="K135" i="12"/>
  <c r="M135" i="12" s="1"/>
  <c r="N134" i="12"/>
  <c r="P134" i="12" s="1"/>
  <c r="K134" i="12"/>
  <c r="M134" i="12" s="1"/>
  <c r="N133" i="12"/>
  <c r="P133" i="12" s="1"/>
  <c r="K133" i="12"/>
  <c r="M133" i="12" s="1"/>
  <c r="N132" i="12"/>
  <c r="P132" i="12" s="1"/>
  <c r="K132" i="12"/>
  <c r="M132" i="12" s="1"/>
  <c r="N131" i="12"/>
  <c r="P131" i="12" s="1"/>
  <c r="K131" i="12"/>
  <c r="M131" i="12" s="1"/>
  <c r="N130" i="12"/>
  <c r="P130" i="12" s="1"/>
  <c r="K130" i="12"/>
  <c r="M130" i="12" s="1"/>
  <c r="N129" i="12"/>
  <c r="P129" i="12" s="1"/>
  <c r="K129" i="12"/>
  <c r="M129" i="12" s="1"/>
  <c r="N128" i="12"/>
  <c r="P128" i="12" s="1"/>
  <c r="K128" i="12"/>
  <c r="M128" i="12" s="1"/>
  <c r="N127" i="12"/>
  <c r="P127" i="12" s="1"/>
  <c r="K127" i="12"/>
  <c r="M127" i="12" s="1"/>
  <c r="N126" i="12"/>
  <c r="P126" i="12" s="1"/>
  <c r="K126" i="12"/>
  <c r="M126" i="12" s="1"/>
  <c r="N125" i="12"/>
  <c r="P125" i="12" s="1"/>
  <c r="K125" i="12"/>
  <c r="M125" i="12" s="1"/>
  <c r="N124" i="12"/>
  <c r="P124" i="12" s="1"/>
  <c r="K124" i="12"/>
  <c r="M124" i="12" s="1"/>
  <c r="N123" i="12"/>
  <c r="P123" i="12" s="1"/>
  <c r="K123" i="12"/>
  <c r="M123" i="12" s="1"/>
  <c r="N122" i="12"/>
  <c r="P122" i="12" s="1"/>
  <c r="K122" i="12"/>
  <c r="M122" i="12" s="1"/>
  <c r="N121" i="12"/>
  <c r="P121" i="12" s="1"/>
  <c r="K121" i="12"/>
  <c r="M121" i="12" s="1"/>
  <c r="N120" i="12"/>
  <c r="P120" i="12" s="1"/>
  <c r="K120" i="12"/>
  <c r="M120" i="12" s="1"/>
  <c r="N119" i="12"/>
  <c r="P119" i="12" s="1"/>
  <c r="K119" i="12"/>
  <c r="M119" i="12" s="1"/>
  <c r="N118" i="12"/>
  <c r="P118" i="12" s="1"/>
  <c r="K118" i="12"/>
  <c r="M118" i="12" s="1"/>
  <c r="N117" i="12"/>
  <c r="P117" i="12" s="1"/>
  <c r="K117" i="12"/>
  <c r="M117" i="12" s="1"/>
  <c r="N116" i="12"/>
  <c r="P116" i="12" s="1"/>
  <c r="K116" i="12"/>
  <c r="M116" i="12" s="1"/>
  <c r="N115" i="12"/>
  <c r="P115" i="12" s="1"/>
  <c r="K115" i="12"/>
  <c r="M115" i="12" s="1"/>
  <c r="N114" i="12"/>
  <c r="P114" i="12" s="1"/>
  <c r="K114" i="12"/>
  <c r="M114" i="12" s="1"/>
  <c r="N113" i="12"/>
  <c r="P113" i="12" s="1"/>
  <c r="K113" i="12"/>
  <c r="M113" i="12" s="1"/>
  <c r="N112" i="12"/>
  <c r="P112" i="12" s="1"/>
  <c r="K112" i="12"/>
  <c r="M112" i="12" s="1"/>
  <c r="N111" i="12"/>
  <c r="P111" i="12" s="1"/>
  <c r="K111" i="12"/>
  <c r="M111" i="12" s="1"/>
  <c r="N110" i="12"/>
  <c r="P110" i="12" s="1"/>
  <c r="K110" i="12"/>
  <c r="M110" i="12" s="1"/>
  <c r="N109" i="12"/>
  <c r="P109" i="12" s="1"/>
  <c r="K109" i="12"/>
  <c r="M109" i="12" s="1"/>
  <c r="N108" i="12"/>
  <c r="P108" i="12" s="1"/>
  <c r="K108" i="12"/>
  <c r="M108" i="12" s="1"/>
  <c r="N107" i="12"/>
  <c r="P107" i="12" s="1"/>
  <c r="K107" i="12"/>
  <c r="M107" i="12" s="1"/>
  <c r="N106" i="12"/>
  <c r="P106" i="12" s="1"/>
  <c r="K106" i="12"/>
  <c r="M106" i="12" s="1"/>
  <c r="N105" i="12"/>
  <c r="P105" i="12" s="1"/>
  <c r="K105" i="12"/>
  <c r="M105" i="12" s="1"/>
  <c r="N104" i="12"/>
  <c r="P104" i="12" s="1"/>
  <c r="K104" i="12"/>
  <c r="M104" i="12" s="1"/>
  <c r="N103" i="12"/>
  <c r="P103" i="12" s="1"/>
  <c r="K103" i="12"/>
  <c r="M103" i="12" s="1"/>
  <c r="N102" i="12"/>
  <c r="P102" i="12" s="1"/>
  <c r="K102" i="12"/>
  <c r="M102" i="12" s="1"/>
  <c r="N101" i="12"/>
  <c r="P101" i="12" s="1"/>
  <c r="K101" i="12"/>
  <c r="M101" i="12" s="1"/>
  <c r="N100" i="12"/>
  <c r="P100" i="12" s="1"/>
  <c r="K100" i="12"/>
  <c r="M100" i="12" s="1"/>
  <c r="N99" i="12"/>
  <c r="P99" i="12" s="1"/>
  <c r="K99" i="12"/>
  <c r="M99" i="12" s="1"/>
  <c r="N98" i="12"/>
  <c r="P98" i="12" s="1"/>
  <c r="K98" i="12"/>
  <c r="M98" i="12" s="1"/>
  <c r="N97" i="12"/>
  <c r="P97" i="12" s="1"/>
  <c r="K97" i="12"/>
  <c r="M97" i="12" s="1"/>
  <c r="N96" i="12"/>
  <c r="P96" i="12" s="1"/>
  <c r="K96" i="12"/>
  <c r="M96" i="12" s="1"/>
  <c r="N95" i="12"/>
  <c r="P95" i="12" s="1"/>
  <c r="K95" i="12"/>
  <c r="M95" i="12" s="1"/>
  <c r="N94" i="12"/>
  <c r="P94" i="12" s="1"/>
  <c r="K94" i="12"/>
  <c r="M94" i="12" s="1"/>
  <c r="N93" i="12"/>
  <c r="P93" i="12" s="1"/>
  <c r="K93" i="12"/>
  <c r="M93" i="12" s="1"/>
  <c r="N92" i="12"/>
  <c r="P92" i="12" s="1"/>
  <c r="K92" i="12"/>
  <c r="M92" i="12" s="1"/>
  <c r="N91" i="12"/>
  <c r="P91" i="12" s="1"/>
  <c r="K91" i="12"/>
  <c r="M91" i="12" s="1"/>
  <c r="N90" i="12"/>
  <c r="P90" i="12" s="1"/>
  <c r="K90" i="12"/>
  <c r="M90" i="12" s="1"/>
  <c r="N89" i="12"/>
  <c r="P89" i="12" s="1"/>
  <c r="K89" i="12"/>
  <c r="M89" i="12" s="1"/>
  <c r="N88" i="12"/>
  <c r="P88" i="12" s="1"/>
  <c r="K88" i="12"/>
  <c r="M88" i="12" s="1"/>
  <c r="N87" i="12"/>
  <c r="P87" i="12" s="1"/>
  <c r="K87" i="12"/>
  <c r="M87" i="12" s="1"/>
  <c r="N86" i="12"/>
  <c r="P86" i="12" s="1"/>
  <c r="K86" i="12"/>
  <c r="M86" i="12" s="1"/>
  <c r="N85" i="12"/>
  <c r="P85" i="12" s="1"/>
  <c r="K85" i="12"/>
  <c r="M85" i="12" s="1"/>
  <c r="N84" i="12"/>
  <c r="P84" i="12" s="1"/>
  <c r="K84" i="12"/>
  <c r="M84" i="12" s="1"/>
  <c r="N83" i="12"/>
  <c r="P83" i="12" s="1"/>
  <c r="K83" i="12"/>
  <c r="M83" i="12" s="1"/>
  <c r="N82" i="12"/>
  <c r="P82" i="12" s="1"/>
  <c r="K82" i="12"/>
  <c r="M82" i="12" s="1"/>
  <c r="N81" i="12"/>
  <c r="P81" i="12" s="1"/>
  <c r="K81" i="12"/>
  <c r="M81" i="12" s="1"/>
  <c r="N80" i="12"/>
  <c r="P80" i="12" s="1"/>
  <c r="K80" i="12"/>
  <c r="M80" i="12" s="1"/>
  <c r="N78" i="12"/>
  <c r="P78" i="12" s="1"/>
  <c r="K78" i="12"/>
  <c r="M78" i="12" s="1"/>
  <c r="N76" i="12"/>
  <c r="P76" i="12" s="1"/>
  <c r="K76" i="12"/>
  <c r="M76" i="12" s="1"/>
  <c r="N75" i="12"/>
  <c r="P75" i="12" s="1"/>
  <c r="K75" i="12"/>
  <c r="M75" i="12" s="1"/>
  <c r="N74" i="12"/>
  <c r="P74" i="12" s="1"/>
  <c r="K74" i="12"/>
  <c r="M74" i="12" s="1"/>
  <c r="N73" i="12"/>
  <c r="P73" i="12" s="1"/>
  <c r="K73" i="12"/>
  <c r="M73" i="12" s="1"/>
  <c r="N72" i="12"/>
  <c r="P72" i="12" s="1"/>
  <c r="K72" i="12"/>
  <c r="M72" i="12" s="1"/>
  <c r="N71" i="12"/>
  <c r="P71" i="12" s="1"/>
  <c r="K71" i="12"/>
  <c r="M71" i="12" s="1"/>
  <c r="N70" i="12"/>
  <c r="P70" i="12" s="1"/>
  <c r="K70" i="12"/>
  <c r="M70" i="12" s="1"/>
  <c r="N69" i="12"/>
  <c r="P69" i="12" s="1"/>
  <c r="K69" i="12"/>
  <c r="M69" i="12" s="1"/>
  <c r="N68" i="12"/>
  <c r="P68" i="12" s="1"/>
  <c r="K68" i="12"/>
  <c r="M68" i="12" s="1"/>
  <c r="N67" i="12"/>
  <c r="P67" i="12" s="1"/>
  <c r="K67" i="12"/>
  <c r="M67" i="12" s="1"/>
  <c r="N66" i="12"/>
  <c r="P66" i="12" s="1"/>
  <c r="K66" i="12"/>
  <c r="M66" i="12" s="1"/>
  <c r="N65" i="12"/>
  <c r="P65" i="12" s="1"/>
  <c r="K65" i="12"/>
  <c r="M65" i="12" s="1"/>
  <c r="N64" i="12"/>
  <c r="P64" i="12" s="1"/>
  <c r="K64" i="12"/>
  <c r="M64" i="12" s="1"/>
  <c r="N63" i="12"/>
  <c r="P63" i="12" s="1"/>
  <c r="K63" i="12"/>
  <c r="M63" i="12" s="1"/>
  <c r="N62" i="12"/>
  <c r="P62" i="12" s="1"/>
  <c r="K62" i="12"/>
  <c r="M62" i="12" s="1"/>
  <c r="N61" i="12"/>
  <c r="P61" i="12" s="1"/>
  <c r="K61" i="12"/>
  <c r="M61" i="12" s="1"/>
  <c r="N60" i="12"/>
  <c r="P60" i="12" s="1"/>
  <c r="K60" i="12"/>
  <c r="M60" i="12" s="1"/>
  <c r="N59" i="12"/>
  <c r="P59" i="12" s="1"/>
  <c r="K59" i="12"/>
  <c r="M59" i="12" s="1"/>
  <c r="N58" i="12"/>
  <c r="P58" i="12" s="1"/>
  <c r="K58" i="12"/>
  <c r="M58" i="12" s="1"/>
  <c r="N57" i="12"/>
  <c r="P57" i="12" s="1"/>
  <c r="K57" i="12"/>
  <c r="M57" i="12" s="1"/>
  <c r="N56" i="12"/>
  <c r="P56" i="12" s="1"/>
  <c r="K56" i="12"/>
  <c r="M56" i="12" s="1"/>
  <c r="N55" i="12"/>
  <c r="P55" i="12" s="1"/>
  <c r="K55" i="12"/>
  <c r="M55" i="12" s="1"/>
  <c r="N54" i="12"/>
  <c r="P54" i="12" s="1"/>
  <c r="K54" i="12"/>
  <c r="M54" i="12" s="1"/>
  <c r="N53" i="12"/>
  <c r="P53" i="12" s="1"/>
  <c r="K53" i="12"/>
  <c r="M53" i="12" s="1"/>
  <c r="N52" i="12"/>
  <c r="P52" i="12" s="1"/>
  <c r="K52" i="12"/>
  <c r="M52" i="12" s="1"/>
  <c r="N51" i="12"/>
  <c r="P51" i="12" s="1"/>
  <c r="K51" i="12"/>
  <c r="M51" i="12" s="1"/>
  <c r="N50" i="12"/>
  <c r="P50" i="12" s="1"/>
  <c r="K50" i="12"/>
  <c r="M50" i="12" s="1"/>
  <c r="N49" i="12"/>
  <c r="P49" i="12" s="1"/>
  <c r="K49" i="12"/>
  <c r="M49" i="12" s="1"/>
  <c r="N48" i="12"/>
  <c r="P48" i="12" s="1"/>
  <c r="K48" i="12"/>
  <c r="M48" i="12" s="1"/>
  <c r="N47" i="12"/>
  <c r="P47" i="12" s="1"/>
  <c r="K47" i="12"/>
  <c r="M47" i="12" s="1"/>
  <c r="N46" i="12"/>
  <c r="P46" i="12" s="1"/>
  <c r="K46" i="12"/>
  <c r="M46" i="12" s="1"/>
  <c r="N45" i="12"/>
  <c r="P45" i="12" s="1"/>
  <c r="K45" i="12"/>
  <c r="M45" i="12" s="1"/>
  <c r="N44" i="12"/>
  <c r="P44" i="12" s="1"/>
  <c r="K44" i="12"/>
  <c r="M44" i="12" s="1"/>
  <c r="N43" i="12"/>
  <c r="P43" i="12" s="1"/>
  <c r="K43" i="12"/>
  <c r="M43" i="12" s="1"/>
  <c r="N42" i="12"/>
  <c r="P42" i="12" s="1"/>
  <c r="K42" i="12"/>
  <c r="M42" i="12" s="1"/>
  <c r="N41" i="12"/>
  <c r="P41" i="12" s="1"/>
  <c r="K41" i="12"/>
  <c r="M41" i="12" s="1"/>
  <c r="N40" i="12"/>
  <c r="P40" i="12" s="1"/>
  <c r="K40" i="12"/>
  <c r="M40" i="12" s="1"/>
  <c r="N39" i="12"/>
  <c r="P39" i="12" s="1"/>
  <c r="K39" i="12"/>
  <c r="M39" i="12" s="1"/>
  <c r="N38" i="12"/>
  <c r="P38" i="12" s="1"/>
  <c r="K38" i="12"/>
  <c r="M38" i="12" s="1"/>
  <c r="N37" i="12"/>
  <c r="P37" i="12" s="1"/>
  <c r="K37" i="12"/>
  <c r="M37" i="12" s="1"/>
  <c r="N36" i="12"/>
  <c r="P36" i="12" s="1"/>
  <c r="K36" i="12"/>
  <c r="M36" i="12" s="1"/>
  <c r="N35" i="12"/>
  <c r="P35" i="12" s="1"/>
  <c r="K35" i="12"/>
  <c r="M35" i="12" s="1"/>
  <c r="N34" i="12"/>
  <c r="P34" i="12" s="1"/>
  <c r="K34" i="12"/>
  <c r="M34" i="12" s="1"/>
  <c r="N33" i="12"/>
  <c r="P33" i="12" s="1"/>
  <c r="K33" i="12"/>
  <c r="M33" i="12" s="1"/>
  <c r="N32" i="12"/>
  <c r="P32" i="12" s="1"/>
  <c r="K32" i="12"/>
  <c r="M32" i="12" s="1"/>
  <c r="N31" i="12"/>
  <c r="P31" i="12" s="1"/>
  <c r="K31" i="12"/>
  <c r="M31" i="12" s="1"/>
  <c r="N30" i="12"/>
  <c r="P30" i="12" s="1"/>
  <c r="K30" i="12"/>
  <c r="M30" i="12" s="1"/>
  <c r="N29" i="12"/>
  <c r="P29" i="12" s="1"/>
  <c r="K29" i="12"/>
  <c r="M29" i="12" s="1"/>
  <c r="N28" i="12"/>
  <c r="P28" i="12" s="1"/>
  <c r="K28" i="12"/>
  <c r="M28" i="12" s="1"/>
  <c r="N27" i="12"/>
  <c r="P27" i="12" s="1"/>
  <c r="K27" i="12"/>
  <c r="M27" i="12" s="1"/>
  <c r="N26" i="12"/>
  <c r="P26" i="12" s="1"/>
  <c r="K26" i="12"/>
  <c r="M26" i="12" s="1"/>
  <c r="N25" i="12"/>
  <c r="P25" i="12" s="1"/>
  <c r="K25" i="12"/>
  <c r="M25" i="12" s="1"/>
  <c r="N24" i="12"/>
  <c r="P24" i="12" s="1"/>
  <c r="K24" i="12"/>
  <c r="M24" i="12" s="1"/>
  <c r="N23" i="12"/>
  <c r="P23" i="12" s="1"/>
  <c r="K23" i="12"/>
  <c r="M23" i="12" s="1"/>
  <c r="N22" i="12"/>
  <c r="K22" i="12"/>
  <c r="M22" i="12" s="1"/>
  <c r="N21" i="12"/>
  <c r="P21" i="12" s="1"/>
  <c r="K21" i="12"/>
  <c r="M21" i="12" s="1"/>
  <c r="N20" i="12"/>
  <c r="P20" i="12" s="1"/>
  <c r="K20" i="12"/>
  <c r="M20" i="12" s="1"/>
  <c r="N19" i="12"/>
  <c r="P19" i="12" s="1"/>
  <c r="K19" i="12"/>
  <c r="M19" i="12" s="1"/>
  <c r="N18" i="12"/>
  <c r="P18" i="12" s="1"/>
  <c r="K18" i="12"/>
  <c r="M18" i="12" s="1"/>
  <c r="N17" i="12"/>
  <c r="P17" i="12" s="1"/>
  <c r="K17" i="12"/>
  <c r="M17" i="12" s="1"/>
  <c r="N16" i="12"/>
  <c r="P16" i="12" s="1"/>
  <c r="K16" i="12"/>
  <c r="M16" i="12" s="1"/>
  <c r="N15" i="12"/>
  <c r="P15" i="12" s="1"/>
  <c r="K15" i="12"/>
  <c r="M15" i="12" s="1"/>
  <c r="N14" i="12"/>
  <c r="P14" i="12" s="1"/>
  <c r="K14" i="12"/>
  <c r="M14" i="12" s="1"/>
  <c r="N13" i="12"/>
  <c r="P13" i="12" s="1"/>
  <c r="K13" i="12"/>
  <c r="M13" i="12" s="1"/>
  <c r="N12" i="12"/>
  <c r="P12" i="12" s="1"/>
  <c r="K12" i="12"/>
  <c r="M12" i="12" s="1"/>
  <c r="N11" i="12"/>
  <c r="P11" i="12" s="1"/>
  <c r="K11" i="12"/>
  <c r="M11" i="12" s="1"/>
  <c r="N10" i="12"/>
  <c r="P10" i="12" s="1"/>
  <c r="K10" i="12"/>
  <c r="M10" i="12" s="1"/>
  <c r="N9" i="12"/>
  <c r="P9" i="12" s="1"/>
  <c r="K9" i="12"/>
  <c r="M9" i="12" s="1"/>
  <c r="N7" i="12"/>
  <c r="P7" i="12" s="1"/>
  <c r="K7" i="12"/>
  <c r="M7" i="12" s="1"/>
  <c r="N6" i="12"/>
  <c r="K6" i="12"/>
  <c r="M6" i="12" s="1"/>
  <c r="N5" i="12"/>
  <c r="F18" i="16" s="1"/>
  <c r="H18" i="16" s="1"/>
  <c r="K5" i="12"/>
  <c r="E18" i="16" s="1"/>
  <c r="G18" i="16" s="1"/>
  <c r="O727" i="12"/>
  <c r="L727" i="12"/>
  <c r="F415" i="16"/>
  <c r="H415" i="16" s="1"/>
  <c r="E415" i="16"/>
  <c r="G415" i="16" s="1"/>
  <c r="G9" i="2"/>
  <c r="E9" i="33" l="1"/>
  <c r="F24" i="26"/>
  <c r="F26" i="26" s="1"/>
  <c r="F620" i="2"/>
  <c r="H10" i="2"/>
  <c r="M435" i="2"/>
  <c r="G443" i="2"/>
  <c r="G238" i="2" s="1"/>
  <c r="E350" i="16"/>
  <c r="G350" i="16" s="1"/>
  <c r="F350" i="16"/>
  <c r="H350" i="16" s="1"/>
  <c r="M5" i="12"/>
  <c r="P22" i="12"/>
  <c r="F13" i="16"/>
  <c r="H13" i="16" s="1"/>
  <c r="N727" i="12"/>
  <c r="N730" i="12" s="1"/>
  <c r="F12" i="16"/>
  <c r="H12" i="16" s="1"/>
  <c r="F14" i="16"/>
  <c r="H14" i="16" s="1"/>
  <c r="F16" i="16"/>
  <c r="H16" i="16" s="1"/>
  <c r="F20" i="16"/>
  <c r="H20" i="16" s="1"/>
  <c r="F22" i="16"/>
  <c r="H22" i="16" s="1"/>
  <c r="F24" i="16"/>
  <c r="H24" i="16" s="1"/>
  <c r="F26" i="16"/>
  <c r="H26" i="16" s="1"/>
  <c r="F28" i="16"/>
  <c r="H28" i="16" s="1"/>
  <c r="F30" i="16"/>
  <c r="H30" i="16" s="1"/>
  <c r="F32" i="16"/>
  <c r="H32" i="16" s="1"/>
  <c r="F34" i="16"/>
  <c r="H34" i="16" s="1"/>
  <c r="F36" i="16"/>
  <c r="H36" i="16" s="1"/>
  <c r="F38" i="16"/>
  <c r="H38" i="16" s="1"/>
  <c r="F40" i="16"/>
  <c r="H40" i="16" s="1"/>
  <c r="F42" i="16"/>
  <c r="H42" i="16" s="1"/>
  <c r="F44" i="16"/>
  <c r="H44" i="16" s="1"/>
  <c r="F46" i="16"/>
  <c r="H46" i="16" s="1"/>
  <c r="F48" i="16"/>
  <c r="H48" i="16" s="1"/>
  <c r="F50" i="16"/>
  <c r="H50" i="16" s="1"/>
  <c r="F52" i="16"/>
  <c r="H52" i="16" s="1"/>
  <c r="F54" i="16"/>
  <c r="H54" i="16" s="1"/>
  <c r="F56" i="16"/>
  <c r="H56" i="16" s="1"/>
  <c r="F58" i="16"/>
  <c r="H58" i="16" s="1"/>
  <c r="F60" i="16"/>
  <c r="H60" i="16" s="1"/>
  <c r="F62" i="16"/>
  <c r="H62" i="16" s="1"/>
  <c r="F64" i="16"/>
  <c r="H64" i="16" s="1"/>
  <c r="F66" i="16"/>
  <c r="H66" i="16" s="1"/>
  <c r="F68" i="16"/>
  <c r="H68" i="16" s="1"/>
  <c r="F70" i="16"/>
  <c r="H70" i="16" s="1"/>
  <c r="F72" i="16"/>
  <c r="H72" i="16" s="1"/>
  <c r="F74" i="16"/>
  <c r="H74" i="16" s="1"/>
  <c r="F76" i="16"/>
  <c r="H76" i="16" s="1"/>
  <c r="F78" i="16"/>
  <c r="H78" i="16" s="1"/>
  <c r="F80" i="16"/>
  <c r="H80" i="16" s="1"/>
  <c r="F82" i="16"/>
  <c r="H82" i="16" s="1"/>
  <c r="F84" i="16"/>
  <c r="H84" i="16" s="1"/>
  <c r="F86" i="16"/>
  <c r="H86" i="16" s="1"/>
  <c r="F88" i="16"/>
  <c r="H88" i="16" s="1"/>
  <c r="F90" i="16"/>
  <c r="H90" i="16" s="1"/>
  <c r="F92" i="16"/>
  <c r="H92" i="16" s="1"/>
  <c r="F94" i="16"/>
  <c r="H94" i="16" s="1"/>
  <c r="F96" i="16"/>
  <c r="H96" i="16" s="1"/>
  <c r="F98" i="16"/>
  <c r="H98" i="16" s="1"/>
  <c r="F100" i="16"/>
  <c r="H100" i="16" s="1"/>
  <c r="F102" i="16"/>
  <c r="H102" i="16" s="1"/>
  <c r="F104" i="16"/>
  <c r="H104" i="16" s="1"/>
  <c r="F106" i="16"/>
  <c r="H106" i="16" s="1"/>
  <c r="F108" i="16"/>
  <c r="H108" i="16" s="1"/>
  <c r="F110" i="16"/>
  <c r="H110" i="16" s="1"/>
  <c r="F112" i="16"/>
  <c r="H112" i="16" s="1"/>
  <c r="F114" i="16"/>
  <c r="H114" i="16" s="1"/>
  <c r="F116" i="16"/>
  <c r="H116" i="16" s="1"/>
  <c r="F118" i="16"/>
  <c r="H118" i="16" s="1"/>
  <c r="F120" i="16"/>
  <c r="H120" i="16" s="1"/>
  <c r="F122" i="16"/>
  <c r="H122" i="16" s="1"/>
  <c r="F124" i="16"/>
  <c r="H124" i="16" s="1"/>
  <c r="F126" i="16"/>
  <c r="H126" i="16" s="1"/>
  <c r="F128" i="16"/>
  <c r="H128" i="16" s="1"/>
  <c r="F130" i="16"/>
  <c r="H130" i="16" s="1"/>
  <c r="F132" i="16"/>
  <c r="H132" i="16" s="1"/>
  <c r="F134" i="16"/>
  <c r="H134" i="16" s="1"/>
  <c r="F136" i="16"/>
  <c r="H136" i="16" s="1"/>
  <c r="F138" i="16"/>
  <c r="H138" i="16" s="1"/>
  <c r="F140" i="16"/>
  <c r="H140" i="16" s="1"/>
  <c r="F142" i="16"/>
  <c r="H142" i="16" s="1"/>
  <c r="F144" i="16"/>
  <c r="H144" i="16" s="1"/>
  <c r="F146" i="16"/>
  <c r="H146" i="16" s="1"/>
  <c r="F148" i="16"/>
  <c r="H148" i="16" s="1"/>
  <c r="F150" i="16"/>
  <c r="H150" i="16" s="1"/>
  <c r="F152" i="16"/>
  <c r="H152" i="16" s="1"/>
  <c r="F154" i="16"/>
  <c r="H154" i="16" s="1"/>
  <c r="F156" i="16"/>
  <c r="H156" i="16" s="1"/>
  <c r="F158" i="16"/>
  <c r="H158" i="16" s="1"/>
  <c r="F160" i="16"/>
  <c r="H160" i="16" s="1"/>
  <c r="F162" i="16"/>
  <c r="H162" i="16" s="1"/>
  <c r="F164" i="16"/>
  <c r="H164" i="16" s="1"/>
  <c r="F166" i="16"/>
  <c r="H166" i="16" s="1"/>
  <c r="F168" i="16"/>
  <c r="H168" i="16" s="1"/>
  <c r="F170" i="16"/>
  <c r="H170" i="16" s="1"/>
  <c r="F172" i="16"/>
  <c r="H172" i="16" s="1"/>
  <c r="F174" i="16"/>
  <c r="H174" i="16" s="1"/>
  <c r="F176" i="16"/>
  <c r="H176" i="16" s="1"/>
  <c r="F178" i="16"/>
  <c r="H178" i="16" s="1"/>
  <c r="F180" i="16"/>
  <c r="H180" i="16" s="1"/>
  <c r="F182" i="16"/>
  <c r="H182" i="16" s="1"/>
  <c r="F184" i="16"/>
  <c r="H184" i="16" s="1"/>
  <c r="F186" i="16"/>
  <c r="H186" i="16" s="1"/>
  <c r="F188" i="16"/>
  <c r="H188" i="16" s="1"/>
  <c r="F190" i="16"/>
  <c r="H190" i="16" s="1"/>
  <c r="F192" i="16"/>
  <c r="H192" i="16" s="1"/>
  <c r="F194" i="16"/>
  <c r="H194" i="16" s="1"/>
  <c r="F196" i="16"/>
  <c r="H196" i="16" s="1"/>
  <c r="F198" i="16"/>
  <c r="H198" i="16" s="1"/>
  <c r="F200" i="16"/>
  <c r="H200" i="16" s="1"/>
  <c r="F202" i="16"/>
  <c r="H202" i="16" s="1"/>
  <c r="F204" i="16"/>
  <c r="H204" i="16" s="1"/>
  <c r="F206" i="16"/>
  <c r="H206" i="16" s="1"/>
  <c r="F208" i="16"/>
  <c r="H208" i="16" s="1"/>
  <c r="F210" i="16"/>
  <c r="H210" i="16" s="1"/>
  <c r="F212" i="16"/>
  <c r="H212" i="16" s="1"/>
  <c r="F214" i="16"/>
  <c r="H214" i="16" s="1"/>
  <c r="F216" i="16"/>
  <c r="H216" i="16" s="1"/>
  <c r="F218" i="16"/>
  <c r="H218" i="16" s="1"/>
  <c r="F220" i="16"/>
  <c r="H220" i="16" s="1"/>
  <c r="F222" i="16"/>
  <c r="H222" i="16" s="1"/>
  <c r="F224" i="16"/>
  <c r="H224" i="16" s="1"/>
  <c r="F226" i="16"/>
  <c r="H226" i="16" s="1"/>
  <c r="F228" i="16"/>
  <c r="H228" i="16" s="1"/>
  <c r="F230" i="16"/>
  <c r="H230" i="16" s="1"/>
  <c r="F232" i="16"/>
  <c r="H232" i="16" s="1"/>
  <c r="F234" i="16"/>
  <c r="H234" i="16" s="1"/>
  <c r="F236" i="16"/>
  <c r="H236" i="16" s="1"/>
  <c r="F238" i="16"/>
  <c r="H238" i="16" s="1"/>
  <c r="F240" i="16"/>
  <c r="H240" i="16" s="1"/>
  <c r="F242" i="16"/>
  <c r="H242" i="16" s="1"/>
  <c r="F244" i="16"/>
  <c r="H244" i="16" s="1"/>
  <c r="F246" i="16"/>
  <c r="H246" i="16" s="1"/>
  <c r="F248" i="16"/>
  <c r="H248" i="16" s="1"/>
  <c r="F250" i="16"/>
  <c r="H250" i="16" s="1"/>
  <c r="F252" i="16"/>
  <c r="H252" i="16" s="1"/>
  <c r="F254" i="16"/>
  <c r="H254" i="16" s="1"/>
  <c r="F256" i="16"/>
  <c r="H256" i="16" s="1"/>
  <c r="F258" i="16"/>
  <c r="H258" i="16" s="1"/>
  <c r="F260" i="16"/>
  <c r="H260" i="16" s="1"/>
  <c r="F262" i="16"/>
  <c r="H262" i="16" s="1"/>
  <c r="F264" i="16"/>
  <c r="H264" i="16" s="1"/>
  <c r="F266" i="16"/>
  <c r="H266" i="16" s="1"/>
  <c r="F268" i="16"/>
  <c r="H268" i="16" s="1"/>
  <c r="F270" i="16"/>
  <c r="H270" i="16" s="1"/>
  <c r="F272" i="16"/>
  <c r="H272" i="16" s="1"/>
  <c r="F274" i="16"/>
  <c r="H274" i="16" s="1"/>
  <c r="F276" i="16"/>
  <c r="H276" i="16" s="1"/>
  <c r="F278" i="16"/>
  <c r="H278" i="16" s="1"/>
  <c r="F280" i="16"/>
  <c r="H280" i="16" s="1"/>
  <c r="F282" i="16"/>
  <c r="H282" i="16" s="1"/>
  <c r="F284" i="16"/>
  <c r="H284" i="16" s="1"/>
  <c r="F286" i="16"/>
  <c r="H286" i="16" s="1"/>
  <c r="F288" i="16"/>
  <c r="H288" i="16" s="1"/>
  <c r="F290" i="16"/>
  <c r="H290" i="16" s="1"/>
  <c r="F292" i="16"/>
  <c r="H292" i="16" s="1"/>
  <c r="F294" i="16"/>
  <c r="H294" i="16" s="1"/>
  <c r="F296" i="16"/>
  <c r="H296" i="16" s="1"/>
  <c r="F298" i="16"/>
  <c r="H298" i="16" s="1"/>
  <c r="F300" i="16"/>
  <c r="H300" i="16" s="1"/>
  <c r="F302" i="16"/>
  <c r="H302" i="16" s="1"/>
  <c r="F304" i="16"/>
  <c r="H304" i="16" s="1"/>
  <c r="F306" i="16"/>
  <c r="H306" i="16" s="1"/>
  <c r="F308" i="16"/>
  <c r="H308" i="16" s="1"/>
  <c r="F310" i="16"/>
  <c r="H310" i="16" s="1"/>
  <c r="F312" i="16"/>
  <c r="H312" i="16" s="1"/>
  <c r="F314" i="16"/>
  <c r="H314" i="16" s="1"/>
  <c r="F316" i="16"/>
  <c r="H316" i="16" s="1"/>
  <c r="F318" i="16"/>
  <c r="H318" i="16" s="1"/>
  <c r="F320" i="16"/>
  <c r="H320" i="16" s="1"/>
  <c r="F322" i="16"/>
  <c r="H322" i="16" s="1"/>
  <c r="F324" i="16"/>
  <c r="H324" i="16" s="1"/>
  <c r="F326" i="16"/>
  <c r="H326" i="16" s="1"/>
  <c r="F328" i="16"/>
  <c r="H328" i="16" s="1"/>
  <c r="F330" i="16"/>
  <c r="H330" i="16" s="1"/>
  <c r="F332" i="16"/>
  <c r="H332" i="16" s="1"/>
  <c r="F334" i="16"/>
  <c r="H334" i="16" s="1"/>
  <c r="F336" i="16"/>
  <c r="H336" i="16" s="1"/>
  <c r="F338" i="16"/>
  <c r="H338" i="16" s="1"/>
  <c r="F340" i="16"/>
  <c r="H340" i="16" s="1"/>
  <c r="F342" i="16"/>
  <c r="H342" i="16" s="1"/>
  <c r="F344" i="16"/>
  <c r="H344" i="16" s="1"/>
  <c r="F346" i="16"/>
  <c r="H346" i="16" s="1"/>
  <c r="F348" i="16"/>
  <c r="H348" i="16" s="1"/>
  <c r="F352" i="16"/>
  <c r="H352" i="16" s="1"/>
  <c r="F354" i="16"/>
  <c r="H354" i="16" s="1"/>
  <c r="F356" i="16"/>
  <c r="H356" i="16" s="1"/>
  <c r="F358" i="16"/>
  <c r="H358" i="16" s="1"/>
  <c r="F360" i="16"/>
  <c r="H360" i="16" s="1"/>
  <c r="F362" i="16"/>
  <c r="H362" i="16" s="1"/>
  <c r="F364" i="16"/>
  <c r="H364" i="16" s="1"/>
  <c r="F366" i="16"/>
  <c r="H366" i="16" s="1"/>
  <c r="F368" i="16"/>
  <c r="H368" i="16" s="1"/>
  <c r="F370" i="16"/>
  <c r="H370" i="16" s="1"/>
  <c r="F372" i="16"/>
  <c r="H372" i="16" s="1"/>
  <c r="F374" i="16"/>
  <c r="H374" i="16" s="1"/>
  <c r="F376" i="16"/>
  <c r="H376" i="16" s="1"/>
  <c r="F378" i="16"/>
  <c r="H378" i="16" s="1"/>
  <c r="F380" i="16"/>
  <c r="H380" i="16" s="1"/>
  <c r="F382" i="16"/>
  <c r="H382" i="16" s="1"/>
  <c r="F384" i="16"/>
  <c r="H384" i="16" s="1"/>
  <c r="F386" i="16"/>
  <c r="H386" i="16" s="1"/>
  <c r="F388" i="16"/>
  <c r="H388" i="16" s="1"/>
  <c r="F390" i="16"/>
  <c r="H390" i="16" s="1"/>
  <c r="F392" i="16"/>
  <c r="H392" i="16" s="1"/>
  <c r="F394" i="16"/>
  <c r="H394" i="16" s="1"/>
  <c r="F396" i="16"/>
  <c r="H396" i="16" s="1"/>
  <c r="F398" i="16"/>
  <c r="H398" i="16" s="1"/>
  <c r="F400" i="16"/>
  <c r="H400" i="16" s="1"/>
  <c r="F402" i="16"/>
  <c r="H402" i="16" s="1"/>
  <c r="F404" i="16"/>
  <c r="H404" i="16" s="1"/>
  <c r="F406" i="16"/>
  <c r="H406" i="16" s="1"/>
  <c r="F408" i="16"/>
  <c r="H408" i="16" s="1"/>
  <c r="F410" i="16"/>
  <c r="H410" i="16" s="1"/>
  <c r="F412" i="16"/>
  <c r="H412" i="16" s="1"/>
  <c r="F414" i="16"/>
  <c r="H414" i="16" s="1"/>
  <c r="E12" i="16"/>
  <c r="G12" i="16" s="1"/>
  <c r="I12" i="16" s="1"/>
  <c r="E14" i="16"/>
  <c r="G14" i="16" s="1"/>
  <c r="E16" i="16"/>
  <c r="G16" i="16" s="1"/>
  <c r="I16" i="16" s="1"/>
  <c r="E20" i="16"/>
  <c r="G20" i="16" s="1"/>
  <c r="I20" i="16" s="1"/>
  <c r="E22" i="16"/>
  <c r="G22" i="16" s="1"/>
  <c r="I22" i="16" s="1"/>
  <c r="E24" i="16"/>
  <c r="G24" i="16" s="1"/>
  <c r="I24" i="16" s="1"/>
  <c r="E26" i="16"/>
  <c r="G26" i="16" s="1"/>
  <c r="I26" i="16" s="1"/>
  <c r="E28" i="16"/>
  <c r="G28" i="16" s="1"/>
  <c r="I28" i="16" s="1"/>
  <c r="E30" i="16"/>
  <c r="G30" i="16" s="1"/>
  <c r="I30" i="16" s="1"/>
  <c r="E32" i="16"/>
  <c r="G32" i="16" s="1"/>
  <c r="I32" i="16" s="1"/>
  <c r="E34" i="16"/>
  <c r="G34" i="16" s="1"/>
  <c r="I34" i="16" s="1"/>
  <c r="E36" i="16"/>
  <c r="G36" i="16" s="1"/>
  <c r="I36" i="16" s="1"/>
  <c r="E38" i="16"/>
  <c r="G38" i="16" s="1"/>
  <c r="I38" i="16" s="1"/>
  <c r="E40" i="16"/>
  <c r="G40" i="16" s="1"/>
  <c r="I40" i="16" s="1"/>
  <c r="E42" i="16"/>
  <c r="G42" i="16" s="1"/>
  <c r="I42" i="16" s="1"/>
  <c r="E44" i="16"/>
  <c r="G44" i="16" s="1"/>
  <c r="I44" i="16" s="1"/>
  <c r="E46" i="16"/>
  <c r="G46" i="16" s="1"/>
  <c r="I46" i="16" s="1"/>
  <c r="E48" i="16"/>
  <c r="G48" i="16" s="1"/>
  <c r="I48" i="16" s="1"/>
  <c r="E50" i="16"/>
  <c r="G50" i="16" s="1"/>
  <c r="I50" i="16" s="1"/>
  <c r="E52" i="16"/>
  <c r="G52" i="16" s="1"/>
  <c r="I52" i="16" s="1"/>
  <c r="E54" i="16"/>
  <c r="G54" i="16" s="1"/>
  <c r="I54" i="16" s="1"/>
  <c r="E56" i="16"/>
  <c r="G56" i="16" s="1"/>
  <c r="I56" i="16" s="1"/>
  <c r="E58" i="16"/>
  <c r="G58" i="16" s="1"/>
  <c r="I58" i="16" s="1"/>
  <c r="E60" i="16"/>
  <c r="G60" i="16" s="1"/>
  <c r="E62" i="16"/>
  <c r="G62" i="16" s="1"/>
  <c r="I62" i="16" s="1"/>
  <c r="E64" i="16"/>
  <c r="G64" i="16" s="1"/>
  <c r="I64" i="16" s="1"/>
  <c r="E66" i="16"/>
  <c r="G66" i="16" s="1"/>
  <c r="I66" i="16" s="1"/>
  <c r="E68" i="16"/>
  <c r="G68" i="16" s="1"/>
  <c r="I68" i="16" s="1"/>
  <c r="E70" i="16"/>
  <c r="G70" i="16" s="1"/>
  <c r="I70" i="16" s="1"/>
  <c r="E72" i="16"/>
  <c r="G72" i="16" s="1"/>
  <c r="I72" i="16" s="1"/>
  <c r="E74" i="16"/>
  <c r="G74" i="16" s="1"/>
  <c r="I74" i="16" s="1"/>
  <c r="E76" i="16"/>
  <c r="G76" i="16" s="1"/>
  <c r="I76" i="16" s="1"/>
  <c r="E78" i="16"/>
  <c r="G78" i="16" s="1"/>
  <c r="I78" i="16" s="1"/>
  <c r="E80" i="16"/>
  <c r="G80" i="16" s="1"/>
  <c r="I80" i="16" s="1"/>
  <c r="E82" i="16"/>
  <c r="G82" i="16" s="1"/>
  <c r="E84" i="16"/>
  <c r="G84" i="16" s="1"/>
  <c r="I84" i="16" s="1"/>
  <c r="E86" i="16"/>
  <c r="G86" i="16" s="1"/>
  <c r="I86" i="16" s="1"/>
  <c r="E88" i="16"/>
  <c r="G88" i="16" s="1"/>
  <c r="I88" i="16" s="1"/>
  <c r="E90" i="16"/>
  <c r="G90" i="16" s="1"/>
  <c r="I90" i="16" s="1"/>
  <c r="E92" i="16"/>
  <c r="G92" i="16" s="1"/>
  <c r="I92" i="16" s="1"/>
  <c r="E94" i="16"/>
  <c r="G94" i="16" s="1"/>
  <c r="I94" i="16" s="1"/>
  <c r="E96" i="16"/>
  <c r="G96" i="16" s="1"/>
  <c r="I96" i="16" s="1"/>
  <c r="E98" i="16"/>
  <c r="G98" i="16" s="1"/>
  <c r="I98" i="16" s="1"/>
  <c r="E100" i="16"/>
  <c r="G100" i="16" s="1"/>
  <c r="I100" i="16" s="1"/>
  <c r="E102" i="16"/>
  <c r="G102" i="16" s="1"/>
  <c r="I102" i="16" s="1"/>
  <c r="E104" i="16"/>
  <c r="G104" i="16" s="1"/>
  <c r="I104" i="16" s="1"/>
  <c r="E106" i="16"/>
  <c r="G106" i="16" s="1"/>
  <c r="I106" i="16" s="1"/>
  <c r="E108" i="16"/>
  <c r="G108" i="16" s="1"/>
  <c r="I108" i="16" s="1"/>
  <c r="E110" i="16"/>
  <c r="G110" i="16" s="1"/>
  <c r="I110" i="16" s="1"/>
  <c r="E112" i="16"/>
  <c r="G112" i="16" s="1"/>
  <c r="I112" i="16" s="1"/>
  <c r="E114" i="16"/>
  <c r="G114" i="16" s="1"/>
  <c r="I114" i="16" s="1"/>
  <c r="E116" i="16"/>
  <c r="G116" i="16" s="1"/>
  <c r="E118" i="16"/>
  <c r="G118" i="16" s="1"/>
  <c r="I118" i="16" s="1"/>
  <c r="E120" i="16"/>
  <c r="G120" i="16" s="1"/>
  <c r="I120" i="16" s="1"/>
  <c r="E122" i="16"/>
  <c r="G122" i="16" s="1"/>
  <c r="E124" i="16"/>
  <c r="G124" i="16" s="1"/>
  <c r="I124" i="16" s="1"/>
  <c r="E126" i="16"/>
  <c r="G126" i="16" s="1"/>
  <c r="I126" i="16" s="1"/>
  <c r="E128" i="16"/>
  <c r="G128" i="16" s="1"/>
  <c r="I128" i="16" s="1"/>
  <c r="E130" i="16"/>
  <c r="G130" i="16" s="1"/>
  <c r="I130" i="16" s="1"/>
  <c r="E132" i="16"/>
  <c r="G132" i="16" s="1"/>
  <c r="E134" i="16"/>
  <c r="G134" i="16" s="1"/>
  <c r="I134" i="16" s="1"/>
  <c r="E136" i="16"/>
  <c r="G136" i="16" s="1"/>
  <c r="I136" i="16" s="1"/>
  <c r="E138" i="16"/>
  <c r="G138" i="16" s="1"/>
  <c r="I138" i="16" s="1"/>
  <c r="E140" i="16"/>
  <c r="G140" i="16" s="1"/>
  <c r="I140" i="16" s="1"/>
  <c r="E142" i="16"/>
  <c r="G142" i="16" s="1"/>
  <c r="I142" i="16" s="1"/>
  <c r="E144" i="16"/>
  <c r="G144" i="16" s="1"/>
  <c r="I144" i="16" s="1"/>
  <c r="E146" i="16"/>
  <c r="G146" i="16" s="1"/>
  <c r="I146" i="16" s="1"/>
  <c r="E148" i="16"/>
  <c r="G148" i="16" s="1"/>
  <c r="I148" i="16" s="1"/>
  <c r="E150" i="16"/>
  <c r="G150" i="16" s="1"/>
  <c r="I150" i="16" s="1"/>
  <c r="E152" i="16"/>
  <c r="G152" i="16" s="1"/>
  <c r="I152" i="16" s="1"/>
  <c r="E154" i="16"/>
  <c r="G154" i="16" s="1"/>
  <c r="I154" i="16" s="1"/>
  <c r="E156" i="16"/>
  <c r="G156" i="16" s="1"/>
  <c r="I156" i="16" s="1"/>
  <c r="E158" i="16"/>
  <c r="G158" i="16" s="1"/>
  <c r="I158" i="16" s="1"/>
  <c r="E160" i="16"/>
  <c r="G160" i="16" s="1"/>
  <c r="I160" i="16" s="1"/>
  <c r="E162" i="16"/>
  <c r="G162" i="16" s="1"/>
  <c r="I162" i="16" s="1"/>
  <c r="E164" i="16"/>
  <c r="G164" i="16" s="1"/>
  <c r="I164" i="16" s="1"/>
  <c r="E166" i="16"/>
  <c r="G166" i="16" s="1"/>
  <c r="I166" i="16" s="1"/>
  <c r="E168" i="16"/>
  <c r="G168" i="16" s="1"/>
  <c r="I168" i="16" s="1"/>
  <c r="E170" i="16"/>
  <c r="G170" i="16" s="1"/>
  <c r="I170" i="16" s="1"/>
  <c r="E172" i="16"/>
  <c r="G172" i="16" s="1"/>
  <c r="I172" i="16" s="1"/>
  <c r="E174" i="16"/>
  <c r="G174" i="16" s="1"/>
  <c r="I174" i="16" s="1"/>
  <c r="E176" i="16"/>
  <c r="G176" i="16" s="1"/>
  <c r="I176" i="16" s="1"/>
  <c r="E178" i="16"/>
  <c r="G178" i="16" s="1"/>
  <c r="I178" i="16" s="1"/>
  <c r="E180" i="16"/>
  <c r="G180" i="16" s="1"/>
  <c r="I180" i="16" s="1"/>
  <c r="E182" i="16"/>
  <c r="G182" i="16" s="1"/>
  <c r="I182" i="16" s="1"/>
  <c r="E184" i="16"/>
  <c r="G184" i="16" s="1"/>
  <c r="I184" i="16" s="1"/>
  <c r="E186" i="16"/>
  <c r="G186" i="16" s="1"/>
  <c r="I186" i="16" s="1"/>
  <c r="E188" i="16"/>
  <c r="G188" i="16" s="1"/>
  <c r="I188" i="16" s="1"/>
  <c r="E190" i="16"/>
  <c r="G190" i="16" s="1"/>
  <c r="I190" i="16" s="1"/>
  <c r="E192" i="16"/>
  <c r="G192" i="16" s="1"/>
  <c r="I192" i="16" s="1"/>
  <c r="E194" i="16"/>
  <c r="G194" i="16" s="1"/>
  <c r="I194" i="16" s="1"/>
  <c r="E196" i="16"/>
  <c r="G196" i="16" s="1"/>
  <c r="I196" i="16" s="1"/>
  <c r="E198" i="16"/>
  <c r="G198" i="16" s="1"/>
  <c r="I198" i="16" s="1"/>
  <c r="E200" i="16"/>
  <c r="G200" i="16" s="1"/>
  <c r="I200" i="16" s="1"/>
  <c r="E202" i="16"/>
  <c r="G202" i="16" s="1"/>
  <c r="I202" i="16" s="1"/>
  <c r="E204" i="16"/>
  <c r="G204" i="16" s="1"/>
  <c r="I204" i="16" s="1"/>
  <c r="E206" i="16"/>
  <c r="G206" i="16" s="1"/>
  <c r="I206" i="16" s="1"/>
  <c r="E208" i="16"/>
  <c r="G208" i="16" s="1"/>
  <c r="I208" i="16" s="1"/>
  <c r="E210" i="16"/>
  <c r="G210" i="16" s="1"/>
  <c r="I210" i="16" s="1"/>
  <c r="E212" i="16"/>
  <c r="G212" i="16" s="1"/>
  <c r="I212" i="16" s="1"/>
  <c r="E214" i="16"/>
  <c r="G214" i="16" s="1"/>
  <c r="I214" i="16" s="1"/>
  <c r="E216" i="16"/>
  <c r="G216" i="16" s="1"/>
  <c r="I216" i="16" s="1"/>
  <c r="E218" i="16"/>
  <c r="G218" i="16" s="1"/>
  <c r="E220" i="16"/>
  <c r="G220" i="16" s="1"/>
  <c r="I220" i="16" s="1"/>
  <c r="E222" i="16"/>
  <c r="G222" i="16" s="1"/>
  <c r="I222" i="16" s="1"/>
  <c r="E224" i="16"/>
  <c r="G224" i="16" s="1"/>
  <c r="I224" i="16" s="1"/>
  <c r="E226" i="16"/>
  <c r="G226" i="16" s="1"/>
  <c r="I226" i="16" s="1"/>
  <c r="E228" i="16"/>
  <c r="G228" i="16" s="1"/>
  <c r="I228" i="16" s="1"/>
  <c r="E230" i="16"/>
  <c r="G230" i="16" s="1"/>
  <c r="I230" i="16" s="1"/>
  <c r="E232" i="16"/>
  <c r="G232" i="16" s="1"/>
  <c r="I232" i="16" s="1"/>
  <c r="E234" i="16"/>
  <c r="G234" i="16" s="1"/>
  <c r="I234" i="16" s="1"/>
  <c r="E236" i="16"/>
  <c r="G236" i="16" s="1"/>
  <c r="I236" i="16" s="1"/>
  <c r="E238" i="16"/>
  <c r="G238" i="16" s="1"/>
  <c r="I238" i="16" s="1"/>
  <c r="E240" i="16"/>
  <c r="G240" i="16" s="1"/>
  <c r="I240" i="16" s="1"/>
  <c r="E242" i="16"/>
  <c r="G242" i="16" s="1"/>
  <c r="I242" i="16" s="1"/>
  <c r="E244" i="16"/>
  <c r="G244" i="16" s="1"/>
  <c r="I244" i="16" s="1"/>
  <c r="E246" i="16"/>
  <c r="G246" i="16" s="1"/>
  <c r="I246" i="16" s="1"/>
  <c r="E248" i="16"/>
  <c r="G248" i="16" s="1"/>
  <c r="I248" i="16" s="1"/>
  <c r="E250" i="16"/>
  <c r="G250" i="16" s="1"/>
  <c r="I250" i="16" s="1"/>
  <c r="E252" i="16"/>
  <c r="G252" i="16" s="1"/>
  <c r="I252" i="16" s="1"/>
  <c r="E254" i="16"/>
  <c r="G254" i="16" s="1"/>
  <c r="I254" i="16" s="1"/>
  <c r="E256" i="16"/>
  <c r="G256" i="16" s="1"/>
  <c r="I256" i="16" s="1"/>
  <c r="E258" i="16"/>
  <c r="G258" i="16" s="1"/>
  <c r="I258" i="16" s="1"/>
  <c r="E260" i="16"/>
  <c r="G260" i="16" s="1"/>
  <c r="I260" i="16" s="1"/>
  <c r="E262" i="16"/>
  <c r="G262" i="16" s="1"/>
  <c r="I262" i="16" s="1"/>
  <c r="E264" i="16"/>
  <c r="G264" i="16" s="1"/>
  <c r="I264" i="16" s="1"/>
  <c r="E266" i="16"/>
  <c r="G266" i="16" s="1"/>
  <c r="I266" i="16" s="1"/>
  <c r="E268" i="16"/>
  <c r="G268" i="16" s="1"/>
  <c r="I268" i="16" s="1"/>
  <c r="E270" i="16"/>
  <c r="G270" i="16" s="1"/>
  <c r="I270" i="16" s="1"/>
  <c r="E272" i="16"/>
  <c r="G272" i="16" s="1"/>
  <c r="E274" i="16"/>
  <c r="G274" i="16" s="1"/>
  <c r="I274" i="16" s="1"/>
  <c r="E276" i="16"/>
  <c r="G276" i="16" s="1"/>
  <c r="I276" i="16" s="1"/>
  <c r="E278" i="16"/>
  <c r="G278" i="16" s="1"/>
  <c r="I278" i="16" s="1"/>
  <c r="E280" i="16"/>
  <c r="G280" i="16" s="1"/>
  <c r="I280" i="16" s="1"/>
  <c r="E282" i="16"/>
  <c r="G282" i="16" s="1"/>
  <c r="I282" i="16" s="1"/>
  <c r="E284" i="16"/>
  <c r="G284" i="16" s="1"/>
  <c r="I284" i="16" s="1"/>
  <c r="E286" i="16"/>
  <c r="G286" i="16" s="1"/>
  <c r="I286" i="16" s="1"/>
  <c r="E288" i="16"/>
  <c r="G288" i="16" s="1"/>
  <c r="I288" i="16" s="1"/>
  <c r="E290" i="16"/>
  <c r="G290" i="16" s="1"/>
  <c r="I290" i="16" s="1"/>
  <c r="E292" i="16"/>
  <c r="G292" i="16" s="1"/>
  <c r="E294" i="16"/>
  <c r="G294" i="16" s="1"/>
  <c r="E296" i="16"/>
  <c r="G296" i="16" s="1"/>
  <c r="E298" i="16"/>
  <c r="G298" i="16" s="1"/>
  <c r="I298" i="16" s="1"/>
  <c r="E300" i="16"/>
  <c r="G300" i="16" s="1"/>
  <c r="E302" i="16"/>
  <c r="G302" i="16" s="1"/>
  <c r="I302" i="16" s="1"/>
  <c r="E304" i="16"/>
  <c r="G304" i="16" s="1"/>
  <c r="I304" i="16" s="1"/>
  <c r="E306" i="16"/>
  <c r="G306" i="16" s="1"/>
  <c r="I306" i="16" s="1"/>
  <c r="E308" i="16"/>
  <c r="G308" i="16" s="1"/>
  <c r="I308" i="16" s="1"/>
  <c r="E310" i="16"/>
  <c r="G310" i="16" s="1"/>
  <c r="I310" i="16" s="1"/>
  <c r="E312" i="16"/>
  <c r="G312" i="16" s="1"/>
  <c r="I312" i="16" s="1"/>
  <c r="E314" i="16"/>
  <c r="G314" i="16" s="1"/>
  <c r="I314" i="16" s="1"/>
  <c r="E316" i="16"/>
  <c r="G316" i="16" s="1"/>
  <c r="I316" i="16" s="1"/>
  <c r="E318" i="16"/>
  <c r="G318" i="16" s="1"/>
  <c r="I318" i="16" s="1"/>
  <c r="E320" i="16"/>
  <c r="G320" i="16" s="1"/>
  <c r="I320" i="16" s="1"/>
  <c r="E322" i="16"/>
  <c r="G322" i="16" s="1"/>
  <c r="I322" i="16" s="1"/>
  <c r="E324" i="16"/>
  <c r="G324" i="16" s="1"/>
  <c r="E326" i="16"/>
  <c r="G326" i="16" s="1"/>
  <c r="I326" i="16" s="1"/>
  <c r="E328" i="16"/>
  <c r="G328" i="16" s="1"/>
  <c r="I328" i="16" s="1"/>
  <c r="E330" i="16"/>
  <c r="G330" i="16" s="1"/>
  <c r="I330" i="16" s="1"/>
  <c r="E332" i="16"/>
  <c r="G332" i="16" s="1"/>
  <c r="I332" i="16" s="1"/>
  <c r="E334" i="16"/>
  <c r="G334" i="16" s="1"/>
  <c r="I334" i="16" s="1"/>
  <c r="E336" i="16"/>
  <c r="G336" i="16" s="1"/>
  <c r="I336" i="16" s="1"/>
  <c r="E338" i="16"/>
  <c r="G338" i="16" s="1"/>
  <c r="I338" i="16" s="1"/>
  <c r="E340" i="16"/>
  <c r="G340" i="16" s="1"/>
  <c r="I340" i="16" s="1"/>
  <c r="E342" i="16"/>
  <c r="G342" i="16" s="1"/>
  <c r="E344" i="16"/>
  <c r="G344" i="16" s="1"/>
  <c r="I344" i="16" s="1"/>
  <c r="E346" i="16"/>
  <c r="G346" i="16" s="1"/>
  <c r="I346" i="16" s="1"/>
  <c r="E348" i="16"/>
  <c r="G348" i="16" s="1"/>
  <c r="I348" i="16" s="1"/>
  <c r="E352" i="16"/>
  <c r="G352" i="16" s="1"/>
  <c r="I352" i="16" s="1"/>
  <c r="E354" i="16"/>
  <c r="G354" i="16" s="1"/>
  <c r="I354" i="16" s="1"/>
  <c r="E356" i="16"/>
  <c r="G356" i="16" s="1"/>
  <c r="I356" i="16" s="1"/>
  <c r="E358" i="16"/>
  <c r="G358" i="16" s="1"/>
  <c r="I358" i="16" s="1"/>
  <c r="E360" i="16"/>
  <c r="G360" i="16" s="1"/>
  <c r="E362" i="16"/>
  <c r="G362" i="16" s="1"/>
  <c r="I362" i="16" s="1"/>
  <c r="E364" i="16"/>
  <c r="G364" i="16" s="1"/>
  <c r="I364" i="16" s="1"/>
  <c r="E366" i="16"/>
  <c r="G366" i="16" s="1"/>
  <c r="I366" i="16" s="1"/>
  <c r="E368" i="16"/>
  <c r="G368" i="16" s="1"/>
  <c r="I368" i="16" s="1"/>
  <c r="E370" i="16"/>
  <c r="G370" i="16" s="1"/>
  <c r="I370" i="16" s="1"/>
  <c r="E372" i="16"/>
  <c r="G372" i="16" s="1"/>
  <c r="I372" i="16" s="1"/>
  <c r="E374" i="16"/>
  <c r="G374" i="16" s="1"/>
  <c r="E376" i="16"/>
  <c r="G376" i="16" s="1"/>
  <c r="I376" i="16" s="1"/>
  <c r="E378" i="16"/>
  <c r="G378" i="16" s="1"/>
  <c r="I378" i="16" s="1"/>
  <c r="E380" i="16"/>
  <c r="G380" i="16" s="1"/>
  <c r="E382" i="16"/>
  <c r="G382" i="16" s="1"/>
  <c r="I382" i="16" s="1"/>
  <c r="E384" i="16"/>
  <c r="G384" i="16" s="1"/>
  <c r="E386" i="16"/>
  <c r="G386" i="16" s="1"/>
  <c r="I386" i="16" s="1"/>
  <c r="E388" i="16"/>
  <c r="G388" i="16" s="1"/>
  <c r="I388" i="16" s="1"/>
  <c r="E390" i="16"/>
  <c r="G390" i="16" s="1"/>
  <c r="I390" i="16" s="1"/>
  <c r="E392" i="16"/>
  <c r="G392" i="16" s="1"/>
  <c r="I392" i="16" s="1"/>
  <c r="E394" i="16"/>
  <c r="G394" i="16" s="1"/>
  <c r="E396" i="16"/>
  <c r="G396" i="16" s="1"/>
  <c r="E398" i="16"/>
  <c r="G398" i="16" s="1"/>
  <c r="E400" i="16"/>
  <c r="G400" i="16" s="1"/>
  <c r="I400" i="16" s="1"/>
  <c r="E402" i="16"/>
  <c r="G402" i="16" s="1"/>
  <c r="I402" i="16" s="1"/>
  <c r="E404" i="16"/>
  <c r="G404" i="16" s="1"/>
  <c r="E406" i="16"/>
  <c r="G406" i="16" s="1"/>
  <c r="E408" i="16"/>
  <c r="G408" i="16" s="1"/>
  <c r="I408" i="16" s="1"/>
  <c r="E410" i="16"/>
  <c r="G410" i="16" s="1"/>
  <c r="I410" i="16" s="1"/>
  <c r="E412" i="16"/>
  <c r="G412" i="16" s="1"/>
  <c r="E414" i="16"/>
  <c r="G414" i="16" s="1"/>
  <c r="F15" i="16"/>
  <c r="H15" i="16" s="1"/>
  <c r="F17" i="16"/>
  <c r="H17" i="16" s="1"/>
  <c r="F19" i="16"/>
  <c r="H19" i="16" s="1"/>
  <c r="F21" i="16"/>
  <c r="H21" i="16" s="1"/>
  <c r="F23" i="16"/>
  <c r="H23" i="16" s="1"/>
  <c r="F25" i="16"/>
  <c r="H25" i="16" s="1"/>
  <c r="F27" i="16"/>
  <c r="H27" i="16" s="1"/>
  <c r="F29" i="16"/>
  <c r="H29" i="16" s="1"/>
  <c r="F31" i="16"/>
  <c r="H31" i="16" s="1"/>
  <c r="F33" i="16"/>
  <c r="H33" i="16" s="1"/>
  <c r="F35" i="16"/>
  <c r="H35" i="16" s="1"/>
  <c r="F37" i="16"/>
  <c r="H37" i="16" s="1"/>
  <c r="F39" i="16"/>
  <c r="H39" i="16" s="1"/>
  <c r="F41" i="16"/>
  <c r="H41" i="16" s="1"/>
  <c r="F43" i="16"/>
  <c r="H43" i="16" s="1"/>
  <c r="F45" i="16"/>
  <c r="H45" i="16" s="1"/>
  <c r="F47" i="16"/>
  <c r="H47" i="16" s="1"/>
  <c r="F49" i="16"/>
  <c r="H49" i="16" s="1"/>
  <c r="F51" i="16"/>
  <c r="H51" i="16" s="1"/>
  <c r="F53" i="16"/>
  <c r="H53" i="16" s="1"/>
  <c r="F55" i="16"/>
  <c r="H55" i="16" s="1"/>
  <c r="F57" i="16"/>
  <c r="H57" i="16" s="1"/>
  <c r="F59" i="16"/>
  <c r="H59" i="16" s="1"/>
  <c r="F61" i="16"/>
  <c r="H61" i="16" s="1"/>
  <c r="F63" i="16"/>
  <c r="H63" i="16" s="1"/>
  <c r="F65" i="16"/>
  <c r="H65" i="16" s="1"/>
  <c r="F67" i="16"/>
  <c r="H67" i="16" s="1"/>
  <c r="F69" i="16"/>
  <c r="H69" i="16" s="1"/>
  <c r="F71" i="16"/>
  <c r="H71" i="16" s="1"/>
  <c r="F73" i="16"/>
  <c r="H73" i="16" s="1"/>
  <c r="F75" i="16"/>
  <c r="H75" i="16" s="1"/>
  <c r="F77" i="16"/>
  <c r="H77" i="16" s="1"/>
  <c r="F79" i="16"/>
  <c r="H79" i="16" s="1"/>
  <c r="F81" i="16"/>
  <c r="H81" i="16" s="1"/>
  <c r="F83" i="16"/>
  <c r="H83" i="16" s="1"/>
  <c r="F85" i="16"/>
  <c r="H85" i="16" s="1"/>
  <c r="F87" i="16"/>
  <c r="H87" i="16" s="1"/>
  <c r="F89" i="16"/>
  <c r="H89" i="16" s="1"/>
  <c r="F91" i="16"/>
  <c r="H91" i="16" s="1"/>
  <c r="F93" i="16"/>
  <c r="H93" i="16" s="1"/>
  <c r="F95" i="16"/>
  <c r="H95" i="16" s="1"/>
  <c r="F97" i="16"/>
  <c r="H97" i="16" s="1"/>
  <c r="F99" i="16"/>
  <c r="H99" i="16" s="1"/>
  <c r="F101" i="16"/>
  <c r="H101" i="16" s="1"/>
  <c r="F103" i="16"/>
  <c r="H103" i="16" s="1"/>
  <c r="F105" i="16"/>
  <c r="H105" i="16" s="1"/>
  <c r="F107" i="16"/>
  <c r="H107" i="16" s="1"/>
  <c r="F109" i="16"/>
  <c r="H109" i="16" s="1"/>
  <c r="F111" i="16"/>
  <c r="H111" i="16" s="1"/>
  <c r="F113" i="16"/>
  <c r="H113" i="16" s="1"/>
  <c r="F115" i="16"/>
  <c r="H115" i="16" s="1"/>
  <c r="F117" i="16"/>
  <c r="H117" i="16" s="1"/>
  <c r="F119" i="16"/>
  <c r="H119" i="16" s="1"/>
  <c r="F121" i="16"/>
  <c r="H121" i="16" s="1"/>
  <c r="F123" i="16"/>
  <c r="H123" i="16" s="1"/>
  <c r="F125" i="16"/>
  <c r="H125" i="16" s="1"/>
  <c r="F127" i="16"/>
  <c r="H127" i="16" s="1"/>
  <c r="F129" i="16"/>
  <c r="H129" i="16" s="1"/>
  <c r="F131" i="16"/>
  <c r="H131" i="16" s="1"/>
  <c r="F133" i="16"/>
  <c r="H133" i="16" s="1"/>
  <c r="F135" i="16"/>
  <c r="H135" i="16" s="1"/>
  <c r="F137" i="16"/>
  <c r="H137" i="16" s="1"/>
  <c r="F139" i="16"/>
  <c r="H139" i="16" s="1"/>
  <c r="F141" i="16"/>
  <c r="H141" i="16" s="1"/>
  <c r="F143" i="16"/>
  <c r="H143" i="16" s="1"/>
  <c r="F145" i="16"/>
  <c r="H145" i="16" s="1"/>
  <c r="F147" i="16"/>
  <c r="H147" i="16" s="1"/>
  <c r="F149" i="16"/>
  <c r="H149" i="16" s="1"/>
  <c r="F151" i="16"/>
  <c r="H151" i="16" s="1"/>
  <c r="F153" i="16"/>
  <c r="H153" i="16" s="1"/>
  <c r="F155" i="16"/>
  <c r="H155" i="16" s="1"/>
  <c r="F157" i="16"/>
  <c r="H157" i="16" s="1"/>
  <c r="F159" i="16"/>
  <c r="H159" i="16" s="1"/>
  <c r="F161" i="16"/>
  <c r="H161" i="16" s="1"/>
  <c r="F163" i="16"/>
  <c r="H163" i="16" s="1"/>
  <c r="F165" i="16"/>
  <c r="H165" i="16" s="1"/>
  <c r="F167" i="16"/>
  <c r="H167" i="16" s="1"/>
  <c r="F169" i="16"/>
  <c r="H169" i="16" s="1"/>
  <c r="F171" i="16"/>
  <c r="H171" i="16" s="1"/>
  <c r="F173" i="16"/>
  <c r="H173" i="16" s="1"/>
  <c r="F175" i="16"/>
  <c r="H175" i="16" s="1"/>
  <c r="F177" i="16"/>
  <c r="H177" i="16" s="1"/>
  <c r="F179" i="16"/>
  <c r="H179" i="16" s="1"/>
  <c r="F181" i="16"/>
  <c r="H181" i="16" s="1"/>
  <c r="F183" i="16"/>
  <c r="H183" i="16" s="1"/>
  <c r="F185" i="16"/>
  <c r="H185" i="16" s="1"/>
  <c r="F187" i="16"/>
  <c r="H187" i="16" s="1"/>
  <c r="F189" i="16"/>
  <c r="H189" i="16" s="1"/>
  <c r="F191" i="16"/>
  <c r="H191" i="16" s="1"/>
  <c r="F193" i="16"/>
  <c r="H193" i="16" s="1"/>
  <c r="F195" i="16"/>
  <c r="H195" i="16" s="1"/>
  <c r="F197" i="16"/>
  <c r="H197" i="16" s="1"/>
  <c r="F199" i="16"/>
  <c r="H199" i="16" s="1"/>
  <c r="F201" i="16"/>
  <c r="H201" i="16" s="1"/>
  <c r="F203" i="16"/>
  <c r="H203" i="16" s="1"/>
  <c r="F205" i="16"/>
  <c r="H205" i="16" s="1"/>
  <c r="F207" i="16"/>
  <c r="H207" i="16" s="1"/>
  <c r="F209" i="16"/>
  <c r="H209" i="16" s="1"/>
  <c r="F211" i="16"/>
  <c r="H211" i="16" s="1"/>
  <c r="F213" i="16"/>
  <c r="H213" i="16" s="1"/>
  <c r="F215" i="16"/>
  <c r="H215" i="16" s="1"/>
  <c r="F217" i="16"/>
  <c r="H217" i="16" s="1"/>
  <c r="F219" i="16"/>
  <c r="H219" i="16" s="1"/>
  <c r="F221" i="16"/>
  <c r="H221" i="16" s="1"/>
  <c r="F223" i="16"/>
  <c r="H223" i="16" s="1"/>
  <c r="F225" i="16"/>
  <c r="H225" i="16" s="1"/>
  <c r="F227" i="16"/>
  <c r="H227" i="16" s="1"/>
  <c r="F229" i="16"/>
  <c r="H229" i="16" s="1"/>
  <c r="F231" i="16"/>
  <c r="H231" i="16" s="1"/>
  <c r="F233" i="16"/>
  <c r="H233" i="16" s="1"/>
  <c r="F235" i="16"/>
  <c r="H235" i="16" s="1"/>
  <c r="F237" i="16"/>
  <c r="H237" i="16" s="1"/>
  <c r="F239" i="16"/>
  <c r="H239" i="16" s="1"/>
  <c r="F241" i="16"/>
  <c r="H241" i="16" s="1"/>
  <c r="F243" i="16"/>
  <c r="H243" i="16" s="1"/>
  <c r="F245" i="16"/>
  <c r="H245" i="16" s="1"/>
  <c r="F247" i="16"/>
  <c r="H247" i="16" s="1"/>
  <c r="F249" i="16"/>
  <c r="H249" i="16" s="1"/>
  <c r="F251" i="16"/>
  <c r="H251" i="16" s="1"/>
  <c r="F253" i="16"/>
  <c r="H253" i="16" s="1"/>
  <c r="F255" i="16"/>
  <c r="H255" i="16" s="1"/>
  <c r="F257" i="16"/>
  <c r="H257" i="16" s="1"/>
  <c r="F259" i="16"/>
  <c r="H259" i="16" s="1"/>
  <c r="F261" i="16"/>
  <c r="H261" i="16" s="1"/>
  <c r="F263" i="16"/>
  <c r="H263" i="16" s="1"/>
  <c r="F265" i="16"/>
  <c r="H265" i="16" s="1"/>
  <c r="F267" i="16"/>
  <c r="H267" i="16" s="1"/>
  <c r="F269" i="16"/>
  <c r="H269" i="16" s="1"/>
  <c r="F271" i="16"/>
  <c r="H271" i="16" s="1"/>
  <c r="F273" i="16"/>
  <c r="H273" i="16" s="1"/>
  <c r="F275" i="16"/>
  <c r="H275" i="16" s="1"/>
  <c r="F277" i="16"/>
  <c r="H277" i="16" s="1"/>
  <c r="F279" i="16"/>
  <c r="H279" i="16" s="1"/>
  <c r="F281" i="16"/>
  <c r="H281" i="16" s="1"/>
  <c r="F283" i="16"/>
  <c r="H283" i="16" s="1"/>
  <c r="F285" i="16"/>
  <c r="H285" i="16" s="1"/>
  <c r="F287" i="16"/>
  <c r="H287" i="16" s="1"/>
  <c r="F289" i="16"/>
  <c r="H289" i="16" s="1"/>
  <c r="F291" i="16"/>
  <c r="H291" i="16" s="1"/>
  <c r="F293" i="16"/>
  <c r="H293" i="16" s="1"/>
  <c r="F295" i="16"/>
  <c r="H295" i="16" s="1"/>
  <c r="F297" i="16"/>
  <c r="H297" i="16" s="1"/>
  <c r="F299" i="16"/>
  <c r="H299" i="16" s="1"/>
  <c r="F301" i="16"/>
  <c r="H301" i="16" s="1"/>
  <c r="F303" i="16"/>
  <c r="H303" i="16" s="1"/>
  <c r="F305" i="16"/>
  <c r="H305" i="16" s="1"/>
  <c r="F307" i="16"/>
  <c r="H307" i="16" s="1"/>
  <c r="F309" i="16"/>
  <c r="H309" i="16" s="1"/>
  <c r="F311" i="16"/>
  <c r="H311" i="16" s="1"/>
  <c r="F313" i="16"/>
  <c r="H313" i="16" s="1"/>
  <c r="F315" i="16"/>
  <c r="H315" i="16" s="1"/>
  <c r="F317" i="16"/>
  <c r="H317" i="16" s="1"/>
  <c r="F319" i="16"/>
  <c r="H319" i="16" s="1"/>
  <c r="F321" i="16"/>
  <c r="H321" i="16" s="1"/>
  <c r="F323" i="16"/>
  <c r="H323" i="16" s="1"/>
  <c r="F325" i="16"/>
  <c r="H325" i="16" s="1"/>
  <c r="F327" i="16"/>
  <c r="H327" i="16" s="1"/>
  <c r="F329" i="16"/>
  <c r="H329" i="16" s="1"/>
  <c r="F331" i="16"/>
  <c r="H331" i="16" s="1"/>
  <c r="F333" i="16"/>
  <c r="H333" i="16" s="1"/>
  <c r="F335" i="16"/>
  <c r="H335" i="16" s="1"/>
  <c r="F337" i="16"/>
  <c r="H337" i="16" s="1"/>
  <c r="F339" i="16"/>
  <c r="H339" i="16" s="1"/>
  <c r="F341" i="16"/>
  <c r="H341" i="16" s="1"/>
  <c r="F343" i="16"/>
  <c r="H343" i="16" s="1"/>
  <c r="F345" i="16"/>
  <c r="H345" i="16" s="1"/>
  <c r="F347" i="16"/>
  <c r="H347" i="16" s="1"/>
  <c r="F349" i="16"/>
  <c r="H349" i="16" s="1"/>
  <c r="F351" i="16"/>
  <c r="H351" i="16" s="1"/>
  <c r="F353" i="16"/>
  <c r="H353" i="16" s="1"/>
  <c r="F355" i="16"/>
  <c r="H355" i="16" s="1"/>
  <c r="F357" i="16"/>
  <c r="H357" i="16" s="1"/>
  <c r="F359" i="16"/>
  <c r="H359" i="16" s="1"/>
  <c r="F361" i="16"/>
  <c r="H361" i="16" s="1"/>
  <c r="F363" i="16"/>
  <c r="H363" i="16" s="1"/>
  <c r="F365" i="16"/>
  <c r="H365" i="16" s="1"/>
  <c r="F367" i="16"/>
  <c r="H367" i="16" s="1"/>
  <c r="F369" i="16"/>
  <c r="H369" i="16" s="1"/>
  <c r="F371" i="16"/>
  <c r="H371" i="16" s="1"/>
  <c r="F373" i="16"/>
  <c r="H373" i="16" s="1"/>
  <c r="F375" i="16"/>
  <c r="H375" i="16" s="1"/>
  <c r="F377" i="16"/>
  <c r="H377" i="16" s="1"/>
  <c r="F379" i="16"/>
  <c r="H379" i="16" s="1"/>
  <c r="F381" i="16"/>
  <c r="H381" i="16" s="1"/>
  <c r="F383" i="16"/>
  <c r="H383" i="16" s="1"/>
  <c r="F385" i="16"/>
  <c r="H385" i="16" s="1"/>
  <c r="F387" i="16"/>
  <c r="H387" i="16" s="1"/>
  <c r="F389" i="16"/>
  <c r="H389" i="16" s="1"/>
  <c r="F391" i="16"/>
  <c r="H391" i="16" s="1"/>
  <c r="F393" i="16"/>
  <c r="H393" i="16" s="1"/>
  <c r="F395" i="16"/>
  <c r="H395" i="16" s="1"/>
  <c r="F397" i="16"/>
  <c r="H397" i="16" s="1"/>
  <c r="F399" i="16"/>
  <c r="H399" i="16" s="1"/>
  <c r="F401" i="16"/>
  <c r="H401" i="16" s="1"/>
  <c r="F403" i="16"/>
  <c r="H403" i="16" s="1"/>
  <c r="F405" i="16"/>
  <c r="H405" i="16" s="1"/>
  <c r="F407" i="16"/>
  <c r="H407" i="16" s="1"/>
  <c r="F409" i="16"/>
  <c r="H409" i="16" s="1"/>
  <c r="F411" i="16"/>
  <c r="H411" i="16" s="1"/>
  <c r="F413" i="16"/>
  <c r="H413" i="16" s="1"/>
  <c r="E13" i="16"/>
  <c r="G13" i="16" s="1"/>
  <c r="E15" i="16"/>
  <c r="G15" i="16" s="1"/>
  <c r="E17" i="16"/>
  <c r="G17" i="16" s="1"/>
  <c r="E19" i="16"/>
  <c r="G19" i="16" s="1"/>
  <c r="E21" i="16"/>
  <c r="G21" i="16" s="1"/>
  <c r="E23" i="16"/>
  <c r="G23" i="16" s="1"/>
  <c r="E25" i="16"/>
  <c r="G25" i="16" s="1"/>
  <c r="E27" i="16"/>
  <c r="G27" i="16" s="1"/>
  <c r="E29" i="16"/>
  <c r="G29" i="16" s="1"/>
  <c r="E31" i="16"/>
  <c r="G31" i="16" s="1"/>
  <c r="E33" i="16"/>
  <c r="G33" i="16" s="1"/>
  <c r="E35" i="16"/>
  <c r="G35" i="16" s="1"/>
  <c r="E37" i="16"/>
  <c r="G37" i="16" s="1"/>
  <c r="E39" i="16"/>
  <c r="G39" i="16" s="1"/>
  <c r="E41" i="16"/>
  <c r="G41" i="16" s="1"/>
  <c r="E43" i="16"/>
  <c r="G43" i="16" s="1"/>
  <c r="E45" i="16"/>
  <c r="G45" i="16" s="1"/>
  <c r="E47" i="16"/>
  <c r="G47" i="16" s="1"/>
  <c r="E49" i="16"/>
  <c r="G49" i="16" s="1"/>
  <c r="E51" i="16"/>
  <c r="G51" i="16" s="1"/>
  <c r="E53" i="16"/>
  <c r="G53" i="16" s="1"/>
  <c r="E55" i="16"/>
  <c r="G55" i="16" s="1"/>
  <c r="E57" i="16"/>
  <c r="G57" i="16" s="1"/>
  <c r="E59" i="16"/>
  <c r="G59" i="16" s="1"/>
  <c r="E61" i="16"/>
  <c r="G61" i="16" s="1"/>
  <c r="E63" i="16"/>
  <c r="G63" i="16" s="1"/>
  <c r="E65" i="16"/>
  <c r="G65" i="16" s="1"/>
  <c r="E67" i="16"/>
  <c r="G67" i="16" s="1"/>
  <c r="E69" i="16"/>
  <c r="G69" i="16" s="1"/>
  <c r="E71" i="16"/>
  <c r="G71" i="16" s="1"/>
  <c r="E73" i="16"/>
  <c r="G73" i="16" s="1"/>
  <c r="E75" i="16"/>
  <c r="G75" i="16" s="1"/>
  <c r="E77" i="16"/>
  <c r="G77" i="16" s="1"/>
  <c r="E79" i="16"/>
  <c r="G79" i="16" s="1"/>
  <c r="E81" i="16"/>
  <c r="G81" i="16" s="1"/>
  <c r="E83" i="16"/>
  <c r="G83" i="16" s="1"/>
  <c r="E85" i="16"/>
  <c r="G85" i="16" s="1"/>
  <c r="E87" i="16"/>
  <c r="G87" i="16" s="1"/>
  <c r="E89" i="16"/>
  <c r="G89" i="16" s="1"/>
  <c r="E91" i="16"/>
  <c r="G91" i="16" s="1"/>
  <c r="E93" i="16"/>
  <c r="G93" i="16" s="1"/>
  <c r="E95" i="16"/>
  <c r="G95" i="16" s="1"/>
  <c r="E97" i="16"/>
  <c r="G97" i="16" s="1"/>
  <c r="E99" i="16"/>
  <c r="G99" i="16" s="1"/>
  <c r="E101" i="16"/>
  <c r="G101" i="16" s="1"/>
  <c r="E103" i="16"/>
  <c r="G103" i="16" s="1"/>
  <c r="E105" i="16"/>
  <c r="G105" i="16" s="1"/>
  <c r="E107" i="16"/>
  <c r="G107" i="16" s="1"/>
  <c r="E109" i="16"/>
  <c r="G109" i="16" s="1"/>
  <c r="E111" i="16"/>
  <c r="G111" i="16" s="1"/>
  <c r="E113" i="16"/>
  <c r="G113" i="16" s="1"/>
  <c r="E115" i="16"/>
  <c r="G115" i="16" s="1"/>
  <c r="E117" i="16"/>
  <c r="G117" i="16" s="1"/>
  <c r="E119" i="16"/>
  <c r="G119" i="16" s="1"/>
  <c r="E121" i="16"/>
  <c r="G121" i="16" s="1"/>
  <c r="E123" i="16"/>
  <c r="G123" i="16" s="1"/>
  <c r="E125" i="16"/>
  <c r="G125" i="16" s="1"/>
  <c r="E127" i="16"/>
  <c r="G127" i="16" s="1"/>
  <c r="E129" i="16"/>
  <c r="G129" i="16" s="1"/>
  <c r="E131" i="16"/>
  <c r="G131" i="16" s="1"/>
  <c r="E133" i="16"/>
  <c r="G133" i="16" s="1"/>
  <c r="E135" i="16"/>
  <c r="G135" i="16" s="1"/>
  <c r="E137" i="16"/>
  <c r="G137" i="16" s="1"/>
  <c r="E139" i="16"/>
  <c r="G139" i="16" s="1"/>
  <c r="E141" i="16"/>
  <c r="G141" i="16" s="1"/>
  <c r="E143" i="16"/>
  <c r="G143" i="16" s="1"/>
  <c r="E145" i="16"/>
  <c r="G145" i="16" s="1"/>
  <c r="E147" i="16"/>
  <c r="G147" i="16" s="1"/>
  <c r="E149" i="16"/>
  <c r="G149" i="16" s="1"/>
  <c r="E151" i="16"/>
  <c r="G151" i="16" s="1"/>
  <c r="E153" i="16"/>
  <c r="G153" i="16" s="1"/>
  <c r="E155" i="16"/>
  <c r="G155" i="16" s="1"/>
  <c r="E157" i="16"/>
  <c r="G157" i="16" s="1"/>
  <c r="E159" i="16"/>
  <c r="G159" i="16" s="1"/>
  <c r="E161" i="16"/>
  <c r="G161" i="16" s="1"/>
  <c r="E163" i="16"/>
  <c r="G163" i="16" s="1"/>
  <c r="E165" i="16"/>
  <c r="G165" i="16" s="1"/>
  <c r="E167" i="16"/>
  <c r="G167" i="16" s="1"/>
  <c r="E169" i="16"/>
  <c r="G169" i="16" s="1"/>
  <c r="E171" i="16"/>
  <c r="G171" i="16" s="1"/>
  <c r="E173" i="16"/>
  <c r="G173" i="16" s="1"/>
  <c r="E175" i="16"/>
  <c r="G175" i="16" s="1"/>
  <c r="E177" i="16"/>
  <c r="G177" i="16" s="1"/>
  <c r="E179" i="16"/>
  <c r="G179" i="16" s="1"/>
  <c r="E181" i="16"/>
  <c r="G181" i="16" s="1"/>
  <c r="E183" i="16"/>
  <c r="G183" i="16" s="1"/>
  <c r="E185" i="16"/>
  <c r="G185" i="16" s="1"/>
  <c r="E187" i="16"/>
  <c r="G187" i="16" s="1"/>
  <c r="E189" i="16"/>
  <c r="G189" i="16" s="1"/>
  <c r="E191" i="16"/>
  <c r="G191" i="16" s="1"/>
  <c r="E193" i="16"/>
  <c r="G193" i="16" s="1"/>
  <c r="E195" i="16"/>
  <c r="G195" i="16" s="1"/>
  <c r="E197" i="16"/>
  <c r="G197" i="16" s="1"/>
  <c r="E199" i="16"/>
  <c r="G199" i="16" s="1"/>
  <c r="E201" i="16"/>
  <c r="G201" i="16" s="1"/>
  <c r="E203" i="16"/>
  <c r="G203" i="16" s="1"/>
  <c r="E205" i="16"/>
  <c r="G205" i="16" s="1"/>
  <c r="E207" i="16"/>
  <c r="G207" i="16" s="1"/>
  <c r="E209" i="16"/>
  <c r="G209" i="16" s="1"/>
  <c r="E211" i="16"/>
  <c r="G211" i="16" s="1"/>
  <c r="E213" i="16"/>
  <c r="G213" i="16" s="1"/>
  <c r="E215" i="16"/>
  <c r="G215" i="16" s="1"/>
  <c r="E217" i="16"/>
  <c r="G217" i="16" s="1"/>
  <c r="E219" i="16"/>
  <c r="G219" i="16" s="1"/>
  <c r="E221" i="16"/>
  <c r="G221" i="16" s="1"/>
  <c r="E223" i="16"/>
  <c r="G223" i="16" s="1"/>
  <c r="E225" i="16"/>
  <c r="G225" i="16" s="1"/>
  <c r="E227" i="16"/>
  <c r="G227" i="16" s="1"/>
  <c r="E229" i="16"/>
  <c r="G229" i="16" s="1"/>
  <c r="E231" i="16"/>
  <c r="G231" i="16" s="1"/>
  <c r="E233" i="16"/>
  <c r="G233" i="16" s="1"/>
  <c r="E235" i="16"/>
  <c r="G235" i="16" s="1"/>
  <c r="E237" i="16"/>
  <c r="G237" i="16" s="1"/>
  <c r="E239" i="16"/>
  <c r="G239" i="16" s="1"/>
  <c r="E241" i="16"/>
  <c r="G241" i="16" s="1"/>
  <c r="E243" i="16"/>
  <c r="G243" i="16" s="1"/>
  <c r="E245" i="16"/>
  <c r="G245" i="16" s="1"/>
  <c r="E247" i="16"/>
  <c r="G247" i="16" s="1"/>
  <c r="E249" i="16"/>
  <c r="G249" i="16" s="1"/>
  <c r="E251" i="16"/>
  <c r="G251" i="16" s="1"/>
  <c r="E253" i="16"/>
  <c r="G253" i="16" s="1"/>
  <c r="E255" i="16"/>
  <c r="G255" i="16" s="1"/>
  <c r="E257" i="16"/>
  <c r="G257" i="16" s="1"/>
  <c r="E259" i="16"/>
  <c r="G259" i="16" s="1"/>
  <c r="E261" i="16"/>
  <c r="G261" i="16" s="1"/>
  <c r="E263" i="16"/>
  <c r="G263" i="16" s="1"/>
  <c r="E265" i="16"/>
  <c r="G265" i="16" s="1"/>
  <c r="E267" i="16"/>
  <c r="G267" i="16" s="1"/>
  <c r="E269" i="16"/>
  <c r="G269" i="16" s="1"/>
  <c r="E271" i="16"/>
  <c r="G271" i="16" s="1"/>
  <c r="E273" i="16"/>
  <c r="G273" i="16" s="1"/>
  <c r="E275" i="16"/>
  <c r="G275" i="16" s="1"/>
  <c r="E277" i="16"/>
  <c r="G277" i="16" s="1"/>
  <c r="E279" i="16"/>
  <c r="G279" i="16" s="1"/>
  <c r="E281" i="16"/>
  <c r="G281" i="16" s="1"/>
  <c r="E283" i="16"/>
  <c r="G283" i="16" s="1"/>
  <c r="E285" i="16"/>
  <c r="G285" i="16" s="1"/>
  <c r="E287" i="16"/>
  <c r="G287" i="16" s="1"/>
  <c r="E289" i="16"/>
  <c r="G289" i="16" s="1"/>
  <c r="E291" i="16"/>
  <c r="G291" i="16" s="1"/>
  <c r="E293" i="16"/>
  <c r="G293" i="16" s="1"/>
  <c r="E295" i="16"/>
  <c r="G295" i="16" s="1"/>
  <c r="E297" i="16"/>
  <c r="G297" i="16" s="1"/>
  <c r="E299" i="16"/>
  <c r="G299" i="16" s="1"/>
  <c r="E301" i="16"/>
  <c r="G301" i="16" s="1"/>
  <c r="E303" i="16"/>
  <c r="G303" i="16" s="1"/>
  <c r="E305" i="16"/>
  <c r="G305" i="16" s="1"/>
  <c r="E307" i="16"/>
  <c r="G307" i="16" s="1"/>
  <c r="E309" i="16"/>
  <c r="G309" i="16" s="1"/>
  <c r="E311" i="16"/>
  <c r="G311" i="16" s="1"/>
  <c r="E313" i="16"/>
  <c r="G313" i="16" s="1"/>
  <c r="E315" i="16"/>
  <c r="G315" i="16" s="1"/>
  <c r="E317" i="16"/>
  <c r="G317" i="16" s="1"/>
  <c r="E319" i="16"/>
  <c r="G319" i="16" s="1"/>
  <c r="E321" i="16"/>
  <c r="G321" i="16" s="1"/>
  <c r="E323" i="16"/>
  <c r="G323" i="16" s="1"/>
  <c r="E325" i="16"/>
  <c r="G325" i="16" s="1"/>
  <c r="E327" i="16"/>
  <c r="G327" i="16" s="1"/>
  <c r="E329" i="16"/>
  <c r="G329" i="16" s="1"/>
  <c r="E331" i="16"/>
  <c r="G331" i="16" s="1"/>
  <c r="E333" i="16"/>
  <c r="G333" i="16" s="1"/>
  <c r="E335" i="16"/>
  <c r="G335" i="16" s="1"/>
  <c r="E337" i="16"/>
  <c r="G337" i="16" s="1"/>
  <c r="E339" i="16"/>
  <c r="G339" i="16" s="1"/>
  <c r="E341" i="16"/>
  <c r="G341" i="16" s="1"/>
  <c r="E343" i="16"/>
  <c r="G343" i="16" s="1"/>
  <c r="E345" i="16"/>
  <c r="G345" i="16" s="1"/>
  <c r="E347" i="16"/>
  <c r="G347" i="16" s="1"/>
  <c r="E349" i="16"/>
  <c r="G349" i="16" s="1"/>
  <c r="E351" i="16"/>
  <c r="G351" i="16" s="1"/>
  <c r="E353" i="16"/>
  <c r="G353" i="16" s="1"/>
  <c r="E355" i="16"/>
  <c r="G355" i="16" s="1"/>
  <c r="E357" i="16"/>
  <c r="G357" i="16" s="1"/>
  <c r="E359" i="16"/>
  <c r="G359" i="16" s="1"/>
  <c r="E361" i="16"/>
  <c r="G361" i="16" s="1"/>
  <c r="E363" i="16"/>
  <c r="G363" i="16" s="1"/>
  <c r="E365" i="16"/>
  <c r="G365" i="16" s="1"/>
  <c r="E367" i="16"/>
  <c r="G367" i="16" s="1"/>
  <c r="E369" i="16"/>
  <c r="G369" i="16" s="1"/>
  <c r="E371" i="16"/>
  <c r="G371" i="16" s="1"/>
  <c r="E373" i="16"/>
  <c r="G373" i="16" s="1"/>
  <c r="E375" i="16"/>
  <c r="G375" i="16" s="1"/>
  <c r="E377" i="16"/>
  <c r="G377" i="16" s="1"/>
  <c r="E379" i="16"/>
  <c r="G379" i="16" s="1"/>
  <c r="E381" i="16"/>
  <c r="G381" i="16" s="1"/>
  <c r="E383" i="16"/>
  <c r="G383" i="16" s="1"/>
  <c r="E385" i="16"/>
  <c r="G385" i="16" s="1"/>
  <c r="E387" i="16"/>
  <c r="G387" i="16" s="1"/>
  <c r="E389" i="16"/>
  <c r="G389" i="16" s="1"/>
  <c r="E391" i="16"/>
  <c r="G391" i="16" s="1"/>
  <c r="E393" i="16"/>
  <c r="G393" i="16" s="1"/>
  <c r="E395" i="16"/>
  <c r="G395" i="16" s="1"/>
  <c r="E397" i="16"/>
  <c r="G397" i="16" s="1"/>
  <c r="E399" i="16"/>
  <c r="G399" i="16" s="1"/>
  <c r="E401" i="16"/>
  <c r="G401" i="16" s="1"/>
  <c r="E403" i="16"/>
  <c r="G403" i="16" s="1"/>
  <c r="E405" i="16"/>
  <c r="G405" i="16" s="1"/>
  <c r="E407" i="16"/>
  <c r="G407" i="16" s="1"/>
  <c r="E409" i="16"/>
  <c r="G409" i="16" s="1"/>
  <c r="E411" i="16"/>
  <c r="G411" i="16" s="1"/>
  <c r="E413" i="16"/>
  <c r="G413" i="16" s="1"/>
  <c r="I14" i="16"/>
  <c r="I18" i="16"/>
  <c r="P6" i="12"/>
  <c r="K727" i="12"/>
  <c r="K730" i="12" s="1"/>
  <c r="M727" i="12"/>
  <c r="M730" i="12" s="1"/>
  <c r="P5" i="12"/>
  <c r="I415" i="16"/>
  <c r="I218" i="16" l="1"/>
  <c r="I394" i="16"/>
  <c r="I292" i="16"/>
  <c r="I122" i="16"/>
  <c r="I412" i="16"/>
  <c r="I406" i="16"/>
  <c r="I384" i="16"/>
  <c r="I404" i="16"/>
  <c r="I374" i="16"/>
  <c r="I380" i="16"/>
  <c r="I398" i="16"/>
  <c r="I294" i="16"/>
  <c r="I82" i="16"/>
  <c r="I132" i="16"/>
  <c r="I116" i="16"/>
  <c r="I60" i="16"/>
  <c r="I324" i="16"/>
  <c r="I13" i="16"/>
  <c r="I414" i="16"/>
  <c r="I396" i="16"/>
  <c r="I272" i="16"/>
  <c r="I296" i="16"/>
  <c r="I55" i="16"/>
  <c r="I360" i="16"/>
  <c r="I287" i="16"/>
  <c r="I231" i="16"/>
  <c r="I199" i="16"/>
  <c r="I143" i="16"/>
  <c r="I119" i="16"/>
  <c r="I249" i="16"/>
  <c r="I129" i="16"/>
  <c r="I89" i="16"/>
  <c r="I73" i="16"/>
  <c r="I65" i="16"/>
  <c r="I253" i="16"/>
  <c r="I45" i="16"/>
  <c r="I350" i="16"/>
  <c r="I345" i="16"/>
  <c r="I305" i="16"/>
  <c r="I281" i="16"/>
  <c r="I217" i="16"/>
  <c r="I209" i="16"/>
  <c r="I177" i="16"/>
  <c r="I105" i="16"/>
  <c r="I97" i="16"/>
  <c r="I25" i="16"/>
  <c r="I335" i="16"/>
  <c r="I93" i="16"/>
  <c r="I407" i="16"/>
  <c r="I399" i="16"/>
  <c r="I383" i="16"/>
  <c r="I367" i="16"/>
  <c r="I327" i="16"/>
  <c r="I311" i="16"/>
  <c r="I215" i="16"/>
  <c r="I31" i="16"/>
  <c r="I317" i="16"/>
  <c r="I285" i="16"/>
  <c r="I221" i="16"/>
  <c r="I189" i="16"/>
  <c r="I165" i="16"/>
  <c r="I157" i="16"/>
  <c r="I61" i="16"/>
  <c r="I411" i="16"/>
  <c r="I403" i="16"/>
  <c r="I395" i="16"/>
  <c r="I387" i="16"/>
  <c r="I379" i="16"/>
  <c r="I371" i="16"/>
  <c r="I363" i="16"/>
  <c r="I355" i="16"/>
  <c r="I347" i="16"/>
  <c r="I339" i="16"/>
  <c r="I331" i="16"/>
  <c r="I323" i="16"/>
  <c r="I315" i="16"/>
  <c r="I307" i="16"/>
  <c r="I299" i="16"/>
  <c r="I291" i="16"/>
  <c r="I283" i="16"/>
  <c r="I275" i="16"/>
  <c r="I267" i="16"/>
  <c r="I259" i="16"/>
  <c r="I251" i="16"/>
  <c r="I243" i="16"/>
  <c r="I235" i="16"/>
  <c r="I227" i="16"/>
  <c r="I219" i="16"/>
  <c r="I211" i="16"/>
  <c r="I203" i="16"/>
  <c r="I195" i="16"/>
  <c r="I187" i="16"/>
  <c r="I179" i="16"/>
  <c r="I171" i="16"/>
  <c r="I163" i="16"/>
  <c r="I155" i="16"/>
  <c r="I147" i="16"/>
  <c r="I139" i="16"/>
  <c r="I131" i="16"/>
  <c r="I123" i="16"/>
  <c r="I115" i="16"/>
  <c r="I107" i="16"/>
  <c r="I99" i="16"/>
  <c r="I83" i="16"/>
  <c r="I75" i="16"/>
  <c r="I67" i="16"/>
  <c r="I59" i="16"/>
  <c r="I51" i="16"/>
  <c r="I43" i="16"/>
  <c r="I35" i="16"/>
  <c r="I27" i="16"/>
  <c r="I19" i="16"/>
  <c r="I273" i="16"/>
  <c r="I241" i="16"/>
  <c r="I185" i="16"/>
  <c r="I145" i="16"/>
  <c r="I113" i="16"/>
  <c r="I391" i="16"/>
  <c r="I375" i="16"/>
  <c r="I343" i="16"/>
  <c r="I295" i="16"/>
  <c r="I279" i="16"/>
  <c r="I271" i="16"/>
  <c r="I263" i="16"/>
  <c r="I255" i="16"/>
  <c r="I247" i="16"/>
  <c r="I239" i="16"/>
  <c r="I223" i="16"/>
  <c r="I207" i="16"/>
  <c r="I191" i="16"/>
  <c r="I183" i="16"/>
  <c r="I175" i="16"/>
  <c r="I167" i="16"/>
  <c r="I159" i="16"/>
  <c r="I151" i="16"/>
  <c r="I135" i="16"/>
  <c r="I127" i="16"/>
  <c r="I111" i="16"/>
  <c r="I103" i="16"/>
  <c r="I95" i="16"/>
  <c r="I87" i="16"/>
  <c r="I71" i="16"/>
  <c r="I63" i="16"/>
  <c r="I47" i="16"/>
  <c r="I39" i="16"/>
  <c r="I23" i="16"/>
  <c r="I15" i="16"/>
  <c r="I342" i="16"/>
  <c r="I300" i="16"/>
  <c r="I409" i="16"/>
  <c r="I401" i="16"/>
  <c r="I393" i="16"/>
  <c r="I385" i="16"/>
  <c r="I377" i="16"/>
  <c r="I369" i="16"/>
  <c r="I361" i="16"/>
  <c r="I353" i="16"/>
  <c r="I337" i="16"/>
  <c r="I329" i="16"/>
  <c r="I321" i="16"/>
  <c r="I313" i="16"/>
  <c r="I297" i="16"/>
  <c r="I289" i="16"/>
  <c r="I265" i="16"/>
  <c r="I257" i="16"/>
  <c r="I233" i="16"/>
  <c r="I225" i="16"/>
  <c r="I201" i="16"/>
  <c r="I193" i="16"/>
  <c r="I169" i="16"/>
  <c r="I161" i="16"/>
  <c r="I153" i="16"/>
  <c r="I137" i="16"/>
  <c r="I121" i="16"/>
  <c r="I81" i="16"/>
  <c r="I57" i="16"/>
  <c r="I49" i="16"/>
  <c r="I41" i="16"/>
  <c r="I33" i="16"/>
  <c r="I17" i="16"/>
  <c r="I359" i="16"/>
  <c r="I351" i="16"/>
  <c r="I319" i="16"/>
  <c r="I303" i="16"/>
  <c r="I333" i="16"/>
  <c r="I309" i="16"/>
  <c r="I261" i="16"/>
  <c r="I237" i="16"/>
  <c r="I205" i="16"/>
  <c r="I181" i="16"/>
  <c r="I133" i="16"/>
  <c r="I109" i="16"/>
  <c r="I85" i="16"/>
  <c r="I29" i="16"/>
  <c r="I365" i="16"/>
  <c r="I341" i="16"/>
  <c r="I293" i="16"/>
  <c r="I269" i="16"/>
  <c r="I229" i="16"/>
  <c r="I213" i="16"/>
  <c r="I197" i="16"/>
  <c r="I141" i="16"/>
  <c r="I125" i="16"/>
  <c r="I101" i="16"/>
  <c r="I69" i="16"/>
  <c r="I37" i="16"/>
  <c r="I21" i="16"/>
  <c r="I325" i="16"/>
  <c r="I301" i="16"/>
  <c r="I277" i="16"/>
  <c r="I245" i="16"/>
  <c r="I173" i="16"/>
  <c r="I149" i="16"/>
  <c r="I117" i="16"/>
  <c r="I77" i="16"/>
  <c r="I79" i="16"/>
  <c r="I413" i="16"/>
  <c r="I405" i="16"/>
  <c r="I397" i="16"/>
  <c r="I389" i="16"/>
  <c r="I381" i="16"/>
  <c r="I373" i="16"/>
  <c r="I357" i="16"/>
  <c r="I349" i="16"/>
  <c r="I53" i="16"/>
  <c r="P727" i="12"/>
  <c r="P730" i="12" s="1"/>
  <c r="I91" i="16"/>
  <c r="F383" i="2" l="1"/>
  <c r="H142" i="12"/>
  <c r="J142" i="12" s="1"/>
  <c r="E142" i="12"/>
  <c r="G142" i="12" s="1"/>
  <c r="H15" i="12"/>
  <c r="J15" i="12" s="1"/>
  <c r="E15" i="12"/>
  <c r="G15" i="12" s="1"/>
  <c r="H243" i="12"/>
  <c r="J243" i="12" s="1"/>
  <c r="E243" i="12"/>
  <c r="G243" i="12" s="1"/>
  <c r="H57" i="12"/>
  <c r="J57" i="12" s="1"/>
  <c r="E57" i="12"/>
  <c r="G57" i="12" s="1"/>
  <c r="H6" i="12"/>
  <c r="J6" i="12" s="1"/>
  <c r="E6" i="12"/>
  <c r="G6" i="12" s="1"/>
  <c r="H58" i="12"/>
  <c r="J58" i="12" s="1"/>
  <c r="E58" i="12"/>
  <c r="G58" i="12" s="1"/>
  <c r="H143" i="12"/>
  <c r="J143" i="12" s="1"/>
  <c r="E143" i="12"/>
  <c r="G143" i="12" s="1"/>
  <c r="F368" i="2"/>
  <c r="F179" i="2"/>
  <c r="F182" i="2" l="1"/>
  <c r="E21" i="6"/>
  <c r="G21" i="6" s="1"/>
  <c r="E17" i="8"/>
  <c r="O451" i="2"/>
  <c r="M452" i="2"/>
  <c r="M451" i="2"/>
  <c r="J451" i="2"/>
  <c r="J431" i="2"/>
  <c r="F107" i="2"/>
  <c r="F184" i="2" s="1"/>
  <c r="F479" i="2"/>
  <c r="F278" i="2"/>
  <c r="F477" i="2"/>
  <c r="F498" i="2"/>
  <c r="F345" i="2"/>
  <c r="F463" i="2"/>
  <c r="F259" i="2"/>
  <c r="F470" i="2"/>
  <c r="F433" i="2"/>
  <c r="F502" i="2"/>
  <c r="F232" i="2"/>
  <c r="F469" i="2"/>
  <c r="F464" i="2"/>
  <c r="F435" i="2"/>
  <c r="M450" i="2"/>
  <c r="F405" i="2"/>
  <c r="F481" i="2"/>
  <c r="F262" i="2"/>
  <c r="O450" i="2"/>
  <c r="F484" i="2"/>
  <c r="F467" i="2"/>
  <c r="F500" i="2"/>
  <c r="F508" i="2"/>
  <c r="F478" i="2"/>
  <c r="F480" i="2"/>
  <c r="F473" i="2"/>
  <c r="F471" i="2"/>
  <c r="F501" i="2"/>
  <c r="F504" i="2"/>
  <c r="F507" i="2"/>
  <c r="F492" i="2"/>
  <c r="F271" i="2"/>
  <c r="F482" i="2"/>
  <c r="F375" i="2"/>
  <c r="F266" i="2"/>
  <c r="F490" i="2"/>
  <c r="F486" i="2"/>
  <c r="F497" i="2"/>
  <c r="F233" i="2"/>
  <c r="F248" i="2"/>
  <c r="F279" i="2"/>
  <c r="F434" i="2"/>
  <c r="F503" i="2"/>
  <c r="B25" i="18" l="1"/>
  <c r="B25" i="35" s="1"/>
  <c r="B37" i="18"/>
  <c r="F621" i="2"/>
  <c r="F623" i="2" s="1"/>
  <c r="F583" i="2"/>
  <c r="B29" i="18"/>
  <c r="B29" i="35" s="1"/>
  <c r="E17" i="6"/>
  <c r="G17" i="6" s="1"/>
  <c r="E19" i="6"/>
  <c r="G19" i="6" s="1"/>
  <c r="E20" i="6"/>
  <c r="G20" i="6" s="1"/>
  <c r="E18" i="6"/>
  <c r="G18" i="6" s="1"/>
  <c r="E13" i="6"/>
  <c r="G13" i="6" s="1"/>
  <c r="E16" i="6"/>
  <c r="G16" i="6" s="1"/>
  <c r="F511" i="2"/>
  <c r="J435" i="2"/>
  <c r="F440" i="2"/>
  <c r="F442" i="2" s="1"/>
  <c r="F409" i="2"/>
  <c r="F281" i="2"/>
  <c r="H423" i="2"/>
  <c r="F438" i="2"/>
  <c r="O454" i="2"/>
  <c r="F235" i="2"/>
  <c r="M454" i="2"/>
  <c r="F272" i="2"/>
  <c r="F275" i="2" s="1"/>
  <c r="F263" i="2"/>
  <c r="F268" i="2"/>
  <c r="F228" i="2"/>
  <c r="F645" i="2"/>
  <c r="F698" i="2" s="1"/>
  <c r="F582" i="2"/>
  <c r="F589" i="2" s="1"/>
  <c r="F619" i="2" s="1"/>
  <c r="F637" i="2" s="1"/>
  <c r="F496" i="2"/>
  <c r="F505" i="2" s="1"/>
  <c r="F420" i="2"/>
  <c r="F350" i="2"/>
  <c r="F288" i="2"/>
  <c r="F221" i="2"/>
  <c r="F142" i="2"/>
  <c r="F77" i="2"/>
  <c r="F76" i="2"/>
  <c r="G678" i="2"/>
  <c r="G677" i="2"/>
  <c r="G672" i="2"/>
  <c r="G661" i="2"/>
  <c r="G563" i="2"/>
  <c r="G553" i="2"/>
  <c r="G543" i="2"/>
  <c r="G542" i="2"/>
  <c r="G538" i="2"/>
  <c r="G529" i="2"/>
  <c r="F529" i="2"/>
  <c r="F520" i="2"/>
  <c r="F525" i="2" s="1"/>
  <c r="G516" i="2"/>
  <c r="G364" i="2"/>
  <c r="F365" i="2" s="1"/>
  <c r="G359" i="2"/>
  <c r="G360" i="2" s="1"/>
  <c r="F360" i="2"/>
  <c r="G174" i="2"/>
  <c r="G176" i="2" s="1"/>
  <c r="F171" i="2" s="1"/>
  <c r="G166" i="2"/>
  <c r="G159" i="2"/>
  <c r="G161" i="2" s="1"/>
  <c r="F157" i="2" s="1"/>
  <c r="G152" i="2"/>
  <c r="G154" i="2" s="1"/>
  <c r="F150" i="2" s="1"/>
  <c r="G146" i="2"/>
  <c r="F144" i="2" s="1"/>
  <c r="G107" i="2"/>
  <c r="G184" i="2" s="1"/>
  <c r="G451" i="2"/>
  <c r="B44" i="18" l="1"/>
  <c r="B37" i="35"/>
  <c r="B44" i="35" s="1"/>
  <c r="G554" i="2"/>
  <c r="G557" i="2"/>
  <c r="G571" i="2"/>
  <c r="F585" i="2"/>
  <c r="F444" i="2"/>
  <c r="E9" i="6" s="1"/>
  <c r="G9" i="6" s="1"/>
  <c r="F366" i="2"/>
  <c r="F369" i="2" s="1"/>
  <c r="F36" i="2" s="1"/>
  <c r="D36" i="33" s="1"/>
  <c r="G453" i="2"/>
  <c r="G85" i="2" s="1"/>
  <c r="J24" i="36" s="1"/>
  <c r="E22" i="8"/>
  <c r="H23" i="6"/>
  <c r="G520" i="2"/>
  <c r="G525" i="2" s="1"/>
  <c r="G640" i="2"/>
  <c r="F656" i="2"/>
  <c r="F661" i="2" s="1"/>
  <c r="G654" i="2"/>
  <c r="G365" i="2"/>
  <c r="F159" i="2"/>
  <c r="F161" i="2" s="1"/>
  <c r="F472" i="2"/>
  <c r="F571" i="2" s="1"/>
  <c r="H571" i="2" s="1"/>
  <c r="G663" i="2"/>
  <c r="G29" i="2"/>
  <c r="E29" i="33" s="1"/>
  <c r="G546" i="2"/>
  <c r="G19" i="2"/>
  <c r="G18" i="2"/>
  <c r="F21" i="2"/>
  <c r="G444" i="2"/>
  <c r="G82" i="2" s="1"/>
  <c r="G228" i="2"/>
  <c r="G11" i="2" s="1"/>
  <c r="E11" i="33" s="1"/>
  <c r="G235" i="2"/>
  <c r="G12" i="2" s="1"/>
  <c r="F284" i="2"/>
  <c r="F22" i="2" s="1"/>
  <c r="D22" i="33" s="1"/>
  <c r="G383" i="2"/>
  <c r="G41" i="2" s="1"/>
  <c r="G584" i="2"/>
  <c r="F249" i="2"/>
  <c r="F17" i="2" s="1"/>
  <c r="F18" i="2"/>
  <c r="F19" i="2"/>
  <c r="D19" i="33" s="1"/>
  <c r="F20" i="2"/>
  <c r="D20" i="33" s="1"/>
  <c r="G20" i="2"/>
  <c r="F11" i="2"/>
  <c r="F12" i="2"/>
  <c r="D12" i="33" s="1"/>
  <c r="G378" i="2"/>
  <c r="G40" i="2" s="1"/>
  <c r="F465" i="2"/>
  <c r="E15" i="6" s="1"/>
  <c r="G15" i="6" s="1"/>
  <c r="G354" i="2"/>
  <c r="F378" i="2"/>
  <c r="F40" i="2" s="1"/>
  <c r="F41" i="2"/>
  <c r="G474" i="2"/>
  <c r="H18" i="8" s="1"/>
  <c r="G284" i="2"/>
  <c r="G43" i="2"/>
  <c r="E43" i="33" s="1"/>
  <c r="F426" i="2"/>
  <c r="F79" i="2"/>
  <c r="I16" i="36" s="1"/>
  <c r="F16" i="36" s="1"/>
  <c r="F85" i="2"/>
  <c r="I24" i="36" s="1"/>
  <c r="F24" i="36" s="1"/>
  <c r="F86" i="2"/>
  <c r="I25" i="36" s="1"/>
  <c r="F25" i="36" s="1"/>
  <c r="F43" i="2"/>
  <c r="D43" i="33" s="1"/>
  <c r="G430" i="2"/>
  <c r="G79" i="2"/>
  <c r="J16" i="36" s="1"/>
  <c r="G86" i="2"/>
  <c r="F152" i="2"/>
  <c r="F154" i="2" s="1"/>
  <c r="G168" i="2"/>
  <c r="F164" i="2" s="1"/>
  <c r="F166" i="2" s="1"/>
  <c r="F168" i="2" s="1"/>
  <c r="G346" i="2"/>
  <c r="G34" i="2" s="1"/>
  <c r="E34" i="33" s="1"/>
  <c r="G406" i="2"/>
  <c r="G42" i="2" s="1"/>
  <c r="E42" i="33" s="1"/>
  <c r="G448" i="2"/>
  <c r="G84" i="2" s="1"/>
  <c r="J23" i="36" s="1"/>
  <c r="F346" i="2"/>
  <c r="F406" i="2"/>
  <c r="F42" i="2" s="1"/>
  <c r="G564" i="2"/>
  <c r="F14" i="34" l="1"/>
  <c r="J25" i="36"/>
  <c r="F10" i="34"/>
  <c r="J21" i="36"/>
  <c r="G22" i="2"/>
  <c r="E22" i="33" s="1"/>
  <c r="H13" i="2"/>
  <c r="B12" i="18"/>
  <c r="B12" i="35" s="1"/>
  <c r="E14" i="34"/>
  <c r="F597" i="2"/>
  <c r="D40" i="33"/>
  <c r="G593" i="2"/>
  <c r="E19" i="33"/>
  <c r="F599" i="2"/>
  <c r="D42" i="33"/>
  <c r="I11" i="2"/>
  <c r="D11" i="33"/>
  <c r="D13" i="33" s="1"/>
  <c r="G598" i="2"/>
  <c r="E41" i="33"/>
  <c r="E8" i="8"/>
  <c r="E7" i="34"/>
  <c r="B21" i="18"/>
  <c r="B21" i="35" s="1"/>
  <c r="E21" i="33"/>
  <c r="F592" i="2"/>
  <c r="D18" i="33"/>
  <c r="AY24" i="18"/>
  <c r="D21" i="33"/>
  <c r="H8" i="8"/>
  <c r="H9" i="8" s="1"/>
  <c r="G9" i="8" s="1"/>
  <c r="G10" i="8" s="1"/>
  <c r="H10" i="8" s="1"/>
  <c r="F7" i="34"/>
  <c r="E16" i="8"/>
  <c r="E13" i="34"/>
  <c r="H16" i="8"/>
  <c r="F13" i="34"/>
  <c r="H15" i="8"/>
  <c r="F12" i="34"/>
  <c r="F598" i="2"/>
  <c r="D41" i="33"/>
  <c r="G597" i="2"/>
  <c r="E40" i="33"/>
  <c r="G594" i="2"/>
  <c r="E20" i="33"/>
  <c r="F591" i="2"/>
  <c r="D17" i="33"/>
  <c r="G592" i="2"/>
  <c r="E18" i="33"/>
  <c r="AZ25" i="18"/>
  <c r="BB25" i="18" s="1"/>
  <c r="G599" i="2"/>
  <c r="AY23" i="18"/>
  <c r="F594" i="2"/>
  <c r="AY22" i="18"/>
  <c r="F593" i="2"/>
  <c r="G572" i="2"/>
  <c r="F572" i="2"/>
  <c r="F558" i="2"/>
  <c r="B48" i="18"/>
  <c r="B48" i="35" s="1"/>
  <c r="B49" i="18"/>
  <c r="B49" i="35" s="1"/>
  <c r="AY25" i="18"/>
  <c r="I22" i="2"/>
  <c r="B26" i="18"/>
  <c r="B26" i="35" s="1"/>
  <c r="B22" i="18"/>
  <c r="B22" i="35" s="1"/>
  <c r="B20" i="18"/>
  <c r="B20" i="35" s="1"/>
  <c r="AY21" i="18"/>
  <c r="AW58" i="18"/>
  <c r="B28" i="18"/>
  <c r="B28" i="35" s="1"/>
  <c r="B23" i="18"/>
  <c r="B23" i="35" s="1"/>
  <c r="E14" i="6"/>
  <c r="G14" i="6" s="1"/>
  <c r="G366" i="2"/>
  <c r="I10" i="22" s="1"/>
  <c r="I32" i="22" s="1"/>
  <c r="I34" i="22" s="1"/>
  <c r="J39" i="22" s="1"/>
  <c r="I38" i="22" s="1"/>
  <c r="H21" i="8"/>
  <c r="C12" i="18"/>
  <c r="AZ20" i="18"/>
  <c r="BB20" i="18" s="1"/>
  <c r="G35" i="2"/>
  <c r="E35" i="33" s="1"/>
  <c r="AZ22" i="18"/>
  <c r="BB22" i="18" s="1"/>
  <c r="F34" i="2"/>
  <c r="D34" i="33" s="1"/>
  <c r="E21" i="8"/>
  <c r="AZ26" i="18"/>
  <c r="BB26" i="18" s="1"/>
  <c r="AZ23" i="18"/>
  <c r="BB23" i="18" s="1"/>
  <c r="AZ28" i="18"/>
  <c r="BB28" i="18" s="1"/>
  <c r="AZ21" i="18"/>
  <c r="BB21" i="18" s="1"/>
  <c r="F430" i="2"/>
  <c r="F577" i="2" s="1"/>
  <c r="E7" i="8"/>
  <c r="H13" i="8"/>
  <c r="H9" i="6"/>
  <c r="H28" i="6" s="1"/>
  <c r="H29" i="6" s="1"/>
  <c r="H32" i="6" s="1"/>
  <c r="H35" i="6" s="1"/>
  <c r="F663" i="2"/>
  <c r="F640" i="2"/>
  <c r="G664" i="2"/>
  <c r="G665" i="2" s="1"/>
  <c r="F647" i="2"/>
  <c r="F654" i="2" s="1"/>
  <c r="F664" i="2" s="1"/>
  <c r="F13" i="2"/>
  <c r="G558" i="2"/>
  <c r="F174" i="2"/>
  <c r="F176" i="2" s="1"/>
  <c r="F82" i="2"/>
  <c r="I21" i="36" s="1"/>
  <c r="F21" i="36" s="1"/>
  <c r="AY20" i="18"/>
  <c r="F256" i="2"/>
  <c r="G585" i="2"/>
  <c r="F146" i="2"/>
  <c r="F29" i="2" s="1"/>
  <c r="D29" i="33" s="1"/>
  <c r="G243" i="2"/>
  <c r="G15" i="2" s="1"/>
  <c r="E15" i="33" s="1"/>
  <c r="G512" i="2"/>
  <c r="G88" i="2" s="1"/>
  <c r="G78" i="2"/>
  <c r="G577" i="2"/>
  <c r="F354" i="2"/>
  <c r="F35" i="2" s="1"/>
  <c r="D35" i="33" s="1"/>
  <c r="G17" i="2"/>
  <c r="G256" i="2"/>
  <c r="F6" i="34" l="1"/>
  <c r="J15" i="36"/>
  <c r="J18" i="36" s="1"/>
  <c r="J29" i="36"/>
  <c r="F16" i="34"/>
  <c r="F17" i="34" s="1"/>
  <c r="J27" i="36"/>
  <c r="F8" i="34"/>
  <c r="B50" i="18"/>
  <c r="B50" i="35" s="1"/>
  <c r="B52" i="35" s="1"/>
  <c r="F600" i="2"/>
  <c r="G13" i="2"/>
  <c r="E12" i="33"/>
  <c r="E13" i="33" s="1"/>
  <c r="G600" i="2"/>
  <c r="G591" i="2"/>
  <c r="G595" i="2" s="1"/>
  <c r="E17" i="33"/>
  <c r="E23" i="33" s="1"/>
  <c r="F98" i="2"/>
  <c r="I40" i="36" s="1"/>
  <c r="F40" i="36" s="1"/>
  <c r="E25" i="34"/>
  <c r="E13" i="8"/>
  <c r="D13" i="8" s="1"/>
  <c r="E10" i="34"/>
  <c r="D37" i="33"/>
  <c r="C52" i="18"/>
  <c r="C12" i="35"/>
  <c r="F595" i="2"/>
  <c r="AZ18" i="18"/>
  <c r="BB18" i="18" s="1"/>
  <c r="G9" i="26"/>
  <c r="G80" i="2"/>
  <c r="G7" i="26"/>
  <c r="G28" i="26" s="1"/>
  <c r="B24" i="18"/>
  <c r="B24" i="35" s="1"/>
  <c r="B19" i="18"/>
  <c r="B19" i="35" s="1"/>
  <c r="F78" i="2"/>
  <c r="G369" i="2"/>
  <c r="G36" i="2" s="1"/>
  <c r="F37" i="2"/>
  <c r="AZ19" i="18"/>
  <c r="BB19" i="18" s="1"/>
  <c r="H17" i="2"/>
  <c r="G13" i="8"/>
  <c r="H19" i="8"/>
  <c r="G89" i="2"/>
  <c r="D7" i="8"/>
  <c r="E9" i="8"/>
  <c r="J9" i="8"/>
  <c r="F665" i="2"/>
  <c r="G23" i="2"/>
  <c r="J31" i="36" l="1"/>
  <c r="J34" i="36" s="1"/>
  <c r="J42" i="36" s="1"/>
  <c r="E6" i="34"/>
  <c r="E8" i="34" s="1"/>
  <c r="B52" i="18"/>
  <c r="F18" i="34"/>
  <c r="F21" i="34" s="1"/>
  <c r="F27" i="34" s="1"/>
  <c r="F37" i="34" s="1"/>
  <c r="G26" i="2"/>
  <c r="I26" i="2" s="1"/>
  <c r="E26" i="33"/>
  <c r="G37" i="2"/>
  <c r="E36" i="33"/>
  <c r="E37" i="33" s="1"/>
  <c r="G90" i="2"/>
  <c r="G93" i="2" s="1"/>
  <c r="G17" i="26" s="1"/>
  <c r="G42" i="26" s="1"/>
  <c r="F80" i="2"/>
  <c r="F7" i="26"/>
  <c r="F28" i="26" s="1"/>
  <c r="G8" i="26"/>
  <c r="G16" i="26"/>
  <c r="G29" i="26" s="1"/>
  <c r="G11" i="26"/>
  <c r="G49" i="26"/>
  <c r="H23" i="8"/>
  <c r="G19" i="8"/>
  <c r="D9" i="8"/>
  <c r="D10" i="8" s="1"/>
  <c r="E10" i="8" s="1"/>
  <c r="I9" i="8" s="1"/>
  <c r="H20" i="8"/>
  <c r="G20" i="8" s="1"/>
  <c r="J56" i="36" l="1"/>
  <c r="J50" i="36"/>
  <c r="J55" i="36"/>
  <c r="F15" i="36"/>
  <c r="F18" i="36" s="1"/>
  <c r="I18" i="36"/>
  <c r="G30" i="26"/>
  <c r="G41" i="26"/>
  <c r="G43" i="26"/>
  <c r="I84" i="2"/>
  <c r="C8" i="18"/>
  <c r="G99" i="2"/>
  <c r="G100" i="2" s="1"/>
  <c r="G183" i="2" s="1"/>
  <c r="G185" i="2" s="1"/>
  <c r="G191" i="2" s="1"/>
  <c r="G23" i="8"/>
  <c r="H24" i="8"/>
  <c r="C15" i="18" l="1"/>
  <c r="C8" i="35"/>
  <c r="C15" i="35" s="1"/>
  <c r="C32" i="35" s="1"/>
  <c r="C34" i="35" s="1"/>
  <c r="C54" i="35" s="1"/>
  <c r="C58" i="35" s="1"/>
  <c r="G416" i="2"/>
  <c r="H27" i="8"/>
  <c r="H29" i="8" s="1"/>
  <c r="H32" i="8" s="1"/>
  <c r="H33" i="8" s="1"/>
  <c r="G24" i="8"/>
  <c r="G528" i="2"/>
  <c r="G531" i="2" s="1"/>
  <c r="G113" i="2" s="1"/>
  <c r="G110" i="2"/>
  <c r="G44" i="2" l="1"/>
  <c r="G45" i="2" s="1"/>
  <c r="G530" i="2"/>
  <c r="G112" i="2" s="1"/>
  <c r="G192" i="2"/>
  <c r="E44" i="33" l="1"/>
  <c r="E45" i="33" s="1"/>
  <c r="G12" i="26"/>
  <c r="G14" i="26" s="1"/>
  <c r="G15" i="26" s="1"/>
  <c r="G40" i="26" s="1"/>
  <c r="G19" i="26"/>
  <c r="G20" i="26"/>
  <c r="G22" i="26" s="1"/>
  <c r="G30" i="2"/>
  <c r="G38" i="26" l="1"/>
  <c r="G31" i="2"/>
  <c r="G46" i="2" s="1"/>
  <c r="E30" i="33"/>
  <c r="E31" i="33" s="1"/>
  <c r="E46" i="33" s="1"/>
  <c r="H60" i="12"/>
  <c r="J60" i="12" s="1"/>
  <c r="E60" i="12"/>
  <c r="G60" i="12" s="1"/>
  <c r="H59" i="12"/>
  <c r="J59" i="12" s="1"/>
  <c r="E59" i="12"/>
  <c r="G59" i="12" s="1"/>
  <c r="H7" i="12"/>
  <c r="J7" i="12" s="1"/>
  <c r="E7" i="12"/>
  <c r="G7" i="12" s="1"/>
  <c r="H46" i="12"/>
  <c r="J46" i="12" s="1"/>
  <c r="E46" i="12"/>
  <c r="G46" i="12" s="1"/>
  <c r="H9" i="12"/>
  <c r="J9" i="12" s="1"/>
  <c r="E9" i="12"/>
  <c r="G9" i="12" s="1"/>
  <c r="H61" i="12"/>
  <c r="J61" i="12" s="1"/>
  <c r="E61" i="12"/>
  <c r="G61" i="12" s="1"/>
  <c r="H633" i="12"/>
  <c r="J633" i="12" s="1"/>
  <c r="E633" i="12"/>
  <c r="G633" i="12" s="1"/>
  <c r="H638" i="12"/>
  <c r="J638" i="12" s="1"/>
  <c r="E638" i="12"/>
  <c r="G638" i="12" s="1"/>
  <c r="H637" i="12"/>
  <c r="J637" i="12" s="1"/>
  <c r="E637" i="12"/>
  <c r="G637" i="12" s="1"/>
  <c r="H636" i="12"/>
  <c r="J636" i="12" s="1"/>
  <c r="E636" i="12"/>
  <c r="G636" i="12" s="1"/>
  <c r="H47" i="12"/>
  <c r="J47" i="12" s="1"/>
  <c r="E47" i="12"/>
  <c r="G47" i="12" s="1"/>
  <c r="H12" i="12"/>
  <c r="J12" i="12" s="1"/>
  <c r="E12" i="12"/>
  <c r="G12" i="12" s="1"/>
  <c r="H42" i="12"/>
  <c r="J42" i="12" s="1"/>
  <c r="E42" i="12"/>
  <c r="G42" i="12" s="1"/>
  <c r="H13" i="12"/>
  <c r="J13" i="12" s="1"/>
  <c r="E13" i="12"/>
  <c r="G13" i="12" s="1"/>
  <c r="H10" i="12"/>
  <c r="J10" i="12" s="1"/>
  <c r="E10" i="12"/>
  <c r="G10" i="12" s="1"/>
  <c r="H175" i="12"/>
  <c r="J175" i="12" s="1"/>
  <c r="E175" i="12"/>
  <c r="G175" i="12" s="1"/>
  <c r="H174" i="12"/>
  <c r="J174" i="12" s="1"/>
  <c r="E174" i="12"/>
  <c r="G174" i="12" s="1"/>
  <c r="H173" i="12"/>
  <c r="J173" i="12" s="1"/>
  <c r="E173" i="12"/>
  <c r="G173" i="12" s="1"/>
  <c r="H172" i="12"/>
  <c r="J172" i="12" s="1"/>
  <c r="E172" i="12"/>
  <c r="G172" i="12" s="1"/>
  <c r="H171" i="12"/>
  <c r="J171" i="12" s="1"/>
  <c r="E171" i="12"/>
  <c r="G171" i="12" s="1"/>
  <c r="H170" i="12"/>
  <c r="J170" i="12" s="1"/>
  <c r="E170" i="12"/>
  <c r="G170" i="12" s="1"/>
  <c r="H169" i="12"/>
  <c r="J169" i="12" s="1"/>
  <c r="E169" i="12"/>
  <c r="G169" i="12" s="1"/>
  <c r="H168" i="12"/>
  <c r="J168" i="12" s="1"/>
  <c r="E168" i="12"/>
  <c r="G168" i="12" s="1"/>
  <c r="H167" i="12"/>
  <c r="J167" i="12" s="1"/>
  <c r="E167" i="12"/>
  <c r="G167" i="12" s="1"/>
  <c r="H166" i="12"/>
  <c r="J166" i="12" s="1"/>
  <c r="E166" i="12"/>
  <c r="G166" i="12" s="1"/>
  <c r="H165" i="12"/>
  <c r="J165" i="12" s="1"/>
  <c r="E165" i="12"/>
  <c r="G165" i="12" s="1"/>
  <c r="H164" i="12"/>
  <c r="J164" i="12" s="1"/>
  <c r="E164" i="12"/>
  <c r="G164" i="12" s="1"/>
  <c r="H163" i="12"/>
  <c r="J163" i="12" s="1"/>
  <c r="E163" i="12"/>
  <c r="G163" i="12" s="1"/>
  <c r="H162" i="12"/>
  <c r="J162" i="12" s="1"/>
  <c r="E162" i="12"/>
  <c r="G162" i="12" s="1"/>
  <c r="H161" i="12"/>
  <c r="J161" i="12" s="1"/>
  <c r="E161" i="12"/>
  <c r="G161" i="12" s="1"/>
  <c r="H16" i="12"/>
  <c r="J16" i="12" s="1"/>
  <c r="E16" i="12"/>
  <c r="G16" i="12" s="1"/>
  <c r="H11" i="12"/>
  <c r="J11" i="12" s="1"/>
  <c r="E11" i="12"/>
  <c r="G11" i="12" s="1"/>
  <c r="H62" i="12"/>
  <c r="J62" i="12" s="1"/>
  <c r="E62" i="12"/>
  <c r="G62" i="12" s="1"/>
  <c r="H45" i="12"/>
  <c r="J45" i="12" s="1"/>
  <c r="E45" i="12"/>
  <c r="G45" i="12" s="1"/>
  <c r="H21" i="12"/>
  <c r="J21" i="12" s="1"/>
  <c r="E21" i="12"/>
  <c r="G21" i="12" s="1"/>
  <c r="H17" i="12"/>
  <c r="J17" i="12" s="1"/>
  <c r="E17" i="12"/>
  <c r="G17" i="12" s="1"/>
  <c r="H49" i="12"/>
  <c r="J49" i="12" s="1"/>
  <c r="E49" i="12"/>
  <c r="G49" i="12" s="1"/>
  <c r="H18" i="12"/>
  <c r="J18" i="12" s="1"/>
  <c r="E18" i="12"/>
  <c r="G18" i="12" s="1"/>
  <c r="H25" i="12"/>
  <c r="J25" i="12" s="1"/>
  <c r="E25" i="12"/>
  <c r="G25" i="12" s="1"/>
  <c r="H24" i="12"/>
  <c r="J24" i="12" s="1"/>
  <c r="E24" i="12"/>
  <c r="G24" i="12" s="1"/>
  <c r="H50" i="12"/>
  <c r="J50" i="12" s="1"/>
  <c r="E50" i="12"/>
  <c r="G50" i="12" s="1"/>
  <c r="H14" i="12"/>
  <c r="J14" i="12" s="1"/>
  <c r="E14" i="12"/>
  <c r="G14" i="12" s="1"/>
  <c r="H29" i="12"/>
  <c r="J29" i="12" s="1"/>
  <c r="E29" i="12"/>
  <c r="G29" i="12" s="1"/>
  <c r="H63" i="12"/>
  <c r="J63" i="12" s="1"/>
  <c r="E63" i="12"/>
  <c r="G63" i="12" s="1"/>
  <c r="H5" i="12"/>
  <c r="J5" i="12" s="1"/>
  <c r="E5" i="12"/>
  <c r="G5" i="12" s="1"/>
  <c r="H19" i="12"/>
  <c r="J19" i="12" s="1"/>
  <c r="E19" i="12"/>
  <c r="G19" i="12" s="1"/>
  <c r="H67" i="12"/>
  <c r="J67" i="12" s="1"/>
  <c r="E67" i="12"/>
  <c r="G67" i="12" s="1"/>
  <c r="H78" i="12"/>
  <c r="J78" i="12" s="1"/>
  <c r="E78" i="12"/>
  <c r="H27" i="12"/>
  <c r="J27" i="12" s="1"/>
  <c r="E27" i="12"/>
  <c r="G27" i="12" s="1"/>
  <c r="H724" i="12"/>
  <c r="J724" i="12" s="1"/>
  <c r="E724" i="12"/>
  <c r="G724" i="12" s="1"/>
  <c r="H545" i="12"/>
  <c r="J545" i="12" s="1"/>
  <c r="E545" i="12"/>
  <c r="G545" i="12" s="1"/>
  <c r="H97" i="12"/>
  <c r="J97" i="12" s="1"/>
  <c r="E97" i="12"/>
  <c r="G97" i="12" s="1"/>
  <c r="H135" i="12"/>
  <c r="J135" i="12" s="1"/>
  <c r="E135" i="12"/>
  <c r="G135" i="12" s="1"/>
  <c r="H136" i="12"/>
  <c r="J136" i="12" s="1"/>
  <c r="E136" i="12"/>
  <c r="G136" i="12" s="1"/>
  <c r="H539" i="12"/>
  <c r="J539" i="12" s="1"/>
  <c r="E539" i="12"/>
  <c r="G539" i="12" s="1"/>
  <c r="H538" i="12"/>
  <c r="J538" i="12" s="1"/>
  <c r="E538" i="12"/>
  <c r="G538" i="12" s="1"/>
  <c r="H84" i="12"/>
  <c r="J84" i="12" s="1"/>
  <c r="E84" i="12"/>
  <c r="G84" i="12" s="1"/>
  <c r="H315" i="12"/>
  <c r="J315" i="12" s="1"/>
  <c r="E315" i="12"/>
  <c r="G315" i="12" s="1"/>
  <c r="H314" i="12"/>
  <c r="J314" i="12" s="1"/>
  <c r="E314" i="12"/>
  <c r="G314" i="12" s="1"/>
  <c r="H313" i="12"/>
  <c r="J313" i="12" s="1"/>
  <c r="E313" i="12"/>
  <c r="G313" i="12" s="1"/>
  <c r="H312" i="12"/>
  <c r="J312" i="12" s="1"/>
  <c r="G312" i="12"/>
  <c r="H311" i="12"/>
  <c r="J311" i="12" s="1"/>
  <c r="E311" i="12"/>
  <c r="G311" i="12" s="1"/>
  <c r="H310" i="12"/>
  <c r="J310" i="12" s="1"/>
  <c r="E310" i="12"/>
  <c r="G310" i="12" s="1"/>
  <c r="H309" i="12"/>
  <c r="J309" i="12" s="1"/>
  <c r="E309" i="12"/>
  <c r="G309" i="12" s="1"/>
  <c r="H308" i="12"/>
  <c r="J308" i="12" s="1"/>
  <c r="E308" i="12"/>
  <c r="G308" i="12" s="1"/>
  <c r="H76" i="12"/>
  <c r="J76" i="12" s="1"/>
  <c r="E76" i="12"/>
  <c r="G76" i="12" s="1"/>
  <c r="H64" i="12"/>
  <c r="J64" i="12" s="1"/>
  <c r="E64" i="12"/>
  <c r="G64" i="12" s="1"/>
  <c r="H244" i="12"/>
  <c r="J244" i="12" s="1"/>
  <c r="E244" i="12"/>
  <c r="G244" i="12" s="1"/>
  <c r="H20" i="12"/>
  <c r="J20" i="12" s="1"/>
  <c r="E20" i="12"/>
  <c r="G20" i="12" s="1"/>
  <c r="H220" i="12"/>
  <c r="J220" i="12" s="1"/>
  <c r="E220" i="12"/>
  <c r="G220" i="12" s="1"/>
  <c r="H128" i="12"/>
  <c r="J128" i="12" s="1"/>
  <c r="E128" i="12"/>
  <c r="G128" i="12" s="1"/>
  <c r="H112" i="12"/>
  <c r="J112" i="12" s="1"/>
  <c r="E112" i="12"/>
  <c r="G112" i="12" s="1"/>
  <c r="H102" i="12"/>
  <c r="J102" i="12" s="1"/>
  <c r="E102" i="12"/>
  <c r="G102" i="12" s="1"/>
  <c r="H113" i="12"/>
  <c r="J113" i="12" s="1"/>
  <c r="E113" i="12"/>
  <c r="G113" i="12" s="1"/>
  <c r="H158" i="12"/>
  <c r="J158" i="12" s="1"/>
  <c r="E158" i="12"/>
  <c r="G158" i="12" s="1"/>
  <c r="H157" i="12"/>
  <c r="J157" i="12" s="1"/>
  <c r="E157" i="12"/>
  <c r="G157" i="12" s="1"/>
  <c r="H156" i="12"/>
  <c r="J156" i="12" s="1"/>
  <c r="E156" i="12"/>
  <c r="G156" i="12" s="1"/>
  <c r="H155" i="12"/>
  <c r="J155" i="12" s="1"/>
  <c r="E155" i="12"/>
  <c r="G155" i="12" s="1"/>
  <c r="H154" i="12"/>
  <c r="J154" i="12" s="1"/>
  <c r="E154" i="12"/>
  <c r="G154" i="12" s="1"/>
  <c r="H153" i="12"/>
  <c r="J153" i="12" s="1"/>
  <c r="E153" i="12"/>
  <c r="G153" i="12" s="1"/>
  <c r="H152" i="12"/>
  <c r="J152" i="12" s="1"/>
  <c r="E152" i="12"/>
  <c r="G152" i="12" s="1"/>
  <c r="H151" i="12"/>
  <c r="J151" i="12" s="1"/>
  <c r="E151" i="12"/>
  <c r="G151" i="12" s="1"/>
  <c r="H150" i="12"/>
  <c r="J150" i="12" s="1"/>
  <c r="E150" i="12"/>
  <c r="G150" i="12" s="1"/>
  <c r="H149" i="12"/>
  <c r="J149" i="12" s="1"/>
  <c r="E149" i="12"/>
  <c r="G149" i="12" s="1"/>
  <c r="H148" i="12"/>
  <c r="J148" i="12" s="1"/>
  <c r="E148" i="12"/>
  <c r="G148" i="12" s="1"/>
  <c r="H147" i="12"/>
  <c r="J147" i="12" s="1"/>
  <c r="E147" i="12"/>
  <c r="G147" i="12" s="1"/>
  <c r="H146" i="12"/>
  <c r="J146" i="12" s="1"/>
  <c r="E146" i="12"/>
  <c r="G146" i="12" s="1"/>
  <c r="H145" i="12"/>
  <c r="J145" i="12" s="1"/>
  <c r="E145" i="12"/>
  <c r="G145" i="12" s="1"/>
  <c r="H144" i="12"/>
  <c r="J144" i="12" s="1"/>
  <c r="E144" i="12"/>
  <c r="G144" i="12" s="1"/>
  <c r="G78" i="12" l="1"/>
  <c r="G1" i="2"/>
  <c r="G18" i="26"/>
  <c r="G37" i="26" s="1"/>
  <c r="H31" i="12"/>
  <c r="J31" i="12" s="1"/>
  <c r="E31" i="12"/>
  <c r="G31" i="12" s="1"/>
  <c r="H54" i="12"/>
  <c r="J54" i="12" s="1"/>
  <c r="E54" i="12"/>
  <c r="G54" i="12" s="1"/>
  <c r="E55" i="12"/>
  <c r="H30" i="12"/>
  <c r="J30" i="12" s="1"/>
  <c r="E30" i="12"/>
  <c r="G30" i="12" s="1"/>
  <c r="H53" i="12"/>
  <c r="J53" i="12" s="1"/>
  <c r="E53" i="12"/>
  <c r="H26" i="12"/>
  <c r="J26" i="12" s="1"/>
  <c r="E26" i="12"/>
  <c r="G26" i="12" s="1"/>
  <c r="H23" i="12"/>
  <c r="J23" i="12" s="1"/>
  <c r="E23" i="12"/>
  <c r="G23" i="12" s="1"/>
  <c r="H726" i="12"/>
  <c r="J726" i="12" s="1"/>
  <c r="E726" i="12"/>
  <c r="G726" i="12" s="1"/>
  <c r="H725" i="12"/>
  <c r="E725" i="12"/>
  <c r="H723" i="12"/>
  <c r="E723" i="12"/>
  <c r="H722" i="12"/>
  <c r="J722" i="12" s="1"/>
  <c r="E722" i="12"/>
  <c r="G722" i="12" s="1"/>
  <c r="H721" i="12"/>
  <c r="E721" i="12"/>
  <c r="H720" i="12"/>
  <c r="E720" i="12"/>
  <c r="H719" i="12"/>
  <c r="J719" i="12" s="1"/>
  <c r="E719" i="12"/>
  <c r="G719" i="12" s="1"/>
  <c r="H718" i="12"/>
  <c r="E718" i="12"/>
  <c r="H717" i="12"/>
  <c r="E717" i="12"/>
  <c r="H716" i="12"/>
  <c r="E716" i="12"/>
  <c r="H715" i="12"/>
  <c r="E715" i="12"/>
  <c r="H714" i="12"/>
  <c r="E714" i="12"/>
  <c r="H713" i="12"/>
  <c r="E713" i="12"/>
  <c r="H712" i="12"/>
  <c r="J712" i="12" s="1"/>
  <c r="E712" i="12"/>
  <c r="G712" i="12" s="1"/>
  <c r="H711" i="12"/>
  <c r="E711" i="12"/>
  <c r="H710" i="12"/>
  <c r="J710" i="12" s="1"/>
  <c r="E710" i="12"/>
  <c r="G710" i="12" s="1"/>
  <c r="H709" i="12"/>
  <c r="J709" i="12" s="1"/>
  <c r="E709" i="12"/>
  <c r="G709" i="12" s="1"/>
  <c r="H708" i="12"/>
  <c r="J708" i="12" s="1"/>
  <c r="E708" i="12"/>
  <c r="G708" i="12" s="1"/>
  <c r="H707" i="12"/>
  <c r="E707" i="12"/>
  <c r="H706" i="12"/>
  <c r="E706" i="12"/>
  <c r="H705" i="12"/>
  <c r="E705" i="12"/>
  <c r="H704" i="12"/>
  <c r="J704" i="12" s="1"/>
  <c r="E704" i="12"/>
  <c r="G704" i="12" s="1"/>
  <c r="H703" i="12"/>
  <c r="E703" i="12"/>
  <c r="H702" i="12"/>
  <c r="E702" i="12"/>
  <c r="H701" i="12"/>
  <c r="E701" i="12"/>
  <c r="H700" i="12"/>
  <c r="E700" i="12"/>
  <c r="H699" i="12"/>
  <c r="J699" i="12" s="1"/>
  <c r="E699" i="12"/>
  <c r="G699" i="12" s="1"/>
  <c r="H698" i="12"/>
  <c r="J698" i="12" s="1"/>
  <c r="E698" i="12"/>
  <c r="G698" i="12" s="1"/>
  <c r="H697" i="12"/>
  <c r="J697" i="12" s="1"/>
  <c r="E697" i="12"/>
  <c r="G697" i="12" s="1"/>
  <c r="H696" i="12"/>
  <c r="J696" i="12" s="1"/>
  <c r="E696" i="12"/>
  <c r="G696" i="12" s="1"/>
  <c r="H695" i="12"/>
  <c r="J695" i="12" s="1"/>
  <c r="E695" i="12"/>
  <c r="G695" i="12" s="1"/>
  <c r="H694" i="12"/>
  <c r="E694" i="12"/>
  <c r="H693" i="12"/>
  <c r="E693" i="12"/>
  <c r="H692" i="12"/>
  <c r="J692" i="12" s="1"/>
  <c r="E692" i="12"/>
  <c r="G692" i="12" s="1"/>
  <c r="H691" i="12"/>
  <c r="E691" i="12"/>
  <c r="H690" i="12"/>
  <c r="J690" i="12" s="1"/>
  <c r="E690" i="12"/>
  <c r="G690" i="12" s="1"/>
  <c r="H689" i="12"/>
  <c r="E689" i="12"/>
  <c r="H688" i="12"/>
  <c r="J688" i="12" s="1"/>
  <c r="E688" i="12"/>
  <c r="G688" i="12" s="1"/>
  <c r="H687" i="12"/>
  <c r="E687" i="12"/>
  <c r="H686" i="12"/>
  <c r="J686" i="12" s="1"/>
  <c r="E686" i="12"/>
  <c r="G686" i="12" s="1"/>
  <c r="H685" i="12"/>
  <c r="E685" i="12"/>
  <c r="H684" i="12"/>
  <c r="J684" i="12" s="1"/>
  <c r="E684" i="12"/>
  <c r="G684" i="12" s="1"/>
  <c r="H683" i="12"/>
  <c r="J683" i="12" s="1"/>
  <c r="E683" i="12"/>
  <c r="G683" i="12" s="1"/>
  <c r="H682" i="12"/>
  <c r="J682" i="12" s="1"/>
  <c r="E682" i="12"/>
  <c r="G682" i="12" s="1"/>
  <c r="H681" i="12"/>
  <c r="E681" i="12"/>
  <c r="H680" i="12"/>
  <c r="E680" i="12"/>
  <c r="H679" i="12"/>
  <c r="E679" i="12"/>
  <c r="H678" i="12"/>
  <c r="E678" i="12"/>
  <c r="H677" i="12"/>
  <c r="J677" i="12" s="1"/>
  <c r="E677" i="12"/>
  <c r="G677" i="12" s="1"/>
  <c r="H676" i="12"/>
  <c r="J676" i="12" s="1"/>
  <c r="E676" i="12"/>
  <c r="G676" i="12" s="1"/>
  <c r="H675" i="12"/>
  <c r="J675" i="12" s="1"/>
  <c r="E675" i="12"/>
  <c r="G675" i="12" s="1"/>
  <c r="H674" i="12"/>
  <c r="J674" i="12" s="1"/>
  <c r="E674" i="12"/>
  <c r="G674" i="12" s="1"/>
  <c r="H673" i="12"/>
  <c r="J673" i="12" s="1"/>
  <c r="E673" i="12"/>
  <c r="G673" i="12" s="1"/>
  <c r="H672" i="12"/>
  <c r="J672" i="12" s="1"/>
  <c r="E672" i="12"/>
  <c r="G672" i="12" s="1"/>
  <c r="H671" i="12"/>
  <c r="J671" i="12" s="1"/>
  <c r="E671" i="12"/>
  <c r="G671" i="12" s="1"/>
  <c r="H670" i="12"/>
  <c r="J670" i="12" s="1"/>
  <c r="E670" i="12"/>
  <c r="G670" i="12" s="1"/>
  <c r="H669" i="12"/>
  <c r="J669" i="12" s="1"/>
  <c r="E669" i="12"/>
  <c r="G669" i="12" s="1"/>
  <c r="H668" i="12"/>
  <c r="J668" i="12" s="1"/>
  <c r="E668" i="12"/>
  <c r="G668" i="12" s="1"/>
  <c r="H667" i="12"/>
  <c r="J667" i="12" s="1"/>
  <c r="E667" i="12"/>
  <c r="G667" i="12" s="1"/>
  <c r="H666" i="12"/>
  <c r="J666" i="12" s="1"/>
  <c r="E666" i="12"/>
  <c r="G666" i="12" s="1"/>
  <c r="H665" i="12"/>
  <c r="E665" i="12"/>
  <c r="H664" i="12"/>
  <c r="J664" i="12" s="1"/>
  <c r="E664" i="12"/>
  <c r="G664" i="12" s="1"/>
  <c r="H663" i="12"/>
  <c r="E663" i="12"/>
  <c r="H662" i="12"/>
  <c r="E662" i="12"/>
  <c r="H661" i="12"/>
  <c r="J661" i="12" s="1"/>
  <c r="E661" i="12"/>
  <c r="G661" i="12" s="1"/>
  <c r="H660" i="12"/>
  <c r="E660" i="12"/>
  <c r="H659" i="12"/>
  <c r="J659" i="12" s="1"/>
  <c r="E659" i="12"/>
  <c r="G659" i="12" s="1"/>
  <c r="H658" i="12"/>
  <c r="E658" i="12"/>
  <c r="H657" i="12"/>
  <c r="E657" i="12"/>
  <c r="H656" i="12"/>
  <c r="E656" i="12"/>
  <c r="H655" i="12"/>
  <c r="E655" i="12"/>
  <c r="H654" i="12"/>
  <c r="E654" i="12"/>
  <c r="H653" i="12"/>
  <c r="E653" i="12"/>
  <c r="H652" i="12"/>
  <c r="J652" i="12" s="1"/>
  <c r="E652" i="12"/>
  <c r="G652" i="12" s="1"/>
  <c r="H651" i="12"/>
  <c r="E651" i="12"/>
  <c r="H650" i="12"/>
  <c r="E650" i="12"/>
  <c r="H649" i="12"/>
  <c r="E649" i="12"/>
  <c r="H648" i="12"/>
  <c r="E648" i="12"/>
  <c r="H647" i="12"/>
  <c r="E359" i="13" s="1"/>
  <c r="G359" i="13" s="1"/>
  <c r="E647" i="12"/>
  <c r="D359" i="13" s="1"/>
  <c r="F359" i="13" s="1"/>
  <c r="H646" i="12"/>
  <c r="E646" i="12"/>
  <c r="H645" i="12"/>
  <c r="E645" i="12"/>
  <c r="H644" i="12"/>
  <c r="E644" i="12"/>
  <c r="H643" i="12"/>
  <c r="E643" i="12"/>
  <c r="H642" i="12"/>
  <c r="E642" i="12"/>
  <c r="H641" i="12"/>
  <c r="E641" i="12"/>
  <c r="H640" i="12"/>
  <c r="J640" i="12" s="1"/>
  <c r="E640" i="12"/>
  <c r="G640" i="12" s="1"/>
  <c r="H639" i="12"/>
  <c r="J639" i="12" s="1"/>
  <c r="E639" i="12"/>
  <c r="G639" i="12" s="1"/>
  <c r="H635" i="12"/>
  <c r="E635" i="12"/>
  <c r="D358" i="13" s="1"/>
  <c r="F358" i="13" s="1"/>
  <c r="H634" i="12"/>
  <c r="E634" i="12"/>
  <c r="H632" i="12"/>
  <c r="E632" i="12"/>
  <c r="H631" i="12"/>
  <c r="J631" i="12" s="1"/>
  <c r="E631" i="12"/>
  <c r="G631" i="12" s="1"/>
  <c r="H630" i="12"/>
  <c r="E357" i="13" s="1"/>
  <c r="G357" i="13" s="1"/>
  <c r="E630" i="12"/>
  <c r="D357" i="13" s="1"/>
  <c r="F357" i="13" s="1"/>
  <c r="H629" i="12"/>
  <c r="J629" i="12" s="1"/>
  <c r="E629" i="12"/>
  <c r="G629" i="12" s="1"/>
  <c r="H628" i="12"/>
  <c r="J628" i="12" s="1"/>
  <c r="E628" i="12"/>
  <c r="G628" i="12" s="1"/>
  <c r="H627" i="12"/>
  <c r="E627" i="12"/>
  <c r="H626" i="12"/>
  <c r="J626" i="12" s="1"/>
  <c r="E626" i="12"/>
  <c r="G626" i="12" s="1"/>
  <c r="H625" i="12"/>
  <c r="E625" i="12"/>
  <c r="H624" i="12"/>
  <c r="J624" i="12" s="1"/>
  <c r="E624" i="12"/>
  <c r="G624" i="12" s="1"/>
  <c r="H623" i="12"/>
  <c r="J623" i="12" s="1"/>
  <c r="E623" i="12"/>
  <c r="G623" i="12" s="1"/>
  <c r="H622" i="12"/>
  <c r="J622" i="12" s="1"/>
  <c r="E622" i="12"/>
  <c r="G622" i="12" s="1"/>
  <c r="H621" i="12"/>
  <c r="J621" i="12" s="1"/>
  <c r="E621" i="12"/>
  <c r="G621" i="12" s="1"/>
  <c r="H620" i="12"/>
  <c r="E620" i="12"/>
  <c r="H619" i="12"/>
  <c r="E619" i="12"/>
  <c r="H618" i="12"/>
  <c r="J618" i="12" s="1"/>
  <c r="E618" i="12"/>
  <c r="G618" i="12" s="1"/>
  <c r="H617" i="12"/>
  <c r="J617" i="12" s="1"/>
  <c r="E617" i="12"/>
  <c r="G617" i="12" s="1"/>
  <c r="H616" i="12"/>
  <c r="E616" i="12"/>
  <c r="H615" i="12"/>
  <c r="E615" i="12"/>
  <c r="H614" i="12"/>
  <c r="E614" i="12"/>
  <c r="H613" i="12"/>
  <c r="J613" i="12" s="1"/>
  <c r="E613" i="12"/>
  <c r="G613" i="12" s="1"/>
  <c r="H612" i="12"/>
  <c r="E612" i="12"/>
  <c r="H611" i="12"/>
  <c r="J611" i="12" s="1"/>
  <c r="E611" i="12"/>
  <c r="G611" i="12" s="1"/>
  <c r="H610" i="12"/>
  <c r="E610" i="12"/>
  <c r="H609" i="12"/>
  <c r="E609" i="12"/>
  <c r="H608" i="12"/>
  <c r="E608" i="12"/>
  <c r="H607" i="12"/>
  <c r="E607" i="12"/>
  <c r="H606" i="12"/>
  <c r="E379" i="13" s="1"/>
  <c r="G379" i="13" s="1"/>
  <c r="E606" i="12"/>
  <c r="H605" i="12"/>
  <c r="E605" i="12"/>
  <c r="H604" i="12"/>
  <c r="E604" i="12"/>
  <c r="H603" i="12"/>
  <c r="J603" i="12" s="1"/>
  <c r="E603" i="12"/>
  <c r="G603" i="12" s="1"/>
  <c r="H602" i="12"/>
  <c r="E602" i="12"/>
  <c r="H601" i="12"/>
  <c r="E601" i="12"/>
  <c r="H600" i="12"/>
  <c r="E600" i="12"/>
  <c r="H599" i="12"/>
  <c r="E599" i="12"/>
  <c r="H598" i="12"/>
  <c r="J598" i="12" s="1"/>
  <c r="E598" i="12"/>
  <c r="G598" i="12" s="1"/>
  <c r="H597" i="12"/>
  <c r="J597" i="12" s="1"/>
  <c r="E597" i="12"/>
  <c r="G597" i="12" s="1"/>
  <c r="H596" i="12"/>
  <c r="J596" i="12" s="1"/>
  <c r="E596" i="12"/>
  <c r="G596" i="12" s="1"/>
  <c r="H595" i="12"/>
  <c r="J595" i="12" s="1"/>
  <c r="E595" i="12"/>
  <c r="G595" i="12" s="1"/>
  <c r="H594" i="12"/>
  <c r="J594" i="12" s="1"/>
  <c r="E594" i="12"/>
  <c r="G594" i="12" s="1"/>
  <c r="H593" i="12"/>
  <c r="J593" i="12" s="1"/>
  <c r="E593" i="12"/>
  <c r="G593" i="12" s="1"/>
  <c r="H592" i="12"/>
  <c r="E592" i="12"/>
  <c r="H591" i="12"/>
  <c r="J591" i="12" s="1"/>
  <c r="E591" i="12"/>
  <c r="G591" i="12" s="1"/>
  <c r="H590" i="12"/>
  <c r="J590" i="12" s="1"/>
  <c r="E590" i="12"/>
  <c r="G590" i="12" s="1"/>
  <c r="H589" i="12"/>
  <c r="J589" i="12" s="1"/>
  <c r="E589" i="12"/>
  <c r="G589" i="12" s="1"/>
  <c r="H588" i="12"/>
  <c r="J588" i="12" s="1"/>
  <c r="E588" i="12"/>
  <c r="G588" i="12" s="1"/>
  <c r="H587" i="12"/>
  <c r="J587" i="12" s="1"/>
  <c r="E587" i="12"/>
  <c r="G587" i="12" s="1"/>
  <c r="H586" i="12"/>
  <c r="J586" i="12" s="1"/>
  <c r="E586" i="12"/>
  <c r="G586" i="12" s="1"/>
  <c r="H585" i="12"/>
  <c r="J585" i="12" s="1"/>
  <c r="E585" i="12"/>
  <c r="G585" i="12" s="1"/>
  <c r="H584" i="12"/>
  <c r="E584" i="12"/>
  <c r="H583" i="12"/>
  <c r="E583" i="12"/>
  <c r="H582" i="12"/>
  <c r="E582" i="12"/>
  <c r="H581" i="12"/>
  <c r="E581" i="12"/>
  <c r="H580" i="12"/>
  <c r="J580" i="12" s="1"/>
  <c r="E580" i="12"/>
  <c r="G580" i="12" s="1"/>
  <c r="H579" i="12"/>
  <c r="E579" i="12"/>
  <c r="H578" i="12"/>
  <c r="J578" i="12" s="1"/>
  <c r="E578" i="12"/>
  <c r="G578" i="12" s="1"/>
  <c r="H577" i="12"/>
  <c r="J577" i="12" s="1"/>
  <c r="E577" i="12"/>
  <c r="G577" i="12" s="1"/>
  <c r="H576" i="12"/>
  <c r="J576" i="12" s="1"/>
  <c r="E576" i="12"/>
  <c r="G576" i="12" s="1"/>
  <c r="H575" i="12"/>
  <c r="E575" i="12"/>
  <c r="H574" i="12"/>
  <c r="J574" i="12" s="1"/>
  <c r="E574" i="12"/>
  <c r="G574" i="12" s="1"/>
  <c r="H573" i="12"/>
  <c r="J573" i="12" s="1"/>
  <c r="E573" i="12"/>
  <c r="G573" i="12" s="1"/>
  <c r="H572" i="12"/>
  <c r="E572" i="12"/>
  <c r="H571" i="12"/>
  <c r="E571" i="12"/>
  <c r="H570" i="12"/>
  <c r="E570" i="12"/>
  <c r="H569" i="12"/>
  <c r="E569" i="12"/>
  <c r="H568" i="12"/>
  <c r="E568" i="12"/>
  <c r="H567" i="12"/>
  <c r="J567" i="12" s="1"/>
  <c r="E567" i="12"/>
  <c r="G567" i="12" s="1"/>
  <c r="H566" i="12"/>
  <c r="E566" i="12"/>
  <c r="H565" i="12"/>
  <c r="E565" i="12"/>
  <c r="H564" i="12"/>
  <c r="E564" i="12"/>
  <c r="H563" i="12"/>
  <c r="J563" i="12" s="1"/>
  <c r="E563" i="12"/>
  <c r="G563" i="12" s="1"/>
  <c r="H562" i="12"/>
  <c r="E562" i="12"/>
  <c r="H561" i="12"/>
  <c r="J561" i="12" s="1"/>
  <c r="E561" i="12"/>
  <c r="G561" i="12" s="1"/>
  <c r="H560" i="12"/>
  <c r="J560" i="12" s="1"/>
  <c r="E560" i="12"/>
  <c r="G560" i="12" s="1"/>
  <c r="H559" i="12"/>
  <c r="J559" i="12" s="1"/>
  <c r="E559" i="12"/>
  <c r="G559" i="12" s="1"/>
  <c r="H558" i="12"/>
  <c r="E558" i="12"/>
  <c r="H557" i="12"/>
  <c r="J557" i="12" s="1"/>
  <c r="E557" i="12"/>
  <c r="G557" i="12" s="1"/>
  <c r="H556" i="12"/>
  <c r="E556" i="12"/>
  <c r="H555" i="12"/>
  <c r="E555" i="12"/>
  <c r="H554" i="12"/>
  <c r="J554" i="12" s="1"/>
  <c r="E554" i="12"/>
  <c r="G554" i="12" s="1"/>
  <c r="H553" i="12"/>
  <c r="E553" i="12"/>
  <c r="H552" i="12"/>
  <c r="E552" i="12"/>
  <c r="H551" i="12"/>
  <c r="E551" i="12"/>
  <c r="H550" i="12"/>
  <c r="E550" i="12"/>
  <c r="H549" i="12"/>
  <c r="E549" i="12"/>
  <c r="H548" i="12"/>
  <c r="E548" i="12"/>
  <c r="H547" i="12"/>
  <c r="E547" i="12"/>
  <c r="H546" i="12"/>
  <c r="E546" i="12"/>
  <c r="H544" i="12"/>
  <c r="J544" i="12" s="1"/>
  <c r="E544" i="12"/>
  <c r="G544" i="12" s="1"/>
  <c r="H543" i="12"/>
  <c r="E543" i="12"/>
  <c r="H542" i="12"/>
  <c r="E542" i="12"/>
  <c r="H541" i="12"/>
  <c r="J541" i="12" s="1"/>
  <c r="E541" i="12"/>
  <c r="G541" i="12" s="1"/>
  <c r="H540" i="12"/>
  <c r="E540" i="12"/>
  <c r="H537" i="12"/>
  <c r="J537" i="12" s="1"/>
  <c r="E537" i="12"/>
  <c r="G537" i="12" s="1"/>
  <c r="H536" i="12"/>
  <c r="E536" i="12"/>
  <c r="H535" i="12"/>
  <c r="E535" i="12"/>
  <c r="H534" i="12"/>
  <c r="E534" i="12"/>
  <c r="H533" i="12"/>
  <c r="J533" i="12" s="1"/>
  <c r="E533" i="12"/>
  <c r="G533" i="12" s="1"/>
  <c r="H532" i="12"/>
  <c r="J532" i="12" s="1"/>
  <c r="E532" i="12"/>
  <c r="G532" i="12" s="1"/>
  <c r="H531" i="12"/>
  <c r="E531" i="12"/>
  <c r="H530" i="12"/>
  <c r="J530" i="12" s="1"/>
  <c r="E530" i="12"/>
  <c r="G530" i="12" s="1"/>
  <c r="H529" i="12"/>
  <c r="J529" i="12" s="1"/>
  <c r="E529" i="12"/>
  <c r="G529" i="12" s="1"/>
  <c r="H528" i="12"/>
  <c r="E528" i="12"/>
  <c r="H527" i="12"/>
  <c r="J527" i="12" s="1"/>
  <c r="E527" i="12"/>
  <c r="G527" i="12" s="1"/>
  <c r="H526" i="12"/>
  <c r="E526" i="12"/>
  <c r="H525" i="12"/>
  <c r="E525" i="12"/>
  <c r="H524" i="12"/>
  <c r="E524" i="12"/>
  <c r="H523" i="12"/>
  <c r="J523" i="12" s="1"/>
  <c r="E523" i="12"/>
  <c r="G523" i="12" s="1"/>
  <c r="H522" i="12"/>
  <c r="J522" i="12" s="1"/>
  <c r="E522" i="12"/>
  <c r="G522" i="12" s="1"/>
  <c r="H521" i="12"/>
  <c r="J521" i="12" s="1"/>
  <c r="E521" i="12"/>
  <c r="G521" i="12" s="1"/>
  <c r="H520" i="12"/>
  <c r="E520" i="12"/>
  <c r="H519" i="12"/>
  <c r="E519" i="12"/>
  <c r="H518" i="12"/>
  <c r="J518" i="12" s="1"/>
  <c r="E518" i="12"/>
  <c r="G518" i="12" s="1"/>
  <c r="H517" i="12"/>
  <c r="J517" i="12" s="1"/>
  <c r="E517" i="12"/>
  <c r="G517" i="12" s="1"/>
  <c r="H516" i="12"/>
  <c r="J516" i="12" s="1"/>
  <c r="E516" i="12"/>
  <c r="G516" i="12" s="1"/>
  <c r="H515" i="12"/>
  <c r="E515" i="12"/>
  <c r="H514" i="12"/>
  <c r="E514" i="12"/>
  <c r="H513" i="12"/>
  <c r="E513" i="12"/>
  <c r="H512" i="12"/>
  <c r="E512" i="12"/>
  <c r="H511" i="12"/>
  <c r="E511" i="12"/>
  <c r="H509" i="12"/>
  <c r="E509" i="12"/>
  <c r="H507" i="12"/>
  <c r="J507" i="12" s="1"/>
  <c r="E507" i="12"/>
  <c r="G507" i="12" s="1"/>
  <c r="H505" i="12"/>
  <c r="E505" i="12"/>
  <c r="H504" i="12"/>
  <c r="E504" i="12"/>
  <c r="H503" i="12"/>
  <c r="J503" i="12" s="1"/>
  <c r="E503" i="12"/>
  <c r="G503" i="12" s="1"/>
  <c r="H502" i="12"/>
  <c r="E502" i="12"/>
  <c r="G502" i="12" s="1"/>
  <c r="H500" i="12"/>
  <c r="E500" i="12"/>
  <c r="H499" i="12"/>
  <c r="E499" i="12"/>
  <c r="H498" i="12"/>
  <c r="E498" i="12"/>
  <c r="G498" i="12" s="1"/>
  <c r="H497" i="12"/>
  <c r="E497" i="12"/>
  <c r="H496" i="12"/>
  <c r="E496" i="12"/>
  <c r="G496" i="12" s="1"/>
  <c r="H495" i="12"/>
  <c r="E495" i="12"/>
  <c r="H494" i="12"/>
  <c r="E494" i="12"/>
  <c r="G494" i="12" s="1"/>
  <c r="H493" i="12"/>
  <c r="E493" i="12"/>
  <c r="H492" i="12"/>
  <c r="E492" i="12"/>
  <c r="G492" i="12" s="1"/>
  <c r="H491" i="12"/>
  <c r="E491" i="12"/>
  <c r="H490" i="12"/>
  <c r="E490" i="12"/>
  <c r="G490" i="12" s="1"/>
  <c r="H489" i="12"/>
  <c r="E489" i="12"/>
  <c r="H488" i="12"/>
  <c r="E488" i="12"/>
  <c r="G488" i="12" s="1"/>
  <c r="H487" i="12"/>
  <c r="J487" i="12" s="1"/>
  <c r="E487" i="12"/>
  <c r="G487" i="12" s="1"/>
  <c r="H486" i="12"/>
  <c r="E486" i="12"/>
  <c r="H485" i="12"/>
  <c r="J485" i="12" s="1"/>
  <c r="E485" i="12"/>
  <c r="G485" i="12" s="1"/>
  <c r="H484" i="12"/>
  <c r="E484" i="12"/>
  <c r="G484" i="12" s="1"/>
  <c r="H483" i="12"/>
  <c r="J483" i="12" s="1"/>
  <c r="E483" i="12"/>
  <c r="G483" i="12" s="1"/>
  <c r="H482" i="12"/>
  <c r="E482" i="12"/>
  <c r="H481" i="12"/>
  <c r="J481" i="12" s="1"/>
  <c r="E481" i="12"/>
  <c r="G481" i="12" s="1"/>
  <c r="H480" i="12"/>
  <c r="J480" i="12" s="1"/>
  <c r="E480" i="12"/>
  <c r="G480" i="12" s="1"/>
  <c r="H479" i="12"/>
  <c r="J479" i="12" s="1"/>
  <c r="E479" i="12"/>
  <c r="G479" i="12" s="1"/>
  <c r="H478" i="12"/>
  <c r="E279" i="13" s="1"/>
  <c r="G279" i="13" s="1"/>
  <c r="E478" i="12"/>
  <c r="G478" i="12" s="1"/>
  <c r="H477" i="12"/>
  <c r="J477" i="12" s="1"/>
  <c r="E477" i="12"/>
  <c r="G477" i="12" s="1"/>
  <c r="H476" i="12"/>
  <c r="J476" i="12" s="1"/>
  <c r="E476" i="12"/>
  <c r="G476" i="12" s="1"/>
  <c r="H475" i="12"/>
  <c r="J475" i="12" s="1"/>
  <c r="E475" i="12"/>
  <c r="G475" i="12" s="1"/>
  <c r="H474" i="12"/>
  <c r="J474" i="12" s="1"/>
  <c r="E474" i="12"/>
  <c r="G474" i="12" s="1"/>
  <c r="H473" i="12"/>
  <c r="E473" i="12"/>
  <c r="H472" i="12"/>
  <c r="E472" i="12"/>
  <c r="G472" i="12" s="1"/>
  <c r="H471" i="12"/>
  <c r="J471" i="12" s="1"/>
  <c r="E471" i="12"/>
  <c r="G471" i="12" s="1"/>
  <c r="H470" i="12"/>
  <c r="E470" i="12"/>
  <c r="H469" i="12"/>
  <c r="J469" i="12" s="1"/>
  <c r="E469" i="12"/>
  <c r="G469" i="12" s="1"/>
  <c r="H468" i="12"/>
  <c r="E468" i="12"/>
  <c r="G468" i="12" s="1"/>
  <c r="H467" i="12"/>
  <c r="J467" i="12" s="1"/>
  <c r="E467" i="12"/>
  <c r="G467" i="12" s="1"/>
  <c r="H466" i="12"/>
  <c r="E466" i="12"/>
  <c r="H465" i="12"/>
  <c r="E465" i="12"/>
  <c r="G465" i="12" s="1"/>
  <c r="H464" i="12"/>
  <c r="E464" i="12"/>
  <c r="H463" i="12"/>
  <c r="E463" i="12"/>
  <c r="G463" i="12" s="1"/>
  <c r="H462" i="12"/>
  <c r="E462" i="12"/>
  <c r="H461" i="12"/>
  <c r="E461" i="12"/>
  <c r="G461" i="12" s="1"/>
  <c r="H460" i="12"/>
  <c r="J460" i="12" s="1"/>
  <c r="E460" i="12"/>
  <c r="G460" i="12" s="1"/>
  <c r="H459" i="12"/>
  <c r="E459" i="12"/>
  <c r="D268" i="13" s="1"/>
  <c r="F268" i="13" s="1"/>
  <c r="H458" i="12"/>
  <c r="E458" i="12"/>
  <c r="H457" i="12"/>
  <c r="J457" i="12" s="1"/>
  <c r="E457" i="12"/>
  <c r="G457" i="12" s="1"/>
  <c r="H456" i="12"/>
  <c r="J456" i="12" s="1"/>
  <c r="E456" i="12"/>
  <c r="G456" i="12" s="1"/>
  <c r="H455" i="12"/>
  <c r="J455" i="12" s="1"/>
  <c r="E455" i="12"/>
  <c r="G455" i="12" s="1"/>
  <c r="H454" i="12"/>
  <c r="E454" i="12"/>
  <c r="H453" i="12"/>
  <c r="J453" i="12" s="1"/>
  <c r="E453" i="12"/>
  <c r="G453" i="12" s="1"/>
  <c r="H452" i="12"/>
  <c r="J452" i="12" s="1"/>
  <c r="E452" i="12"/>
  <c r="G452" i="12" s="1"/>
  <c r="H451" i="12"/>
  <c r="E451" i="12"/>
  <c r="H450" i="12"/>
  <c r="E450" i="12"/>
  <c r="H449" i="12"/>
  <c r="J449" i="12" s="1"/>
  <c r="E449" i="12"/>
  <c r="G449" i="12" s="1"/>
  <c r="H448" i="12"/>
  <c r="E448" i="12"/>
  <c r="H447" i="12"/>
  <c r="E447" i="12"/>
  <c r="H446" i="12"/>
  <c r="E446" i="12"/>
  <c r="H445" i="12"/>
  <c r="E445" i="12"/>
  <c r="H444" i="12"/>
  <c r="E444" i="12"/>
  <c r="H443" i="12"/>
  <c r="E12" i="13" s="1"/>
  <c r="E443" i="12"/>
  <c r="D12" i="13" s="1"/>
  <c r="H442" i="12"/>
  <c r="J442" i="12" s="1"/>
  <c r="E442" i="12"/>
  <c r="G442" i="12" s="1"/>
  <c r="H441" i="12"/>
  <c r="E441" i="12"/>
  <c r="H440" i="12"/>
  <c r="E440" i="12"/>
  <c r="H439" i="12"/>
  <c r="E439" i="12"/>
  <c r="H438" i="12"/>
  <c r="E438" i="12"/>
  <c r="H437" i="12"/>
  <c r="E437" i="12"/>
  <c r="H436" i="12"/>
  <c r="E436" i="12"/>
  <c r="H435" i="12"/>
  <c r="E435" i="12"/>
  <c r="H434" i="12"/>
  <c r="J434" i="12" s="1"/>
  <c r="E434" i="12"/>
  <c r="G434" i="12" s="1"/>
  <c r="H433" i="12"/>
  <c r="J433" i="12" s="1"/>
  <c r="E433" i="12"/>
  <c r="G433" i="12" s="1"/>
  <c r="H432" i="12"/>
  <c r="E432" i="12"/>
  <c r="H431" i="12"/>
  <c r="J431" i="12" s="1"/>
  <c r="E431" i="12"/>
  <c r="G431" i="12" s="1"/>
  <c r="H430" i="12"/>
  <c r="J430" i="12" s="1"/>
  <c r="E430" i="12"/>
  <c r="G430" i="12" s="1"/>
  <c r="H429" i="12"/>
  <c r="J429" i="12" s="1"/>
  <c r="E429" i="12"/>
  <c r="G429" i="12" s="1"/>
  <c r="H428" i="12"/>
  <c r="J428" i="12" s="1"/>
  <c r="E428" i="12"/>
  <c r="G428" i="12" s="1"/>
  <c r="H427" i="12"/>
  <c r="J427" i="12" s="1"/>
  <c r="E427" i="12"/>
  <c r="G427" i="12" s="1"/>
  <c r="H426" i="12"/>
  <c r="J426" i="12" s="1"/>
  <c r="E426" i="12"/>
  <c r="G426" i="12" s="1"/>
  <c r="H425" i="12"/>
  <c r="E425" i="12"/>
  <c r="H424" i="12"/>
  <c r="J424" i="12" s="1"/>
  <c r="E424" i="12"/>
  <c r="G424" i="12" s="1"/>
  <c r="H423" i="12"/>
  <c r="J423" i="12" s="1"/>
  <c r="E423" i="12"/>
  <c r="G423" i="12" s="1"/>
  <c r="H422" i="12"/>
  <c r="E422" i="12"/>
  <c r="G422" i="12" s="1"/>
  <c r="H421" i="12"/>
  <c r="J421" i="12" s="1"/>
  <c r="E421" i="12"/>
  <c r="G421" i="12" s="1"/>
  <c r="H420" i="12"/>
  <c r="E420" i="12"/>
  <c r="H419" i="12"/>
  <c r="J419" i="12" s="1"/>
  <c r="E419" i="12"/>
  <c r="G419" i="12" s="1"/>
  <c r="H418" i="12"/>
  <c r="J418" i="12" s="1"/>
  <c r="E418" i="12"/>
  <c r="G418" i="12" s="1"/>
  <c r="H417" i="12"/>
  <c r="E417" i="12"/>
  <c r="H416" i="12"/>
  <c r="J416" i="12" s="1"/>
  <c r="E416" i="12"/>
  <c r="G416" i="12" s="1"/>
  <c r="H415" i="12"/>
  <c r="E415" i="12"/>
  <c r="H414" i="12"/>
  <c r="E414" i="12"/>
  <c r="G414" i="12" s="1"/>
  <c r="H413" i="12"/>
  <c r="E413" i="12"/>
  <c r="H412" i="12"/>
  <c r="E412" i="12"/>
  <c r="H411" i="12"/>
  <c r="J411" i="12" s="1"/>
  <c r="E411" i="12"/>
  <c r="G411" i="12" s="1"/>
  <c r="H410" i="12"/>
  <c r="J410" i="12" s="1"/>
  <c r="E410" i="12"/>
  <c r="G410" i="12" s="1"/>
  <c r="H409" i="12"/>
  <c r="E208" i="13" s="1"/>
  <c r="G208" i="13" s="1"/>
  <c r="E409" i="12"/>
  <c r="D208" i="13" s="1"/>
  <c r="F208" i="13" s="1"/>
  <c r="H408" i="12"/>
  <c r="J408" i="12" s="1"/>
  <c r="E408" i="12"/>
  <c r="G408" i="12" s="1"/>
  <c r="H407" i="12"/>
  <c r="J407" i="12" s="1"/>
  <c r="E407" i="12"/>
  <c r="G407" i="12" s="1"/>
  <c r="H406" i="12"/>
  <c r="J406" i="12" s="1"/>
  <c r="E406" i="12"/>
  <c r="G406" i="12" s="1"/>
  <c r="H405" i="12"/>
  <c r="E405" i="12"/>
  <c r="G405" i="12" s="1"/>
  <c r="H404" i="12"/>
  <c r="E404" i="12"/>
  <c r="H403" i="12"/>
  <c r="J403" i="12" s="1"/>
  <c r="E403" i="12"/>
  <c r="G403" i="12" s="1"/>
  <c r="H402" i="12"/>
  <c r="E402" i="12"/>
  <c r="G402" i="12" s="1"/>
  <c r="H401" i="12"/>
  <c r="E401" i="12"/>
  <c r="H400" i="12"/>
  <c r="E400" i="12"/>
  <c r="H399" i="12"/>
  <c r="E399" i="12"/>
  <c r="G399" i="12" s="1"/>
  <c r="H398" i="12"/>
  <c r="E398" i="12"/>
  <c r="H397" i="12"/>
  <c r="J397" i="12" s="1"/>
  <c r="E397" i="12"/>
  <c r="G397" i="12" s="1"/>
  <c r="H396" i="12"/>
  <c r="E396" i="12"/>
  <c r="H395" i="12"/>
  <c r="J395" i="12" s="1"/>
  <c r="E395" i="12"/>
  <c r="G395" i="12" s="1"/>
  <c r="H394" i="12"/>
  <c r="J394" i="12" s="1"/>
  <c r="E394" i="12"/>
  <c r="G394" i="12" s="1"/>
  <c r="H393" i="12"/>
  <c r="J393" i="12" s="1"/>
  <c r="E393" i="12"/>
  <c r="G393" i="12" s="1"/>
  <c r="H392" i="12"/>
  <c r="J392" i="12" s="1"/>
  <c r="E392" i="12"/>
  <c r="G392" i="12" s="1"/>
  <c r="H391" i="12"/>
  <c r="E391" i="12"/>
  <c r="H390" i="12"/>
  <c r="J390" i="12" s="1"/>
  <c r="E390" i="12"/>
  <c r="G390" i="12" s="1"/>
  <c r="H389" i="12"/>
  <c r="E389" i="12"/>
  <c r="G389" i="12" s="1"/>
  <c r="H388" i="12"/>
  <c r="E388" i="12"/>
  <c r="H387" i="12"/>
  <c r="E387" i="12"/>
  <c r="G387" i="12" s="1"/>
  <c r="H386" i="12"/>
  <c r="E386" i="12"/>
  <c r="H385" i="12"/>
  <c r="J385" i="12" s="1"/>
  <c r="E385" i="12"/>
  <c r="G385" i="12" s="1"/>
  <c r="H384" i="12"/>
  <c r="E384" i="12"/>
  <c r="H383" i="12"/>
  <c r="E383" i="12"/>
  <c r="G383" i="12" s="1"/>
  <c r="H382" i="12"/>
  <c r="E382" i="12"/>
  <c r="H381" i="12"/>
  <c r="E381" i="12"/>
  <c r="G381" i="12" s="1"/>
  <c r="H380" i="12"/>
  <c r="J380" i="12" s="1"/>
  <c r="E380" i="12"/>
  <c r="G380" i="12" s="1"/>
  <c r="H379" i="12"/>
  <c r="J379" i="12" s="1"/>
  <c r="E379" i="12"/>
  <c r="G379" i="12" s="1"/>
  <c r="H378" i="12"/>
  <c r="E378" i="12"/>
  <c r="H377" i="12"/>
  <c r="J377" i="12" s="1"/>
  <c r="E377" i="12"/>
  <c r="G377" i="12" s="1"/>
  <c r="H376" i="12"/>
  <c r="E376" i="12"/>
  <c r="G376" i="12" s="1"/>
  <c r="H375" i="12"/>
  <c r="J375" i="12" s="1"/>
  <c r="E375" i="12"/>
  <c r="G375" i="12" s="1"/>
  <c r="H374" i="12"/>
  <c r="J374" i="12" s="1"/>
  <c r="E374" i="12"/>
  <c r="G374" i="12" s="1"/>
  <c r="H373" i="12"/>
  <c r="J373" i="12" s="1"/>
  <c r="E373" i="12"/>
  <c r="G373" i="12" s="1"/>
  <c r="H372" i="12"/>
  <c r="E372" i="12"/>
  <c r="G372" i="12" s="1"/>
  <c r="H371" i="12"/>
  <c r="J371" i="12" s="1"/>
  <c r="E371" i="12"/>
  <c r="G371" i="12" s="1"/>
  <c r="H370" i="12"/>
  <c r="J370" i="12" s="1"/>
  <c r="E370" i="12"/>
  <c r="G370" i="12" s="1"/>
  <c r="H369" i="12"/>
  <c r="J369" i="12" s="1"/>
  <c r="E369" i="12"/>
  <c r="G369" i="12" s="1"/>
  <c r="H368" i="12"/>
  <c r="J368" i="12" s="1"/>
  <c r="E368" i="12"/>
  <c r="G368" i="12" s="1"/>
  <c r="H367" i="12"/>
  <c r="J367" i="12" s="1"/>
  <c r="E367" i="12"/>
  <c r="G367" i="12" s="1"/>
  <c r="H366" i="12"/>
  <c r="E366" i="12"/>
  <c r="H365" i="12"/>
  <c r="J365" i="12" s="1"/>
  <c r="E365" i="12"/>
  <c r="G365" i="12" s="1"/>
  <c r="H364" i="12"/>
  <c r="E364" i="12"/>
  <c r="H363" i="12"/>
  <c r="J363" i="12" s="1"/>
  <c r="E363" i="12"/>
  <c r="G363" i="12" s="1"/>
  <c r="H362" i="12"/>
  <c r="E362" i="12"/>
  <c r="G362" i="12" s="1"/>
  <c r="H361" i="12"/>
  <c r="J361" i="12" s="1"/>
  <c r="E361" i="12"/>
  <c r="G361" i="12" s="1"/>
  <c r="H360" i="12"/>
  <c r="E360" i="12"/>
  <c r="G360" i="12" s="1"/>
  <c r="H359" i="12"/>
  <c r="E359" i="12"/>
  <c r="H358" i="12"/>
  <c r="E358" i="12"/>
  <c r="G358" i="12" s="1"/>
  <c r="H357" i="12"/>
  <c r="E357" i="12"/>
  <c r="H356" i="12"/>
  <c r="E356" i="12"/>
  <c r="G356" i="12" s="1"/>
  <c r="H355" i="12"/>
  <c r="J355" i="12" s="1"/>
  <c r="E355" i="12"/>
  <c r="G355" i="12" s="1"/>
  <c r="H354" i="12"/>
  <c r="J354" i="12" s="1"/>
  <c r="E354" i="12"/>
  <c r="G354" i="12" s="1"/>
  <c r="H353" i="12"/>
  <c r="J353" i="12" s="1"/>
  <c r="E353" i="12"/>
  <c r="G353" i="12" s="1"/>
  <c r="H352" i="12"/>
  <c r="E352" i="12"/>
  <c r="G352" i="12" s="1"/>
  <c r="H351" i="12"/>
  <c r="E351" i="12"/>
  <c r="G351" i="12" s="1"/>
  <c r="H350" i="12"/>
  <c r="J350" i="12" s="1"/>
  <c r="E350" i="12"/>
  <c r="G350" i="12" s="1"/>
  <c r="H349" i="12"/>
  <c r="J349" i="12" s="1"/>
  <c r="E349" i="12"/>
  <c r="G349" i="12" s="1"/>
  <c r="H348" i="12"/>
  <c r="J348" i="12" s="1"/>
  <c r="E348" i="12"/>
  <c r="G348" i="12" s="1"/>
  <c r="H346" i="12"/>
  <c r="J346" i="12" s="1"/>
  <c r="E346" i="12"/>
  <c r="G346" i="12" s="1"/>
  <c r="H345" i="12"/>
  <c r="E345" i="12"/>
  <c r="G345" i="12" s="1"/>
  <c r="H344" i="12"/>
  <c r="E162" i="13" s="1"/>
  <c r="G162" i="13" s="1"/>
  <c r="E344" i="12"/>
  <c r="G344" i="12" s="1"/>
  <c r="H343" i="12"/>
  <c r="E343" i="12"/>
  <c r="H342" i="12"/>
  <c r="E342" i="12"/>
  <c r="G342" i="12" s="1"/>
  <c r="H341" i="12"/>
  <c r="E341" i="12"/>
  <c r="H340" i="12"/>
  <c r="E340" i="12"/>
  <c r="H339" i="12"/>
  <c r="E339" i="12"/>
  <c r="G339" i="12" s="1"/>
  <c r="H338" i="12"/>
  <c r="J338" i="12" s="1"/>
  <c r="E338" i="12"/>
  <c r="G338" i="12" s="1"/>
  <c r="H337" i="12"/>
  <c r="J337" i="12" s="1"/>
  <c r="E337" i="12"/>
  <c r="G337" i="12" s="1"/>
  <c r="H336" i="12"/>
  <c r="J336" i="12" s="1"/>
  <c r="E336" i="12"/>
  <c r="G336" i="12" s="1"/>
  <c r="H335" i="12"/>
  <c r="J335" i="12" s="1"/>
  <c r="E335" i="12"/>
  <c r="G335" i="12" s="1"/>
  <c r="H334" i="12"/>
  <c r="E334" i="12"/>
  <c r="G334" i="12" s="1"/>
  <c r="H333" i="12"/>
  <c r="E333" i="12"/>
  <c r="G333" i="12" s="1"/>
  <c r="H331" i="12"/>
  <c r="J331" i="12" s="1"/>
  <c r="E331" i="12"/>
  <c r="H330" i="12"/>
  <c r="E330" i="12"/>
  <c r="H329" i="12"/>
  <c r="E329" i="12"/>
  <c r="H328" i="12"/>
  <c r="E328" i="12"/>
  <c r="H327" i="12"/>
  <c r="E327" i="12"/>
  <c r="G327" i="12" s="1"/>
  <c r="H326" i="12"/>
  <c r="J326" i="12" s="1"/>
  <c r="E326" i="12"/>
  <c r="G326" i="12" s="1"/>
  <c r="H325" i="12"/>
  <c r="E325" i="12"/>
  <c r="H324" i="12"/>
  <c r="E324" i="12"/>
  <c r="G324" i="12" s="1"/>
  <c r="H323" i="12"/>
  <c r="J323" i="12" s="1"/>
  <c r="E323" i="12"/>
  <c r="G323" i="12" s="1"/>
  <c r="H322" i="12"/>
  <c r="J322" i="12" s="1"/>
  <c r="E322" i="12"/>
  <c r="G322" i="12" s="1"/>
  <c r="H321" i="12"/>
  <c r="E321" i="12"/>
  <c r="G321" i="12" s="1"/>
  <c r="H320" i="12"/>
  <c r="E320" i="12"/>
  <c r="H319" i="12"/>
  <c r="J319" i="12" s="1"/>
  <c r="E319" i="12"/>
  <c r="G319" i="12" s="1"/>
  <c r="H318" i="12"/>
  <c r="J318" i="12" s="1"/>
  <c r="E318" i="12"/>
  <c r="G318" i="12" s="1"/>
  <c r="H317" i="12"/>
  <c r="E317" i="12"/>
  <c r="G317" i="12" s="1"/>
  <c r="H316" i="12"/>
  <c r="J316" i="12" s="1"/>
  <c r="E316" i="12"/>
  <c r="G316" i="12" s="1"/>
  <c r="H307" i="12"/>
  <c r="J307" i="12" s="1"/>
  <c r="E307" i="12"/>
  <c r="G307" i="12" s="1"/>
  <c r="H306" i="12"/>
  <c r="E306" i="12"/>
  <c r="G306" i="12" s="1"/>
  <c r="H305" i="12"/>
  <c r="J305" i="12" s="1"/>
  <c r="E305" i="12"/>
  <c r="G305" i="12" s="1"/>
  <c r="H304" i="12"/>
  <c r="J304" i="12" s="1"/>
  <c r="E304" i="12"/>
  <c r="G304" i="12" s="1"/>
  <c r="H303" i="12"/>
  <c r="E303" i="12"/>
  <c r="H302" i="12"/>
  <c r="E302" i="12"/>
  <c r="G302" i="12" s="1"/>
  <c r="H301" i="12"/>
  <c r="E301" i="12"/>
  <c r="H300" i="12"/>
  <c r="E300" i="12"/>
  <c r="G300" i="12" s="1"/>
  <c r="H299" i="12"/>
  <c r="E299" i="12"/>
  <c r="G299" i="12" s="1"/>
  <c r="H298" i="12"/>
  <c r="J298" i="12" s="1"/>
  <c r="E298" i="12"/>
  <c r="G298" i="12" s="1"/>
  <c r="H297" i="12"/>
  <c r="E297" i="12"/>
  <c r="H296" i="12"/>
  <c r="E296" i="12"/>
  <c r="G296" i="12" s="1"/>
  <c r="H295" i="12"/>
  <c r="J295" i="12" s="1"/>
  <c r="E295" i="12"/>
  <c r="G295" i="12" s="1"/>
  <c r="H294" i="12"/>
  <c r="J294" i="12" s="1"/>
  <c r="E294" i="12"/>
  <c r="G294" i="12" s="1"/>
  <c r="H293" i="12"/>
  <c r="J293" i="12" s="1"/>
  <c r="E293" i="12"/>
  <c r="G293" i="12" s="1"/>
  <c r="H292" i="12"/>
  <c r="E292" i="12"/>
  <c r="G292" i="12" s="1"/>
  <c r="H291" i="12"/>
  <c r="E291" i="12"/>
  <c r="H290" i="12"/>
  <c r="J290" i="12" s="1"/>
  <c r="E290" i="12"/>
  <c r="G290" i="12" s="1"/>
  <c r="H289" i="12"/>
  <c r="E289" i="12"/>
  <c r="H288" i="12"/>
  <c r="J288" i="12" s="1"/>
  <c r="E288" i="12"/>
  <c r="G288" i="12" s="1"/>
  <c r="H287" i="12"/>
  <c r="J287" i="12" s="1"/>
  <c r="E287" i="12"/>
  <c r="H286" i="12"/>
  <c r="J286" i="12" s="1"/>
  <c r="E286" i="12"/>
  <c r="G286" i="12" s="1"/>
  <c r="H285" i="12"/>
  <c r="E285" i="12"/>
  <c r="H284" i="12"/>
  <c r="J284" i="12" s="1"/>
  <c r="E284" i="12"/>
  <c r="G284" i="12" s="1"/>
  <c r="H283" i="12"/>
  <c r="E283" i="12"/>
  <c r="G283" i="12" s="1"/>
  <c r="H282" i="12"/>
  <c r="E282" i="12"/>
  <c r="H281" i="12"/>
  <c r="E281" i="12"/>
  <c r="G281" i="12" s="1"/>
  <c r="H280" i="12"/>
  <c r="E280" i="12"/>
  <c r="H279" i="12"/>
  <c r="J279" i="12" s="1"/>
  <c r="E279" i="12"/>
  <c r="G279" i="12" s="1"/>
  <c r="H278" i="12"/>
  <c r="E278" i="12"/>
  <c r="G278" i="12" s="1"/>
  <c r="H277" i="12"/>
  <c r="E277" i="12"/>
  <c r="H276" i="12"/>
  <c r="E276" i="12"/>
  <c r="H275" i="12"/>
  <c r="J275" i="12" s="1"/>
  <c r="E275" i="12"/>
  <c r="G275" i="12" s="1"/>
  <c r="H274" i="12"/>
  <c r="J274" i="12" s="1"/>
  <c r="E274" i="12"/>
  <c r="G274" i="12" s="1"/>
  <c r="H273" i="12"/>
  <c r="J273" i="12" s="1"/>
  <c r="E273" i="12"/>
  <c r="G273" i="12" s="1"/>
  <c r="H272" i="12"/>
  <c r="J272" i="12" s="1"/>
  <c r="E272" i="12"/>
  <c r="G272" i="12" s="1"/>
  <c r="H271" i="12"/>
  <c r="E271" i="12"/>
  <c r="H270" i="12"/>
  <c r="E270" i="12"/>
  <c r="G270" i="12" s="1"/>
  <c r="H269" i="12"/>
  <c r="E269" i="12"/>
  <c r="H268" i="12"/>
  <c r="E268" i="12"/>
  <c r="H267" i="12"/>
  <c r="E267" i="12"/>
  <c r="G267" i="12" s="1"/>
  <c r="H266" i="12"/>
  <c r="E266" i="12"/>
  <c r="H265" i="12"/>
  <c r="E265" i="12"/>
  <c r="H264" i="12"/>
  <c r="E264" i="12"/>
  <c r="H263" i="12"/>
  <c r="J263" i="12" s="1"/>
  <c r="E263" i="12"/>
  <c r="D129" i="13" s="1"/>
  <c r="F129" i="13" s="1"/>
  <c r="H262" i="12"/>
  <c r="E262" i="12"/>
  <c r="G262" i="12" s="1"/>
  <c r="H261" i="12"/>
  <c r="J261" i="12" s="1"/>
  <c r="E261" i="12"/>
  <c r="G261" i="12" s="1"/>
  <c r="H260" i="12"/>
  <c r="J260" i="12" s="1"/>
  <c r="E260" i="12"/>
  <c r="G260" i="12" s="1"/>
  <c r="H259" i="12"/>
  <c r="J259" i="12" s="1"/>
  <c r="E259" i="12"/>
  <c r="G259" i="12" s="1"/>
  <c r="H258" i="12"/>
  <c r="E258" i="12"/>
  <c r="G258" i="12" s="1"/>
  <c r="H257" i="12"/>
  <c r="J257" i="12" s="1"/>
  <c r="E257" i="12"/>
  <c r="G257" i="12" s="1"/>
  <c r="H256" i="12"/>
  <c r="J256" i="12" s="1"/>
  <c r="E256" i="12"/>
  <c r="H255" i="12"/>
  <c r="J255" i="12" s="1"/>
  <c r="E255" i="12"/>
  <c r="H254" i="12"/>
  <c r="E254" i="12"/>
  <c r="H253" i="12"/>
  <c r="J253" i="12" s="1"/>
  <c r="E253" i="12"/>
  <c r="G253" i="12" s="1"/>
  <c r="H252" i="12"/>
  <c r="J252" i="12" s="1"/>
  <c r="E252" i="12"/>
  <c r="G252" i="12" s="1"/>
  <c r="H251" i="12"/>
  <c r="J251" i="12" s="1"/>
  <c r="E251" i="12"/>
  <c r="H250" i="12"/>
  <c r="J250" i="12" s="1"/>
  <c r="E250" i="12"/>
  <c r="G250" i="12" s="1"/>
  <c r="H249" i="12"/>
  <c r="J249" i="12" s="1"/>
  <c r="E249" i="12"/>
  <c r="G249" i="12" s="1"/>
  <c r="H248" i="12"/>
  <c r="J248" i="12" s="1"/>
  <c r="E248" i="12"/>
  <c r="H247" i="12"/>
  <c r="J247" i="12" s="1"/>
  <c r="E247" i="12"/>
  <c r="G247" i="12" s="1"/>
  <c r="H246" i="12"/>
  <c r="J246" i="12" s="1"/>
  <c r="E246" i="12"/>
  <c r="G246" i="12" s="1"/>
  <c r="H245" i="12"/>
  <c r="E245" i="12"/>
  <c r="H242" i="12"/>
  <c r="J242" i="12" s="1"/>
  <c r="E242" i="12"/>
  <c r="H241" i="12"/>
  <c r="J241" i="12" s="1"/>
  <c r="E241" i="12"/>
  <c r="H240" i="12"/>
  <c r="J240" i="12" s="1"/>
  <c r="E240" i="12"/>
  <c r="G240" i="12" s="1"/>
  <c r="H239" i="12"/>
  <c r="J239" i="12" s="1"/>
  <c r="E239" i="12"/>
  <c r="G239" i="12" s="1"/>
  <c r="H238" i="12"/>
  <c r="J238" i="12" s="1"/>
  <c r="E238" i="12"/>
  <c r="H237" i="12"/>
  <c r="J237" i="12" s="1"/>
  <c r="E237" i="12"/>
  <c r="G237" i="12" s="1"/>
  <c r="H236" i="12"/>
  <c r="J236" i="12" s="1"/>
  <c r="E236" i="12"/>
  <c r="G236" i="12" s="1"/>
  <c r="H235" i="12"/>
  <c r="J235" i="12" s="1"/>
  <c r="E235" i="12"/>
  <c r="G235" i="12" s="1"/>
  <c r="H234" i="12"/>
  <c r="J234" i="12" s="1"/>
  <c r="E234" i="12"/>
  <c r="H233" i="12"/>
  <c r="J233" i="12" s="1"/>
  <c r="E233" i="12"/>
  <c r="H232" i="12"/>
  <c r="E232" i="12"/>
  <c r="H231" i="12"/>
  <c r="E231" i="12"/>
  <c r="H230" i="12"/>
  <c r="J230" i="12" s="1"/>
  <c r="E230" i="12"/>
  <c r="H229" i="12"/>
  <c r="J229" i="12" s="1"/>
  <c r="E229" i="12"/>
  <c r="H228" i="12"/>
  <c r="E228" i="12"/>
  <c r="H227" i="12"/>
  <c r="J227" i="12" s="1"/>
  <c r="E227" i="12"/>
  <c r="G227" i="12" s="1"/>
  <c r="H226" i="12"/>
  <c r="J226" i="12" s="1"/>
  <c r="E226" i="12"/>
  <c r="H225" i="12"/>
  <c r="J225" i="12" s="1"/>
  <c r="E225" i="12"/>
  <c r="H224" i="12"/>
  <c r="E224" i="12"/>
  <c r="H223" i="12"/>
  <c r="J223" i="12" s="1"/>
  <c r="E223" i="12"/>
  <c r="H222" i="12"/>
  <c r="E87" i="13" s="1"/>
  <c r="G87" i="13" s="1"/>
  <c r="E222" i="12"/>
  <c r="G222" i="12" s="1"/>
  <c r="H221" i="12"/>
  <c r="H219" i="12"/>
  <c r="J219" i="12" s="1"/>
  <c r="E219" i="12"/>
  <c r="G219" i="12" s="1"/>
  <c r="H218" i="12"/>
  <c r="J218" i="12" s="1"/>
  <c r="E218" i="12"/>
  <c r="H217" i="12"/>
  <c r="E217" i="12"/>
  <c r="G217" i="12" s="1"/>
  <c r="H216" i="12"/>
  <c r="E216" i="12"/>
  <c r="H215" i="12"/>
  <c r="J215" i="12" s="1"/>
  <c r="E215" i="12"/>
  <c r="G215" i="12" s="1"/>
  <c r="H214" i="12"/>
  <c r="J214" i="12" s="1"/>
  <c r="E214" i="12"/>
  <c r="D97" i="13" s="1"/>
  <c r="F97" i="13" s="1"/>
  <c r="H213" i="12"/>
  <c r="J213" i="12" s="1"/>
  <c r="E213" i="12"/>
  <c r="G213" i="12" s="1"/>
  <c r="H212" i="12"/>
  <c r="J212" i="12" s="1"/>
  <c r="E212" i="12"/>
  <c r="G212" i="12" s="1"/>
  <c r="H211" i="12"/>
  <c r="J211" i="12" s="1"/>
  <c r="E211" i="12"/>
  <c r="G211" i="12" s="1"/>
  <c r="H210" i="12"/>
  <c r="J210" i="12" s="1"/>
  <c r="E210" i="12"/>
  <c r="G210" i="12" s="1"/>
  <c r="H209" i="12"/>
  <c r="J209" i="12" s="1"/>
  <c r="E209" i="12"/>
  <c r="G209" i="12" s="1"/>
  <c r="H207" i="12"/>
  <c r="E207" i="12"/>
  <c r="H206" i="12"/>
  <c r="J206" i="12" s="1"/>
  <c r="E206" i="12"/>
  <c r="H205" i="12"/>
  <c r="J205" i="12" s="1"/>
  <c r="E205" i="12"/>
  <c r="H204" i="12"/>
  <c r="E204" i="12"/>
  <c r="G204" i="12" s="1"/>
  <c r="H203" i="12"/>
  <c r="E203" i="12"/>
  <c r="H202" i="12"/>
  <c r="J202" i="12" s="1"/>
  <c r="E202" i="12"/>
  <c r="H201" i="12"/>
  <c r="J201" i="12" s="1"/>
  <c r="E201" i="12"/>
  <c r="G201" i="12" s="1"/>
  <c r="H200" i="12"/>
  <c r="E69" i="13" s="1"/>
  <c r="G69" i="13" s="1"/>
  <c r="E200" i="12"/>
  <c r="G200" i="12" s="1"/>
  <c r="H199" i="12"/>
  <c r="E199" i="12"/>
  <c r="H198" i="12"/>
  <c r="J198" i="12" s="1"/>
  <c r="E198" i="12"/>
  <c r="H197" i="12"/>
  <c r="E197" i="12"/>
  <c r="H196" i="12"/>
  <c r="J196" i="12" s="1"/>
  <c r="E196" i="12"/>
  <c r="H195" i="12"/>
  <c r="J195" i="12" s="1"/>
  <c r="E195" i="12"/>
  <c r="H194" i="12"/>
  <c r="E194" i="12"/>
  <c r="H193" i="12"/>
  <c r="J193" i="12" s="1"/>
  <c r="E193" i="12"/>
  <c r="H192" i="12"/>
  <c r="J192" i="12" s="1"/>
  <c r="E192" i="12"/>
  <c r="G192" i="12" s="1"/>
  <c r="H191" i="12"/>
  <c r="E191" i="12"/>
  <c r="H190" i="12"/>
  <c r="J190" i="12" s="1"/>
  <c r="E190" i="12"/>
  <c r="H189" i="12"/>
  <c r="J189" i="12" s="1"/>
  <c r="E189" i="12"/>
  <c r="H188" i="12"/>
  <c r="E188" i="12"/>
  <c r="G188" i="12" s="1"/>
  <c r="H187" i="12"/>
  <c r="E187" i="12"/>
  <c r="H186" i="12"/>
  <c r="J186" i="12" s="1"/>
  <c r="E186" i="12"/>
  <c r="G186" i="12" s="1"/>
  <c r="H185" i="12"/>
  <c r="J185" i="12" s="1"/>
  <c r="E185" i="12"/>
  <c r="H184" i="12"/>
  <c r="J184" i="12" s="1"/>
  <c r="E184" i="12"/>
  <c r="G184" i="12" s="1"/>
  <c r="H183" i="12"/>
  <c r="J183" i="12" s="1"/>
  <c r="E183" i="12"/>
  <c r="G183" i="12" s="1"/>
  <c r="H182" i="12"/>
  <c r="J182" i="12" s="1"/>
  <c r="E182" i="12"/>
  <c r="G182" i="12" s="1"/>
  <c r="H181" i="12"/>
  <c r="J181" i="12" s="1"/>
  <c r="E181" i="12"/>
  <c r="H180" i="12"/>
  <c r="J180" i="12" s="1"/>
  <c r="E180" i="12"/>
  <c r="G180" i="12" s="1"/>
  <c r="H179" i="12"/>
  <c r="J179" i="12" s="1"/>
  <c r="E179" i="12"/>
  <c r="G179" i="12" s="1"/>
  <c r="H178" i="12"/>
  <c r="J178" i="12" s="1"/>
  <c r="E178" i="12"/>
  <c r="G178" i="12" s="1"/>
  <c r="H177" i="12"/>
  <c r="J177" i="12" s="1"/>
  <c r="E177" i="12"/>
  <c r="G177" i="12" s="1"/>
  <c r="H176" i="12"/>
  <c r="E176" i="12"/>
  <c r="G176" i="12" s="1"/>
  <c r="H160" i="12"/>
  <c r="E160" i="12"/>
  <c r="H159" i="12"/>
  <c r="J159" i="12" s="1"/>
  <c r="E159" i="12"/>
  <c r="G159" i="12" s="1"/>
  <c r="H141" i="12"/>
  <c r="J141" i="12" s="1"/>
  <c r="E141" i="12"/>
  <c r="H140" i="12"/>
  <c r="E140" i="12"/>
  <c r="G140" i="12" s="1"/>
  <c r="H139" i="12"/>
  <c r="E139" i="12"/>
  <c r="H138" i="12"/>
  <c r="J138" i="12" s="1"/>
  <c r="E138" i="12"/>
  <c r="H137" i="12"/>
  <c r="J137" i="12" s="1"/>
  <c r="E137" i="12"/>
  <c r="H134" i="12"/>
  <c r="J134" i="12" s="1"/>
  <c r="E134" i="12"/>
  <c r="G134" i="12" s="1"/>
  <c r="H133" i="12"/>
  <c r="E133" i="12"/>
  <c r="H132" i="12"/>
  <c r="J132" i="12" s="1"/>
  <c r="E132" i="12"/>
  <c r="G132" i="12" s="1"/>
  <c r="H131" i="12"/>
  <c r="J131" i="12" s="1"/>
  <c r="E131" i="12"/>
  <c r="G131" i="12" s="1"/>
  <c r="H130" i="12"/>
  <c r="E130" i="12"/>
  <c r="G130" i="12" s="1"/>
  <c r="H129" i="12"/>
  <c r="E129" i="12"/>
  <c r="H127" i="12"/>
  <c r="J127" i="12" s="1"/>
  <c r="E127" i="12"/>
  <c r="H126" i="12"/>
  <c r="J126" i="12" s="1"/>
  <c r="E126" i="12"/>
  <c r="G126" i="12" s="1"/>
  <c r="H125" i="12"/>
  <c r="J125" i="12" s="1"/>
  <c r="E125" i="12"/>
  <c r="G125" i="12" s="1"/>
  <c r="H124" i="12"/>
  <c r="J124" i="12" s="1"/>
  <c r="E124" i="12"/>
  <c r="G124" i="12" s="1"/>
  <c r="H123" i="12"/>
  <c r="J123" i="12" s="1"/>
  <c r="E123" i="12"/>
  <c r="H122" i="12"/>
  <c r="J122" i="12" s="1"/>
  <c r="E122" i="12"/>
  <c r="G122" i="12" s="1"/>
  <c r="H121" i="12"/>
  <c r="J121" i="12" s="1"/>
  <c r="E121" i="12"/>
  <c r="G121" i="12" s="1"/>
  <c r="H120" i="12"/>
  <c r="J120" i="12" s="1"/>
  <c r="E120" i="12"/>
  <c r="G120" i="12" s="1"/>
  <c r="H119" i="12"/>
  <c r="J119" i="12" s="1"/>
  <c r="E119" i="12"/>
  <c r="G119" i="12" s="1"/>
  <c r="H118" i="12"/>
  <c r="E118" i="12"/>
  <c r="H117" i="12"/>
  <c r="J117" i="12" s="1"/>
  <c r="E117" i="12"/>
  <c r="H116" i="12"/>
  <c r="J116" i="12" s="1"/>
  <c r="E116" i="12"/>
  <c r="H115" i="12"/>
  <c r="E115" i="12"/>
  <c r="H114" i="12"/>
  <c r="J114" i="12" s="1"/>
  <c r="E114" i="12"/>
  <c r="H111" i="12"/>
  <c r="E111" i="12"/>
  <c r="G111" i="12" s="1"/>
  <c r="H110" i="12"/>
  <c r="E110" i="12"/>
  <c r="H109" i="12"/>
  <c r="J109" i="12" s="1"/>
  <c r="E109" i="12"/>
  <c r="H108" i="12"/>
  <c r="J108" i="12" s="1"/>
  <c r="E108" i="12"/>
  <c r="G108" i="12" s="1"/>
  <c r="H107" i="12"/>
  <c r="J107" i="12" s="1"/>
  <c r="E107" i="12"/>
  <c r="G107" i="12" s="1"/>
  <c r="H106" i="12"/>
  <c r="J106" i="12" s="1"/>
  <c r="E106" i="12"/>
  <c r="G106" i="12" s="1"/>
  <c r="H105" i="12"/>
  <c r="E105" i="12"/>
  <c r="H104" i="12"/>
  <c r="J104" i="12" s="1"/>
  <c r="E104" i="12"/>
  <c r="G104" i="12" s="1"/>
  <c r="H103" i="12"/>
  <c r="E103" i="12"/>
  <c r="H101" i="12"/>
  <c r="J101" i="12" s="1"/>
  <c r="E101" i="12"/>
  <c r="G101" i="12" s="1"/>
  <c r="H100" i="12"/>
  <c r="J100" i="12" s="1"/>
  <c r="E100" i="12"/>
  <c r="G100" i="12" s="1"/>
  <c r="H99" i="12"/>
  <c r="J99" i="12" s="1"/>
  <c r="E99" i="12"/>
  <c r="G99" i="12" s="1"/>
  <c r="H98" i="12"/>
  <c r="J98" i="12" s="1"/>
  <c r="E98" i="12"/>
  <c r="G98" i="12" s="1"/>
  <c r="H96" i="12"/>
  <c r="J96" i="12" s="1"/>
  <c r="E96" i="12"/>
  <c r="G96" i="12" s="1"/>
  <c r="H95" i="12"/>
  <c r="J95" i="12" s="1"/>
  <c r="E95" i="12"/>
  <c r="G95" i="12" s="1"/>
  <c r="H94" i="12"/>
  <c r="J94" i="12" s="1"/>
  <c r="E94" i="12"/>
  <c r="G94" i="12" s="1"/>
  <c r="H93" i="12"/>
  <c r="H92" i="12"/>
  <c r="J92" i="12" s="1"/>
  <c r="E92" i="12"/>
  <c r="G92" i="12" s="1"/>
  <c r="H91" i="12"/>
  <c r="J91" i="12" s="1"/>
  <c r="E91" i="12"/>
  <c r="G91" i="12" s="1"/>
  <c r="H90" i="12"/>
  <c r="J90" i="12" s="1"/>
  <c r="E90" i="12"/>
  <c r="G90" i="12" s="1"/>
  <c r="H89" i="12"/>
  <c r="J89" i="12" s="1"/>
  <c r="E89" i="12"/>
  <c r="G89" i="12" s="1"/>
  <c r="H88" i="12"/>
  <c r="J88" i="12" s="1"/>
  <c r="E88" i="12"/>
  <c r="G88" i="12" s="1"/>
  <c r="H87" i="12"/>
  <c r="J87" i="12" s="1"/>
  <c r="E87" i="12"/>
  <c r="G87" i="12" s="1"/>
  <c r="H86" i="12"/>
  <c r="J86" i="12" s="1"/>
  <c r="E86" i="12"/>
  <c r="G86" i="12" s="1"/>
  <c r="H85" i="12"/>
  <c r="J85" i="12" s="1"/>
  <c r="E85" i="12"/>
  <c r="G85" i="12" s="1"/>
  <c r="H83" i="12"/>
  <c r="J83" i="12" s="1"/>
  <c r="E83" i="12"/>
  <c r="G83" i="12" s="1"/>
  <c r="H82" i="12"/>
  <c r="J82" i="12" s="1"/>
  <c r="E82" i="12"/>
  <c r="G82" i="12" s="1"/>
  <c r="H81" i="12"/>
  <c r="E81" i="12"/>
  <c r="H80" i="12"/>
  <c r="E80" i="12"/>
  <c r="H75" i="12"/>
  <c r="J75" i="12" s="1"/>
  <c r="E75" i="12"/>
  <c r="G75" i="12" s="1"/>
  <c r="H74" i="12"/>
  <c r="E74" i="12"/>
  <c r="H73" i="12"/>
  <c r="J73" i="12" s="1"/>
  <c r="E73" i="12"/>
  <c r="G73" i="12" s="1"/>
  <c r="H72" i="12"/>
  <c r="E72" i="12"/>
  <c r="H71" i="12"/>
  <c r="J71" i="12" s="1"/>
  <c r="E71" i="12"/>
  <c r="G71" i="12" s="1"/>
  <c r="H70" i="12"/>
  <c r="J70" i="12" s="1"/>
  <c r="E70" i="12"/>
  <c r="G70" i="12" s="1"/>
  <c r="H69" i="12"/>
  <c r="J69" i="12" s="1"/>
  <c r="E69" i="12"/>
  <c r="G69" i="12" s="1"/>
  <c r="H68" i="12"/>
  <c r="J68" i="12" s="1"/>
  <c r="E68" i="12"/>
  <c r="G68" i="12" s="1"/>
  <c r="H66" i="12"/>
  <c r="J66" i="12" s="1"/>
  <c r="E66" i="12"/>
  <c r="G66" i="12" s="1"/>
  <c r="H65" i="12"/>
  <c r="J65" i="12" s="1"/>
  <c r="E65" i="12"/>
  <c r="G65" i="12" s="1"/>
  <c r="H56" i="12"/>
  <c r="E56" i="12"/>
  <c r="H55" i="12"/>
  <c r="H52" i="12"/>
  <c r="J52" i="12" s="1"/>
  <c r="E52" i="12"/>
  <c r="G52" i="12" s="1"/>
  <c r="H51" i="12"/>
  <c r="J51" i="12" s="1"/>
  <c r="E51" i="12"/>
  <c r="G51" i="12" s="1"/>
  <c r="H48" i="12"/>
  <c r="E48" i="12"/>
  <c r="H44" i="12"/>
  <c r="J44" i="12" s="1"/>
  <c r="E44" i="12"/>
  <c r="G44" i="12" s="1"/>
  <c r="H43" i="12"/>
  <c r="J43" i="12" s="1"/>
  <c r="E43" i="12"/>
  <c r="G43" i="12" s="1"/>
  <c r="H41" i="12"/>
  <c r="J41" i="12" s="1"/>
  <c r="E41" i="12"/>
  <c r="G41" i="12" s="1"/>
  <c r="H40" i="12"/>
  <c r="E40" i="12"/>
  <c r="D19" i="13" s="1"/>
  <c r="F19" i="13" s="1"/>
  <c r="H39" i="12"/>
  <c r="E39" i="12"/>
  <c r="H38" i="12"/>
  <c r="J38" i="12" s="1"/>
  <c r="E38" i="12"/>
  <c r="G38" i="12" s="1"/>
  <c r="H37" i="12"/>
  <c r="E37" i="12"/>
  <c r="D16" i="13" s="1"/>
  <c r="F16" i="13" s="1"/>
  <c r="H36" i="12"/>
  <c r="E36" i="12"/>
  <c r="H35" i="12"/>
  <c r="E35" i="12"/>
  <c r="H34" i="12"/>
  <c r="E34" i="12"/>
  <c r="H33" i="12"/>
  <c r="E33" i="12"/>
  <c r="H32" i="12"/>
  <c r="J32" i="12" s="1"/>
  <c r="E32" i="12"/>
  <c r="G32" i="12" s="1"/>
  <c r="H28" i="12"/>
  <c r="E28" i="12"/>
  <c r="H22" i="12"/>
  <c r="J22" i="12" s="1"/>
  <c r="E22" i="12"/>
  <c r="G22" i="12" s="1"/>
  <c r="E17" i="13"/>
  <c r="G17" i="13" s="1"/>
  <c r="D17" i="13"/>
  <c r="F17" i="13" s="1"/>
  <c r="F287" i="12" l="1"/>
  <c r="G287" i="12" s="1"/>
  <c r="E313" i="13"/>
  <c r="G313" i="13" s="1"/>
  <c r="D123" i="13"/>
  <c r="F123" i="13" s="1"/>
  <c r="E219" i="13"/>
  <c r="G219" i="13" s="1"/>
  <c r="E280" i="13"/>
  <c r="G280" i="13" s="1"/>
  <c r="E218" i="13"/>
  <c r="G218" i="13" s="1"/>
  <c r="E268" i="13"/>
  <c r="G268" i="13" s="1"/>
  <c r="H268" i="13" s="1"/>
  <c r="E358" i="13"/>
  <c r="G358" i="13" s="1"/>
  <c r="H358" i="13" s="1"/>
  <c r="D117" i="13"/>
  <c r="F117" i="13" s="1"/>
  <c r="D246" i="13"/>
  <c r="F246" i="13" s="1"/>
  <c r="D280" i="13"/>
  <c r="F280" i="13" s="1"/>
  <c r="D310" i="13"/>
  <c r="F310" i="13" s="1"/>
  <c r="G329" i="12"/>
  <c r="G331" i="12"/>
  <c r="G276" i="12"/>
  <c r="D20" i="13"/>
  <c r="F20" i="13" s="1"/>
  <c r="E117" i="13"/>
  <c r="G117" i="13" s="1"/>
  <c r="I727" i="12"/>
  <c r="I2" i="12"/>
  <c r="G232" i="12"/>
  <c r="G254" i="12"/>
  <c r="E385" i="13"/>
  <c r="G385" i="13" s="1"/>
  <c r="E380" i="13"/>
  <c r="G380" i="13" s="1"/>
  <c r="D118" i="13"/>
  <c r="F118" i="13" s="1"/>
  <c r="D162" i="13"/>
  <c r="F162" i="13" s="1"/>
  <c r="H162" i="13" s="1"/>
  <c r="D78" i="13"/>
  <c r="F78" i="13" s="1"/>
  <c r="E165" i="13"/>
  <c r="G165" i="13" s="1"/>
  <c r="D380" i="13"/>
  <c r="F380" i="13" s="1"/>
  <c r="D267" i="13"/>
  <c r="F267" i="13" s="1"/>
  <c r="D353" i="13"/>
  <c r="F353" i="13" s="1"/>
  <c r="E361" i="13"/>
  <c r="G361" i="13" s="1"/>
  <c r="D64" i="13"/>
  <c r="F64" i="13" s="1"/>
  <c r="E158" i="13"/>
  <c r="G158" i="13" s="1"/>
  <c r="E267" i="13"/>
  <c r="G267" i="13" s="1"/>
  <c r="E281" i="13"/>
  <c r="G281" i="13" s="1"/>
  <c r="E353" i="13"/>
  <c r="G353" i="13" s="1"/>
  <c r="E356" i="13"/>
  <c r="G356" i="13" s="1"/>
  <c r="D356" i="13"/>
  <c r="F356" i="13" s="1"/>
  <c r="D91" i="13"/>
  <c r="F91" i="13" s="1"/>
  <c r="D121" i="13"/>
  <c r="F121" i="13" s="1"/>
  <c r="D250" i="13"/>
  <c r="F250" i="13" s="1"/>
  <c r="D339" i="13"/>
  <c r="F339" i="13" s="1"/>
  <c r="D354" i="13"/>
  <c r="F354" i="13" s="1"/>
  <c r="D375" i="13"/>
  <c r="F375" i="13" s="1"/>
  <c r="D33" i="13"/>
  <c r="F33" i="13" s="1"/>
  <c r="D36" i="13"/>
  <c r="F36" i="13" s="1"/>
  <c r="D57" i="13"/>
  <c r="F57" i="13" s="1"/>
  <c r="D60" i="13"/>
  <c r="F60" i="13" s="1"/>
  <c r="D80" i="13"/>
  <c r="F80" i="13" s="1"/>
  <c r="D67" i="13"/>
  <c r="F67" i="13" s="1"/>
  <c r="D100" i="13"/>
  <c r="F100" i="13" s="1"/>
  <c r="E377" i="13"/>
  <c r="G377" i="13" s="1"/>
  <c r="D22" i="13"/>
  <c r="F22" i="13" s="1"/>
  <c r="E57" i="13"/>
  <c r="G57" i="13" s="1"/>
  <c r="E60" i="13"/>
  <c r="G60" i="13" s="1"/>
  <c r="E67" i="13"/>
  <c r="G67" i="13" s="1"/>
  <c r="E121" i="13"/>
  <c r="G121" i="13" s="1"/>
  <c r="E160" i="13"/>
  <c r="G160" i="13" s="1"/>
  <c r="E250" i="13"/>
  <c r="G250" i="13" s="1"/>
  <c r="E228" i="13"/>
  <c r="G228" i="13" s="1"/>
  <c r="E347" i="13"/>
  <c r="G347" i="13" s="1"/>
  <c r="E339" i="13"/>
  <c r="G339" i="13" s="1"/>
  <c r="E354" i="13"/>
  <c r="G354" i="13" s="1"/>
  <c r="E375" i="13"/>
  <c r="G375" i="13" s="1"/>
  <c r="D13" i="13"/>
  <c r="F13" i="13" s="1"/>
  <c r="D15" i="13"/>
  <c r="F15" i="13" s="1"/>
  <c r="D30" i="13"/>
  <c r="F30" i="13" s="1"/>
  <c r="D83" i="13"/>
  <c r="F83" i="13" s="1"/>
  <c r="D115" i="13"/>
  <c r="F115" i="13" s="1"/>
  <c r="D159" i="13"/>
  <c r="F159" i="13" s="1"/>
  <c r="D161" i="13"/>
  <c r="F161" i="13" s="1"/>
  <c r="D249" i="13"/>
  <c r="F249" i="13" s="1"/>
  <c r="D264" i="13"/>
  <c r="F264" i="13" s="1"/>
  <c r="D309" i="13"/>
  <c r="F309" i="13" s="1"/>
  <c r="D360" i="13"/>
  <c r="F360" i="13" s="1"/>
  <c r="D386" i="13"/>
  <c r="F386" i="13" s="1"/>
  <c r="D163" i="13"/>
  <c r="F163" i="13" s="1"/>
  <c r="E94" i="13"/>
  <c r="G94" i="13" s="1"/>
  <c r="E115" i="13"/>
  <c r="G115" i="13" s="1"/>
  <c r="E159" i="13"/>
  <c r="G159" i="13" s="1"/>
  <c r="E161" i="13"/>
  <c r="G161" i="13" s="1"/>
  <c r="E164" i="13"/>
  <c r="G164" i="13" s="1"/>
  <c r="E225" i="13"/>
  <c r="G225" i="13" s="1"/>
  <c r="E227" i="13"/>
  <c r="G227" i="13" s="1"/>
  <c r="E233" i="13"/>
  <c r="G233" i="13" s="1"/>
  <c r="E249" i="13"/>
  <c r="G249" i="13" s="1"/>
  <c r="E264" i="13"/>
  <c r="G264" i="13" s="1"/>
  <c r="E272" i="13"/>
  <c r="G272" i="13" s="1"/>
  <c r="E274" i="13"/>
  <c r="G274" i="13" s="1"/>
  <c r="E283" i="13"/>
  <c r="G283" i="13" s="1"/>
  <c r="E289" i="13"/>
  <c r="G289" i="13" s="1"/>
  <c r="E309" i="13"/>
  <c r="G309" i="13" s="1"/>
  <c r="E386" i="13"/>
  <c r="G386" i="13" s="1"/>
  <c r="E163" i="13"/>
  <c r="G163" i="13" s="1"/>
  <c r="D72" i="13"/>
  <c r="F72" i="13" s="1"/>
  <c r="D68" i="13"/>
  <c r="F68" i="13" s="1"/>
  <c r="D173" i="13"/>
  <c r="F173" i="13" s="1"/>
  <c r="D212" i="13"/>
  <c r="F212" i="13" s="1"/>
  <c r="D252" i="13"/>
  <c r="F252" i="13" s="1"/>
  <c r="D348" i="13"/>
  <c r="F348" i="13" s="1"/>
  <c r="D350" i="13"/>
  <c r="F350" i="13" s="1"/>
  <c r="D365" i="13"/>
  <c r="F365" i="13" s="1"/>
  <c r="D371" i="13"/>
  <c r="F371" i="13" s="1"/>
  <c r="D387" i="13"/>
  <c r="F387" i="13" s="1"/>
  <c r="E62" i="13"/>
  <c r="G62" i="13" s="1"/>
  <c r="E174" i="13"/>
  <c r="G174" i="13" s="1"/>
  <c r="E214" i="13"/>
  <c r="G214" i="13" s="1"/>
  <c r="E220" i="13"/>
  <c r="G220" i="13" s="1"/>
  <c r="E251" i="13"/>
  <c r="G251" i="13" s="1"/>
  <c r="E255" i="13"/>
  <c r="G255" i="13" s="1"/>
  <c r="E276" i="13"/>
  <c r="G276" i="13" s="1"/>
  <c r="E282" i="13"/>
  <c r="G282" i="13" s="1"/>
  <c r="E285" i="13"/>
  <c r="G285" i="13" s="1"/>
  <c r="E291" i="13"/>
  <c r="G291" i="13" s="1"/>
  <c r="E306" i="13"/>
  <c r="G306" i="13" s="1"/>
  <c r="E315" i="13"/>
  <c r="G315" i="13" s="1"/>
  <c r="E176" i="13"/>
  <c r="G176" i="13" s="1"/>
  <c r="E319" i="13"/>
  <c r="G319" i="13" s="1"/>
  <c r="E324" i="13"/>
  <c r="G324" i="13" s="1"/>
  <c r="E341" i="13"/>
  <c r="G341" i="13" s="1"/>
  <c r="E387" i="13"/>
  <c r="G387" i="13" s="1"/>
  <c r="D59" i="13"/>
  <c r="F59" i="13" s="1"/>
  <c r="D62" i="13"/>
  <c r="F62" i="13" s="1"/>
  <c r="E235" i="13"/>
  <c r="G235" i="13" s="1"/>
  <c r="E322" i="13"/>
  <c r="G322" i="13" s="1"/>
  <c r="E366" i="13"/>
  <c r="G366" i="13" s="1"/>
  <c r="D213" i="13"/>
  <c r="F213" i="13" s="1"/>
  <c r="D367" i="13"/>
  <c r="F367" i="13" s="1"/>
  <c r="D175" i="13"/>
  <c r="F175" i="13" s="1"/>
  <c r="E50" i="13"/>
  <c r="G50" i="13" s="1"/>
  <c r="D345" i="13"/>
  <c r="F345" i="13" s="1"/>
  <c r="D362" i="13"/>
  <c r="F362" i="13" s="1"/>
  <c r="E68" i="13"/>
  <c r="G68" i="13" s="1"/>
  <c r="E135" i="13"/>
  <c r="G135" i="13" s="1"/>
  <c r="E237" i="13"/>
  <c r="G237" i="13" s="1"/>
  <c r="E173" i="13"/>
  <c r="G173" i="13" s="1"/>
  <c r="E192" i="13"/>
  <c r="G192" i="13" s="1"/>
  <c r="E213" i="13"/>
  <c r="G213" i="13" s="1"/>
  <c r="E252" i="13"/>
  <c r="G252" i="13" s="1"/>
  <c r="E245" i="13"/>
  <c r="G245" i="13" s="1"/>
  <c r="E370" i="13"/>
  <c r="G370" i="13" s="1"/>
  <c r="E350" i="13"/>
  <c r="G350" i="13" s="1"/>
  <c r="E365" i="13"/>
  <c r="G365" i="13" s="1"/>
  <c r="E367" i="13"/>
  <c r="G367" i="13" s="1"/>
  <c r="E371" i="13"/>
  <c r="G371" i="13" s="1"/>
  <c r="E175" i="13"/>
  <c r="G175" i="13" s="1"/>
  <c r="E51" i="13"/>
  <c r="G51" i="13" s="1"/>
  <c r="E345" i="13"/>
  <c r="G345" i="13" s="1"/>
  <c r="E360" i="13"/>
  <c r="G360" i="13" s="1"/>
  <c r="E362" i="13"/>
  <c r="G362" i="13" s="1"/>
  <c r="D251" i="13"/>
  <c r="F251" i="13" s="1"/>
  <c r="D255" i="13"/>
  <c r="F255" i="13" s="1"/>
  <c r="D248" i="13"/>
  <c r="F248" i="13" s="1"/>
  <c r="D355" i="13"/>
  <c r="F355" i="13" s="1"/>
  <c r="D366" i="13"/>
  <c r="F366" i="13" s="1"/>
  <c r="D56" i="13"/>
  <c r="F56" i="13" s="1"/>
  <c r="D361" i="13"/>
  <c r="F361" i="13" s="1"/>
  <c r="E56" i="13"/>
  <c r="G56" i="13" s="1"/>
  <c r="E287" i="13"/>
  <c r="G287" i="13" s="1"/>
  <c r="E293" i="13"/>
  <c r="G293" i="13" s="1"/>
  <c r="E296" i="13"/>
  <c r="G296" i="13" s="1"/>
  <c r="E301" i="13"/>
  <c r="G301" i="13" s="1"/>
  <c r="E308" i="13"/>
  <c r="G308" i="13" s="1"/>
  <c r="E329" i="13"/>
  <c r="G329" i="13" s="1"/>
  <c r="E336" i="13"/>
  <c r="G336" i="13" s="1"/>
  <c r="D254" i="13"/>
  <c r="F254" i="13" s="1"/>
  <c r="D256" i="13"/>
  <c r="F256" i="13" s="1"/>
  <c r="D258" i="13"/>
  <c r="F258" i="13" s="1"/>
  <c r="D260" i="13"/>
  <c r="F260" i="13" s="1"/>
  <c r="D262" i="13"/>
  <c r="F262" i="13" s="1"/>
  <c r="D66" i="13"/>
  <c r="F66" i="13" s="1"/>
  <c r="D253" i="13"/>
  <c r="F253" i="13" s="1"/>
  <c r="D257" i="13"/>
  <c r="F257" i="13" s="1"/>
  <c r="D259" i="13"/>
  <c r="F259" i="13" s="1"/>
  <c r="D261" i="13"/>
  <c r="F261" i="13" s="1"/>
  <c r="D263" i="13"/>
  <c r="F263" i="13" s="1"/>
  <c r="E210" i="13"/>
  <c r="G210" i="13" s="1"/>
  <c r="E216" i="13"/>
  <c r="G216" i="13" s="1"/>
  <c r="E222" i="13"/>
  <c r="G222" i="13" s="1"/>
  <c r="E224" i="13"/>
  <c r="G224" i="13" s="1"/>
  <c r="E241" i="13"/>
  <c r="G241" i="13" s="1"/>
  <c r="E243" i="13"/>
  <c r="G243" i="13" s="1"/>
  <c r="E253" i="13"/>
  <c r="G253" i="13" s="1"/>
  <c r="E257" i="13"/>
  <c r="G257" i="13" s="1"/>
  <c r="E259" i="13"/>
  <c r="G259" i="13" s="1"/>
  <c r="E261" i="13"/>
  <c r="G261" i="13" s="1"/>
  <c r="E263" i="13"/>
  <c r="G263" i="13" s="1"/>
  <c r="E270" i="13"/>
  <c r="G270" i="13" s="1"/>
  <c r="E275" i="13"/>
  <c r="G275" i="13" s="1"/>
  <c r="E277" i="13"/>
  <c r="G277" i="13" s="1"/>
  <c r="E335" i="13"/>
  <c r="G335" i="13" s="1"/>
  <c r="D71" i="13"/>
  <c r="F71" i="13" s="1"/>
  <c r="D75" i="13"/>
  <c r="F75" i="13" s="1"/>
  <c r="D107" i="13"/>
  <c r="F107" i="13" s="1"/>
  <c r="D102" i="13"/>
  <c r="F102" i="13" s="1"/>
  <c r="D109" i="13"/>
  <c r="F109" i="13" s="1"/>
  <c r="D113" i="13"/>
  <c r="F113" i="13" s="1"/>
  <c r="D125" i="13"/>
  <c r="F125" i="13" s="1"/>
  <c r="D46" i="13"/>
  <c r="F46" i="13" s="1"/>
  <c r="E194" i="13"/>
  <c r="G194" i="13" s="1"/>
  <c r="E170" i="13"/>
  <c r="G170" i="13" s="1"/>
  <c r="E318" i="13"/>
  <c r="G318" i="13" s="1"/>
  <c r="E332" i="13"/>
  <c r="G332" i="13" s="1"/>
  <c r="E364" i="13"/>
  <c r="G364" i="13" s="1"/>
  <c r="D53" i="13"/>
  <c r="F53" i="13" s="1"/>
  <c r="D58" i="13"/>
  <c r="F58" i="13" s="1"/>
  <c r="D82" i="13"/>
  <c r="F82" i="13" s="1"/>
  <c r="D94" i="13"/>
  <c r="F94" i="13" s="1"/>
  <c r="D106" i="13"/>
  <c r="F106" i="13" s="1"/>
  <c r="D135" i="13"/>
  <c r="F135" i="13" s="1"/>
  <c r="D165" i="13"/>
  <c r="F165" i="13" s="1"/>
  <c r="D174" i="13"/>
  <c r="F174" i="13" s="1"/>
  <c r="D190" i="13"/>
  <c r="F190" i="13" s="1"/>
  <c r="D201" i="13"/>
  <c r="F201" i="13" s="1"/>
  <c r="D221" i="13"/>
  <c r="F221" i="13" s="1"/>
  <c r="D230" i="13"/>
  <c r="F230" i="13" s="1"/>
  <c r="D237" i="13"/>
  <c r="F237" i="13" s="1"/>
  <c r="D245" i="13"/>
  <c r="F245" i="13" s="1"/>
  <c r="D247" i="13"/>
  <c r="F247" i="13" s="1"/>
  <c r="D43" i="13"/>
  <c r="F43" i="13" s="1"/>
  <c r="D45" i="13"/>
  <c r="F45" i="13" s="1"/>
  <c r="E52" i="13"/>
  <c r="G52" i="13" s="1"/>
  <c r="E55" i="13"/>
  <c r="G55" i="13" s="1"/>
  <c r="E59" i="13"/>
  <c r="G59" i="13" s="1"/>
  <c r="E61" i="13"/>
  <c r="G61" i="13" s="1"/>
  <c r="E63" i="13"/>
  <c r="G63" i="13" s="1"/>
  <c r="E95" i="13"/>
  <c r="G95" i="13" s="1"/>
  <c r="E231" i="13"/>
  <c r="G231" i="13" s="1"/>
  <c r="E239" i="13"/>
  <c r="G239" i="13" s="1"/>
  <c r="E246" i="13"/>
  <c r="G246" i="13" s="1"/>
  <c r="E248" i="13"/>
  <c r="G248" i="13" s="1"/>
  <c r="E348" i="13"/>
  <c r="G348" i="13" s="1"/>
  <c r="E351" i="13"/>
  <c r="G351" i="13" s="1"/>
  <c r="E215" i="13"/>
  <c r="G215" i="13" s="1"/>
  <c r="E223" i="13"/>
  <c r="G223" i="13" s="1"/>
  <c r="E236" i="13"/>
  <c r="G236" i="13" s="1"/>
  <c r="E244" i="13"/>
  <c r="G244" i="13" s="1"/>
  <c r="E254" i="13"/>
  <c r="G254" i="13" s="1"/>
  <c r="E256" i="13"/>
  <c r="G256" i="13" s="1"/>
  <c r="E258" i="13"/>
  <c r="G258" i="13" s="1"/>
  <c r="E260" i="13"/>
  <c r="G260" i="13" s="1"/>
  <c r="E262" i="13"/>
  <c r="G262" i="13" s="1"/>
  <c r="H262" i="13" s="1"/>
  <c r="D52" i="13"/>
  <c r="F52" i="13" s="1"/>
  <c r="D55" i="13"/>
  <c r="F55" i="13" s="1"/>
  <c r="D61" i="13"/>
  <c r="F61" i="13" s="1"/>
  <c r="H61" i="13" s="1"/>
  <c r="D63" i="13"/>
  <c r="F63" i="13" s="1"/>
  <c r="D69" i="13"/>
  <c r="F69" i="13" s="1"/>
  <c r="H69" i="13" s="1"/>
  <c r="D87" i="13"/>
  <c r="F87" i="13" s="1"/>
  <c r="H87" i="13" s="1"/>
  <c r="D95" i="13"/>
  <c r="F95" i="13" s="1"/>
  <c r="D158" i="13"/>
  <c r="F158" i="13" s="1"/>
  <c r="D160" i="13"/>
  <c r="F160" i="13" s="1"/>
  <c r="D164" i="13"/>
  <c r="F164" i="13" s="1"/>
  <c r="D192" i="13"/>
  <c r="F192" i="13" s="1"/>
  <c r="D228" i="13"/>
  <c r="F228" i="13" s="1"/>
  <c r="D231" i="13"/>
  <c r="F231" i="13" s="1"/>
  <c r="D239" i="13"/>
  <c r="F239" i="13" s="1"/>
  <c r="D351" i="13"/>
  <c r="F351" i="13" s="1"/>
  <c r="E53" i="13"/>
  <c r="G53" i="13" s="1"/>
  <c r="E58" i="13"/>
  <c r="G58" i="13" s="1"/>
  <c r="E64" i="13"/>
  <c r="G64" i="13" s="1"/>
  <c r="E82" i="13"/>
  <c r="G82" i="13" s="1"/>
  <c r="E106" i="13"/>
  <c r="G106" i="13" s="1"/>
  <c r="E190" i="13"/>
  <c r="G190" i="13" s="1"/>
  <c r="E201" i="13"/>
  <c r="G201" i="13" s="1"/>
  <c r="E212" i="13"/>
  <c r="G212" i="13" s="1"/>
  <c r="E221" i="13"/>
  <c r="G221" i="13" s="1"/>
  <c r="E230" i="13"/>
  <c r="G230" i="13" s="1"/>
  <c r="E247" i="13"/>
  <c r="G247" i="13" s="1"/>
  <c r="E310" i="13"/>
  <c r="G310" i="13" s="1"/>
  <c r="H310" i="13" s="1"/>
  <c r="E355" i="13"/>
  <c r="G355" i="13" s="1"/>
  <c r="G193" i="12"/>
  <c r="J547" i="12"/>
  <c r="E43" i="13"/>
  <c r="G43" i="13" s="1"/>
  <c r="J441" i="12"/>
  <c r="J396" i="12"/>
  <c r="D50" i="13"/>
  <c r="F50" i="13" s="1"/>
  <c r="E28" i="13"/>
  <c r="G28" i="13" s="1"/>
  <c r="D51" i="13"/>
  <c r="F51" i="13" s="1"/>
  <c r="G116" i="12"/>
  <c r="E45" i="13"/>
  <c r="G45" i="13" s="1"/>
  <c r="E41" i="13"/>
  <c r="G41" i="13" s="1"/>
  <c r="J440" i="12"/>
  <c r="J488" i="12"/>
  <c r="G223" i="12"/>
  <c r="J551" i="12"/>
  <c r="G225" i="12"/>
  <c r="J388" i="12"/>
  <c r="J432" i="12"/>
  <c r="J448" i="12"/>
  <c r="D41" i="13"/>
  <c r="F41" i="13" s="1"/>
  <c r="G53" i="12"/>
  <c r="J420" i="12"/>
  <c r="J505" i="12"/>
  <c r="J634" i="12"/>
  <c r="J400" i="12"/>
  <c r="J437" i="12"/>
  <c r="J445" i="12"/>
  <c r="G189" i="12"/>
  <c r="G198" i="12"/>
  <c r="G205" i="12"/>
  <c r="G251" i="12"/>
  <c r="J386" i="12"/>
  <c r="J436" i="12"/>
  <c r="J444" i="12"/>
  <c r="D28" i="13"/>
  <c r="F28" i="13" s="1"/>
  <c r="G109" i="12"/>
  <c r="G241" i="12"/>
  <c r="G36" i="12"/>
  <c r="G233" i="12"/>
  <c r="G255" i="12"/>
  <c r="J402" i="12"/>
  <c r="J412" i="12"/>
  <c r="J435" i="12"/>
  <c r="J439" i="12"/>
  <c r="J443" i="12"/>
  <c r="J447" i="12"/>
  <c r="J451" i="12"/>
  <c r="J459" i="12"/>
  <c r="J464" i="12"/>
  <c r="J492" i="12"/>
  <c r="J524" i="12"/>
  <c r="J602" i="12"/>
  <c r="G141" i="12"/>
  <c r="G195" i="12"/>
  <c r="G33" i="12"/>
  <c r="G114" i="12"/>
  <c r="G181" i="12"/>
  <c r="G218" i="12"/>
  <c r="J384" i="12"/>
  <c r="J404" i="12"/>
  <c r="J438" i="12"/>
  <c r="J446" i="12"/>
  <c r="J450" i="12"/>
  <c r="J454" i="12"/>
  <c r="J458" i="12"/>
  <c r="J496" i="12"/>
  <c r="J542" i="12"/>
  <c r="J582" i="12"/>
  <c r="J614" i="12"/>
  <c r="H208" i="13"/>
  <c r="H17" i="13"/>
  <c r="H357" i="13"/>
  <c r="H359" i="13"/>
  <c r="G137" i="12"/>
  <c r="G185" i="12"/>
  <c r="G214" i="12"/>
  <c r="G229" i="12"/>
  <c r="G263" i="12"/>
  <c r="J382" i="12"/>
  <c r="J398" i="12"/>
  <c r="J414" i="12"/>
  <c r="J422" i="12"/>
  <c r="G432" i="12"/>
  <c r="G435" i="12"/>
  <c r="G436" i="12"/>
  <c r="G437" i="12"/>
  <c r="G438" i="12"/>
  <c r="G439" i="12"/>
  <c r="G440" i="12"/>
  <c r="G441" i="12"/>
  <c r="G443" i="12"/>
  <c r="G444" i="12"/>
  <c r="G445" i="12"/>
  <c r="G446" i="12"/>
  <c r="G447" i="12"/>
  <c r="G448" i="12"/>
  <c r="G450" i="12"/>
  <c r="G451" i="12"/>
  <c r="G454" i="12"/>
  <c r="G458" i="12"/>
  <c r="G459" i="12"/>
  <c r="J468" i="12"/>
  <c r="J484" i="12"/>
  <c r="J500" i="12"/>
  <c r="J555" i="12"/>
  <c r="J571" i="12"/>
  <c r="J610" i="12"/>
  <c r="J472" i="12"/>
  <c r="J74" i="12"/>
  <c r="E25" i="13"/>
  <c r="G25" i="13" s="1"/>
  <c r="G80" i="12"/>
  <c r="D26" i="13"/>
  <c r="F26" i="13" s="1"/>
  <c r="J93" i="12"/>
  <c r="E29" i="13"/>
  <c r="G29" i="13" s="1"/>
  <c r="J105" i="12"/>
  <c r="E266" i="13"/>
  <c r="G266" i="13" s="1"/>
  <c r="J110" i="12"/>
  <c r="E31" i="13"/>
  <c r="G31" i="13" s="1"/>
  <c r="D40" i="13"/>
  <c r="F40" i="13" s="1"/>
  <c r="G129" i="12"/>
  <c r="G138" i="12"/>
  <c r="D47" i="13"/>
  <c r="F47" i="13" s="1"/>
  <c r="J160" i="12"/>
  <c r="E352" i="13"/>
  <c r="G352" i="13" s="1"/>
  <c r="J191" i="12"/>
  <c r="E77" i="13"/>
  <c r="G77" i="13" s="1"/>
  <c r="J203" i="12"/>
  <c r="E89" i="13"/>
  <c r="G89" i="13" s="1"/>
  <c r="D93" i="13"/>
  <c r="F93" i="13" s="1"/>
  <c r="G207" i="12"/>
  <c r="J221" i="12"/>
  <c r="E104" i="13"/>
  <c r="G104" i="13" s="1"/>
  <c r="J228" i="12"/>
  <c r="E108" i="13"/>
  <c r="G108" i="13" s="1"/>
  <c r="G230" i="12"/>
  <c r="D110" i="13"/>
  <c r="F110" i="13" s="1"/>
  <c r="G248" i="12"/>
  <c r="D122" i="13"/>
  <c r="F122" i="13" s="1"/>
  <c r="J262" i="12"/>
  <c r="E128" i="13"/>
  <c r="G128" i="13" s="1"/>
  <c r="G264" i="12"/>
  <c r="D130" i="13"/>
  <c r="F130" i="13" s="1"/>
  <c r="G382" i="12"/>
  <c r="D210" i="13"/>
  <c r="F210" i="13" s="1"/>
  <c r="E211" i="13"/>
  <c r="G211" i="13" s="1"/>
  <c r="J383" i="12"/>
  <c r="J34" i="12"/>
  <c r="E13" i="13"/>
  <c r="G13" i="13" s="1"/>
  <c r="J37" i="12"/>
  <c r="E16" i="13"/>
  <c r="G16" i="13" s="1"/>
  <c r="H16" i="13" s="1"/>
  <c r="G39" i="12"/>
  <c r="D18" i="13"/>
  <c r="F18" i="13" s="1"/>
  <c r="J40" i="12"/>
  <c r="E19" i="13"/>
  <c r="G19" i="13" s="1"/>
  <c r="H19" i="13" s="1"/>
  <c r="G56" i="12"/>
  <c r="G28" i="12"/>
  <c r="D344" i="13"/>
  <c r="F344" i="13" s="1"/>
  <c r="G48" i="12"/>
  <c r="J80" i="12"/>
  <c r="E26" i="13"/>
  <c r="G26" i="13" s="1"/>
  <c r="G123" i="12"/>
  <c r="D23" i="13"/>
  <c r="F23" i="13" s="1"/>
  <c r="J129" i="12"/>
  <c r="E40" i="13"/>
  <c r="G40" i="13" s="1"/>
  <c r="D44" i="13"/>
  <c r="F44" i="13" s="1"/>
  <c r="G133" i="12"/>
  <c r="J140" i="12"/>
  <c r="E49" i="13"/>
  <c r="G49" i="13" s="1"/>
  <c r="G190" i="12"/>
  <c r="D76" i="13"/>
  <c r="F76" i="13" s="1"/>
  <c r="J217" i="12"/>
  <c r="E99" i="13"/>
  <c r="G99" i="13" s="1"/>
  <c r="D120" i="13"/>
  <c r="F120" i="13" s="1"/>
  <c r="G245" i="12"/>
  <c r="J276" i="12"/>
  <c r="E139" i="13"/>
  <c r="G139" i="13" s="1"/>
  <c r="J280" i="12"/>
  <c r="E142" i="13"/>
  <c r="G142" i="13" s="1"/>
  <c r="J292" i="12"/>
  <c r="E147" i="13"/>
  <c r="G147" i="13" s="1"/>
  <c r="J300" i="12"/>
  <c r="E153" i="13"/>
  <c r="G153" i="13" s="1"/>
  <c r="J302" i="12"/>
  <c r="E155" i="13"/>
  <c r="G155" i="13" s="1"/>
  <c r="J306" i="12"/>
  <c r="E157" i="13"/>
  <c r="G157" i="13" s="1"/>
  <c r="J320" i="12"/>
  <c r="E168" i="13"/>
  <c r="G168" i="13" s="1"/>
  <c r="J333" i="12"/>
  <c r="E183" i="13"/>
  <c r="G183" i="13" s="1"/>
  <c r="J341" i="12"/>
  <c r="E184" i="13"/>
  <c r="G184" i="13" s="1"/>
  <c r="J345" i="12"/>
  <c r="E189" i="13"/>
  <c r="G189" i="13" s="1"/>
  <c r="J364" i="12"/>
  <c r="E372" i="13"/>
  <c r="G372" i="13" s="1"/>
  <c r="J366" i="12"/>
  <c r="E202" i="13"/>
  <c r="G202" i="13" s="1"/>
  <c r="J372" i="12"/>
  <c r="E203" i="13"/>
  <c r="G203" i="13" s="1"/>
  <c r="J376" i="12"/>
  <c r="E205" i="13"/>
  <c r="G205" i="13" s="1"/>
  <c r="J378" i="12"/>
  <c r="E206" i="13"/>
  <c r="G206" i="13" s="1"/>
  <c r="G384" i="12"/>
  <c r="D214" i="13"/>
  <c r="F214" i="13" s="1"/>
  <c r="G400" i="12"/>
  <c r="D224" i="13"/>
  <c r="F224" i="13" s="1"/>
  <c r="E226" i="13"/>
  <c r="G226" i="13" s="1"/>
  <c r="J401" i="12"/>
  <c r="E232" i="13"/>
  <c r="G232" i="13" s="1"/>
  <c r="J409" i="12"/>
  <c r="E238" i="13"/>
  <c r="G238" i="13" s="1"/>
  <c r="J417" i="12"/>
  <c r="F12" i="13"/>
  <c r="J33" i="12"/>
  <c r="G35" i="12"/>
  <c r="D14" i="13"/>
  <c r="F14" i="13" s="1"/>
  <c r="J36" i="12"/>
  <c r="E15" i="13"/>
  <c r="G15" i="13" s="1"/>
  <c r="J39" i="12"/>
  <c r="E18" i="13"/>
  <c r="G18" i="13" s="1"/>
  <c r="J35" i="12"/>
  <c r="E14" i="13"/>
  <c r="G14" i="13" s="1"/>
  <c r="G55" i="12"/>
  <c r="D21" i="13"/>
  <c r="F21" i="13" s="1"/>
  <c r="J56" i="12"/>
  <c r="E22" i="13"/>
  <c r="G22" i="13" s="1"/>
  <c r="D38" i="13"/>
  <c r="F38" i="13" s="1"/>
  <c r="G118" i="12"/>
  <c r="J188" i="12"/>
  <c r="E73" i="13"/>
  <c r="G73" i="13" s="1"/>
  <c r="D84" i="13"/>
  <c r="F84" i="13" s="1"/>
  <c r="G197" i="12"/>
  <c r="J200" i="12"/>
  <c r="E86" i="13"/>
  <c r="G86" i="13" s="1"/>
  <c r="G202" i="12"/>
  <c r="D88" i="13"/>
  <c r="F88" i="13" s="1"/>
  <c r="J207" i="12"/>
  <c r="E93" i="13"/>
  <c r="G93" i="13" s="1"/>
  <c r="J232" i="12"/>
  <c r="E112" i="13"/>
  <c r="G112" i="13" s="1"/>
  <c r="G234" i="12"/>
  <c r="D114" i="13"/>
  <c r="F114" i="13" s="1"/>
  <c r="J266" i="12"/>
  <c r="E132" i="13"/>
  <c r="G132" i="13" s="1"/>
  <c r="J268" i="12"/>
  <c r="E134" i="13"/>
  <c r="G134" i="13" s="1"/>
  <c r="J270" i="12"/>
  <c r="E137" i="13"/>
  <c r="G137" i="13" s="1"/>
  <c r="J278" i="12"/>
  <c r="E141" i="13"/>
  <c r="G141" i="13" s="1"/>
  <c r="J282" i="12"/>
  <c r="E144" i="13"/>
  <c r="G144" i="13" s="1"/>
  <c r="J296" i="12"/>
  <c r="E149" i="13"/>
  <c r="G149" i="13" s="1"/>
  <c r="J324" i="12"/>
  <c r="E171" i="13"/>
  <c r="G171" i="13" s="1"/>
  <c r="J328" i="12"/>
  <c r="E178" i="13"/>
  <c r="G178" i="13" s="1"/>
  <c r="J330" i="12"/>
  <c r="E180" i="13"/>
  <c r="G180" i="13" s="1"/>
  <c r="J339" i="12"/>
  <c r="E181" i="13"/>
  <c r="G181" i="13" s="1"/>
  <c r="J343" i="12"/>
  <c r="E186" i="13"/>
  <c r="G186" i="13" s="1"/>
  <c r="J352" i="12"/>
  <c r="E193" i="13"/>
  <c r="G193" i="13" s="1"/>
  <c r="J356" i="12"/>
  <c r="E195" i="13"/>
  <c r="G195" i="13" s="1"/>
  <c r="J358" i="12"/>
  <c r="E197" i="13"/>
  <c r="G197" i="13" s="1"/>
  <c r="J360" i="12"/>
  <c r="E199" i="13"/>
  <c r="G199" i="13" s="1"/>
  <c r="J362" i="12"/>
  <c r="E207" i="13"/>
  <c r="G207" i="13" s="1"/>
  <c r="J28" i="12"/>
  <c r="E344" i="13"/>
  <c r="G344" i="13" s="1"/>
  <c r="G34" i="12"/>
  <c r="G37" i="12"/>
  <c r="G40" i="12"/>
  <c r="J48" i="12"/>
  <c r="E20" i="13"/>
  <c r="G20" i="13" s="1"/>
  <c r="J55" i="12"/>
  <c r="E21" i="13"/>
  <c r="G21" i="13" s="1"/>
  <c r="G72" i="12"/>
  <c r="D24" i="13"/>
  <c r="F24" i="13" s="1"/>
  <c r="G81" i="12"/>
  <c r="D27" i="13"/>
  <c r="F27" i="13" s="1"/>
  <c r="J111" i="12"/>
  <c r="E32" i="13"/>
  <c r="G32" i="13" s="1"/>
  <c r="D34" i="13"/>
  <c r="F34" i="13" s="1"/>
  <c r="G115" i="12"/>
  <c r="J118" i="12"/>
  <c r="E38" i="13"/>
  <c r="G38" i="13" s="1"/>
  <c r="G127" i="12"/>
  <c r="D39" i="13"/>
  <c r="F39" i="13" s="1"/>
  <c r="J133" i="12"/>
  <c r="E44" i="13"/>
  <c r="G44" i="13" s="1"/>
  <c r="D48" i="13"/>
  <c r="F48" i="13" s="1"/>
  <c r="G139" i="12"/>
  <c r="J176" i="12"/>
  <c r="E54" i="13"/>
  <c r="G54" i="13" s="1"/>
  <c r="D74" i="13"/>
  <c r="F74" i="13" s="1"/>
  <c r="G187" i="12"/>
  <c r="G194" i="12"/>
  <c r="D79" i="13"/>
  <c r="F79" i="13" s="1"/>
  <c r="J197" i="12"/>
  <c r="E84" i="13"/>
  <c r="G84" i="13" s="1"/>
  <c r="D85" i="13"/>
  <c r="F85" i="13" s="1"/>
  <c r="G199" i="12"/>
  <c r="J204" i="12"/>
  <c r="E90" i="13"/>
  <c r="G90" i="13" s="1"/>
  <c r="G206" i="12"/>
  <c r="D92" i="13"/>
  <c r="F92" i="13" s="1"/>
  <c r="D98" i="13"/>
  <c r="F98" i="13" s="1"/>
  <c r="G216" i="12"/>
  <c r="J222" i="12"/>
  <c r="E105" i="13"/>
  <c r="G105" i="13" s="1"/>
  <c r="G224" i="12"/>
  <c r="D101" i="13"/>
  <c r="F101" i="13" s="1"/>
  <c r="D111" i="13"/>
  <c r="F111" i="13" s="1"/>
  <c r="G231" i="12"/>
  <c r="G238" i="12"/>
  <c r="D116" i="13"/>
  <c r="F116" i="13" s="1"/>
  <c r="J245" i="12"/>
  <c r="E120" i="13"/>
  <c r="G120" i="13" s="1"/>
  <c r="J254" i="12"/>
  <c r="E124" i="13"/>
  <c r="G124" i="13" s="1"/>
  <c r="G256" i="12"/>
  <c r="D126" i="13"/>
  <c r="F126" i="13" s="1"/>
  <c r="G265" i="12"/>
  <c r="D131" i="13"/>
  <c r="F131" i="13" s="1"/>
  <c r="G386" i="12"/>
  <c r="D220" i="13"/>
  <c r="F220" i="13" s="1"/>
  <c r="J72" i="12"/>
  <c r="E24" i="13"/>
  <c r="G24" i="13" s="1"/>
  <c r="G74" i="12"/>
  <c r="D25" i="13"/>
  <c r="F25" i="13" s="1"/>
  <c r="J81" i="12"/>
  <c r="E27" i="13"/>
  <c r="G27" i="13" s="1"/>
  <c r="H27" i="13" s="1"/>
  <c r="G93" i="12"/>
  <c r="D29" i="13"/>
  <c r="F29" i="13" s="1"/>
  <c r="J103" i="12"/>
  <c r="E240" i="13"/>
  <c r="G240" i="13" s="1"/>
  <c r="D266" i="13"/>
  <c r="F266" i="13" s="1"/>
  <c r="G105" i="12"/>
  <c r="G110" i="12"/>
  <c r="D31" i="13"/>
  <c r="F31" i="13" s="1"/>
  <c r="J115" i="12"/>
  <c r="E34" i="13"/>
  <c r="G34" i="13" s="1"/>
  <c r="G117" i="12"/>
  <c r="D37" i="13"/>
  <c r="F37" i="13" s="1"/>
  <c r="J130" i="12"/>
  <c r="E42" i="13"/>
  <c r="G42" i="13" s="1"/>
  <c r="J139" i="12"/>
  <c r="E48" i="13"/>
  <c r="G48" i="13" s="1"/>
  <c r="D352" i="13"/>
  <c r="F352" i="13" s="1"/>
  <c r="G160" i="12"/>
  <c r="J187" i="12"/>
  <c r="E74" i="13"/>
  <c r="G74" i="13" s="1"/>
  <c r="G191" i="12"/>
  <c r="D77" i="13"/>
  <c r="F77" i="13" s="1"/>
  <c r="J194" i="12"/>
  <c r="E79" i="13"/>
  <c r="G79" i="13" s="1"/>
  <c r="G196" i="12"/>
  <c r="D81" i="13"/>
  <c r="F81" i="13" s="1"/>
  <c r="J199" i="12"/>
  <c r="E85" i="13"/>
  <c r="G85" i="13" s="1"/>
  <c r="G203" i="12"/>
  <c r="D89" i="13"/>
  <c r="F89" i="13" s="1"/>
  <c r="J216" i="12"/>
  <c r="E98" i="13"/>
  <c r="G98" i="13" s="1"/>
  <c r="D104" i="13"/>
  <c r="F104" i="13" s="1"/>
  <c r="J224" i="12"/>
  <c r="E101" i="13"/>
  <c r="G101" i="13" s="1"/>
  <c r="G226" i="12"/>
  <c r="D103" i="13"/>
  <c r="F103" i="13" s="1"/>
  <c r="J231" i="12"/>
  <c r="E111" i="13"/>
  <c r="G111" i="13" s="1"/>
  <c r="G242" i="12"/>
  <c r="D119" i="13"/>
  <c r="F119" i="13" s="1"/>
  <c r="J258" i="12"/>
  <c r="E127" i="13"/>
  <c r="G127" i="13" s="1"/>
  <c r="J265" i="12"/>
  <c r="E131" i="13"/>
  <c r="G131" i="13" s="1"/>
  <c r="J267" i="12"/>
  <c r="E133" i="13"/>
  <c r="G133" i="13" s="1"/>
  <c r="J269" i="12"/>
  <c r="E136" i="13"/>
  <c r="G136" i="13" s="1"/>
  <c r="J271" i="12"/>
  <c r="E138" i="13"/>
  <c r="G138" i="13" s="1"/>
  <c r="J277" i="12"/>
  <c r="E140" i="13"/>
  <c r="G140" i="13" s="1"/>
  <c r="J281" i="12"/>
  <c r="E143" i="13"/>
  <c r="G143" i="13" s="1"/>
  <c r="J283" i="12"/>
  <c r="E145" i="13"/>
  <c r="G145" i="13" s="1"/>
  <c r="J285" i="12"/>
  <c r="E146" i="13"/>
  <c r="G146" i="13" s="1"/>
  <c r="J289" i="12"/>
  <c r="E152" i="13"/>
  <c r="G152" i="13" s="1"/>
  <c r="J291" i="12"/>
  <c r="E148" i="13"/>
  <c r="G148" i="13" s="1"/>
  <c r="J297" i="12"/>
  <c r="E150" i="13"/>
  <c r="G150" i="13" s="1"/>
  <c r="J299" i="12"/>
  <c r="E151" i="13"/>
  <c r="G151" i="13" s="1"/>
  <c r="J301" i="12"/>
  <c r="E154" i="13"/>
  <c r="G154" i="13" s="1"/>
  <c r="J303" i="12"/>
  <c r="E156" i="13"/>
  <c r="G156" i="13" s="1"/>
  <c r="J317" i="12"/>
  <c r="E167" i="13"/>
  <c r="G167" i="13" s="1"/>
  <c r="J321" i="12"/>
  <c r="E169" i="13"/>
  <c r="G169" i="13" s="1"/>
  <c r="J325" i="12"/>
  <c r="E172" i="13"/>
  <c r="G172" i="13" s="1"/>
  <c r="J327" i="12"/>
  <c r="E177" i="13"/>
  <c r="G177" i="13" s="1"/>
  <c r="J329" i="12"/>
  <c r="E179" i="13"/>
  <c r="G179" i="13" s="1"/>
  <c r="J334" i="12"/>
  <c r="E265" i="13"/>
  <c r="G265" i="13" s="1"/>
  <c r="J340" i="12"/>
  <c r="E182" i="13"/>
  <c r="G182" i="13" s="1"/>
  <c r="J342" i="12"/>
  <c r="E185" i="13"/>
  <c r="G185" i="13" s="1"/>
  <c r="J344" i="12"/>
  <c r="E187" i="13"/>
  <c r="G187" i="13" s="1"/>
  <c r="J351" i="12"/>
  <c r="E191" i="13"/>
  <c r="G191" i="13" s="1"/>
  <c r="J357" i="12"/>
  <c r="E196" i="13"/>
  <c r="G196" i="13" s="1"/>
  <c r="J359" i="12"/>
  <c r="E198" i="13"/>
  <c r="G198" i="13" s="1"/>
  <c r="E209" i="13"/>
  <c r="G209" i="13" s="1"/>
  <c r="J381" i="12"/>
  <c r="G388" i="12"/>
  <c r="D216" i="13"/>
  <c r="F216" i="13" s="1"/>
  <c r="E217" i="13"/>
  <c r="G217" i="13" s="1"/>
  <c r="J389" i="12"/>
  <c r="G396" i="12"/>
  <c r="D219" i="13"/>
  <c r="F219" i="13" s="1"/>
  <c r="G404" i="12"/>
  <c r="D227" i="13"/>
  <c r="F227" i="13" s="1"/>
  <c r="E229" i="13"/>
  <c r="G229" i="13" s="1"/>
  <c r="J405" i="12"/>
  <c r="G412" i="12"/>
  <c r="D233" i="13"/>
  <c r="F233" i="13" s="1"/>
  <c r="E234" i="13"/>
  <c r="G234" i="13" s="1"/>
  <c r="J413" i="12"/>
  <c r="G420" i="12"/>
  <c r="D241" i="13"/>
  <c r="F241" i="13" s="1"/>
  <c r="G12" i="13"/>
  <c r="G398" i="12"/>
  <c r="D222" i="13"/>
  <c r="F222" i="13" s="1"/>
  <c r="J461" i="12"/>
  <c r="E269" i="13"/>
  <c r="G269" i="13" s="1"/>
  <c r="J493" i="12"/>
  <c r="E288" i="13"/>
  <c r="G288" i="13" s="1"/>
  <c r="G495" i="12"/>
  <c r="D290" i="13"/>
  <c r="F290" i="13" s="1"/>
  <c r="G500" i="12"/>
  <c r="D170" i="13"/>
  <c r="F170" i="13" s="1"/>
  <c r="J502" i="12"/>
  <c r="E295" i="13"/>
  <c r="G295" i="13" s="1"/>
  <c r="G504" i="12"/>
  <c r="D297" i="13"/>
  <c r="F297" i="13" s="1"/>
  <c r="J509" i="12"/>
  <c r="E299" i="13"/>
  <c r="G299" i="13" s="1"/>
  <c r="G514" i="12"/>
  <c r="D303" i="13"/>
  <c r="F303" i="13" s="1"/>
  <c r="J519" i="12"/>
  <c r="E305" i="13"/>
  <c r="G305" i="13" s="1"/>
  <c r="J526" i="12"/>
  <c r="E307" i="13"/>
  <c r="G307" i="13" s="1"/>
  <c r="J535" i="12"/>
  <c r="E314" i="13"/>
  <c r="G314" i="13" s="1"/>
  <c r="G547" i="12"/>
  <c r="D318" i="13"/>
  <c r="F318" i="13" s="1"/>
  <c r="J548" i="12"/>
  <c r="E320" i="13"/>
  <c r="G320" i="13" s="1"/>
  <c r="G550" i="12"/>
  <c r="D321" i="13"/>
  <c r="F321" i="13" s="1"/>
  <c r="G555" i="12"/>
  <c r="D341" i="13"/>
  <c r="F341" i="13" s="1"/>
  <c r="J556" i="12"/>
  <c r="E342" i="13"/>
  <c r="G342" i="13" s="1"/>
  <c r="G558" i="12"/>
  <c r="D343" i="13"/>
  <c r="F343" i="13" s="1"/>
  <c r="J564" i="12"/>
  <c r="E328" i="13"/>
  <c r="G328" i="13" s="1"/>
  <c r="G566" i="12"/>
  <c r="D330" i="13"/>
  <c r="F330" i="13" s="1"/>
  <c r="G571" i="12"/>
  <c r="D336" i="13"/>
  <c r="F336" i="13" s="1"/>
  <c r="J572" i="12"/>
  <c r="E334" i="13"/>
  <c r="G334" i="13" s="1"/>
  <c r="J579" i="12"/>
  <c r="E338" i="13"/>
  <c r="G338" i="13" s="1"/>
  <c r="G581" i="12"/>
  <c r="D346" i="13"/>
  <c r="F346" i="13" s="1"/>
  <c r="G599" i="12"/>
  <c r="D373" i="13"/>
  <c r="F373" i="13" s="1"/>
  <c r="G601" i="12"/>
  <c r="D376" i="13"/>
  <c r="F376" i="13" s="1"/>
  <c r="J604" i="12"/>
  <c r="E378" i="13"/>
  <c r="G378" i="13" s="1"/>
  <c r="G608" i="12"/>
  <c r="D383" i="13"/>
  <c r="F383" i="13" s="1"/>
  <c r="G610" i="12"/>
  <c r="D385" i="13"/>
  <c r="F385" i="13" s="1"/>
  <c r="H385" i="13" s="1"/>
  <c r="J616" i="12"/>
  <c r="J619" i="12"/>
  <c r="J627" i="12"/>
  <c r="G634" i="12"/>
  <c r="J635" i="12"/>
  <c r="J642" i="12"/>
  <c r="J644" i="12"/>
  <c r="J646" i="12"/>
  <c r="J648" i="12"/>
  <c r="J650" i="12"/>
  <c r="J654" i="12"/>
  <c r="J656" i="12"/>
  <c r="J658" i="12"/>
  <c r="J660" i="12"/>
  <c r="J662" i="12"/>
  <c r="J678" i="12"/>
  <c r="E166" i="13"/>
  <c r="G166" i="13" s="1"/>
  <c r="J680" i="12"/>
  <c r="E200" i="13"/>
  <c r="G200" i="13" s="1"/>
  <c r="J694" i="12"/>
  <c r="E368" i="13"/>
  <c r="G368" i="13" s="1"/>
  <c r="J700" i="12"/>
  <c r="J702" i="12"/>
  <c r="J706" i="12"/>
  <c r="J714" i="12"/>
  <c r="J716" i="12"/>
  <c r="J718" i="12"/>
  <c r="J720" i="12"/>
  <c r="J725" i="12"/>
  <c r="E30" i="13"/>
  <c r="G30" i="13" s="1"/>
  <c r="E36" i="13"/>
  <c r="G36" i="13" s="1"/>
  <c r="E46" i="13"/>
  <c r="G46" i="13" s="1"/>
  <c r="E66" i="13"/>
  <c r="G66" i="13" s="1"/>
  <c r="E70" i="13"/>
  <c r="G70" i="13" s="1"/>
  <c r="E72" i="13"/>
  <c r="G72" i="13" s="1"/>
  <c r="E76" i="13"/>
  <c r="G76" i="13" s="1"/>
  <c r="E78" i="13"/>
  <c r="G78" i="13" s="1"/>
  <c r="E80" i="13"/>
  <c r="G80" i="13" s="1"/>
  <c r="E88" i="13"/>
  <c r="G88" i="13" s="1"/>
  <c r="E92" i="13"/>
  <c r="G92" i="13" s="1"/>
  <c r="E96" i="13"/>
  <c r="G96" i="13" s="1"/>
  <c r="E100" i="13"/>
  <c r="G100" i="13" s="1"/>
  <c r="E102" i="13"/>
  <c r="G102" i="13" s="1"/>
  <c r="E110" i="13"/>
  <c r="G110" i="13" s="1"/>
  <c r="E114" i="13"/>
  <c r="G114" i="13" s="1"/>
  <c r="E116" i="13"/>
  <c r="G116" i="13" s="1"/>
  <c r="E118" i="13"/>
  <c r="G118" i="13" s="1"/>
  <c r="E122" i="13"/>
  <c r="G122" i="13" s="1"/>
  <c r="E126" i="13"/>
  <c r="G126" i="13" s="1"/>
  <c r="D139" i="13"/>
  <c r="F139" i="13" s="1"/>
  <c r="D143" i="13"/>
  <c r="F143" i="13" s="1"/>
  <c r="D147" i="13"/>
  <c r="F147" i="13" s="1"/>
  <c r="D151" i="13"/>
  <c r="F151" i="13" s="1"/>
  <c r="D155" i="13"/>
  <c r="F155" i="13" s="1"/>
  <c r="D167" i="13"/>
  <c r="F167" i="13" s="1"/>
  <c r="D171" i="13"/>
  <c r="F171" i="13" s="1"/>
  <c r="D177" i="13"/>
  <c r="F177" i="13" s="1"/>
  <c r="D181" i="13"/>
  <c r="F181" i="13" s="1"/>
  <c r="D185" i="13"/>
  <c r="F185" i="13" s="1"/>
  <c r="D189" i="13"/>
  <c r="F189" i="13" s="1"/>
  <c r="D191" i="13"/>
  <c r="F191" i="13" s="1"/>
  <c r="D193" i="13"/>
  <c r="F193" i="13" s="1"/>
  <c r="D197" i="13"/>
  <c r="F197" i="13" s="1"/>
  <c r="D205" i="13"/>
  <c r="F205" i="13" s="1"/>
  <c r="D211" i="13"/>
  <c r="F211" i="13" s="1"/>
  <c r="D265" i="13"/>
  <c r="F265" i="13" s="1"/>
  <c r="D273" i="13"/>
  <c r="F273" i="13" s="1"/>
  <c r="D285" i="13"/>
  <c r="F285" i="13" s="1"/>
  <c r="D293" i="13"/>
  <c r="F293" i="13" s="1"/>
  <c r="G269" i="12"/>
  <c r="D136" i="13"/>
  <c r="F136" i="13" s="1"/>
  <c r="G271" i="12"/>
  <c r="D138" i="13"/>
  <c r="F138" i="13" s="1"/>
  <c r="G277" i="12"/>
  <c r="D140" i="13"/>
  <c r="F140" i="13" s="1"/>
  <c r="G285" i="12"/>
  <c r="D146" i="13"/>
  <c r="F146" i="13" s="1"/>
  <c r="G289" i="12"/>
  <c r="D152" i="13"/>
  <c r="F152" i="13" s="1"/>
  <c r="G291" i="12"/>
  <c r="D148" i="13"/>
  <c r="F148" i="13" s="1"/>
  <c r="G297" i="12"/>
  <c r="D150" i="13"/>
  <c r="F150" i="13" s="1"/>
  <c r="G301" i="12"/>
  <c r="D154" i="13"/>
  <c r="F154" i="13" s="1"/>
  <c r="G303" i="12"/>
  <c r="D156" i="13"/>
  <c r="F156" i="13" s="1"/>
  <c r="G325" i="12"/>
  <c r="D172" i="13"/>
  <c r="F172" i="13" s="1"/>
  <c r="G340" i="12"/>
  <c r="D182" i="13"/>
  <c r="F182" i="13" s="1"/>
  <c r="G357" i="12"/>
  <c r="D196" i="13"/>
  <c r="F196" i="13" s="1"/>
  <c r="G359" i="12"/>
  <c r="D198" i="13"/>
  <c r="F198" i="13" s="1"/>
  <c r="J387" i="12"/>
  <c r="J391" i="12"/>
  <c r="J399" i="12"/>
  <c r="G401" i="12"/>
  <c r="D226" i="13"/>
  <c r="F226" i="13" s="1"/>
  <c r="G409" i="12"/>
  <c r="D232" i="13"/>
  <c r="F232" i="13" s="1"/>
  <c r="G413" i="12"/>
  <c r="D234" i="13"/>
  <c r="F234" i="13" s="1"/>
  <c r="J415" i="12"/>
  <c r="G417" i="12"/>
  <c r="D238" i="13"/>
  <c r="F238" i="13" s="1"/>
  <c r="G425" i="12"/>
  <c r="D244" i="13"/>
  <c r="F244" i="13" s="1"/>
  <c r="G462" i="12"/>
  <c r="D270" i="13"/>
  <c r="F270" i="13" s="1"/>
  <c r="J463" i="12"/>
  <c r="E271" i="13"/>
  <c r="G271" i="13" s="1"/>
  <c r="J466" i="12"/>
  <c r="G470" i="12"/>
  <c r="D276" i="13"/>
  <c r="F276" i="13" s="1"/>
  <c r="G473" i="12"/>
  <c r="D278" i="13"/>
  <c r="F278" i="13" s="1"/>
  <c r="J482" i="12"/>
  <c r="G486" i="12"/>
  <c r="D282" i="13"/>
  <c r="F282" i="13" s="1"/>
  <c r="G489" i="12"/>
  <c r="D284" i="13"/>
  <c r="F284" i="13" s="1"/>
  <c r="J490" i="12"/>
  <c r="J495" i="12"/>
  <c r="E290" i="13"/>
  <c r="G290" i="13" s="1"/>
  <c r="G497" i="12"/>
  <c r="D292" i="13"/>
  <c r="F292" i="13" s="1"/>
  <c r="J498" i="12"/>
  <c r="J504" i="12"/>
  <c r="E297" i="13"/>
  <c r="G297" i="13" s="1"/>
  <c r="G511" i="12"/>
  <c r="D300" i="13"/>
  <c r="F300" i="13" s="1"/>
  <c r="J512" i="12"/>
  <c r="J514" i="12"/>
  <c r="E303" i="13"/>
  <c r="G303" i="13" s="1"/>
  <c r="G520" i="12"/>
  <c r="D306" i="13"/>
  <c r="F306" i="13" s="1"/>
  <c r="G525" i="12"/>
  <c r="D325" i="13"/>
  <c r="F325" i="13" s="1"/>
  <c r="J528" i="12"/>
  <c r="G534" i="12"/>
  <c r="D312" i="13"/>
  <c r="F312" i="13" s="1"/>
  <c r="G536" i="12"/>
  <c r="D315" i="13"/>
  <c r="F315" i="13" s="1"/>
  <c r="G543" i="12"/>
  <c r="D363" i="13"/>
  <c r="F363" i="13" s="1"/>
  <c r="G549" i="12"/>
  <c r="D319" i="13"/>
  <c r="F319" i="13" s="1"/>
  <c r="J550" i="12"/>
  <c r="E321" i="13"/>
  <c r="G321" i="13" s="1"/>
  <c r="G552" i="12"/>
  <c r="D323" i="13"/>
  <c r="F323" i="13" s="1"/>
  <c r="J553" i="12"/>
  <c r="J558" i="12"/>
  <c r="E343" i="13"/>
  <c r="G343" i="13" s="1"/>
  <c r="G565" i="12"/>
  <c r="D329" i="13"/>
  <c r="F329" i="13" s="1"/>
  <c r="J566" i="12"/>
  <c r="E330" i="13"/>
  <c r="G330" i="13" s="1"/>
  <c r="G568" i="12"/>
  <c r="D331" i="13"/>
  <c r="F331" i="13" s="1"/>
  <c r="J569" i="12"/>
  <c r="D335" i="13"/>
  <c r="F335" i="13" s="1"/>
  <c r="G575" i="12"/>
  <c r="D337" i="13"/>
  <c r="F337" i="13" s="1"/>
  <c r="J581" i="12"/>
  <c r="E346" i="13"/>
  <c r="G346" i="13" s="1"/>
  <c r="G583" i="12"/>
  <c r="D349" i="13"/>
  <c r="F349" i="13" s="1"/>
  <c r="J584" i="12"/>
  <c r="J592" i="12"/>
  <c r="J599" i="12"/>
  <c r="E373" i="13"/>
  <c r="G373" i="13" s="1"/>
  <c r="J601" i="12"/>
  <c r="E376" i="13"/>
  <c r="G376" i="13" s="1"/>
  <c r="G605" i="12"/>
  <c r="D381" i="13"/>
  <c r="F381" i="13" s="1"/>
  <c r="J606" i="12"/>
  <c r="J608" i="12"/>
  <c r="E383" i="13"/>
  <c r="G383" i="13" s="1"/>
  <c r="G612" i="12"/>
  <c r="D388" i="13"/>
  <c r="F388" i="13" s="1"/>
  <c r="G615" i="12"/>
  <c r="G620" i="12"/>
  <c r="G625" i="12"/>
  <c r="G641" i="12"/>
  <c r="G643" i="12"/>
  <c r="G645" i="12"/>
  <c r="G647" i="12"/>
  <c r="G649" i="12"/>
  <c r="G651" i="12"/>
  <c r="G653" i="12"/>
  <c r="G655" i="12"/>
  <c r="G657" i="12"/>
  <c r="G663" i="12"/>
  <c r="G665" i="12"/>
  <c r="G679" i="12"/>
  <c r="D188" i="13"/>
  <c r="F188" i="13" s="1"/>
  <c r="G681" i="12"/>
  <c r="D204" i="13"/>
  <c r="F204" i="13" s="1"/>
  <c r="G685" i="12"/>
  <c r="D242" i="13"/>
  <c r="F242" i="13" s="1"/>
  <c r="G687" i="12"/>
  <c r="D294" i="13"/>
  <c r="F294" i="13" s="1"/>
  <c r="G689" i="12"/>
  <c r="D326" i="13"/>
  <c r="F326" i="13" s="1"/>
  <c r="G691" i="12"/>
  <c r="D340" i="13"/>
  <c r="F340" i="13" s="1"/>
  <c r="G693" i="12"/>
  <c r="D369" i="13"/>
  <c r="F369" i="13" s="1"/>
  <c r="G701" i="12"/>
  <c r="G703" i="12"/>
  <c r="G705" i="12"/>
  <c r="G707" i="12"/>
  <c r="G711" i="12"/>
  <c r="G713" i="12"/>
  <c r="G715" i="12"/>
  <c r="G717" i="12"/>
  <c r="G721" i="12"/>
  <c r="G723" i="12"/>
  <c r="D35" i="13"/>
  <c r="F35" i="13" s="1"/>
  <c r="D49" i="13"/>
  <c r="F49" i="13" s="1"/>
  <c r="D65" i="13"/>
  <c r="F65" i="13" s="1"/>
  <c r="D73" i="13"/>
  <c r="F73" i="13" s="1"/>
  <c r="D99" i="13"/>
  <c r="F99" i="13" s="1"/>
  <c r="D105" i="13"/>
  <c r="F105" i="13" s="1"/>
  <c r="D127" i="13"/>
  <c r="F127" i="13" s="1"/>
  <c r="D215" i="13"/>
  <c r="F215" i="13" s="1"/>
  <c r="D235" i="13"/>
  <c r="F235" i="13" s="1"/>
  <c r="D275" i="13"/>
  <c r="F275" i="13" s="1"/>
  <c r="D287" i="13"/>
  <c r="F287" i="13" s="1"/>
  <c r="D295" i="13"/>
  <c r="F295" i="13" s="1"/>
  <c r="G464" i="12"/>
  <c r="D272" i="13"/>
  <c r="F272" i="13" s="1"/>
  <c r="J465" i="12"/>
  <c r="E273" i="13"/>
  <c r="G273" i="13" s="1"/>
  <c r="J473" i="12"/>
  <c r="E278" i="13"/>
  <c r="G278" i="13" s="1"/>
  <c r="J489" i="12"/>
  <c r="E284" i="13"/>
  <c r="G284" i="13" s="1"/>
  <c r="G491" i="12"/>
  <c r="D286" i="13"/>
  <c r="F286" i="13" s="1"/>
  <c r="J497" i="12"/>
  <c r="E292" i="13"/>
  <c r="G292" i="13" s="1"/>
  <c r="G499" i="12"/>
  <c r="D298" i="13"/>
  <c r="F298" i="13" s="1"/>
  <c r="G505" i="12"/>
  <c r="D296" i="13"/>
  <c r="F296" i="13" s="1"/>
  <c r="J511" i="12"/>
  <c r="E300" i="13"/>
  <c r="G300" i="13" s="1"/>
  <c r="G513" i="12"/>
  <c r="D302" i="13"/>
  <c r="F302" i="13" s="1"/>
  <c r="G515" i="12"/>
  <c r="D304" i="13"/>
  <c r="F304" i="13" s="1"/>
  <c r="G524" i="12"/>
  <c r="D313" i="13"/>
  <c r="F313" i="13" s="1"/>
  <c r="H313" i="13" s="1"/>
  <c r="J525" i="12"/>
  <c r="E325" i="13"/>
  <c r="G325" i="13" s="1"/>
  <c r="G531" i="12"/>
  <c r="D311" i="13"/>
  <c r="F311" i="13" s="1"/>
  <c r="J534" i="12"/>
  <c r="E312" i="13"/>
  <c r="G312" i="13" s="1"/>
  <c r="G540" i="12"/>
  <c r="D316" i="13"/>
  <c r="F316" i="13" s="1"/>
  <c r="G542" i="12"/>
  <c r="D176" i="13"/>
  <c r="F176" i="13" s="1"/>
  <c r="J543" i="12"/>
  <c r="E363" i="13"/>
  <c r="G363" i="13" s="1"/>
  <c r="G546" i="12"/>
  <c r="D317" i="13"/>
  <c r="F317" i="13" s="1"/>
  <c r="G551" i="12"/>
  <c r="D322" i="13"/>
  <c r="F322" i="13" s="1"/>
  <c r="J552" i="12"/>
  <c r="E323" i="13"/>
  <c r="G323" i="13" s="1"/>
  <c r="G562" i="12"/>
  <c r="D327" i="13"/>
  <c r="F327" i="13" s="1"/>
  <c r="J568" i="12"/>
  <c r="E331" i="13"/>
  <c r="G331" i="13" s="1"/>
  <c r="G570" i="12"/>
  <c r="D333" i="13"/>
  <c r="F333" i="13" s="1"/>
  <c r="J575" i="12"/>
  <c r="E337" i="13"/>
  <c r="G337" i="13" s="1"/>
  <c r="G582" i="12"/>
  <c r="D347" i="13"/>
  <c r="F347" i="13" s="1"/>
  <c r="J583" i="12"/>
  <c r="E349" i="13"/>
  <c r="G349" i="13" s="1"/>
  <c r="G600" i="12"/>
  <c r="D374" i="13"/>
  <c r="F374" i="13" s="1"/>
  <c r="G602" i="12"/>
  <c r="D377" i="13"/>
  <c r="F377" i="13" s="1"/>
  <c r="J605" i="12"/>
  <c r="E381" i="13"/>
  <c r="G381" i="13" s="1"/>
  <c r="G607" i="12"/>
  <c r="D382" i="13"/>
  <c r="F382" i="13" s="1"/>
  <c r="G609" i="12"/>
  <c r="D384" i="13"/>
  <c r="F384" i="13" s="1"/>
  <c r="J612" i="12"/>
  <c r="E388" i="13"/>
  <c r="G388" i="13" s="1"/>
  <c r="G614" i="12"/>
  <c r="J615" i="12"/>
  <c r="J620" i="12"/>
  <c r="G630" i="12"/>
  <c r="G632" i="12"/>
  <c r="J641" i="12"/>
  <c r="J643" i="12"/>
  <c r="J645" i="12"/>
  <c r="J647" i="12"/>
  <c r="J649" i="12"/>
  <c r="J651" i="12"/>
  <c r="J653" i="12"/>
  <c r="J655" i="12"/>
  <c r="J657" i="12"/>
  <c r="J663" i="12"/>
  <c r="J665" i="12"/>
  <c r="J679" i="12"/>
  <c r="E188" i="13"/>
  <c r="G188" i="13" s="1"/>
  <c r="J681" i="12"/>
  <c r="E204" i="13"/>
  <c r="G204" i="13" s="1"/>
  <c r="J685" i="12"/>
  <c r="E242" i="13"/>
  <c r="G242" i="13" s="1"/>
  <c r="J687" i="12"/>
  <c r="E294" i="13"/>
  <c r="G294" i="13" s="1"/>
  <c r="J689" i="12"/>
  <c r="E326" i="13"/>
  <c r="G326" i="13" s="1"/>
  <c r="J691" i="12"/>
  <c r="E340" i="13"/>
  <c r="G340" i="13" s="1"/>
  <c r="J693" i="12"/>
  <c r="E369" i="13"/>
  <c r="G369" i="13" s="1"/>
  <c r="J701" i="12"/>
  <c r="J703" i="12"/>
  <c r="J705" i="12"/>
  <c r="J707" i="12"/>
  <c r="J711" i="12"/>
  <c r="J713" i="12"/>
  <c r="J715" i="12"/>
  <c r="J717" i="12"/>
  <c r="J721" i="12"/>
  <c r="J723" i="12"/>
  <c r="E23" i="13"/>
  <c r="G23" i="13" s="1"/>
  <c r="E33" i="13"/>
  <c r="G33" i="13" s="1"/>
  <c r="E35" i="13"/>
  <c r="G35" i="13" s="1"/>
  <c r="E37" i="13"/>
  <c r="G37" i="13" s="1"/>
  <c r="E39" i="13"/>
  <c r="G39" i="13" s="1"/>
  <c r="E47" i="13"/>
  <c r="G47" i="13" s="1"/>
  <c r="E65" i="13"/>
  <c r="G65" i="13" s="1"/>
  <c r="E71" i="13"/>
  <c r="G71" i="13" s="1"/>
  <c r="E75" i="13"/>
  <c r="G75" i="13" s="1"/>
  <c r="E81" i="13"/>
  <c r="G81" i="13" s="1"/>
  <c r="E83" i="13"/>
  <c r="G83" i="13" s="1"/>
  <c r="E91" i="13"/>
  <c r="G91" i="13" s="1"/>
  <c r="E97" i="13"/>
  <c r="G97" i="13" s="1"/>
  <c r="H97" i="13" s="1"/>
  <c r="E103" i="13"/>
  <c r="G103" i="13" s="1"/>
  <c r="E107" i="13"/>
  <c r="G107" i="13" s="1"/>
  <c r="E109" i="13"/>
  <c r="G109" i="13" s="1"/>
  <c r="E113" i="13"/>
  <c r="G113" i="13" s="1"/>
  <c r="E119" i="13"/>
  <c r="G119" i="13" s="1"/>
  <c r="E123" i="13"/>
  <c r="G123" i="13" s="1"/>
  <c r="E125" i="13"/>
  <c r="G125" i="13" s="1"/>
  <c r="E129" i="13"/>
  <c r="G129" i="13" s="1"/>
  <c r="H129" i="13" s="1"/>
  <c r="D133" i="13"/>
  <c r="F133" i="13" s="1"/>
  <c r="D137" i="13"/>
  <c r="F137" i="13" s="1"/>
  <c r="D141" i="13"/>
  <c r="F141" i="13" s="1"/>
  <c r="D145" i="13"/>
  <c r="F145" i="13" s="1"/>
  <c r="D149" i="13"/>
  <c r="F149" i="13" s="1"/>
  <c r="D153" i="13"/>
  <c r="F153" i="13" s="1"/>
  <c r="D157" i="13"/>
  <c r="F157" i="13" s="1"/>
  <c r="D169" i="13"/>
  <c r="F169" i="13" s="1"/>
  <c r="D179" i="13"/>
  <c r="F179" i="13" s="1"/>
  <c r="D183" i="13"/>
  <c r="F183" i="13" s="1"/>
  <c r="D187" i="13"/>
  <c r="F187" i="13" s="1"/>
  <c r="D195" i="13"/>
  <c r="F195" i="13" s="1"/>
  <c r="D199" i="13"/>
  <c r="F199" i="13" s="1"/>
  <c r="D203" i="13"/>
  <c r="F203" i="13" s="1"/>
  <c r="D207" i="13"/>
  <c r="F207" i="13" s="1"/>
  <c r="D209" i="13"/>
  <c r="F209" i="13" s="1"/>
  <c r="D217" i="13"/>
  <c r="F217" i="13" s="1"/>
  <c r="D223" i="13"/>
  <c r="F223" i="13" s="1"/>
  <c r="D269" i="13"/>
  <c r="F269" i="13" s="1"/>
  <c r="D277" i="13"/>
  <c r="F277" i="13" s="1"/>
  <c r="D281" i="13"/>
  <c r="F281" i="13" s="1"/>
  <c r="D289" i="13"/>
  <c r="F289" i="13" s="1"/>
  <c r="G103" i="12"/>
  <c r="D240" i="13"/>
  <c r="F240" i="13" s="1"/>
  <c r="J264" i="12"/>
  <c r="E130" i="13"/>
  <c r="G130" i="13" s="1"/>
  <c r="G266" i="12"/>
  <c r="D132" i="13"/>
  <c r="F132" i="13" s="1"/>
  <c r="G268" i="12"/>
  <c r="D134" i="13"/>
  <c r="F134" i="13" s="1"/>
  <c r="G280" i="12"/>
  <c r="D142" i="13"/>
  <c r="F142" i="13" s="1"/>
  <c r="G282" i="12"/>
  <c r="D144" i="13"/>
  <c r="F144" i="13" s="1"/>
  <c r="G320" i="12"/>
  <c r="D168" i="13"/>
  <c r="F168" i="13" s="1"/>
  <c r="G328" i="12"/>
  <c r="D178" i="13"/>
  <c r="F178" i="13" s="1"/>
  <c r="G330" i="12"/>
  <c r="D180" i="13"/>
  <c r="F180" i="13" s="1"/>
  <c r="G341" i="12"/>
  <c r="D184" i="13"/>
  <c r="F184" i="13" s="1"/>
  <c r="G343" i="12"/>
  <c r="D186" i="13"/>
  <c r="F186" i="13" s="1"/>
  <c r="G364" i="12"/>
  <c r="D372" i="13"/>
  <c r="F372" i="13" s="1"/>
  <c r="G366" i="12"/>
  <c r="D202" i="13"/>
  <c r="F202" i="13" s="1"/>
  <c r="G378" i="12"/>
  <c r="D206" i="13"/>
  <c r="F206" i="13" s="1"/>
  <c r="G391" i="12"/>
  <c r="D218" i="13"/>
  <c r="F218" i="13" s="1"/>
  <c r="H218" i="13" s="1"/>
  <c r="G415" i="12"/>
  <c r="D236" i="13"/>
  <c r="F236" i="13" s="1"/>
  <c r="J425" i="12"/>
  <c r="J462" i="12"/>
  <c r="G466" i="12"/>
  <c r="D274" i="13"/>
  <c r="F274" i="13" s="1"/>
  <c r="J470" i="12"/>
  <c r="J478" i="12"/>
  <c r="G482" i="12"/>
  <c r="D194" i="13"/>
  <c r="F194" i="13" s="1"/>
  <c r="J486" i="12"/>
  <c r="J491" i="12"/>
  <c r="E286" i="13"/>
  <c r="G286" i="13" s="1"/>
  <c r="G493" i="12"/>
  <c r="D288" i="13"/>
  <c r="F288" i="13" s="1"/>
  <c r="J494" i="12"/>
  <c r="J499" i="12"/>
  <c r="E298" i="13"/>
  <c r="G298" i="13" s="1"/>
  <c r="G509" i="12"/>
  <c r="D299" i="13"/>
  <c r="F299" i="13" s="1"/>
  <c r="G512" i="12"/>
  <c r="D301" i="13"/>
  <c r="F301" i="13" s="1"/>
  <c r="J513" i="12"/>
  <c r="E302" i="13"/>
  <c r="G302" i="13" s="1"/>
  <c r="J515" i="12"/>
  <c r="E304" i="13"/>
  <c r="G304" i="13" s="1"/>
  <c r="G519" i="12"/>
  <c r="D305" i="13"/>
  <c r="F305" i="13" s="1"/>
  <c r="J520" i="12"/>
  <c r="G526" i="12"/>
  <c r="D307" i="13"/>
  <c r="F307" i="13" s="1"/>
  <c r="G528" i="12"/>
  <c r="D308" i="13"/>
  <c r="F308" i="13" s="1"/>
  <c r="J531" i="12"/>
  <c r="E311" i="13"/>
  <c r="G311" i="13" s="1"/>
  <c r="G535" i="12"/>
  <c r="D314" i="13"/>
  <c r="F314" i="13" s="1"/>
  <c r="J536" i="12"/>
  <c r="J540" i="12"/>
  <c r="E316" i="13"/>
  <c r="G316" i="13" s="1"/>
  <c r="J546" i="12"/>
  <c r="E317" i="13"/>
  <c r="G317" i="13" s="1"/>
  <c r="G548" i="12"/>
  <c r="D320" i="13"/>
  <c r="F320" i="13" s="1"/>
  <c r="J549" i="12"/>
  <c r="G553" i="12"/>
  <c r="D324" i="13"/>
  <c r="F324" i="13" s="1"/>
  <c r="G556" i="12"/>
  <c r="D342" i="13"/>
  <c r="F342" i="13" s="1"/>
  <c r="J562" i="12"/>
  <c r="E327" i="13"/>
  <c r="G327" i="13" s="1"/>
  <c r="G564" i="12"/>
  <c r="D328" i="13"/>
  <c r="F328" i="13" s="1"/>
  <c r="J565" i="12"/>
  <c r="G569" i="12"/>
  <c r="D332" i="13"/>
  <c r="F332" i="13" s="1"/>
  <c r="J570" i="12"/>
  <c r="E333" i="13"/>
  <c r="G333" i="13" s="1"/>
  <c r="G572" i="12"/>
  <c r="D334" i="13"/>
  <c r="F334" i="13" s="1"/>
  <c r="G579" i="12"/>
  <c r="D338" i="13"/>
  <c r="F338" i="13" s="1"/>
  <c r="G584" i="12"/>
  <c r="D364" i="13"/>
  <c r="F364" i="13" s="1"/>
  <c r="G592" i="12"/>
  <c r="D370" i="13"/>
  <c r="F370" i="13" s="1"/>
  <c r="J600" i="12"/>
  <c r="E374" i="13"/>
  <c r="G374" i="13" s="1"/>
  <c r="G604" i="12"/>
  <c r="D378" i="13"/>
  <c r="F378" i="13" s="1"/>
  <c r="G606" i="12"/>
  <c r="D379" i="13"/>
  <c r="F379" i="13" s="1"/>
  <c r="H379" i="13" s="1"/>
  <c r="J607" i="12"/>
  <c r="E382" i="13"/>
  <c r="G382" i="13" s="1"/>
  <c r="J609" i="12"/>
  <c r="E384" i="13"/>
  <c r="G384" i="13" s="1"/>
  <c r="G616" i="12"/>
  <c r="G619" i="12"/>
  <c r="J625" i="12"/>
  <c r="G627" i="12"/>
  <c r="J630" i="12"/>
  <c r="J632" i="12"/>
  <c r="G635" i="12"/>
  <c r="G642" i="12"/>
  <c r="G644" i="12"/>
  <c r="G646" i="12"/>
  <c r="G648" i="12"/>
  <c r="G650" i="12"/>
  <c r="G654" i="12"/>
  <c r="G656" i="12"/>
  <c r="G658" i="12"/>
  <c r="G660" i="12"/>
  <c r="G662" i="12"/>
  <c r="G678" i="12"/>
  <c r="D166" i="13"/>
  <c r="F166" i="13" s="1"/>
  <c r="G680" i="12"/>
  <c r="D200" i="13"/>
  <c r="F200" i="13" s="1"/>
  <c r="G694" i="12"/>
  <c r="D368" i="13"/>
  <c r="F368" i="13" s="1"/>
  <c r="G700" i="12"/>
  <c r="G702" i="12"/>
  <c r="G706" i="12"/>
  <c r="G714" i="12"/>
  <c r="G716" i="12"/>
  <c r="G718" i="12"/>
  <c r="G720" i="12"/>
  <c r="G725" i="12"/>
  <c r="D32" i="13"/>
  <c r="F32" i="13" s="1"/>
  <c r="D42" i="13"/>
  <c r="F42" i="13" s="1"/>
  <c r="D54" i="13"/>
  <c r="F54" i="13" s="1"/>
  <c r="D70" i="13"/>
  <c r="F70" i="13" s="1"/>
  <c r="D86" i="13"/>
  <c r="F86" i="13" s="1"/>
  <c r="D90" i="13"/>
  <c r="F90" i="13" s="1"/>
  <c r="D96" i="13"/>
  <c r="F96" i="13" s="1"/>
  <c r="D108" i="13"/>
  <c r="F108" i="13" s="1"/>
  <c r="D112" i="13"/>
  <c r="F112" i="13" s="1"/>
  <c r="D124" i="13"/>
  <c r="F124" i="13" s="1"/>
  <c r="D128" i="13"/>
  <c r="F128" i="13" s="1"/>
  <c r="D225" i="13"/>
  <c r="F225" i="13" s="1"/>
  <c r="D229" i="13"/>
  <c r="F229" i="13" s="1"/>
  <c r="D243" i="13"/>
  <c r="F243" i="13" s="1"/>
  <c r="D271" i="13"/>
  <c r="F271" i="13" s="1"/>
  <c r="D279" i="13"/>
  <c r="F279" i="13" s="1"/>
  <c r="H279" i="13" s="1"/>
  <c r="D283" i="13"/>
  <c r="F283" i="13" s="1"/>
  <c r="D291" i="13"/>
  <c r="F291" i="13" s="1"/>
  <c r="H727" i="12"/>
  <c r="H730" i="12" s="1"/>
  <c r="E727" i="12"/>
  <c r="E730" i="12" s="1"/>
  <c r="H123" i="13" l="1"/>
  <c r="H231" i="13"/>
  <c r="H51" i="13"/>
  <c r="H221" i="13"/>
  <c r="H239" i="13"/>
  <c r="H164" i="13"/>
  <c r="H228" i="13"/>
  <c r="H50" i="13"/>
  <c r="H219" i="13"/>
  <c r="H20" i="13"/>
  <c r="D389" i="13"/>
  <c r="F389" i="13" s="1"/>
  <c r="E389" i="13"/>
  <c r="G389" i="13" s="1"/>
  <c r="H280" i="13"/>
  <c r="H246" i="13"/>
  <c r="H117" i="13"/>
  <c r="H281" i="13"/>
  <c r="H165" i="13"/>
  <c r="H91" i="13"/>
  <c r="H380" i="13"/>
  <c r="H118" i="13"/>
  <c r="F727" i="12"/>
  <c r="F2" i="12"/>
  <c r="J2" i="12" s="1"/>
  <c r="G228" i="12"/>
  <c r="G727" i="12" s="1"/>
  <c r="H354" i="13"/>
  <c r="H289" i="13"/>
  <c r="H78" i="13"/>
  <c r="H361" i="13"/>
  <c r="H353" i="13"/>
  <c r="H158" i="13"/>
  <c r="H62" i="13"/>
  <c r="H267" i="13"/>
  <c r="H57" i="13"/>
  <c r="H356" i="13"/>
  <c r="H283" i="13"/>
  <c r="H36" i="13"/>
  <c r="H64" i="13"/>
  <c r="H94" i="13"/>
  <c r="H121" i="13"/>
  <c r="H15" i="13"/>
  <c r="H33" i="13"/>
  <c r="H375" i="13"/>
  <c r="H250" i="13"/>
  <c r="H377" i="13"/>
  <c r="H272" i="13"/>
  <c r="H329" i="13"/>
  <c r="H306" i="13"/>
  <c r="H100" i="13"/>
  <c r="H80" i="13"/>
  <c r="H252" i="13"/>
  <c r="H339" i="13"/>
  <c r="H225" i="13"/>
  <c r="H30" i="13"/>
  <c r="H315" i="13"/>
  <c r="H282" i="13"/>
  <c r="H258" i="13"/>
  <c r="H350" i="13"/>
  <c r="H161" i="13"/>
  <c r="H163" i="13"/>
  <c r="H243" i="13"/>
  <c r="H176" i="13"/>
  <c r="H355" i="13"/>
  <c r="H160" i="13"/>
  <c r="H251" i="13"/>
  <c r="H309" i="13"/>
  <c r="H159" i="13"/>
  <c r="H67" i="13"/>
  <c r="H109" i="13"/>
  <c r="H71" i="13"/>
  <c r="H233" i="13"/>
  <c r="H214" i="13"/>
  <c r="H324" i="13"/>
  <c r="H236" i="13"/>
  <c r="H276" i="13"/>
  <c r="H264" i="13"/>
  <c r="H115" i="13"/>
  <c r="H364" i="13"/>
  <c r="H370" i="13"/>
  <c r="H194" i="13"/>
  <c r="H274" i="13"/>
  <c r="H347" i="13"/>
  <c r="H322" i="13"/>
  <c r="H22" i="13"/>
  <c r="H13" i="13"/>
  <c r="H68" i="13"/>
  <c r="H56" i="13"/>
  <c r="H90" i="13"/>
  <c r="H175" i="13"/>
  <c r="H270" i="13"/>
  <c r="H224" i="13"/>
  <c r="H386" i="13"/>
  <c r="H249" i="13"/>
  <c r="H60" i="13"/>
  <c r="H345" i="13"/>
  <c r="H293" i="13"/>
  <c r="H227" i="13"/>
  <c r="H285" i="13"/>
  <c r="H237" i="13"/>
  <c r="H360" i="13"/>
  <c r="H371" i="13"/>
  <c r="H83" i="13"/>
  <c r="H287" i="13"/>
  <c r="H72" i="13"/>
  <c r="H348" i="13"/>
  <c r="H173" i="13"/>
  <c r="H387" i="13"/>
  <c r="H192" i="13"/>
  <c r="H59" i="13"/>
  <c r="H296" i="13"/>
  <c r="H336" i="13"/>
  <c r="H365" i="13"/>
  <c r="H212" i="13"/>
  <c r="H291" i="13"/>
  <c r="H332" i="13"/>
  <c r="H108" i="13"/>
  <c r="H335" i="13"/>
  <c r="H256" i="13"/>
  <c r="H362" i="13"/>
  <c r="H367" i="13"/>
  <c r="H255" i="13"/>
  <c r="H174" i="13"/>
  <c r="H102" i="13"/>
  <c r="H222" i="13"/>
  <c r="H223" i="13"/>
  <c r="H235" i="13"/>
  <c r="H308" i="13"/>
  <c r="H319" i="13"/>
  <c r="H66" i="13"/>
  <c r="H213" i="13"/>
  <c r="H230" i="13"/>
  <c r="H263" i="13"/>
  <c r="H341" i="13"/>
  <c r="H366" i="13"/>
  <c r="H220" i="13"/>
  <c r="H43" i="13"/>
  <c r="H82" i="13"/>
  <c r="H245" i="13"/>
  <c r="H261" i="13"/>
  <c r="H46" i="13"/>
  <c r="H248" i="13"/>
  <c r="H135" i="13"/>
  <c r="H52" i="13"/>
  <c r="H58" i="13"/>
  <c r="H277" i="13"/>
  <c r="H254" i="13"/>
  <c r="H215" i="13"/>
  <c r="H318" i="13"/>
  <c r="H63" i="13"/>
  <c r="H253" i="13"/>
  <c r="H301" i="13"/>
  <c r="H125" i="13"/>
  <c r="H216" i="13"/>
  <c r="H259" i="13"/>
  <c r="H107" i="13"/>
  <c r="H95" i="13"/>
  <c r="H106" i="13"/>
  <c r="H133" i="13"/>
  <c r="H205" i="13"/>
  <c r="H189" i="13"/>
  <c r="H241" i="13"/>
  <c r="H210" i="13"/>
  <c r="H113" i="13"/>
  <c r="H351" i="13"/>
  <c r="H201" i="13"/>
  <c r="H45" i="13"/>
  <c r="H190" i="13"/>
  <c r="H53" i="13"/>
  <c r="H257" i="13"/>
  <c r="H260" i="13"/>
  <c r="H75" i="13"/>
  <c r="H170" i="13"/>
  <c r="H244" i="13"/>
  <c r="H275" i="13"/>
  <c r="H247" i="13"/>
  <c r="H55" i="13"/>
  <c r="H104" i="13"/>
  <c r="H352" i="13"/>
  <c r="H266" i="13"/>
  <c r="H28" i="13"/>
  <c r="H47" i="13"/>
  <c r="H157" i="13"/>
  <c r="H202" i="13"/>
  <c r="H142" i="13"/>
  <c r="H240" i="13"/>
  <c r="H169" i="13"/>
  <c r="H39" i="13"/>
  <c r="H23" i="13"/>
  <c r="H183" i="13"/>
  <c r="H153" i="13"/>
  <c r="H96" i="13"/>
  <c r="H368" i="13"/>
  <c r="H217" i="13"/>
  <c r="H166" i="13"/>
  <c r="H199" i="13"/>
  <c r="H128" i="13"/>
  <c r="H288" i="13"/>
  <c r="H186" i="13"/>
  <c r="H180" i="13"/>
  <c r="H132" i="13"/>
  <c r="H209" i="13"/>
  <c r="H195" i="13"/>
  <c r="H70" i="13"/>
  <c r="H105" i="13"/>
  <c r="H41" i="13"/>
  <c r="H269" i="13"/>
  <c r="H141" i="13"/>
  <c r="H295" i="13"/>
  <c r="H200" i="13"/>
  <c r="H207" i="13"/>
  <c r="H211" i="13"/>
  <c r="H168" i="13"/>
  <c r="H147" i="13"/>
  <c r="H54" i="13"/>
  <c r="H32" i="13"/>
  <c r="H187" i="13"/>
  <c r="H378" i="13"/>
  <c r="H338" i="13"/>
  <c r="H307" i="13"/>
  <c r="H328" i="13"/>
  <c r="H342" i="13"/>
  <c r="H232" i="13"/>
  <c r="H89" i="13"/>
  <c r="H171" i="13"/>
  <c r="H229" i="13"/>
  <c r="H314" i="13"/>
  <c r="H178" i="13"/>
  <c r="H134" i="13"/>
  <c r="H149" i="13"/>
  <c r="H334" i="13"/>
  <c r="H320" i="13"/>
  <c r="H305" i="13"/>
  <c r="H299" i="13"/>
  <c r="H86" i="13"/>
  <c r="H179" i="13"/>
  <c r="H103" i="13"/>
  <c r="H42" i="13"/>
  <c r="H193" i="13"/>
  <c r="H181" i="13"/>
  <c r="H234" i="13"/>
  <c r="H196" i="13"/>
  <c r="H172" i="13"/>
  <c r="H154" i="13"/>
  <c r="H145" i="13"/>
  <c r="H73" i="13"/>
  <c r="H226" i="13"/>
  <c r="H79" i="13"/>
  <c r="H238" i="13"/>
  <c r="H182" i="13"/>
  <c r="H150" i="13"/>
  <c r="H152" i="13"/>
  <c r="H140" i="13"/>
  <c r="H136" i="13"/>
  <c r="H197" i="13"/>
  <c r="H167" i="13"/>
  <c r="H124" i="13"/>
  <c r="J727" i="12"/>
  <c r="H327" i="13"/>
  <c r="H311" i="13"/>
  <c r="H198" i="13"/>
  <c r="H156" i="13"/>
  <c r="H185" i="13"/>
  <c r="H143" i="13"/>
  <c r="H330" i="13"/>
  <c r="H343" i="13"/>
  <c r="H14" i="13"/>
  <c r="H112" i="13"/>
  <c r="H206" i="13"/>
  <c r="H372" i="13"/>
  <c r="H184" i="13"/>
  <c r="H144" i="13"/>
  <c r="H203" i="13"/>
  <c r="H137" i="13"/>
  <c r="H35" i="13"/>
  <c r="H127" i="13"/>
  <c r="H49" i="13"/>
  <c r="H265" i="13"/>
  <c r="H155" i="13"/>
  <c r="H139" i="13"/>
  <c r="H77" i="13"/>
  <c r="H29" i="13"/>
  <c r="H25" i="13"/>
  <c r="H382" i="13"/>
  <c r="H148" i="13"/>
  <c r="H146" i="13"/>
  <c r="H138" i="13"/>
  <c r="H191" i="13"/>
  <c r="H177" i="13"/>
  <c r="H151" i="13"/>
  <c r="H303" i="13"/>
  <c r="H317" i="13"/>
  <c r="H304" i="13"/>
  <c r="H373" i="13"/>
  <c r="H321" i="13"/>
  <c r="H297" i="13"/>
  <c r="H37" i="13"/>
  <c r="H114" i="13"/>
  <c r="H88" i="13"/>
  <c r="H21" i="13"/>
  <c r="H76" i="13"/>
  <c r="H344" i="13"/>
  <c r="H130" i="13"/>
  <c r="H122" i="13"/>
  <c r="H31" i="13"/>
  <c r="H298" i="13"/>
  <c r="H286" i="13"/>
  <c r="H323" i="13"/>
  <c r="H300" i="13"/>
  <c r="H271" i="13"/>
  <c r="H340" i="13"/>
  <c r="H294" i="13"/>
  <c r="H204" i="13"/>
  <c r="H388" i="13"/>
  <c r="H325" i="13"/>
  <c r="H292" i="13"/>
  <c r="H119" i="13"/>
  <c r="H81" i="13"/>
  <c r="H131" i="13"/>
  <c r="H98" i="13"/>
  <c r="H74" i="13"/>
  <c r="H84" i="13"/>
  <c r="H38" i="13"/>
  <c r="H120" i="13"/>
  <c r="H384" i="13"/>
  <c r="H374" i="13"/>
  <c r="H333" i="13"/>
  <c r="H316" i="13"/>
  <c r="H302" i="13"/>
  <c r="H381" i="13"/>
  <c r="H349" i="13"/>
  <c r="H337" i="13"/>
  <c r="H363" i="13"/>
  <c r="H312" i="13"/>
  <c r="H284" i="13"/>
  <c r="H273" i="13"/>
  <c r="H383" i="13"/>
  <c r="H376" i="13"/>
  <c r="H346" i="13"/>
  <c r="H290" i="13"/>
  <c r="H116" i="13"/>
  <c r="H111" i="13"/>
  <c r="H92" i="13"/>
  <c r="H48" i="13"/>
  <c r="H34" i="13"/>
  <c r="H99" i="13"/>
  <c r="H18" i="13"/>
  <c r="H40" i="13"/>
  <c r="H65" i="13"/>
  <c r="H369" i="13"/>
  <c r="H326" i="13"/>
  <c r="H242" i="13"/>
  <c r="H188" i="13"/>
  <c r="H331" i="13"/>
  <c r="H278" i="13"/>
  <c r="H126" i="13"/>
  <c r="H101" i="13"/>
  <c r="H85" i="13"/>
  <c r="H24" i="13"/>
  <c r="H12" i="13"/>
  <c r="H44" i="13"/>
  <c r="H110" i="13"/>
  <c r="H93" i="13"/>
  <c r="H26" i="13"/>
  <c r="G731" i="12" l="1"/>
  <c r="H389" i="13"/>
  <c r="G730" i="12"/>
  <c r="J730" i="12"/>
  <c r="F240" i="2"/>
  <c r="J452" i="2"/>
  <c r="J454" i="2" s="1"/>
  <c r="F466" i="2" s="1"/>
  <c r="H467" i="2" l="1"/>
  <c r="E11" i="6"/>
  <c r="G11" i="6" s="1"/>
  <c r="G28" i="6" s="1"/>
  <c r="F474" i="2"/>
  <c r="G29" i="6" l="1"/>
  <c r="G32" i="6" s="1"/>
  <c r="E18" i="8"/>
  <c r="F512" i="2"/>
  <c r="F88" i="2" s="1"/>
  <c r="I27" i="36" s="1"/>
  <c r="F27" i="36" s="1"/>
  <c r="I88" i="2" l="1"/>
  <c r="E16" i="34"/>
  <c r="G35" i="6"/>
  <c r="L430" i="2" s="1"/>
  <c r="F447" i="2" s="1"/>
  <c r="O47" i="7"/>
  <c r="P47" i="7" s="1"/>
  <c r="F547" i="2" s="1"/>
  <c r="O46" i="7"/>
  <c r="P46" i="7" s="1"/>
  <c r="L435" i="2" l="1"/>
  <c r="P50" i="7"/>
  <c r="F546" i="2"/>
  <c r="F448" i="2"/>
  <c r="F84" i="2" s="1"/>
  <c r="F241" i="2"/>
  <c r="E12" i="34" l="1"/>
  <c r="E17" i="34" s="1"/>
  <c r="E18" i="34" s="1"/>
  <c r="E21" i="34" s="1"/>
  <c r="I23" i="36"/>
  <c r="F23" i="36" s="1"/>
  <c r="F243" i="2"/>
  <c r="F15" i="2" s="1"/>
  <c r="D15" i="33" s="1"/>
  <c r="D23" i="33" s="1"/>
  <c r="D26" i="33" s="1"/>
  <c r="F16" i="26"/>
  <c r="F8" i="26"/>
  <c r="E15" i="8"/>
  <c r="E19" i="8" s="1"/>
  <c r="F89" i="2"/>
  <c r="F90" i="2" s="1"/>
  <c r="I92" i="2" s="1"/>
  <c r="F29" i="36" l="1"/>
  <c r="F31" i="36" s="1"/>
  <c r="F34" i="36" s="1"/>
  <c r="I29" i="36"/>
  <c r="I31" i="36" s="1"/>
  <c r="I34" i="36" s="1"/>
  <c r="F29" i="26"/>
  <c r="H29" i="26" s="1"/>
  <c r="I87" i="2"/>
  <c r="F9" i="26"/>
  <c r="F11" i="26" s="1"/>
  <c r="H97" i="2"/>
  <c r="J98" i="2" s="1"/>
  <c r="F23" i="2"/>
  <c r="F26" i="2" s="1"/>
  <c r="AY18" i="18"/>
  <c r="H15" i="2"/>
  <c r="B18" i="18"/>
  <c r="F30" i="26"/>
  <c r="H30" i="26" s="1"/>
  <c r="F41" i="26"/>
  <c r="H41" i="26" s="1"/>
  <c r="F43" i="26"/>
  <c r="E20" i="8"/>
  <c r="D20" i="8" s="1"/>
  <c r="D19" i="8"/>
  <c r="E23" i="8"/>
  <c r="F93" i="2"/>
  <c r="B31" i="18" l="1"/>
  <c r="B18" i="35"/>
  <c r="B31" i="35" s="1"/>
  <c r="H99" i="2"/>
  <c r="AY26" i="18"/>
  <c r="F49" i="26"/>
  <c r="H49" i="26" s="1"/>
  <c r="B8" i="18"/>
  <c r="F17" i="26"/>
  <c r="F42" i="26" s="1"/>
  <c r="H42" i="26" s="1"/>
  <c r="D23" i="8"/>
  <c r="E24" i="8"/>
  <c r="J14" i="5"/>
  <c r="B15" i="18" l="1"/>
  <c r="B32" i="18" s="1"/>
  <c r="B8" i="35"/>
  <c r="B15" i="35" s="1"/>
  <c r="B32" i="35" s="1"/>
  <c r="L14" i="5"/>
  <c r="L27" i="5" s="1"/>
  <c r="J55" i="5"/>
  <c r="J57" i="5" s="1"/>
  <c r="J59" i="5" s="1"/>
  <c r="D24" i="8"/>
  <c r="E27" i="8"/>
  <c r="J27" i="5"/>
  <c r="J38" i="5" s="1"/>
  <c r="J42" i="5" s="1"/>
  <c r="J46" i="5" s="1"/>
  <c r="J49" i="5" s="1"/>
  <c r="J61" i="5" l="1"/>
  <c r="L38" i="5"/>
  <c r="L42" i="5" s="1"/>
  <c r="I102" i="5"/>
  <c r="E29" i="8"/>
  <c r="E32" i="8" s="1"/>
  <c r="E33" i="8" s="1"/>
  <c r="L46" i="5" l="1"/>
  <c r="L49" i="5" s="1"/>
  <c r="L61" i="5" s="1"/>
  <c r="L63" i="5" s="1"/>
  <c r="L64" i="5" s="1"/>
  <c r="L65" i="5" s="1"/>
  <c r="L66" i="5" s="1"/>
  <c r="J102" i="5"/>
  <c r="I103" i="5"/>
  <c r="L72" i="5" l="1"/>
  <c r="Q55" i="5"/>
  <c r="I104" i="5"/>
  <c r="I105" i="5" s="1"/>
  <c r="J103" i="5"/>
  <c r="J104" i="5" s="1"/>
  <c r="N62" i="5"/>
  <c r="J63" i="5"/>
  <c r="J64" i="5" s="1"/>
  <c r="J65" i="5" s="1"/>
  <c r="Q56" i="5" l="1"/>
  <c r="S55" i="5"/>
  <c r="U55" i="5" s="1"/>
  <c r="W55" i="5" s="1"/>
  <c r="J66" i="5"/>
  <c r="Q48" i="5" s="1"/>
  <c r="J105" i="5"/>
  <c r="K105" i="5" s="1"/>
  <c r="Q49" i="5" l="1"/>
  <c r="S48" i="5"/>
  <c r="U48" i="5" s="1"/>
  <c r="W48" i="5" s="1"/>
  <c r="Q57" i="5"/>
  <c r="S56" i="5"/>
  <c r="U56" i="5" s="1"/>
  <c r="W56" i="5" s="1"/>
  <c r="J72" i="5"/>
  <c r="Q58" i="5" l="1"/>
  <c r="S58" i="5" s="1"/>
  <c r="U58" i="5" s="1"/>
  <c r="S57" i="5"/>
  <c r="U57" i="5" s="1"/>
  <c r="W57" i="5" s="1"/>
  <c r="W59" i="5" s="1"/>
  <c r="L73" i="5" s="1"/>
  <c r="E23" i="34" s="1"/>
  <c r="E26" i="34" s="1"/>
  <c r="E27" i="34" s="1"/>
  <c r="E37" i="34" s="1"/>
  <c r="Q50" i="5"/>
  <c r="S49" i="5"/>
  <c r="U49" i="5" s="1"/>
  <c r="W49" i="5" s="1"/>
  <c r="L74" i="5" l="1"/>
  <c r="L76" i="5" s="1"/>
  <c r="M44" i="5" s="1"/>
  <c r="F95" i="2"/>
  <c r="Q51" i="5"/>
  <c r="S51" i="5" s="1"/>
  <c r="U51" i="5" s="1"/>
  <c r="W51" i="5" s="1"/>
  <c r="S50" i="5"/>
  <c r="U50" i="5" s="1"/>
  <c r="W50" i="5" s="1"/>
  <c r="I37" i="36" l="1"/>
  <c r="B33" i="18"/>
  <c r="F416" i="2"/>
  <c r="F44" i="2" s="1"/>
  <c r="D44" i="33" s="1"/>
  <c r="D45" i="33" s="1"/>
  <c r="H84" i="2"/>
  <c r="F99" i="2"/>
  <c r="F100" i="2" s="1"/>
  <c r="W52" i="5"/>
  <c r="J73" i="5" s="1"/>
  <c r="J74" i="5" s="1"/>
  <c r="J76" i="5" s="1"/>
  <c r="F37" i="36" l="1"/>
  <c r="F42" i="36" s="1"/>
  <c r="I42" i="36"/>
  <c r="B34" i="18"/>
  <c r="B54" i="18" s="1"/>
  <c r="B33" i="35"/>
  <c r="B34" i="35" s="1"/>
  <c r="B54" i="35" s="1"/>
  <c r="F528" i="2"/>
  <c r="F183" i="2"/>
  <c r="F110" i="2"/>
  <c r="F45" i="2"/>
  <c r="F12" i="26"/>
  <c r="F14" i="26" s="1"/>
  <c r="P38" i="18"/>
  <c r="P29" i="18"/>
  <c r="I56" i="36" l="1"/>
  <c r="I50" i="36"/>
  <c r="I55" i="36"/>
  <c r="F56" i="36"/>
  <c r="F55" i="36"/>
  <c r="F50" i="36"/>
  <c r="F19" i="26"/>
  <c r="F20" i="26"/>
  <c r="F22" i="26" s="1"/>
  <c r="I183" i="2"/>
  <c r="F185" i="2"/>
  <c r="F191" i="2" s="1"/>
  <c r="F192" i="2" s="1"/>
  <c r="F30" i="2" s="1"/>
  <c r="F15" i="26"/>
  <c r="F40" i="26" s="1"/>
  <c r="H40" i="26" s="1"/>
  <c r="F38" i="26"/>
  <c r="F531" i="2"/>
  <c r="F113" i="2" s="1"/>
  <c r="F530" i="2"/>
  <c r="F112" i="2" s="1"/>
  <c r="C31" i="18"/>
  <c r="C32" i="18" s="1"/>
  <c r="C34" i="18" s="1"/>
  <c r="C54" i="18" s="1"/>
  <c r="C58" i="18" s="1"/>
  <c r="P31" i="18"/>
  <c r="P35" i="18"/>
  <c r="S35" i="18" s="1"/>
  <c r="F31" i="2" l="1"/>
  <c r="F46" i="2" s="1"/>
  <c r="F1" i="2" s="1"/>
  <c r="D30" i="33"/>
  <c r="D31" i="33" s="1"/>
  <c r="D46" i="33" s="1"/>
  <c r="L59" i="18"/>
  <c r="B56" i="18"/>
  <c r="B58" i="18" l="1"/>
  <c r="AX58" i="18" s="1"/>
  <c r="B56" i="35"/>
  <c r="B58" i="35" s="1"/>
  <c r="F18" i="26"/>
  <c r="F37" i="26" s="1"/>
  <c r="N36" i="7"/>
  <c r="L32" i="7"/>
  <c r="N32" i="7"/>
  <c r="O32" i="7" s="1"/>
  <c r="AW56" i="18" l="1"/>
</calcChain>
</file>

<file path=xl/sharedStrings.xml><?xml version="1.0" encoding="utf-8"?>
<sst xmlns="http://schemas.openxmlformats.org/spreadsheetml/2006/main" count="9071" uniqueCount="3632">
  <si>
    <t>Hardoli Paper Mills Ltd.</t>
  </si>
  <si>
    <t>1st Floor Krishna Kunj</t>
  </si>
  <si>
    <t>Bhavsar Chowk C A Road</t>
  </si>
  <si>
    <t>Nagpur</t>
  </si>
  <si>
    <t>CIN: L21010MH1995PLCO85883</t>
  </si>
  <si>
    <t>Trial Balance</t>
  </si>
  <si>
    <t>1-Apr-20 to 31-Mar-21</t>
  </si>
  <si>
    <t/>
  </si>
  <si>
    <t>Hardoli Paper Mills Ltd. - (20-21)</t>
  </si>
  <si>
    <t>Particulars</t>
  </si>
  <si>
    <t>Closing Balance</t>
  </si>
  <si>
    <t>Debit</t>
  </si>
  <si>
    <t>Credit</t>
  </si>
  <si>
    <t>Opening Stock</t>
  </si>
  <si>
    <t>Advance Income Tax (A.Y. 2020-21)</t>
  </si>
  <si>
    <t>Advance Income Tax (A.Y. 2021-22)</t>
  </si>
  <si>
    <t>Advertisement Expenses</t>
  </si>
  <si>
    <t>AJANTA KRAFT</t>
  </si>
  <si>
    <t>A K R G &amp; Associates, Nagpur</t>
  </si>
  <si>
    <t>ALIGN COMPONENTS (P) LTD.,</t>
  </si>
  <si>
    <t>ALIGN COMPONENTS (P) LTD., (BU-II)</t>
  </si>
  <si>
    <t>Amol Kakade</t>
  </si>
  <si>
    <t>AMRUTA ENTERPRISES, NAGPUR</t>
  </si>
  <si>
    <t>ANAMIKA TRADERS</t>
  </si>
  <si>
    <t>ANANT SHREE AGENCY</t>
  </si>
  <si>
    <t>AnilKumar M. Lakhotiya (Loan A/c)</t>
  </si>
  <si>
    <t>Anita Lakhotiya</t>
  </si>
  <si>
    <t>Annual Custody Fees</t>
  </si>
  <si>
    <t>Annual Listing Fees</t>
  </si>
  <si>
    <t>Apex Automation &amp; Security Systems</t>
  </si>
  <si>
    <t>Audit Expenses : (Sales Tax )</t>
  </si>
  <si>
    <t>Balaji Enterprises</t>
  </si>
  <si>
    <t>Baljit Kaur Manindersingh Saini</t>
  </si>
  <si>
    <t>Bank Commission &amp; Charges</t>
  </si>
  <si>
    <t>Bank Facility Charges</t>
  </si>
  <si>
    <t>BANK GUARANTEE CHARGES</t>
  </si>
  <si>
    <t>Bank Inspection Charges</t>
  </si>
  <si>
    <t>Bank Loan Processing Fees</t>
  </si>
  <si>
    <t>Batish Chemicals I India Pvt.Ltd.</t>
  </si>
  <si>
    <t>Bearing Centre</t>
  </si>
  <si>
    <t>Boiler Fireman  (Feeding Charges)</t>
  </si>
  <si>
    <t>BOOKS NEWS PAPER &amp; PERODICALS</t>
  </si>
  <si>
    <t>B P &amp; Company</t>
  </si>
  <si>
    <t>BUILDING</t>
  </si>
  <si>
    <t>CANUSA HERSHMAN RECYCLING CO.</t>
  </si>
  <si>
    <t>Capital Reserves</t>
  </si>
  <si>
    <t>Cardan India</t>
  </si>
  <si>
    <t>Carriage Inward : Machinery Rep&amp;Maint</t>
  </si>
  <si>
    <t>Carriage Inward { Store }</t>
  </si>
  <si>
    <t>Carriage Outward Machinery</t>
  </si>
  <si>
    <t>CASH</t>
  </si>
  <si>
    <t>Cellmark Netherlands B.V.</t>
  </si>
  <si>
    <t>CENTRAL SCIENTIFIC CO.</t>
  </si>
  <si>
    <t>CGST @ 14% on Other Purchase</t>
  </si>
  <si>
    <t>CGST  @ 2.5% on Coal Purchase</t>
  </si>
  <si>
    <t>CGST @ 2.5 % on Other Purchase</t>
  </si>
  <si>
    <t>CGST @ 2.5 % on Packing Material</t>
  </si>
  <si>
    <t>CGST @ 2.5% ON WASTE PAPER</t>
  </si>
  <si>
    <t>CGST @ 6 % ON Chemical</t>
  </si>
  <si>
    <t>CGST @ 6 % ON OTHER PURCHASE</t>
  </si>
  <si>
    <t>CGST @ 6 % SALES</t>
  </si>
  <si>
    <t>CGST @9% ON BANK CHARGES</t>
  </si>
  <si>
    <t>CGST @ 9%  on Chemical Purchase</t>
  </si>
  <si>
    <t>CGST @ 9 % ON COMMISSION</t>
  </si>
  <si>
    <t>Cgst @9% on Export Expenses</t>
  </si>
  <si>
    <t>CGST @ 9% on Insurance Policies</t>
  </si>
  <si>
    <t>CGST @ 9% on OCC Expenses</t>
  </si>
  <si>
    <t>CGST @ 9% ON OTHER PURCHASE</t>
  </si>
  <si>
    <t>CGST @ 9% on Packing</t>
  </si>
  <si>
    <t>CGST @ 9% on Telephone Charges</t>
  </si>
  <si>
    <t>CGST @ 9% on Transport</t>
  </si>
  <si>
    <t>CGST PAYABLE ( F.Y. 2020-2021)</t>
  </si>
  <si>
    <t>CGST RECEIVABLE F.Y. 2020-21</t>
  </si>
  <si>
    <t>CHANDRA COAL PVT. LTD. (SALE)</t>
  </si>
  <si>
    <t>CHANDRA SALES CORPORATION(SALE)</t>
  </si>
  <si>
    <t>CHANDRA SALES CORPORATION [ WP]</t>
  </si>
  <si>
    <t>Chandrashekhar Balki</t>
  </si>
  <si>
    <t>Chemical Purchase</t>
  </si>
  <si>
    <t>CHOWDHARY PACKAGERS</t>
  </si>
  <si>
    <t>Clearing &amp; Forwarding on WP Import</t>
  </si>
  <si>
    <t>Clearing &amp; Fwd. Chgs.on Import M/c</t>
  </si>
  <si>
    <t>Coal Liasioning Charges</t>
  </si>
  <si>
    <t>Coal Purchase</t>
  </si>
  <si>
    <t>Commission on Export</t>
  </si>
  <si>
    <t>COMMISSION ON SALES ACCOUNT</t>
  </si>
  <si>
    <t>COMMISSION ON SALES (HSN/SAC : 9961)</t>
  </si>
  <si>
    <t>Computer</t>
  </si>
  <si>
    <t>Consultation Charges</t>
  </si>
  <si>
    <t>Continental Belting Pvt. Ltd.</t>
  </si>
  <si>
    <t>Contribution to ESIC Payable</t>
  </si>
  <si>
    <t>Contribution to P.F. Payable</t>
  </si>
  <si>
    <t>CONVEYANCE EXPENSES</t>
  </si>
  <si>
    <t>CONVEYANCE TO DIRECTORS</t>
  </si>
  <si>
    <t>COSMIC CORPORATION</t>
  </si>
  <si>
    <t>COURIER &amp; POSTAGE CHARGES</t>
  </si>
  <si>
    <t>CSR (CORPORATE SOCIAL RESPONSIBILITY)</t>
  </si>
  <si>
    <t>Custom Duty on Machinery</t>
  </si>
  <si>
    <t>Dashmesh Dhaba (Kondhali Restaurnt)</t>
  </si>
  <si>
    <t>Deekay &amp; Company</t>
  </si>
  <si>
    <t>Deferred Tax Liabilities (Net)</t>
  </si>
  <si>
    <t>Deposit for  COAL to MSMC</t>
  </si>
  <si>
    <t>Deposit for LPG Domestic Cylender Connection</t>
  </si>
  <si>
    <t>Deposits for Office Premises</t>
  </si>
  <si>
    <t>Deposits for Telephone</t>
  </si>
  <si>
    <t>Deposits Group Gratuity Fund</t>
  </si>
  <si>
    <t>Deposit with Import (OCC)</t>
  </si>
  <si>
    <t>Deposit with M.S.E.B.</t>
  </si>
  <si>
    <t>Deposit with SBI for Custom 8.25 Lac BG[Rs. 206250]</t>
  </si>
  <si>
    <t>Deposit With SBI for MPCB 5 Lac BG [Rs.1,25,000]</t>
  </si>
  <si>
    <t>Depreciation Electrical Installation</t>
  </si>
  <si>
    <t>Depreciation on Building</t>
  </si>
  <si>
    <t>Depreciation on Computer</t>
  </si>
  <si>
    <t>Depreciation on Furniture &amp; Fixture</t>
  </si>
  <si>
    <t>Depreciation on Office Equipment</t>
  </si>
  <si>
    <t>Depreciation on Plant &amp; Machinery</t>
  </si>
  <si>
    <t>Depreciation on Vehicle</t>
  </si>
  <si>
    <t>Dhruti P. Modi</t>
  </si>
  <si>
    <t>Diksha Dharme</t>
  </si>
  <si>
    <t>Direct Export Sales</t>
  </si>
  <si>
    <t>Directors Sitting Fees</t>
  </si>
  <si>
    <t>Discount &amp; Billing Diff Account (HSN/SAC: 4804)</t>
  </si>
  <si>
    <t>DISTRIBUTION LOGISTICS INFRASTRUCTURE PVT.LTD.</t>
  </si>
  <si>
    <t>DIVYA SALES CORPORATION</t>
  </si>
  <si>
    <t>Donation Account</t>
  </si>
  <si>
    <t>Durga Traders</t>
  </si>
  <si>
    <t>Electrical Installation</t>
  </si>
  <si>
    <t>Equity Share Capital</t>
  </si>
  <si>
    <t>ESIC (Employees State Insurance Corpn)</t>
  </si>
  <si>
    <t>E-Voting Expenses</t>
  </si>
  <si>
    <t>Export Expenses for Clearing &amp; Forwarding</t>
  </si>
  <si>
    <t>EXPORT SALE</t>
  </si>
  <si>
    <t>Factory Cleaning Charges</t>
  </si>
  <si>
    <t>Factory Misc Expenses</t>
  </si>
  <si>
    <t>Factory Power &amp; Electricity Charges</t>
  </si>
  <si>
    <t>Factory Tea &amp; Other Expenses</t>
  </si>
  <si>
    <t>Fees to Registrar</t>
  </si>
  <si>
    <t>Festival Expenses</t>
  </si>
  <si>
    <t>Finished Goods Expenses</t>
  </si>
  <si>
    <t>Finished Goods Packing &amp; Allied Charges</t>
  </si>
  <si>
    <t>FINISHED GOODS PACKING &amp; ALLIED PAYABLE</t>
  </si>
  <si>
    <t>For BG[MSEB] 12.50 LAC :A/c 35633066338</t>
  </si>
  <si>
    <t>Foreign Exchange Fluctuation</t>
  </si>
  <si>
    <t>Franking Charges for Import O.C.C.</t>
  </si>
  <si>
    <t>Freehold Land</t>
  </si>
  <si>
    <t>FREIGHT ( SALES)</t>
  </si>
  <si>
    <t>Furniture &amp; Fixture</t>
  </si>
  <si>
    <t>Ganga Iron &amp; Steel Trading Co.Ltd.</t>
  </si>
  <si>
    <t>General Reserves</t>
  </si>
  <si>
    <t>GST Audit</t>
  </si>
  <si>
    <t>GST AUDIT FEES</t>
  </si>
  <si>
    <t>GST Audit Fees Payable</t>
  </si>
  <si>
    <t>GST E-Return Charges</t>
  </si>
  <si>
    <t>Gupta Machinery Stores, Nagpur</t>
  </si>
  <si>
    <t>Haitek Industrial Fabrics Pvt. Ltd., Haryana</t>
  </si>
  <si>
    <t>Hazelkaur Manindersingh Saini</t>
  </si>
  <si>
    <t>HEMANT MAHURE</t>
  </si>
  <si>
    <t>Hindustan Mill Stores, Nagpur</t>
  </si>
  <si>
    <t>HORIZON PACKS PVT. LTD.</t>
  </si>
  <si>
    <t>House Rent</t>
  </si>
  <si>
    <t>IGST @12 % on Other Purchase</t>
  </si>
  <si>
    <t>IGST @12% on Transport</t>
  </si>
  <si>
    <t>IGST @ 12 % SALES</t>
  </si>
  <si>
    <t>IGST @ 18% on Chemical</t>
  </si>
  <si>
    <t>IGST @ 18%  on Other Purchase</t>
  </si>
  <si>
    <t>IGST @ 18 % On Packing Purchase</t>
  </si>
  <si>
    <t>IGST @5 % ON IMPORT Occ</t>
  </si>
  <si>
    <t>IGST @ 5% on Waste Paper</t>
  </si>
  <si>
    <t>IGST PAYABLE (F.Y. 2020- 2021)</t>
  </si>
  <si>
    <t>IGST Receivable F.Y. 2020-21</t>
  </si>
  <si>
    <t>Import Waste Paper Purchase</t>
  </si>
  <si>
    <t>Incentive/ Bonus Payable</t>
  </si>
  <si>
    <t>Income Tax Receivable (Refund)</t>
  </si>
  <si>
    <t>Indocast Industries</t>
  </si>
  <si>
    <t>INDRAYANI PAPER PORD. PVT. LTD.</t>
  </si>
  <si>
    <t>Industrial Boilers Limited, Vapi</t>
  </si>
  <si>
    <t>INPUT RCM ON CGST</t>
  </si>
  <si>
    <t>INPUT RCM on IGST</t>
  </si>
  <si>
    <t>INPUT RCM ON SGST</t>
  </si>
  <si>
    <t>INSURANCE CHARGES FOR MARINE</t>
  </si>
  <si>
    <t>Insurance Charges for Marine Export</t>
  </si>
  <si>
    <t>Insurance Charges to Other</t>
  </si>
  <si>
    <t>Insurance Claim Receivable( Accident Claim)</t>
  </si>
  <si>
    <t>Interest For Forklift to Sundaram Finance</t>
  </si>
  <si>
    <t>Interest For Tractor to Sundaram Finance</t>
  </si>
  <si>
    <t>Interest  From Bank (F.D.)</t>
  </si>
  <si>
    <t>Interest on Add.T/L (1.5Cr)...6669</t>
  </si>
  <si>
    <t>Interest on Bank Term Loan ( 2 Cr.)...0563</t>
  </si>
  <si>
    <t>Interest on CGST</t>
  </si>
  <si>
    <t>Interest On Custom Duty</t>
  </si>
  <si>
    <t>Interest on GECLBank T/L (1.46 Cr).....1281</t>
  </si>
  <si>
    <t>Interest On IGST</t>
  </si>
  <si>
    <t>Interest on Innova Veh.Loan Axix Bank</t>
  </si>
  <si>
    <t>Interest on SGST</t>
  </si>
  <si>
    <t>Interest on TCS</t>
  </si>
  <si>
    <t>Interest On TDS</t>
  </si>
  <si>
    <t>Interest Receivable</t>
  </si>
  <si>
    <t>Interest to Bank</t>
  </si>
  <si>
    <t>Interest to Bank on T/L (1.5 Cr.).....3547</t>
  </si>
  <si>
    <t>Interest to Bank on T/L (4 Cr.)....80072</t>
  </si>
  <si>
    <t>Interest to Others</t>
  </si>
  <si>
    <t>Internal Audit Fees (Khandelwal)</t>
  </si>
  <si>
    <t>Jai Hanuman Industries, Nagpur</t>
  </si>
  <si>
    <t>Jaikay International</t>
  </si>
  <si>
    <t>JAI MAHALAXMI ENTERPRISES</t>
  </si>
  <si>
    <t>Jarnailsingh Saini (Loan A/c)</t>
  </si>
  <si>
    <t>JAYSHREE INDUSTRIES</t>
  </si>
  <si>
    <t>JIGAR TRADING COMPANY</t>
  </si>
  <si>
    <t>Jitendra Nikhare</t>
  </si>
  <si>
    <t>J.S.M. MARKETING, NAGPUR</t>
  </si>
  <si>
    <t>KAILASH CHAND AGRAWAL(REMUNERATION)</t>
  </si>
  <si>
    <t>Kailash Kaur Jarnailsingh Saini</t>
  </si>
  <si>
    <t>KARAN ENTERPRISES (WP)</t>
  </si>
  <si>
    <t>KEDAR PAPER CONVERSIONS</t>
  </si>
  <si>
    <t>Kessels Engineering Works Pvt. Ltd.</t>
  </si>
  <si>
    <t>Khemka Motors</t>
  </si>
  <si>
    <t>Kunal Jain</t>
  </si>
  <si>
    <t>Labour Welfare Fund</t>
  </si>
  <si>
    <t>LAKHOTIYA TRADERS PVT. LTD.</t>
  </si>
  <si>
    <t>Lakhotiya Traders Pvt. Ltd. (Sale)</t>
  </si>
  <si>
    <t>Lark Dyechem</t>
  </si>
  <si>
    <t>Legal &amp; Proffessional  Charges</t>
  </si>
  <si>
    <t>L.I.C. Payable</t>
  </si>
  <si>
    <t>Loss on Sale of PL &amp; Mc</t>
  </si>
  <si>
    <t>Maa Tarini Traders</t>
  </si>
  <si>
    <t>Machinery Exp for Boiler Material BED</t>
  </si>
  <si>
    <t>Machinery Repair &amp; Maint Diesel Exp.</t>
  </si>
  <si>
    <t>Machinery Repair &amp; Maintenance</t>
  </si>
  <si>
    <t>Machinery Repair &amp; Maint to Electrical</t>
  </si>
  <si>
    <t>Maharashtra State Mining Corp. Ltd.</t>
  </si>
  <si>
    <t>MAHENDRA PRINTING PRESS</t>
  </si>
  <si>
    <t>Mahesh Mirashe</t>
  </si>
  <si>
    <t>Maheshwari Agency</t>
  </si>
  <si>
    <t>MANGAL  PAPERS</t>
  </si>
  <si>
    <t>Manoj Gore</t>
  </si>
  <si>
    <t>MAT Credit Entitlement A.Y. 15-16</t>
  </si>
  <si>
    <t>Mat Credit Entitlement A.Y.2018-19</t>
  </si>
  <si>
    <t>MAT Credit Entitlement A.Y. 2019-2020</t>
  </si>
  <si>
    <t>MAT Utilised (A.Y.13-14)</t>
  </si>
  <si>
    <t>McSparr Test Systems &amp; Chemicals Pvt. Ltd.</t>
  </si>
  <si>
    <t>MEDICAL AIDS TO STAFF</t>
  </si>
  <si>
    <t>MELOSCH EXPORT GMBH</t>
  </si>
  <si>
    <t>M. H. Industries</t>
  </si>
  <si>
    <t>MOHD. ANISH ABDUL AZIZ</t>
  </si>
  <si>
    <t>Monk Automation P. Ltd., Nashik</t>
  </si>
  <si>
    <t>MSC Agency (India) Pvt. Ltd.</t>
  </si>
  <si>
    <t>Narayan Auto Part Service</t>
  </si>
  <si>
    <t>Naresh Erpate</t>
  </si>
  <si>
    <t>NAV DURGA BOILER &amp; EQUIPMENTS P. LTD.</t>
  </si>
  <si>
    <t>NIRAJ ENGINEERING CO.PVT.LTD..,</t>
  </si>
  <si>
    <t>Nitin Thakre</t>
  </si>
  <si>
    <t>Non -Eligible GST (Disallowed)</t>
  </si>
  <si>
    <t>OFFICE CLEANING CHARGES</t>
  </si>
  <si>
    <t>OFFICE ELECTRICITY CHARGES</t>
  </si>
  <si>
    <t>Office Electricity Payable</t>
  </si>
  <si>
    <t>Office Equipment</t>
  </si>
  <si>
    <t>OFFICE MISC. EXPENSES</t>
  </si>
  <si>
    <t>OFFICE RENT</t>
  </si>
  <si>
    <t>OFFICE TEA &amp; OTHER EXP.</t>
  </si>
  <si>
    <t>ORIENTAL TRADING COMPANY</t>
  </si>
  <si>
    <t>ORIGAMI CELLULO PVT.LTD.</t>
  </si>
  <si>
    <t>Other Charges : Chemical</t>
  </si>
  <si>
    <t>Other Charges : Chemical (NON-GST)</t>
  </si>
  <si>
    <t>Other Charges : Coal</t>
  </si>
  <si>
    <t>Other Charges : Packing Material</t>
  </si>
  <si>
    <t>Other Charges : Packing (Non-GST)</t>
  </si>
  <si>
    <t>Other Import OCC Expenses</t>
  </si>
  <si>
    <t>Other Income</t>
  </si>
  <si>
    <t>Other Sales</t>
  </si>
  <si>
    <t>PACKING CHARGES</t>
  </si>
  <si>
    <t>Packing Material Purchase</t>
  </si>
  <si>
    <t>PANCHSHEEL TRADING CORPN., NAGPUR</t>
  </si>
  <si>
    <t>Payable to Boiler Fireman Charges</t>
  </si>
  <si>
    <t>PAYABLE TO RAW MATERIAL SORTING</t>
  </si>
  <si>
    <t>Payable Waste Paper Feeding Charges</t>
  </si>
  <si>
    <t>PENALTY ON CGST</t>
  </si>
  <si>
    <t>Penalty on Custom Duty</t>
  </si>
  <si>
    <t>PENALTY ON SGST</t>
  </si>
  <si>
    <t>Plant &amp; Machinery</t>
  </si>
  <si>
    <t>POOJA EXPENSES</t>
  </si>
  <si>
    <t>Power &amp; Electricity Payable</t>
  </si>
  <si>
    <t>PRANSHU PAPER PVT. LTD.</t>
  </si>
  <si>
    <t>Pratik Enterprises</t>
  </si>
  <si>
    <t>Professional Fees</t>
  </si>
  <si>
    <t>Profit &amp; Loss A/c</t>
  </si>
  <si>
    <t>Profit on Sales Tax Under P.S.I.Scheme</t>
  </si>
  <si>
    <t>PROVIDENT FUND CONTRIBUTION EXP.</t>
  </si>
  <si>
    <t>Provision for Acturial Gratuity</t>
  </si>
  <si>
    <t>Provision for Depreciation Building</t>
  </si>
  <si>
    <t>Provision for Depreciation Computer</t>
  </si>
  <si>
    <t>Provision for Depreciation Electrical Installation</t>
  </si>
  <si>
    <t>Provision for Depreciation Factory Building</t>
  </si>
  <si>
    <t>Provision for Depreciation Furniture &amp; Fixture</t>
  </si>
  <si>
    <t>Provision for Depreciation Office Equipment</t>
  </si>
  <si>
    <t>Provision for Depreciation Plant &amp; Machinery</t>
  </si>
  <si>
    <t>Provision for Depreciation Vehicle</t>
  </si>
  <si>
    <t>Provision for Income Tax (A.Y. 2020-21)</t>
  </si>
  <si>
    <t>Provision For I.T. A.Y, 2005-06</t>
  </si>
  <si>
    <t>Provision for I.T. A.Y. 2008-09</t>
  </si>
  <si>
    <t>Provision for I.T. A.Y, 2013-14</t>
  </si>
  <si>
    <t>Provision for I.T, A.Y.2017-18</t>
  </si>
  <si>
    <t>Provisions for Gratuity Payable</t>
  </si>
  <si>
    <t>PSI Under Sales Tax Deferal Receivable</t>
  </si>
  <si>
    <t>Punamchand &amp; Sons ( Jaliwala)</t>
  </si>
  <si>
    <t>PUNJAB MACHINE TOOLS</t>
  </si>
  <si>
    <t>Purchase Expenses : Chemical</t>
  </si>
  <si>
    <t>Purchase Expenses : Coal</t>
  </si>
  <si>
    <t>Purchase Import in Transit</t>
  </si>
  <si>
    <t>Purchase of Store</t>
  </si>
  <si>
    <t>Raghav Enterprises</t>
  </si>
  <si>
    <t>RAJESH GAS AGENCIES</t>
  </si>
  <si>
    <t>Rama Consultancy Services</t>
  </si>
  <si>
    <t>Ramrao Nagose</t>
  </si>
  <si>
    <t>Rates &amp; Taxes</t>
  </si>
  <si>
    <t>Raw Material Sorting Charges</t>
  </si>
  <si>
    <t>R.C.CORRUPACK PVT. LTD.</t>
  </si>
  <si>
    <t>RCM CGST PAYABLE</t>
  </si>
  <si>
    <t>RCM IGST PAYABLE</t>
  </si>
  <si>
    <t>RCM SGST PAYABLE</t>
  </si>
  <si>
    <t>Remuneration to Directors</t>
  </si>
  <si>
    <t>Renewal &amp; Registration Expenses</t>
  </si>
  <si>
    <t>Repair &amp; Maintenance to Other Assets</t>
  </si>
  <si>
    <t>REPAIR &amp; MAINT. TO BUILDING</t>
  </si>
  <si>
    <t>Revaluation Reserve</t>
  </si>
  <si>
    <t>ROC Filing Charges</t>
  </si>
  <si>
    <t>ROUNAK STEEL</t>
  </si>
  <si>
    <t>Round Offf</t>
  </si>
  <si>
    <t>R.S. KRAFT PAPERS LTD</t>
  </si>
  <si>
    <t>S.A. ENTERPRISES</t>
  </si>
  <si>
    <t>SAFETY PACKAGERS (P) LTD.</t>
  </si>
  <si>
    <t>Saini Transport Co.</t>
  </si>
  <si>
    <t>Salary Payable</t>
  </si>
  <si>
    <t>Salary to Company Secretary</t>
  </si>
  <si>
    <t>Salary to Factory Adm. Staff</t>
  </si>
  <si>
    <t>Salary to Office Staff</t>
  </si>
  <si>
    <t>Salary to Other Factory Staff</t>
  </si>
  <si>
    <t>SALES A/C GST</t>
  </si>
  <si>
    <t>SALE TRANSIT INSURANCE @0.30%</t>
  </si>
  <si>
    <t>Sanjamkaur Saini</t>
  </si>
  <si>
    <t>SARTAJ MANINDERSINGH SAINI</t>
  </si>
  <si>
    <t>SAVITRI ENTERPRISES</t>
  </si>
  <si>
    <t>S.B.I. ( GECL)  Term Loan A/c 39366011281(1.46 Cr)</t>
  </si>
  <si>
    <t>S.B.I. Indl.Fin.Br. Trustee HPML Empl.G.G.Scheme</t>
  </si>
  <si>
    <t>S.B.I. Term Loan ( 2 Cr) No. 35531440563</t>
  </si>
  <si>
    <t>S.B.I. Term Loan Additional (A/cNo.35294966669) 1.5</t>
  </si>
  <si>
    <t>SBR Steels Pvt. Ltd.,Aurangabad</t>
  </si>
  <si>
    <t>Scorpio Systems</t>
  </si>
  <si>
    <t>Securities Premium (351165@25)</t>
  </si>
  <si>
    <t>Security Service Charges</t>
  </si>
  <si>
    <t>Seion Enterprises</t>
  </si>
  <si>
    <t>SEZ SALE (SPECIAL ECONOMIC ZONE)</t>
  </si>
  <si>
    <t>SGST @14 % on Other Purchase</t>
  </si>
  <si>
    <t>SGST  @ 2.5% on Coal Purchase</t>
  </si>
  <si>
    <t>SGST @ 2.5% on Other Purchase</t>
  </si>
  <si>
    <t>SGST @ 2.5 % on Packing Material</t>
  </si>
  <si>
    <t>SGST @ 2.5% ON WASTE PAPER</t>
  </si>
  <si>
    <t>SGST @ 6 % ON Chemical</t>
  </si>
  <si>
    <t>SGST @ 6% ON OTHER PURCHASE</t>
  </si>
  <si>
    <t>SGST @  6% SALES</t>
  </si>
  <si>
    <t>SGST @9% ON BANK CHARGES</t>
  </si>
  <si>
    <t>SGST @ 9% on Chemical Purchase</t>
  </si>
  <si>
    <t>SGST @ 9% ON COMMISSION</t>
  </si>
  <si>
    <t>Sgst @9% on Export Expenses</t>
  </si>
  <si>
    <t>SGST @ 9 % on Insurance Policies</t>
  </si>
  <si>
    <t>SGST @ 9% on OCC Expenses</t>
  </si>
  <si>
    <t>SGST @ 9% ON OTHER PURCHASE</t>
  </si>
  <si>
    <t>SGST @ 9% on Packing</t>
  </si>
  <si>
    <t>SGST @ 9% on Telephone Charges</t>
  </si>
  <si>
    <t>SGST @ 9% on Transport</t>
  </si>
  <si>
    <t>SGST PAYABLE (F.Y.2020-2021)</t>
  </si>
  <si>
    <t>SGST RECEIVABLE F.Y. 2020-21</t>
  </si>
  <si>
    <t>SHANKAR TRADING COMPANY</t>
  </si>
  <si>
    <t>Shepards Shipping Services (India) Pvt. Ltd.</t>
  </si>
  <si>
    <t>SHREE ENTERPRISES [WP]</t>
  </si>
  <si>
    <t>SHREE FLEX PRINT PVT.LTD.</t>
  </si>
  <si>
    <t>SHREE INDUSTRIES</t>
  </si>
  <si>
    <t>SHREE RAJENDRA CASH COMPANY</t>
  </si>
  <si>
    <t>Shree Trade Links (Pkg)</t>
  </si>
  <si>
    <t>Shri Balaji Tradelink</t>
  </si>
  <si>
    <t>Shriram Packers</t>
  </si>
  <si>
    <t>SHUBHAM ENTERPRISES</t>
  </si>
  <si>
    <t>SHUBHAM ENTERPRISES (SALE)</t>
  </si>
  <si>
    <t>SHUBH PACK</t>
  </si>
  <si>
    <t>Site Development Expenses (Gardening)</t>
  </si>
  <si>
    <t>SIZE REBATE</t>
  </si>
  <si>
    <t>Snehlata A. Lakhotiya</t>
  </si>
  <si>
    <t>Somani Packers</t>
  </si>
  <si>
    <t>SRUSHTI SEVA PRIVATE LIMITED</t>
  </si>
  <si>
    <t>S. S. Traders</t>
  </si>
  <si>
    <t>Staff Profession Tax Payable</t>
  </si>
  <si>
    <t>STATE BANK OF INDIA C.C.,SME Br.</t>
  </si>
  <si>
    <t>State Compensation on Cess</t>
  </si>
  <si>
    <t>STATIONERY &amp; PRINTING CHARGES</t>
  </si>
  <si>
    <t>Sudhakar Raut</t>
  </si>
  <si>
    <t>SUMED BORKAR</t>
  </si>
  <si>
    <t>Summit Agencies</t>
  </si>
  <si>
    <t>Sundry Balance W/off</t>
  </si>
  <si>
    <t>Sunil Nate</t>
  </si>
  <si>
    <t>Tanisha Resins P. Ltd., Nagpur</t>
  </si>
  <si>
    <t>T.C.S. (A.Y.2020-21)</t>
  </si>
  <si>
    <t>T C S F.Y. 2020-21</t>
  </si>
  <si>
    <t>TCS on  CHEMICAL</t>
  </si>
  <si>
    <t>TCS ON WP</t>
  </si>
  <si>
    <t>TCS Payable ON SALES ( 6 CR)</t>
  </si>
  <si>
    <t>TDS (A. Y. 2020-21)</t>
  </si>
  <si>
    <t>TDS (A Y 2021-2022)</t>
  </si>
  <si>
    <t>TDS Payable Dealers Commission</t>
  </si>
  <si>
    <t>TDS Payable on Commission</t>
  </si>
  <si>
    <t>TDS PAYABLE ON CONTRACTORS</t>
  </si>
  <si>
    <t>TDS PAYABLE ON INTEREST</t>
  </si>
  <si>
    <t>TDS PAYABLE  ON OFFICE RENT</t>
  </si>
  <si>
    <t>TDS  PAYABLE ON  PROFESSIONAL</t>
  </si>
  <si>
    <t>TDSPAYABLE ON REMUNERATION</t>
  </si>
  <si>
    <t>TDS Payable on Salary</t>
  </si>
  <si>
    <t>TDS Payable on Transporter</t>
  </si>
  <si>
    <t>TELEPHONE CHARGES</t>
  </si>
  <si>
    <t>Telephone Charges Payable</t>
  </si>
  <si>
    <t>Testing &amp; Inspection Fees</t>
  </si>
  <si>
    <t>Tilakraj Inderpal, Nagpur</t>
  </si>
  <si>
    <t>TRADE DISCOUNT</t>
  </si>
  <si>
    <t>TRAVELLING EXPENSES</t>
  </si>
  <si>
    <t>UNIPACK</t>
  </si>
  <si>
    <t>UNIPACK (SALE)</t>
  </si>
  <si>
    <t>UNIVERSAL INFRA &amp; AGRI OILS PVT.LTD</t>
  </si>
  <si>
    <t>URD Purchase on Packing Material</t>
  </si>
  <si>
    <t>URD Purchase  on Waste Paper</t>
  </si>
  <si>
    <t>Uttam Shetty &amp; Co</t>
  </si>
  <si>
    <t>Uttej Polymers &amp; Chemicals</t>
  </si>
  <si>
    <t>Vaibhav Enterprises</t>
  </si>
  <si>
    <t>VAT (Earlier Tax Paid ) F.Y. 16-17</t>
  </si>
  <si>
    <t>VEENA INDUSTRIES</t>
  </si>
  <si>
    <t>Vehicle</t>
  </si>
  <si>
    <t>VEHICLE DIESEL EXPENSES</t>
  </si>
  <si>
    <t>Vehicle Repair &amp; Maintenance</t>
  </si>
  <si>
    <t>Vidarbha Bearing &amp; Belting Co. P. Ltd.</t>
  </si>
  <si>
    <t>Vidhanis Tradelink Pvt. Ltd.</t>
  </si>
  <si>
    <t>Village Computer System, Nagpur</t>
  </si>
  <si>
    <t>Vinod Samdurkar</t>
  </si>
  <si>
    <t>Visy Recycling Europe Limited</t>
  </si>
  <si>
    <t>WALTER &amp; ASSOCIATES, MUMBAI</t>
  </si>
  <si>
    <t>Waste Desposable Expenses(Plastic Dispose)</t>
  </si>
  <si>
    <t>Waste Paper Feeding  Charges</t>
  </si>
  <si>
    <t>Waste Paper Purchase</t>
  </si>
  <si>
    <t>Western Coal Fields Ltd.</t>
  </si>
  <si>
    <t>W-I-P Building</t>
  </si>
  <si>
    <t>W-I-P Plant &amp; Machinery</t>
  </si>
  <si>
    <t>XEROX CHARGES</t>
  </si>
  <si>
    <t>Yadav Engineering</t>
  </si>
  <si>
    <t>YASH COMMERCIALS</t>
  </si>
  <si>
    <t>Yash Electric Co.</t>
  </si>
  <si>
    <t>YONGJIN CORPORATION</t>
  </si>
  <si>
    <t>Grand Total</t>
  </si>
  <si>
    <t>PARTICULARS</t>
  </si>
  <si>
    <t>Note</t>
  </si>
  <si>
    <t>BS Main Head</t>
  </si>
  <si>
    <t>BS Sub Head</t>
  </si>
  <si>
    <t>Dr.</t>
  </si>
  <si>
    <t>Adj</t>
  </si>
  <si>
    <t>Dr. Final HYR</t>
  </si>
  <si>
    <t>Cr.</t>
  </si>
  <si>
    <t>Cr. Final HYR</t>
  </si>
  <si>
    <t>Trade Payables</t>
  </si>
  <si>
    <t>Aditya Freight Carriers</t>
  </si>
  <si>
    <t>Trade Payables - Others</t>
  </si>
  <si>
    <t>Aayush Chem</t>
  </si>
  <si>
    <t>Advance Income Tax (A.Y. 2019-20)</t>
  </si>
  <si>
    <t>Long Term Loans &amp; Advances</t>
  </si>
  <si>
    <t>Advance Income Tax</t>
  </si>
  <si>
    <t>Other Expenses</t>
  </si>
  <si>
    <t>Selling &amp; Dist.-Advertisement Expenses</t>
  </si>
  <si>
    <t>Trade Receivables</t>
  </si>
  <si>
    <t>Other Debts</t>
  </si>
  <si>
    <t>Akhilesh Automobiles</t>
  </si>
  <si>
    <t>Align Components (P) Ltd.,</t>
  </si>
  <si>
    <t>ALLIANCE INTERNATIONAL DWC-LLC</t>
  </si>
  <si>
    <t>Short Term Loans &amp; Advances</t>
  </si>
  <si>
    <t>Advance to Suppliers</t>
  </si>
  <si>
    <t>Advance Ag, Clearing-Frwd :OCC</t>
  </si>
  <si>
    <t>Ambuja Cements Ltd.</t>
  </si>
  <si>
    <t>Loans and Advances to Employees</t>
  </si>
  <si>
    <t>Amil Warthi</t>
  </si>
  <si>
    <t>Rahul Bagde</t>
  </si>
  <si>
    <t>Amruta Enterprises, Nagpur</t>
  </si>
  <si>
    <t>DR. B. P. TAORI</t>
  </si>
  <si>
    <t>Sri Shiv Sai Transport Co.</t>
  </si>
  <si>
    <t>Agrawal Fasteners</t>
  </si>
  <si>
    <t>Althem Engineers P. Ltd.</t>
  </si>
  <si>
    <t>R. Cargo , Bhandara</t>
  </si>
  <si>
    <t>Sai Prabha Traders</t>
  </si>
  <si>
    <t>Anilkumar M. Lakhotiya (Loan A/C)</t>
  </si>
  <si>
    <t>Long Term Borrowings</t>
  </si>
  <si>
    <t>Unsecured-From Related Party</t>
  </si>
  <si>
    <t>ANISH INDUSTRIES</t>
  </si>
  <si>
    <t>Ankur Seeds Pvt. Ltd., Nagpur</t>
  </si>
  <si>
    <t>Establishment Expenses-General Expenses</t>
  </si>
  <si>
    <t>Establishment Expenses-Listing Expense</t>
  </si>
  <si>
    <t>Prior Period Expenses</t>
  </si>
  <si>
    <t>Anurag Steel</t>
  </si>
  <si>
    <t>Other Current Liabilities</t>
  </si>
  <si>
    <t>Trade Payables for capital goods</t>
  </si>
  <si>
    <t>ISHAN PARYAVARAN (P) LTD.,</t>
  </si>
  <si>
    <t>ARIHANT ENTERPRISES</t>
  </si>
  <si>
    <t>ARIHANT ENTERPRISES (KEDAR)</t>
  </si>
  <si>
    <t>Arkil Chem P. Ltd.</t>
  </si>
  <si>
    <t>Aru Technocratics</t>
  </si>
  <si>
    <t>Assessment Refund</t>
  </si>
  <si>
    <t>Atul V Hurkat HUF</t>
  </si>
  <si>
    <t>Audit Expenses (Darak)</t>
  </si>
  <si>
    <t>Establishment Expenses-Auditors Remuneration</t>
  </si>
  <si>
    <t>Audit Expenses (Walter)</t>
  </si>
  <si>
    <t>Audit Expenses : (Excise)</t>
  </si>
  <si>
    <t>Audit Fees Payable</t>
  </si>
  <si>
    <t>Baburao Kendre</t>
  </si>
  <si>
    <t>Jai Durga Construction</t>
  </si>
  <si>
    <t>Jain Acids &amp; Chemicals</t>
  </si>
  <si>
    <t>MEGA TECHNO SERVICES, NAGPUR</t>
  </si>
  <si>
    <t>KOTHARI ASSOCIATES</t>
  </si>
  <si>
    <t>Scrape Sale</t>
  </si>
  <si>
    <t>Premier India Enterprises</t>
  </si>
  <si>
    <t>Palak Gen Trade LLP</t>
  </si>
  <si>
    <t>Bad Debts</t>
  </si>
  <si>
    <t>Establishment Expenses-Bank Charges</t>
  </si>
  <si>
    <t>Finance Costs</t>
  </si>
  <si>
    <t>Other Borrowing Costs</t>
  </si>
  <si>
    <t>Best Engineering Works Regd. Punjab</t>
  </si>
  <si>
    <t>BHARADWAJ PACKAGING PVT. LTD.</t>
  </si>
  <si>
    <t>VEDANT PACKERS PVT.LTD.</t>
  </si>
  <si>
    <t>VISHWA KUTUMB PVT.LTD.</t>
  </si>
  <si>
    <t>SAMRAT PACKAGING</t>
  </si>
  <si>
    <t>SAMPAC</t>
  </si>
  <si>
    <t>BHOLANATH MITRA</t>
  </si>
  <si>
    <t>Manufacturing Expenses - Factory Expenses</t>
  </si>
  <si>
    <t>Books News Paper &amp; Perodicals</t>
  </si>
  <si>
    <t>Establishment Expenses-Office Expenses</t>
  </si>
  <si>
    <t>Building</t>
  </si>
  <si>
    <t>Fixed Assets</t>
  </si>
  <si>
    <t>Tangible Asset</t>
  </si>
  <si>
    <t>Foreign Exchange Fluctuation on Fixed Assets</t>
  </si>
  <si>
    <t>Carriage Inward [ Plant &amp; Machinery]</t>
  </si>
  <si>
    <t>Reserves &amp; Surplus</t>
  </si>
  <si>
    <t>Capital Reserve</t>
  </si>
  <si>
    <t>Carriage Inward (Sale)</t>
  </si>
  <si>
    <t>Establishment Expenses-Rates &amp; Taxes</t>
  </si>
  <si>
    <t>Manufacturing Expenses-Repairs &amp; Maintainence Machinery</t>
  </si>
  <si>
    <t>Cash</t>
  </si>
  <si>
    <t>Cash And Bank Balances</t>
  </si>
  <si>
    <t>Cash On Hand</t>
  </si>
  <si>
    <t>Balance with Government Authorities</t>
  </si>
  <si>
    <t>CGST @9% on Other Sales</t>
  </si>
  <si>
    <t>SGST @9% ON OTHER SALES</t>
  </si>
  <si>
    <t>CGST Payable ( F. Y. 2018-19)</t>
  </si>
  <si>
    <t>GST</t>
  </si>
  <si>
    <t>CGST Payable ( F.Y. 2017-18)</t>
  </si>
  <si>
    <t>CGST PAYABLE ( F.Y. 2019-20)</t>
  </si>
  <si>
    <t>CGST Payable ( F.Y. 2019-20 )</t>
  </si>
  <si>
    <t>CHACHA GOODS CARRIERS</t>
  </si>
  <si>
    <t>Chandak Nursing Home</t>
  </si>
  <si>
    <t>CHANDRA COAL PVT.LTD.</t>
  </si>
  <si>
    <t>Raw Material Consumed</t>
  </si>
  <si>
    <t>Raw Material Purchase</t>
  </si>
  <si>
    <t>Chowdhary Packagers</t>
  </si>
  <si>
    <t>CIPARO B.V.</t>
  </si>
  <si>
    <t>Clearing &amp; Fwd. Chgs.On Import M/C</t>
  </si>
  <si>
    <t>Manufacturing Expenses - Power &amp; Fuel Consumed</t>
  </si>
  <si>
    <t>Selling &amp; Dist.-Discount &amp; Commission</t>
  </si>
  <si>
    <t>Commission On Sales Account</t>
  </si>
  <si>
    <t>Establishment Expenses-Legal &amp; Professional Charges</t>
  </si>
  <si>
    <t>CONTAINER CORPORATION OF INDIA LTD</t>
  </si>
  <si>
    <t>Statutory Dues</t>
  </si>
  <si>
    <t>Contribution To P.F. Payable</t>
  </si>
  <si>
    <t>Conveyance Expenses</t>
  </si>
  <si>
    <t>Establishment Expenses-Travelling &amp; Conveyance</t>
  </si>
  <si>
    <t>Conveyance To Directors</t>
  </si>
  <si>
    <t>Courier &amp; Postage Charges</t>
  </si>
  <si>
    <t>Credit Not Availed Ag.GST (F.Y. 18-19)</t>
  </si>
  <si>
    <t>CSR Expenses</t>
  </si>
  <si>
    <t>CST Payable  (F.Y. 2016- 17 )</t>
  </si>
  <si>
    <t>Cst Tax Expenses</t>
  </si>
  <si>
    <t>Dandong Shengxing Paper Machinery, China</t>
  </si>
  <si>
    <t>DEEP SALES CORPORATION</t>
  </si>
  <si>
    <t xml:space="preserve">Deferred Tax Liabilities </t>
  </si>
  <si>
    <t>Deferred Tax Liability</t>
  </si>
  <si>
    <t>Long Term Deposits</t>
  </si>
  <si>
    <t>DEPOSIT FOR SBI  BG 3,90,000 [ TDR. 37091487639]</t>
  </si>
  <si>
    <t>Balance with Bank in Deposit Accounts</t>
  </si>
  <si>
    <t>Other Current Assets</t>
  </si>
  <si>
    <t>Deposits For Office Premises</t>
  </si>
  <si>
    <t>Deposits For Telephone</t>
  </si>
  <si>
    <t>Short Term Provision</t>
  </si>
  <si>
    <t>Provision for Employee Benefit</t>
  </si>
  <si>
    <t>Deposits with S.B.I. for LC Margin Rs.3,75,000/-</t>
  </si>
  <si>
    <t>Depreciation &amp; Amortisation</t>
  </si>
  <si>
    <t>Depreciation</t>
  </si>
  <si>
    <t>Depreciation On Building</t>
  </si>
  <si>
    <t>Depreciation On Computer</t>
  </si>
  <si>
    <t>Depreciation On Plant &amp; Machinery</t>
  </si>
  <si>
    <t>DEV CHEMICAL</t>
  </si>
  <si>
    <t>Dhanraj Raut</t>
  </si>
  <si>
    <t>CHANDRASHEKHAR JAPULKAR</t>
  </si>
  <si>
    <t>Dhawal Dinesh Kawade</t>
  </si>
  <si>
    <t>DILIPKUMAR PATEL</t>
  </si>
  <si>
    <t>Employee Benefit Expenses</t>
  </si>
  <si>
    <t>Salary &amp; Wages</t>
  </si>
  <si>
    <t>Revenue From Operations</t>
  </si>
  <si>
    <t>Sale of Goods - Manufacturing Sales</t>
  </si>
  <si>
    <t>Dividend Payable</t>
  </si>
  <si>
    <t>Payable to Investor education &amp; Protection Fund</t>
  </si>
  <si>
    <t>Donation</t>
  </si>
  <si>
    <t>Drashta Power Consultants Pvt. Ltd.</t>
  </si>
  <si>
    <t>DURGA INDUSTRIAL  SECURITY, NAGPUR</t>
  </si>
  <si>
    <t>Dyaneshwer Sarode</t>
  </si>
  <si>
    <t>ECONOMIC PACKAGING CORPORATION</t>
  </si>
  <si>
    <t>Share Capital</t>
  </si>
  <si>
    <t>Issued, Subscribed &amp; Paid Up</t>
  </si>
  <si>
    <t>Contribution to Funds</t>
  </si>
  <si>
    <t>E-TDS Filing Charges</t>
  </si>
  <si>
    <t>Ex Gratia Payment</t>
  </si>
  <si>
    <t>Excise Aud Para Expenses</t>
  </si>
  <si>
    <t>Exempted Ag.Chemical Purchase</t>
  </si>
  <si>
    <t>Fees To Registrar</t>
  </si>
  <si>
    <t>Manufacturin Expenses - FG Packing &amp; Allied Chgs</t>
  </si>
  <si>
    <t>Finished Goods Packing &amp; Allied Payable</t>
  </si>
  <si>
    <t>First Flight Couriers Ltd.</t>
  </si>
  <si>
    <t>Flexible Abrasives Pvt.Ltd., Ar'bad</t>
  </si>
  <si>
    <t>For B G Rs.58000/- (AC 325726636355)</t>
  </si>
  <si>
    <t>For BG 350000 for WCL :A/c 34928264708</t>
  </si>
  <si>
    <t>Foreign Exchange Fluctuation Gain on RM</t>
  </si>
  <si>
    <t>Franking Charges Payable Ag Import OCC</t>
  </si>
  <si>
    <t>Ganpat Steel Industries</t>
  </si>
  <si>
    <t>General Reserve</t>
  </si>
  <si>
    <t>Globe Engineering Company</t>
  </si>
  <si>
    <t>Gratuity To Staff</t>
  </si>
  <si>
    <t>Green Agro Industries</t>
  </si>
  <si>
    <t>GST Annual Filing Chgs. FY 17-18</t>
  </si>
  <si>
    <t>GST Audit Fees</t>
  </si>
  <si>
    <t>GST Audit Fees A. Y. 2019-2020</t>
  </si>
  <si>
    <t>GST Audit Fees F.Y.2018-19</t>
  </si>
  <si>
    <t>GST Audit Fees (Shah Baheti Chandak)</t>
  </si>
  <si>
    <t>Gujrat Ambuja Exports Ltd.,</t>
  </si>
  <si>
    <t>Hemant Mahure</t>
  </si>
  <si>
    <t>SHIVA PACKAGING INDUSTRIES</t>
  </si>
  <si>
    <t>HORIZON PACKS PVT.LTD.(KHAMGAON)</t>
  </si>
  <si>
    <t>Establishment Expenses-Rent</t>
  </si>
  <si>
    <t>IGST Payable ( F. Y. 2018-19)</t>
  </si>
  <si>
    <t>IGST Payable ( F. Y. 2019-20 )</t>
  </si>
  <si>
    <t>IGST Payable (F.Y. 2017-18)</t>
  </si>
  <si>
    <t>IKP Industries Pvt. Ltd.</t>
  </si>
  <si>
    <t>Incentive/ Bonus to Staff</t>
  </si>
  <si>
    <t>Inder Trade &amp; Industry, Bikaner</t>
  </si>
  <si>
    <t>Innovative Solutions &amp; System</t>
  </si>
  <si>
    <t>Insurance Charges For Marine</t>
  </si>
  <si>
    <t>Selling &amp; Dist.-Insurance on Sales</t>
  </si>
  <si>
    <t>Insurance Charges To Other</t>
  </si>
  <si>
    <t>Establishment Expenses-Insurance Charges</t>
  </si>
  <si>
    <t>Insurance claim Receivable</t>
  </si>
  <si>
    <t>Insurance Pre-Paid</t>
  </si>
  <si>
    <t>Prepaid Expenses</t>
  </si>
  <si>
    <t>Interest Received</t>
  </si>
  <si>
    <t>Provision of Earlier Year</t>
  </si>
  <si>
    <t>Interest  on Excise Duty</t>
  </si>
  <si>
    <t>Interest Accured On Deposit</t>
  </si>
  <si>
    <t>Interest for Car Loan to Sundaram Finance</t>
  </si>
  <si>
    <t>Interest Expenses</t>
  </si>
  <si>
    <t>Interest on Income Tax</t>
  </si>
  <si>
    <t>INTEREST ON PROFESSIONAL TAX</t>
  </si>
  <si>
    <t>Interest on Provident Fund</t>
  </si>
  <si>
    <t>Interest On Sales Tax</t>
  </si>
  <si>
    <t>Interest On Tds</t>
  </si>
  <si>
    <t>Interest on VAT A.Y. 14-15</t>
  </si>
  <si>
    <t>Interest on Vat F.Y. 2015-16</t>
  </si>
  <si>
    <t>Interest Payable</t>
  </si>
  <si>
    <t>Interest To Bank</t>
  </si>
  <si>
    <t>Interest To Others</t>
  </si>
  <si>
    <t>INTRATECH</t>
  </si>
  <si>
    <t>J.S.M. Marketing, Nagpur</t>
  </si>
  <si>
    <t>SHREE ENTERPRISES [ URD]</t>
  </si>
  <si>
    <t>JAGPIN BREWERIES LTD.</t>
  </si>
  <si>
    <t>Jai Mata Di Waste Paper</t>
  </si>
  <si>
    <t>Jainam Multi-Product (India) Pvt Ltd</t>
  </si>
  <si>
    <t>JANAKSONS &amp; COMPANY</t>
  </si>
  <si>
    <t>Span Communications</t>
  </si>
  <si>
    <t>Supreme Elmech Pvt. Ltd.</t>
  </si>
  <si>
    <t>JB Lightings</t>
  </si>
  <si>
    <t>Jenson International</t>
  </si>
  <si>
    <t>Jenson Trading Corporation</t>
  </si>
  <si>
    <t>JINDAL MEDICOSE, NAGPUR</t>
  </si>
  <si>
    <t>Jus Enterprises</t>
  </si>
  <si>
    <t>K.R.V. Express</t>
  </si>
  <si>
    <t>L. A. Trading Company</t>
  </si>
  <si>
    <t>TAWAKKAL SCRAP</t>
  </si>
  <si>
    <t>Late Fee</t>
  </si>
  <si>
    <t>Lc Charges</t>
  </si>
  <si>
    <t>Leave Encashment</t>
  </si>
  <si>
    <t>Leave Encashment Payable</t>
  </si>
  <si>
    <t>Lusha Print N Pack</t>
  </si>
  <si>
    <t>Machinery Repair &amp; Maint To Electrical</t>
  </si>
  <si>
    <t>Mahalaxmi Fire Services, Nagpur</t>
  </si>
  <si>
    <t>Makharia Machineries Pvt. Ltd.</t>
  </si>
  <si>
    <t>Manish Computer</t>
  </si>
  <si>
    <t>Manohar Rewatkar</t>
  </si>
  <si>
    <t>MAT Credit Entitlement (A.Y. 14-15)</t>
  </si>
  <si>
    <t>MAT Credit Entitlement</t>
  </si>
  <si>
    <t>Mat Credit Entitlement (A.Y. 2012-13)</t>
  </si>
  <si>
    <t>MCS Share Tranfer Agent Limited</t>
  </si>
  <si>
    <t>Medical Aids To Staff</t>
  </si>
  <si>
    <t>Staff Welfare Expenses</t>
  </si>
  <si>
    <t>Membership &amp; Subscription</t>
  </si>
  <si>
    <t>Metropolitan Stock Exchange of India(MSEI)</t>
  </si>
  <si>
    <t>Mohd. Anish Abdul Aziz</t>
  </si>
  <si>
    <t>MOHIT PAPER PACKAGING INDUSTRY</t>
  </si>
  <si>
    <t>MSC Mediterranean Shipping Company S.A.</t>
  </si>
  <si>
    <t>Nagpur Telangana Roadways</t>
  </si>
  <si>
    <t>Narayan Prasad Warthi</t>
  </si>
  <si>
    <t>NEWPORT CH INTERNATIONAL LLC</t>
  </si>
  <si>
    <t>Nilkanth Nikhare</t>
  </si>
  <si>
    <t>NINGBO KIN-LINK FRICTION CO. LTD.(Export)</t>
  </si>
  <si>
    <t>Other Debts - Export</t>
  </si>
  <si>
    <t>Niraj Engineering Co. Pvt. Ltd</t>
  </si>
  <si>
    <t>Niranjan Koche</t>
  </si>
  <si>
    <t>Non Receivable GST Prior Expenses</t>
  </si>
  <si>
    <t>Non-Receivable Excise Expenses</t>
  </si>
  <si>
    <t>Office Cleaning Charges</t>
  </si>
  <si>
    <t>Office Electricity Charges</t>
  </si>
  <si>
    <t>Office Misc. Expenses</t>
  </si>
  <si>
    <t>Office Rent</t>
  </si>
  <si>
    <t>Office Tea &amp; Other Exp.</t>
  </si>
  <si>
    <t>OM SAI ENGINEERING</t>
  </si>
  <si>
    <t>opening stock</t>
  </si>
  <si>
    <t>Other Charges : M/c Repair &amp; Maint.</t>
  </si>
  <si>
    <t>Manufacturing Expenses - Packing Material Consumed</t>
  </si>
  <si>
    <t>Other Charges :- Repair &amp; Maint Building</t>
  </si>
  <si>
    <t>Establishment Expenses-Rep. &amp; Maint. Others</t>
  </si>
  <si>
    <t>Other Charges : Vehicle Repair &amp; Maint.</t>
  </si>
  <si>
    <t>Other Professional Fees (Darak)</t>
  </si>
  <si>
    <t>Other Professional Fees : (Shah Baheti)</t>
  </si>
  <si>
    <t>Other Professional Fees : (Walter)</t>
  </si>
  <si>
    <t>PACKSAFE</t>
  </si>
  <si>
    <t>Payable To Raw Material Sorting</t>
  </si>
  <si>
    <t>Penalty on Excise Duty</t>
  </si>
  <si>
    <t>Penalty to Compliance (MSEI)</t>
  </si>
  <si>
    <t>Pooja Atul Hurkat</t>
  </si>
  <si>
    <t>Pooja Expenses</t>
  </si>
  <si>
    <t>Power Incentive Received</t>
  </si>
  <si>
    <t>PR GLOBAL RESOURCES INDIA PRIVATE  LIMITED</t>
  </si>
  <si>
    <t>Pragathi Bearing Company</t>
  </si>
  <si>
    <t>Prakash Chaple</t>
  </si>
  <si>
    <t>Prayag Industries</t>
  </si>
  <si>
    <t>Premier India Road Service, Nagpur</t>
  </si>
  <si>
    <t>Pre-Paid Renewal &amp; Registration</t>
  </si>
  <si>
    <t>PRIYANKA TECHNOPACK PVT. LTD.</t>
  </si>
  <si>
    <t>Professional Tax</t>
  </si>
  <si>
    <t>Profit &amp; Loss A/C</t>
  </si>
  <si>
    <t>Surplus</t>
  </si>
  <si>
    <t>Profit on Sale of Asset</t>
  </si>
  <si>
    <t>Provident Fund Contribution Exp.</t>
  </si>
  <si>
    <t>Tangible Asset - PFD</t>
  </si>
  <si>
    <t>Provision For Depreciation Computer</t>
  </si>
  <si>
    <t>Provision For Depreciation Electrical Installation</t>
  </si>
  <si>
    <t>Provision For Depreciation Furniture &amp; Fixture</t>
  </si>
  <si>
    <t>Provision For Depreciation Office Equipment</t>
  </si>
  <si>
    <t>Provision For Depreciation Plant &amp; Machinery</t>
  </si>
  <si>
    <t>Provision For Depreciation Vehicle</t>
  </si>
  <si>
    <t>IT Refund FY 2019-20</t>
  </si>
  <si>
    <t>Provision for Income Tax (A.Y.2019-20)</t>
  </si>
  <si>
    <t>Provisions For Gratuity Payable</t>
  </si>
  <si>
    <t>Punjab Machine Tools</t>
  </si>
  <si>
    <t>Purchase Expenses : Occ</t>
  </si>
  <si>
    <t>Purchase Expenses : Packing Material</t>
  </si>
  <si>
    <t>Purchase Expenses : Waste Paper</t>
  </si>
  <si>
    <t>Purchase Of Store</t>
  </si>
  <si>
    <t>Manufacturing Expenses - Stores &amp; Spares Consumed</t>
  </si>
  <si>
    <t>R &amp; Y LOGISTICS PVT. LTD</t>
  </si>
  <si>
    <t>R. R. Controls</t>
  </si>
  <si>
    <t>R.A. KRAFT PAPERS LIMITED,</t>
  </si>
  <si>
    <t>R.S. Kraft Papers Ltd</t>
  </si>
  <si>
    <t>Raghuvir Parmar</t>
  </si>
  <si>
    <t>Rajesh Gas Agencies</t>
  </si>
  <si>
    <t>RAMKRISHNA PAPER MART</t>
  </si>
  <si>
    <t>Rate Difference : Coal Purchase</t>
  </si>
  <si>
    <t>Ravi Trading Company</t>
  </si>
  <si>
    <t>Ravindra Kumbhare</t>
  </si>
  <si>
    <t>Manufacturin Expenses - RM Sorting Charges</t>
  </si>
  <si>
    <t>RCM on IGST  (Inward Supply)</t>
  </si>
  <si>
    <t>Relief Lab Pvt. Ltd.</t>
  </si>
  <si>
    <t>Remuneration To Directors</t>
  </si>
  <si>
    <t>Repair &amp; Maint. To Building</t>
  </si>
  <si>
    <t>Manufacturing Expenses-Repairs &amp; Maintainence Building</t>
  </si>
  <si>
    <t>S.B.I. Dividend A/c 2011-12 [ A/C.NO. 32572411218]</t>
  </si>
  <si>
    <t>Balance With Bank - Other Bank Balance</t>
  </si>
  <si>
    <t>Balance With Bank - Current A/c</t>
  </si>
  <si>
    <t>Secured - From Banks - Term Loan</t>
  </si>
  <si>
    <t>S.B.I. Term Loan A/c (033517180072)  4 Cr</t>
  </si>
  <si>
    <t>S.B.I. Term Loan New A/c (34484493547) 1.5 Cr</t>
  </si>
  <si>
    <t>S.K.Gupta (P) Ltd,Nagpur</t>
  </si>
  <si>
    <t>Sachin Dehankar</t>
  </si>
  <si>
    <t>Safety Packagers (P) Ltd.</t>
  </si>
  <si>
    <t>Safexpress Pvt. Ltd.</t>
  </si>
  <si>
    <t>Employee Payables</t>
  </si>
  <si>
    <t>Salary to G M (Gaurav Lakhotiya)</t>
  </si>
  <si>
    <t>Salary To Factory Adm. Staff</t>
  </si>
  <si>
    <t>Salary To Office Staff</t>
  </si>
  <si>
    <t>Salary To Other Factory Staff</t>
  </si>
  <si>
    <t>Sale Transit Insurance @0.30%</t>
  </si>
  <si>
    <t>Sales Return Account (GST Sales)</t>
  </si>
  <si>
    <t>SALES TAX ASSESSMENT 2012-13</t>
  </si>
  <si>
    <t>Sanjay Fulzele</t>
  </si>
  <si>
    <t>Sanjay Tiwari</t>
  </si>
  <si>
    <t>Saraswati General Stores, Nagpur</t>
  </si>
  <si>
    <t>Sartaj Manindersingh Saini</t>
  </si>
  <si>
    <t>Saurashtra Marketing Corporation</t>
  </si>
  <si>
    <t>Securities Premium</t>
  </si>
  <si>
    <t>Manufacturing Expenses - Security Service Charges</t>
  </si>
  <si>
    <t>SGST Payable ( F. Y. 2018-19)</t>
  </si>
  <si>
    <t>SGST Payable ( F. Y. 2019-20 )</t>
  </si>
  <si>
    <t>SGST PAYABLE (F.Y. 2017-18)</t>
  </si>
  <si>
    <t>Shah Baheti Chandak &amp; Co.</t>
  </si>
  <si>
    <t>Shahnawaj Khan</t>
  </si>
  <si>
    <t>Shalimar Wire Industries Limited</t>
  </si>
  <si>
    <t>Shankar Traders (Sale)</t>
  </si>
  <si>
    <t>Shankar Trading Company</t>
  </si>
  <si>
    <t>SHARADCHANDRA P. SHAH AGENCY PVT. LTD. , MUMBAI</t>
  </si>
  <si>
    <t>SHARP GRAPHICS</t>
  </si>
  <si>
    <t>Shiba Sambhu Traders Odisha</t>
  </si>
  <si>
    <t>SHIVAM TRADERS, NAGPUR</t>
  </si>
  <si>
    <t>Short Provision Against Insu. Claim</t>
  </si>
  <si>
    <t>Short Provision of Incentive/Bonus</t>
  </si>
  <si>
    <t>SHRI SIDDHIVINAYAKA ENTERPRISES(Comm)</t>
  </si>
  <si>
    <t>SREERAM PACKING INDUSTRIES</t>
  </si>
  <si>
    <t>State Bank Of India C.C.,Sme Br.</t>
  </si>
  <si>
    <t>Short Term Borrowings</t>
  </si>
  <si>
    <t>Secured - From Banks - Working Capital Loan</t>
  </si>
  <si>
    <t>Stationery &amp; Printing Charges</t>
  </si>
  <si>
    <t>Establishment Expenses-Printing &amp; Stationery</t>
  </si>
  <si>
    <t>Statutory Audit Fees (Darak &amp; Asso)</t>
  </si>
  <si>
    <t>Stock Audit Bank Charges</t>
  </si>
  <si>
    <t>Sumed Borkar</t>
  </si>
  <si>
    <t>SUNDARAM FINANCE LTD : N006700059(CAR Loan)</t>
  </si>
  <si>
    <t>Secured - From Other - Term Loan</t>
  </si>
  <si>
    <t>SUNDARAM FINANCE LTD :N006700064 (ForkLift)</t>
  </si>
  <si>
    <t>SUNDARAM FINANCE LTD :N036300010 (Tractor)</t>
  </si>
  <si>
    <t>SUNDER NAMKEEN</t>
  </si>
  <si>
    <t>Sundry Balance W/Off</t>
  </si>
  <si>
    <t>Sunil Enterprises (SALE)</t>
  </si>
  <si>
    <t>Suryakant Sadawarti</t>
  </si>
  <si>
    <t>SWASTIK PAPER BOX</t>
  </si>
  <si>
    <t>TDS  (A. Y. 2019-20)</t>
  </si>
  <si>
    <t>Tds  Payable On  Professional</t>
  </si>
  <si>
    <t>TDS Excess Paid</t>
  </si>
  <si>
    <t>TDS Excess Paid FY 15-16</t>
  </si>
  <si>
    <t>Tds Payable  On Office Rent</t>
  </si>
  <si>
    <t>Tds Payable On Contractors</t>
  </si>
  <si>
    <t>Tds Payable On Interest</t>
  </si>
  <si>
    <t>Tds Payable On Salary</t>
  </si>
  <si>
    <t>Telephone Charges</t>
  </si>
  <si>
    <t>Establishment Expenses-Telephone Charges</t>
  </si>
  <si>
    <t>Thakkar Agencies</t>
  </si>
  <si>
    <t>Trade Discount</t>
  </si>
  <si>
    <t>Travelling Expenses</t>
  </si>
  <si>
    <t>Unipack</t>
  </si>
  <si>
    <t>Urd Purchase  On Waste Paper</t>
  </si>
  <si>
    <t>URD Purchase of Chemical</t>
  </si>
  <si>
    <t>Urd Purchase On Packing Material</t>
  </si>
  <si>
    <t>UTSAV PAPER PRODUCTS</t>
  </si>
  <si>
    <t>Varuna Industries, Nagpur</t>
  </si>
  <si>
    <t>VAT (Earlier Tax Paid ) F.Y. 17-18</t>
  </si>
  <si>
    <t>VAT Tax Expenses</t>
  </si>
  <si>
    <t>VAT Assessment Order 2014-15</t>
  </si>
  <si>
    <t>VAT Audit Fees : (Shah Baheti)</t>
  </si>
  <si>
    <t>Air Fans, Pune</t>
  </si>
  <si>
    <t>Bhupinder Singh Coal Depot</t>
  </si>
  <si>
    <t>Butterfly</t>
  </si>
  <si>
    <t>D. V. &amp; Associates</t>
  </si>
  <si>
    <t>Girish Murarka &amp; Co., Mumbai</t>
  </si>
  <si>
    <t>Lathia Rubber Mfg Co Pvt Ltd [Unit : Vapi]</t>
  </si>
  <si>
    <t>MAERSK LINE INDIA PVT LTD</t>
  </si>
  <si>
    <t>MODI INDUSTRIES</t>
  </si>
  <si>
    <t>NAGPUR AUTO SERVICES</t>
  </si>
  <si>
    <t>R.D. PATEL TABACCO BIDI WORKS PVT.LTD.</t>
  </si>
  <si>
    <t>SATTIK PACKAGING PVT .LTD.</t>
  </si>
  <si>
    <t>SGST PAYABLE ( F.Y. 2019-20)</t>
  </si>
  <si>
    <t>SHREE LAKSHMI PAPER TRADING</t>
  </si>
  <si>
    <t>Vat for F. Y. 2015-16</t>
  </si>
  <si>
    <t>VAT Payable ( F.Y. 16-17 )</t>
  </si>
  <si>
    <t>VAT Payable (F.Y. 2017-18)</t>
  </si>
  <si>
    <t>VAT Receivable  (F.Y. 14-15)</t>
  </si>
  <si>
    <t>Vehicle Diesel Expenses</t>
  </si>
  <si>
    <t>Establishment Expenses-Rep. &amp; Maint. Vehicle</t>
  </si>
  <si>
    <t>Vertex Films Pvt. Ltd.</t>
  </si>
  <si>
    <t>Visy Recycling</t>
  </si>
  <si>
    <t>Voith Paper Fabrics India Ltd.</t>
  </si>
  <si>
    <t>Walkover Industries</t>
  </si>
  <si>
    <t>Walter &amp; Associates, Mumbai</t>
  </si>
  <si>
    <t>Waste Desposable Expenses</t>
  </si>
  <si>
    <t>Manufacturing Expenses - Waste Paper Feeding Chgs</t>
  </si>
  <si>
    <t>Capital WIP</t>
  </si>
  <si>
    <t>Worlds Window Wardha Infrastructure Pvt Ltd</t>
  </si>
  <si>
    <t>Xerox Charges</t>
  </si>
  <si>
    <t>SUHANI ENTERPRISES</t>
  </si>
  <si>
    <t>Zibo Huacheng Imp And Exp. Co. Ltd.</t>
  </si>
  <si>
    <t>Advance For Capital Goods</t>
  </si>
  <si>
    <t>FY 2020-2021</t>
  </si>
  <si>
    <t xml:space="preserve">DR </t>
  </si>
  <si>
    <t xml:space="preserve">CR </t>
  </si>
  <si>
    <t>Dr Diff</t>
  </si>
  <si>
    <t>Cr Diff</t>
  </si>
  <si>
    <t>Total Diff</t>
  </si>
  <si>
    <t>Establishment Expenses-CSR</t>
  </si>
  <si>
    <t xml:space="preserve"> </t>
  </si>
  <si>
    <t>HARDOLI PAPER MILLS LIMITED</t>
  </si>
  <si>
    <t>Note No.</t>
  </si>
  <si>
    <t xml:space="preserve">As At </t>
  </si>
  <si>
    <t xml:space="preserve"> As At</t>
  </si>
  <si>
    <t>March 31, 2020 (₹)</t>
  </si>
  <si>
    <t>ASSETS</t>
  </si>
  <si>
    <t>Non-current assets</t>
  </si>
  <si>
    <t>Property, Plant and Equipment</t>
  </si>
  <si>
    <t>Capital work-in-progress</t>
  </si>
  <si>
    <t>Financial Assets</t>
  </si>
  <si>
    <t>Other Non-current assets</t>
  </si>
  <si>
    <t>Total Non-current assets</t>
  </si>
  <si>
    <t>Current assets</t>
  </si>
  <si>
    <t>Inventories</t>
  </si>
  <si>
    <t xml:space="preserve">    (i) Trade receivables</t>
  </si>
  <si>
    <t xml:space="preserve">    (ii) Cash and cash equivalents</t>
  </si>
  <si>
    <t xml:space="preserve">    (iii) Bank balances other than (ii) above</t>
  </si>
  <si>
    <t xml:space="preserve">    (iv) Other Financial assets</t>
  </si>
  <si>
    <t>Other current assets</t>
  </si>
  <si>
    <t>Current Tax assets (Net)</t>
  </si>
  <si>
    <t>Total Assets</t>
  </si>
  <si>
    <t>EQUITY AND LIABILITIES</t>
  </si>
  <si>
    <t>Equity</t>
  </si>
  <si>
    <t xml:space="preserve">    Equity Share capital</t>
  </si>
  <si>
    <t xml:space="preserve">    Other Equity</t>
  </si>
  <si>
    <t xml:space="preserve">Total Equity </t>
  </si>
  <si>
    <t>Non-current liabilities</t>
  </si>
  <si>
    <t>Financial Liabilities</t>
  </si>
  <si>
    <t>(i) Borrowings</t>
  </si>
  <si>
    <t>(ii) Provisions</t>
  </si>
  <si>
    <t>Deferred tax liabilities (Net)</t>
  </si>
  <si>
    <t>Current liabilities</t>
  </si>
  <si>
    <t>(ii) Trade payables</t>
  </si>
  <si>
    <t>(iii) Other financial liabilities</t>
  </si>
  <si>
    <t>Provisions</t>
  </si>
  <si>
    <t>Total Current liabilities</t>
  </si>
  <si>
    <t>Total Equity and Liabilities</t>
  </si>
  <si>
    <t xml:space="preserve">Significant accounting policies &amp; Notes to Accounts </t>
  </si>
  <si>
    <t>The accompanying notes are an integral part of these standalone financial statements.</t>
  </si>
  <si>
    <t>As per our report of even date</t>
  </si>
  <si>
    <t>For and on behalf of the Board</t>
  </si>
  <si>
    <t>(DIN:00367292)</t>
  </si>
  <si>
    <t>(DIN:00367361)</t>
  </si>
  <si>
    <t>JARNAIL SINGH SAINI - CHIEF FINANCIAL OFFICER &amp; EXECUTIVE DIRECTOR</t>
  </si>
  <si>
    <t>(DIN:00367656)</t>
  </si>
  <si>
    <t>OMPRAKASH RATHI - EXECUTIVE DIRECTOR</t>
  </si>
  <si>
    <t>(DIN:00895316)</t>
  </si>
  <si>
    <t>MAYANK LUNIYA - COMPANY SECRETARY</t>
  </si>
  <si>
    <t>Place: Nagpur</t>
  </si>
  <si>
    <t>NOTE</t>
  </si>
  <si>
    <t>Year Ended</t>
  </si>
  <si>
    <t xml:space="preserve"> Revenue From Operations</t>
  </si>
  <si>
    <t xml:space="preserve"> Other Income</t>
  </si>
  <si>
    <t xml:space="preserve">Total Income </t>
  </si>
  <si>
    <t>EXPENSES</t>
  </si>
  <si>
    <t>Cost of materials consumed</t>
  </si>
  <si>
    <t>Trading Purchase</t>
  </si>
  <si>
    <t>Changes in inventories of finished goods,</t>
  </si>
  <si>
    <t>Employee benefits expense</t>
  </si>
  <si>
    <t>Finance costs</t>
  </si>
  <si>
    <t>Depreciation and amortization expense</t>
  </si>
  <si>
    <t>Other expenses</t>
  </si>
  <si>
    <t xml:space="preserve">Total expenses </t>
  </si>
  <si>
    <t xml:space="preserve">Profit/(loss) before exceptional items and tax </t>
  </si>
  <si>
    <t>Exceptional Item</t>
  </si>
  <si>
    <t xml:space="preserve">Profit/(loss) before tax </t>
  </si>
  <si>
    <t>Tax expense:</t>
  </si>
  <si>
    <t>(1) Current tax</t>
  </si>
  <si>
    <t>(1) MAT credit Entilement</t>
  </si>
  <si>
    <t>(2) Deferred tax</t>
  </si>
  <si>
    <t>Profit (Loss) for the year</t>
  </si>
  <si>
    <t>Other Comprehensive Income</t>
  </si>
  <si>
    <t>A (i) Items that will not be reclassified to profit or loss</t>
  </si>
  <si>
    <t>(ii) Income tax relating to items that will not be reclassified to profit or loss</t>
  </si>
  <si>
    <t>B (i) Items that will be reclassified to profit or loss</t>
  </si>
  <si>
    <t xml:space="preserve">Total other Comprehensive Income </t>
  </si>
  <si>
    <t xml:space="preserve">Total Comprehensive Income for the year </t>
  </si>
  <si>
    <t xml:space="preserve"> 1) Basic EPS</t>
  </si>
  <si>
    <t xml:space="preserve"> 1) Diluted EPS</t>
  </si>
  <si>
    <t xml:space="preserve">A. Equity Share Capital </t>
  </si>
  <si>
    <t>Opening Balance</t>
  </si>
  <si>
    <t>Changes in the Equity Share Capital during the year</t>
  </si>
  <si>
    <t>B. Other Equity</t>
  </si>
  <si>
    <t>Changes in accounting policy or prior  period errors</t>
  </si>
  <si>
    <t>Restated balance at the beginning of the  reporting period</t>
  </si>
  <si>
    <t>Movement during the year'</t>
  </si>
  <si>
    <t>Revaluation Surplus</t>
  </si>
  <si>
    <t>Addition During Prior perior period</t>
  </si>
  <si>
    <t>Additions During the year</t>
  </si>
  <si>
    <t>Retained Earnings</t>
  </si>
  <si>
    <t>Change in PY Provision for Income Tax</t>
  </si>
  <si>
    <t>Profit for the year</t>
  </si>
  <si>
    <t>Other Comprehensive Income for the year</t>
  </si>
  <si>
    <t>Total Comprehensive Income for the year</t>
  </si>
  <si>
    <t>Transactions with owners in capacity as owners</t>
  </si>
  <si>
    <t>Dividends (including tax on dividend)</t>
  </si>
  <si>
    <t>Transfer to retained earnings</t>
  </si>
  <si>
    <t>Bonus shares, if any</t>
  </si>
  <si>
    <t>(Unsecured, considered good unless otherwise stated)</t>
  </si>
  <si>
    <t>Long term Deposit with Banks maturing after 12 months</t>
  </si>
  <si>
    <t>Fixed deposits are lien marked for total facility against the said fixed deposit.</t>
  </si>
  <si>
    <t>(Fixed deposits are lien marked for total facility against the said fixed deposit.)</t>
  </si>
  <si>
    <t xml:space="preserve">NOTE 4 : OTHER NON CURRENT ASSETS </t>
  </si>
  <si>
    <t>Advance for Capital Goods</t>
  </si>
  <si>
    <t>NOTE 5 :INVENTORIES</t>
  </si>
  <si>
    <t xml:space="preserve">Stores, Packing Material &amp; Fuel </t>
  </si>
  <si>
    <t>(Note- Inventories have been hypothecated with banks against cash credit facility.)</t>
  </si>
  <si>
    <t>NOTE 6 :TRADE RECEIVABLES</t>
  </si>
  <si>
    <t>Considered Good</t>
  </si>
  <si>
    <t xml:space="preserve">     Related Party</t>
  </si>
  <si>
    <t xml:space="preserve">     Other party</t>
  </si>
  <si>
    <t>Considered Doubtful</t>
  </si>
  <si>
    <t>Note- A) Trade Receivables  have been hypothecated with banks against cash credit facility.</t>
  </si>
  <si>
    <t xml:space="preserve">B) Credit risk arising from trade receivables is managed in accordance with company's established policy with regard to credit limits, control and approval procedure.The company provides for expected credit losses on trade receivables based on simplified approach as per Ind AS 109 Under this Approach, expected credit losses are computed basis the probability of defaults over the lifetime of the asset. This allowance is measured taking into account credit profile of the customer,geographical spread,trade channels,past experience of defaults,estimates of future uncertainties etc. Further, managament believes that the unimpaird amounts that are past due by more than 180 days are still collectible in full, based on historical payment behavior and extensive analysis of customer credit risk. </t>
  </si>
  <si>
    <t>NOTE 7 :CASH AND CASH EQUIVALENTS</t>
  </si>
  <si>
    <t>Cash and Cash Equivalents</t>
  </si>
  <si>
    <t>Cash on Hand</t>
  </si>
  <si>
    <t>Balances with Banks</t>
  </si>
  <si>
    <t>Current Account</t>
  </si>
  <si>
    <t>NOTE 8 : BANK BALANCES OTHER THAN CASH &amp; CASH EQUIVALENTS</t>
  </si>
  <si>
    <t>Other Bank Balance</t>
  </si>
  <si>
    <t>(Balance earmarked for Unclaimed Dividend)</t>
  </si>
  <si>
    <t>NOTE 9 : OTHER FINANCIAL ASSETS</t>
  </si>
  <si>
    <t>Unsecured &amp; Considered Good</t>
  </si>
  <si>
    <t>Loans &amp; Advances to Employees</t>
  </si>
  <si>
    <t>Balance with Government authorities</t>
  </si>
  <si>
    <t>PSI Under Sales Tax receivable</t>
  </si>
  <si>
    <t>NOTE 10 :OTHER CURRENT ASSETS</t>
  </si>
  <si>
    <t xml:space="preserve">Advance to Suppliers </t>
  </si>
  <si>
    <t xml:space="preserve">Insurance Claim Receivable </t>
  </si>
  <si>
    <t>NOTE 11 : CURRENT TAX ASSET (NET)</t>
  </si>
  <si>
    <t>Income Tax Receivables (Net)</t>
  </si>
  <si>
    <t>NOTE 12 : SHARE CAPITAL</t>
  </si>
  <si>
    <t>AUTHORISED CAPITAL</t>
  </si>
  <si>
    <t>35,00,000 Equity Shares of Rs.10/- each (35,00,000 Equity Shares of Rs.10/- each)</t>
  </si>
  <si>
    <t>ISSUED, SUBSCRIBED AND PAID UP CAPITAL</t>
  </si>
  <si>
    <t>26,92,265 Equity Shares of Rs.10/- each fully paid up (26,92,265 Equity Shares of Rs.10/- each fully paid up)</t>
  </si>
  <si>
    <t>a. Details of shareholders holding more than 5% shares in the company</t>
  </si>
  <si>
    <t>31.03.2020</t>
  </si>
  <si>
    <t>NAME OF SHAREHOLDER</t>
  </si>
  <si>
    <t>% Held</t>
  </si>
  <si>
    <t>No.of Shares</t>
  </si>
  <si>
    <t>Omprakash Damodar Rathi</t>
  </si>
  <si>
    <t xml:space="preserve">Kailash P. Agarwal </t>
  </si>
  <si>
    <t>Akshay Omprakash Rathi</t>
  </si>
  <si>
    <t>Anil Kumar Lakhotiya</t>
  </si>
  <si>
    <t xml:space="preserve">Mangla Omprakash Rathi  </t>
  </si>
  <si>
    <t>b. Reconciliation of the number of shares outstanding at the beginning and at the end of the reporting period</t>
  </si>
  <si>
    <t>Equity Shares at the beginning of the year</t>
  </si>
  <si>
    <t>Add: Shares issued during the year</t>
  </si>
  <si>
    <t>Equity Shares at the end of the year</t>
  </si>
  <si>
    <t>d. Rights, preferences and restrictions attached to shares</t>
  </si>
  <si>
    <t>Equity shares</t>
  </si>
  <si>
    <t xml:space="preserve">The Company has one class of equity shares having a par value of Rs.10 each. Each shareholder is eligible for one vote per share held. The dividend proposed by the Board of Directors is subject to the approval of the shareholders in the ensuing Annual General Meeting, except in case of interim dividend. In the event of liquidation, the equity shareholders are eligible to receive the remaining assets of the Company after distribution of all preferential amounts, in proportion to their shareholding.                                    </t>
  </si>
  <si>
    <t>NOTE 13 : BORROWINGS</t>
  </si>
  <si>
    <t xml:space="preserve">Secured </t>
  </si>
  <si>
    <t xml:space="preserve">From Banks </t>
  </si>
  <si>
    <t>From NBFC</t>
  </si>
  <si>
    <t>Unsecured Loans</t>
  </si>
  <si>
    <t>From Others</t>
  </si>
  <si>
    <t>NOTE 14 : Non Current - Provisions</t>
  </si>
  <si>
    <t>Employee Benefits</t>
  </si>
  <si>
    <t>NOTE 15 : DEFERRED TAX LIABILITIES / (ASSETS)</t>
  </si>
  <si>
    <t>Deferred Tax</t>
  </si>
  <si>
    <t>(a) Breakup of Deffered Tax Liability at the end of the year.</t>
  </si>
  <si>
    <t>Nature of Timing Difference</t>
  </si>
  <si>
    <t>Property Plant &amp; Equipment</t>
  </si>
  <si>
    <t>Total  Deferred Tax liability</t>
  </si>
  <si>
    <t>(a) Breakup of Deffered Tax Assets at the end of the year.</t>
  </si>
  <si>
    <t>Dissallowances u/s 43B and others</t>
  </si>
  <si>
    <t>Deferred Tax Asset /Liabilities(Net)</t>
  </si>
  <si>
    <t>Mat Credit Entitlement</t>
  </si>
  <si>
    <t>Total</t>
  </si>
  <si>
    <t xml:space="preserve">NOTE 16 : SHORT TERM BORROWINGS </t>
  </si>
  <si>
    <t>From Banks</t>
  </si>
  <si>
    <t>Working Capital Facilities</t>
  </si>
  <si>
    <t>(Secured by way of hypothecation of entire stock of the unit at its godowns or at some other places including goods in transit ,outstanding moneys,book debts, receivable, both present and future including personal guarantee of all the Directors &amp; the Promoters of the Company. These borrowings are repayable on demand.)</t>
  </si>
  <si>
    <t>NOTE 17: TRADE PAYABLES</t>
  </si>
  <si>
    <t>Payble for Goods &amp; Services</t>
  </si>
  <si>
    <t>Total outstanding due to micro, small and medium enterprise</t>
  </si>
  <si>
    <t>Total outstanding dues other than micro enterprises &amp; small enterprises</t>
  </si>
  <si>
    <t>The Principal amount and interest due there on remaining unpaid to suppliers under MSMED Act:</t>
  </si>
  <si>
    <t>2019-20</t>
  </si>
  <si>
    <t>Principle</t>
  </si>
  <si>
    <t>Interest</t>
  </si>
  <si>
    <t>ii) The amount of interest credit by the buyer in terms of section 16, of the MSMED Act,2006 along with the amount ot the payment made to the supplier beyond the appointed day during each accounting year.</t>
  </si>
  <si>
    <t>iii) The amount of interest due and payble for the period of delay in making payment (which have been paid but beyond the appointed day during the year) but without adding the interest specified under MSMED Act.</t>
  </si>
  <si>
    <t>iv) The amount of interest accrued and remaining unpaid at the end of each accounting year.</t>
  </si>
  <si>
    <t>v) The amount of further interest remaining due and payable even in the succeeding years until such date when the interest dues as above are actually paid to the small enterprise for the purpose of disallowance as a deductible expenditure under section 23 of MSMED Act,2006.</t>
  </si>
  <si>
    <t>NOTE 18: OTHER FINANCIAL LIABILITIES : CURRENT</t>
  </si>
  <si>
    <t>Current Portion of Long Term Borrowings (Refer Note. 13)</t>
  </si>
  <si>
    <t xml:space="preserve"> - Term Loan from Bank</t>
  </si>
  <si>
    <t xml:space="preserve"> - Term Loan from NBFC</t>
  </si>
  <si>
    <t xml:space="preserve"> - Interest Accrued but not due on Term Loans</t>
  </si>
  <si>
    <t>Payable to Investor Education &amp; Protection Fund</t>
  </si>
  <si>
    <t>NOTE 19 : OTHER CURRENT LIABILITIES</t>
  </si>
  <si>
    <t>NOTE 20 : PROVISIONS</t>
  </si>
  <si>
    <t>Income Tax Payable</t>
  </si>
  <si>
    <t>Bonus, Leave Encashment Payable</t>
  </si>
  <si>
    <t>NOTE 21 : REVENUE FROM OPERATIONS</t>
  </si>
  <si>
    <t>Sale of Products</t>
  </si>
  <si>
    <t xml:space="preserve">     - Trading Sale</t>
  </si>
  <si>
    <t>Other Operating Revenue</t>
  </si>
  <si>
    <t xml:space="preserve">     - PSI Subsidy</t>
  </si>
  <si>
    <t>NOTE 22 : OTHER INCOME</t>
  </si>
  <si>
    <t>Sundry Balance written back</t>
  </si>
  <si>
    <t>Gain /(Loss) on Foreign Exchange Fluctuation</t>
  </si>
  <si>
    <t>Profit on Sale of Fixed Assets</t>
  </si>
  <si>
    <t>Sale of Scrap</t>
  </si>
  <si>
    <t>Miscellaneous Income</t>
  </si>
  <si>
    <t>Interest Income</t>
  </si>
  <si>
    <t>NOTE 23 : COST OF MATERIAL CONSUMED</t>
  </si>
  <si>
    <t>Add:  Purchases</t>
  </si>
  <si>
    <t>NOTE 24 :CHANGES IN INVENTORIES OF FINISHED GOODS</t>
  </si>
  <si>
    <t>Power &amp; Fuel</t>
  </si>
  <si>
    <t>2020-21</t>
  </si>
  <si>
    <t>Stores &amp; Spares</t>
  </si>
  <si>
    <t>Packing Material</t>
  </si>
  <si>
    <t>NOTE 25 :EMPLOYEE BENEFIT EXPENSES</t>
  </si>
  <si>
    <t>Exp Incurred</t>
  </si>
  <si>
    <t>Opening</t>
  </si>
  <si>
    <t>Closing</t>
  </si>
  <si>
    <t>NOTE 26 :FINANCE COSTS</t>
  </si>
  <si>
    <t>Other Borrowing Cost</t>
  </si>
  <si>
    <t>NOTE 27 :OTHER EXPENSES</t>
  </si>
  <si>
    <t>MANUFACTURING EXPENSES</t>
  </si>
  <si>
    <t>Factory Expenses</t>
  </si>
  <si>
    <t>Finished Goods Packing and Allied Charges</t>
  </si>
  <si>
    <t>Packing Material Consumed</t>
  </si>
  <si>
    <t>Power and Fuel Consumed</t>
  </si>
  <si>
    <t>Repairs &amp; Maintenance</t>
  </si>
  <si>
    <t xml:space="preserve">     - Machinery</t>
  </si>
  <si>
    <t xml:space="preserve">      - Building</t>
  </si>
  <si>
    <t>Stores &amp; Spares Consumed</t>
  </si>
  <si>
    <t>Waste paper Feeding Charges</t>
  </si>
  <si>
    <t>( A )</t>
  </si>
  <si>
    <t>ESTABLISHMENT EXPENSES</t>
  </si>
  <si>
    <t>Auditors Remuneration</t>
  </si>
  <si>
    <t>Statutory Audit Fees</t>
  </si>
  <si>
    <t>Internal Audit Fees</t>
  </si>
  <si>
    <t>Audit Expenses</t>
  </si>
  <si>
    <t xml:space="preserve">Bad Debts </t>
  </si>
  <si>
    <t>Provision of earlier Year</t>
  </si>
  <si>
    <t>Insurance Charges</t>
  </si>
  <si>
    <t>General Expenses</t>
  </si>
  <si>
    <t>Legal &amp; Professional Charges</t>
  </si>
  <si>
    <t>Listing Expense</t>
  </si>
  <si>
    <t>Office Expenses</t>
  </si>
  <si>
    <t>Printing &amp; Stationery</t>
  </si>
  <si>
    <t xml:space="preserve">    - Vehicle </t>
  </si>
  <si>
    <t xml:space="preserve">    - Others</t>
  </si>
  <si>
    <t>Rent for Office Premises</t>
  </si>
  <si>
    <t>Travelling &amp; Conveyance</t>
  </si>
  <si>
    <t>( B )</t>
  </si>
  <si>
    <t>SELLING &amp; DISTRIBUTION EXPENSES</t>
  </si>
  <si>
    <t xml:space="preserve">Advertisement </t>
  </si>
  <si>
    <t>Insurance on Sales</t>
  </si>
  <si>
    <t>( C )</t>
  </si>
  <si>
    <t>( A+ B + C )</t>
  </si>
  <si>
    <t>NOTE 28 : OTHER COMPREHENSIVE INCOME</t>
  </si>
  <si>
    <t>A (i)Items that will not be reclassified in the profit &amp; loss</t>
  </si>
  <si>
    <t>Remeasurement of defined benefit liabilities</t>
  </si>
  <si>
    <t>Revalution Surplus on Revaluation of Fixed Assest ( Land &amp; Building)</t>
  </si>
  <si>
    <t>-</t>
  </si>
  <si>
    <t>B (i) Items that will be reclassified to the profit &amp; loss</t>
  </si>
  <si>
    <t xml:space="preserve">(ii) Income tax relating to items that will  be reclassified to profit or loss </t>
  </si>
  <si>
    <t>Total (A+B)</t>
  </si>
  <si>
    <t>NOTE 29 : EARNING PER SHARE</t>
  </si>
  <si>
    <t>Net Profit after tax from continuing operation</t>
  </si>
  <si>
    <t>Weighted average number of Equity shares outstanding (Face Value of ₹ 10 per Eq. Share)</t>
  </si>
  <si>
    <t>Earning per share</t>
  </si>
  <si>
    <t>Diluted Earning per Share</t>
  </si>
  <si>
    <t>NOTE 30 : SUPPLEMENTARY INFORMATION</t>
  </si>
  <si>
    <t>A. CIF VALUE OF IMPORTS</t>
  </si>
  <si>
    <t>Raw Material - Waste Paper</t>
  </si>
  <si>
    <t>Capital Goods</t>
  </si>
  <si>
    <t>Stores &amp; Spare Parts</t>
  </si>
  <si>
    <t>B. STOCKS</t>
  </si>
  <si>
    <t>RAW MATERIAL</t>
  </si>
  <si>
    <t>Waste Paper</t>
  </si>
  <si>
    <t>Chemicals</t>
  </si>
  <si>
    <t>C. FINISHED GOODS</t>
  </si>
  <si>
    <t>Kraft Paper</t>
  </si>
  <si>
    <t>D. VALUE OF RAW MATERIAL, STORES &amp; SPARES CONSUMPTION:</t>
  </si>
  <si>
    <t>Imported</t>
  </si>
  <si>
    <t>Raw Material</t>
  </si>
  <si>
    <t>Value</t>
  </si>
  <si>
    <t>Percentage of Total Consumption</t>
  </si>
  <si>
    <t>Indigenous</t>
  </si>
  <si>
    <t>E. SALES</t>
  </si>
  <si>
    <t>Manufacturing Sales (Net of Taxes)</t>
  </si>
  <si>
    <t>NOTE 31 : AUDITORS REMUNERATION</t>
  </si>
  <si>
    <t>Audit fee</t>
  </si>
  <si>
    <t>(a) Defined Benefit Plans:</t>
  </si>
  <si>
    <t>Gratuity Fund</t>
  </si>
  <si>
    <t>The present value of the defined benefit obligations and the related current service cost were measured using the Projected Unit Credit Method, with actuarial valuations being carried out at each balance sheet date. The following table provides the disclosures in accordance with IND AS 19.</t>
  </si>
  <si>
    <t>Reconciliation of present value of the obligation and the fair value of plan assets</t>
  </si>
  <si>
    <t xml:space="preserve">Reconcilation of Opening and Closing balance of the Present Value of the defined benefit obligation </t>
  </si>
  <si>
    <t>Obligation at period beginning</t>
  </si>
  <si>
    <t>Current service cost</t>
  </si>
  <si>
    <t>Past Service Cost</t>
  </si>
  <si>
    <t>Interest Cost</t>
  </si>
  <si>
    <t>Actuarial (gain) /  loss</t>
  </si>
  <si>
    <t>Benefits paid</t>
  </si>
  <si>
    <t>Actuarial (gain) /  loss due to Experience</t>
  </si>
  <si>
    <t>Obligations at the year end</t>
  </si>
  <si>
    <t>Change in Plan Assets</t>
  </si>
  <si>
    <t>Plan assets at period beginning, at fair value</t>
  </si>
  <si>
    <t>Expected return on plan assets</t>
  </si>
  <si>
    <t>Actuarial gain /  (loss)</t>
  </si>
  <si>
    <t>Contributions</t>
  </si>
  <si>
    <t>Plan assets at the year end, at fair value</t>
  </si>
  <si>
    <t>Fair Value of plan assets at the end of the year</t>
  </si>
  <si>
    <t>Present value of the defined benefit obligations at the end of the year</t>
  </si>
  <si>
    <t>Liabilities/(Assets) recognised in the Balance Sheet</t>
  </si>
  <si>
    <t>Cost for the year</t>
  </si>
  <si>
    <t>Net Cost recognised in the Statement of Profit and Loss</t>
  </si>
  <si>
    <t>Assumptions used to determine the benefit obligation:</t>
  </si>
  <si>
    <t>Discount Rate</t>
  </si>
  <si>
    <t>Estimated rate of return on plan assets</t>
  </si>
  <si>
    <t>Expected rate of increase in salary</t>
  </si>
  <si>
    <t>Attrition Rate</t>
  </si>
  <si>
    <t>Actual return on plan assets</t>
  </si>
  <si>
    <t>(b) Provident Fund</t>
  </si>
  <si>
    <t>“Contribution to provident and other funds” is recognised as an expense in the Statement of Profit and Loss.</t>
  </si>
  <si>
    <t xml:space="preserve">Persuant to the enactment of Companies Act, 2013, the Company has applied the estimated useful lives as specified in Schdule II, Accordingly the unamortised carrying value is being depreciated /amortised over the revised/remaining useful lives. The entity adopts the revaluation model under IND AS 16 for Land and Building pertaining to same class of assets. As per the management's estimation their is no material change in the valuation of Factory Land &amp; Building hence the no change in the valuction of Factory &amp; Building. </t>
  </si>
  <si>
    <t>The company has obtained its office premises for its business operations under operating lease or leave and license agreements. These are generally cancellable under leave and licence, or renewed longer for other lease and are renewable by mutual consent on mutually agreeable terms. Lease payments are recognised in the Statement of Profit and Loss under "Rent" in Note 27.</t>
  </si>
  <si>
    <t>Directors/ Key Management Personnel</t>
  </si>
  <si>
    <t>Mr. Kailash Chand Agarwal</t>
  </si>
  <si>
    <t>Mr. Anil kumar Lakhotiya</t>
  </si>
  <si>
    <t>Mr. Jarnailsingh Saini</t>
  </si>
  <si>
    <t>Mr. Omprakash D. Rathi</t>
  </si>
  <si>
    <t>Enterprises in which there is a significant influence of Members/Directors</t>
  </si>
  <si>
    <t>Kaygaon Paper Mills Private Limited</t>
  </si>
  <si>
    <t>Saini Transport Company</t>
  </si>
  <si>
    <t>Chandra Sales Corporation</t>
  </si>
  <si>
    <t>Chandra Coal Private Limited</t>
  </si>
  <si>
    <t>Others</t>
  </si>
  <si>
    <t>(a) Director's &amp;  Key Management Personnel Relative</t>
  </si>
  <si>
    <t>Mr. Sartaj Manindersingh Saini</t>
  </si>
  <si>
    <t>Mrs. Anita Lakhotiya</t>
  </si>
  <si>
    <t xml:space="preserve">Mrs. Sushil Kaur Saini </t>
  </si>
  <si>
    <t>Mrs. Kajal Sanjay Agarwal</t>
  </si>
  <si>
    <t>Mr. Karnailsingh Saini</t>
  </si>
  <si>
    <t>Mr. Kailash Kaur</t>
  </si>
  <si>
    <t>Mr. Baljit Singh Saini</t>
  </si>
  <si>
    <t>Mrs. Snehlata A Lakhotiya</t>
  </si>
  <si>
    <t>Mr. Kuldeepsingh Saini</t>
  </si>
  <si>
    <t>Mrs. Hazelkaur Manindersingh Saini</t>
  </si>
  <si>
    <t>Mrs. Baljit Kaur</t>
  </si>
  <si>
    <t>Mrs. Sanjamkaur Saini</t>
  </si>
  <si>
    <t>Ms. Navita K. Agrawal</t>
  </si>
  <si>
    <t>Mr. Prakashkaur Saini</t>
  </si>
  <si>
    <t>Mrs. Amarjit kaur Saini</t>
  </si>
  <si>
    <t>Gurmitsingh Gurdassingh (HUF)</t>
  </si>
  <si>
    <t>Mrs.Satnamkaur Karnail Singh Saini</t>
  </si>
  <si>
    <t>Mr. Gaurav A Lakhotiya</t>
  </si>
  <si>
    <t>Karnail singh Gurudassingh (HUF)</t>
  </si>
  <si>
    <t>Mrs. Garima  Maheswari</t>
  </si>
  <si>
    <t>Disclosure of material transaction with related parties</t>
  </si>
  <si>
    <t>RELATED PARTY TRANSACTIONS DURING THE YEAR</t>
  </si>
  <si>
    <t>Profit &amp; loss A/c</t>
  </si>
  <si>
    <t>Sales</t>
  </si>
  <si>
    <t>Freight Charges</t>
  </si>
  <si>
    <t>Interest Paid</t>
  </si>
  <si>
    <t>Mr.Omprakash Damodar Rathi</t>
  </si>
  <si>
    <t>Mrs. Baljit Kaur Manindersingh Saini</t>
  </si>
  <si>
    <t>Mrs. Kailash Kaur Jarnailsingh Saini</t>
  </si>
  <si>
    <t>Mrs. Sanjamkumar Saini</t>
  </si>
  <si>
    <t>Mr. Gaurav Lakhotiya</t>
  </si>
  <si>
    <t>Director's Remuneration and Incentives</t>
  </si>
  <si>
    <t>(Includes Bonus)</t>
  </si>
  <si>
    <t>(Rupees)</t>
  </si>
  <si>
    <t>Purchase of Coal</t>
  </si>
  <si>
    <t>Purchase of Raw material (Net)</t>
  </si>
  <si>
    <t>Sale of Finished Goods (Net)</t>
  </si>
  <si>
    <t>Balance Sheet</t>
  </si>
  <si>
    <t>Loan Accepted</t>
  </si>
  <si>
    <t>Mr. Anil M. Lakhotiya</t>
  </si>
  <si>
    <t>Sanjamkumar Saini</t>
  </si>
  <si>
    <t>Jarnailsingh Saini</t>
  </si>
  <si>
    <t>Loan Repaid</t>
  </si>
  <si>
    <t>CLOSING BALANCES</t>
  </si>
  <si>
    <t>Maximum Outstandings</t>
  </si>
  <si>
    <t>Loans Taken</t>
  </si>
  <si>
    <t xml:space="preserve">Trade Payables </t>
  </si>
  <si>
    <t>Chandra Coal Private Ltd</t>
  </si>
  <si>
    <t>Saini Transport company</t>
  </si>
  <si>
    <t>Contingent liabilities not provided for in respect of:</t>
  </si>
  <si>
    <t>Bank Guarantee given to M.S.E.D.C.L.</t>
  </si>
  <si>
    <t>Bank Guarantee given to Western Coal Fields Ltd</t>
  </si>
  <si>
    <t>Bank Guarantee given to M.P.C.B.</t>
  </si>
  <si>
    <t>Interest as per section 16 of MSMED Act</t>
  </si>
  <si>
    <t>Excise Duty From F.Y.2008-09 to 2010-2011</t>
  </si>
  <si>
    <t xml:space="preserve"> - Demand Raised excluding interest</t>
  </si>
  <si>
    <t xml:space="preserve"> - Penalty Levied</t>
  </si>
  <si>
    <t>The Company had received demand of Rs 2,73,06,791 in earlier years on account of Excise Duty &amp; Penalty excluding interest for the period from  F.Y.2008-09 to 2010-2011.The Company had obtained stay order against the same and filed an appeal with Custom, Excise &amp; Service Tax Appellate Tribunal, Mumbai. Based on Legal advice , the Company had not made any provision against the same.</t>
  </si>
  <si>
    <t>Excise Duty From July 2003 to March 2004</t>
  </si>
  <si>
    <t>Excise Duty From April 2004 to October 2004</t>
  </si>
  <si>
    <t>In Past, the Company had received order from the office of the Commissioner of Central Excise, Custom &amp; Service Tax, Nagpur -II demanding Excise Duty of Rs. 25,88,898/- including penalty. The Company has filed an appeal with the Commissioner (Appeals) under section 35 of the Act against the said order. The Company has paid the basic Demand under protest amounting to 12,94,449/- to save interest and penalty on suomoto basis. Based on the legal advice, the Company had not made any provisions against the said demand. In absence of any progress on the said matter, during the year, the company has written of the said amount paid in FY 2018-19.</t>
  </si>
  <si>
    <t>The balances of Trade Payables, Trade Receivables and Loans &amp; Advances are subject to confirmation and reconciliation.</t>
  </si>
  <si>
    <t>The Company is into manufacturing of Kraft Paper which is considered as the only reportable segment. The Company’s operations are based in India.</t>
  </si>
  <si>
    <t>In the opinion of the Board and as certified by the management, all expenses charged to revenue and various cash payments to the suppliers of materials and services through out the accounting year are genuine and have been solely and exclusively incurred out of business expediency.</t>
  </si>
  <si>
    <t>Unhedged Foreign Exchange Exposure</t>
  </si>
  <si>
    <t>Outstanding in Forex</t>
  </si>
  <si>
    <t>Outstanding in INR</t>
  </si>
  <si>
    <t>USD</t>
  </si>
  <si>
    <t>Advance to Suppliers for Capital goods and stores</t>
  </si>
  <si>
    <t>Nil</t>
  </si>
  <si>
    <t>Trade Payables for Raw Materials &amp; Stores</t>
  </si>
  <si>
    <t>Previous year's figures have been regrouped and rearranged to correspond with the figures of current year wherever necessary.</t>
  </si>
  <si>
    <t>For DARAK AND ASSOCIATES</t>
  </si>
  <si>
    <t>CHARTERED ACCOUNTANTS</t>
  </si>
  <si>
    <t>FIRM REGISTRATION NO. 132818W</t>
  </si>
  <si>
    <t>CA AMIT M. DARAK</t>
  </si>
  <si>
    <t>PARTNER</t>
  </si>
  <si>
    <t>Membership No. 144005</t>
  </si>
  <si>
    <t>BALANCE SHEET AS AT 31ST MARCH, 2021</t>
  </si>
  <si>
    <t>March 31, 2021 (₹)</t>
  </si>
  <si>
    <t>STATEMENT OF PROFIT AND LOSS FOR THE YEAR ENDED ON 31ST MARCH, 2021</t>
  </si>
  <si>
    <t xml:space="preserve">Date: </t>
  </si>
  <si>
    <t>NOTES TO FINANCIAL STATEMENT FOR THE YEAR ENDED 31ST MARCH, 2021</t>
  </si>
  <si>
    <t>Row Labels</t>
  </si>
  <si>
    <t>(blank)</t>
  </si>
  <si>
    <t>Sum of Dr. Final HYR</t>
  </si>
  <si>
    <t>Sum of Cr. Final HYR</t>
  </si>
  <si>
    <t>Share Capital Total</t>
  </si>
  <si>
    <t>Reserves &amp; Surplus Total</t>
  </si>
  <si>
    <t>Long Term Borrowings Total</t>
  </si>
  <si>
    <t>Deferred Tax Liabilities  Total</t>
  </si>
  <si>
    <t>Short Term Borrowings Total</t>
  </si>
  <si>
    <t>Trade Payables Total</t>
  </si>
  <si>
    <t>Long Term Loans &amp; Advances Total</t>
  </si>
  <si>
    <t>Other Current Liabilities Total</t>
  </si>
  <si>
    <t>Short Term Provision Total</t>
  </si>
  <si>
    <t>Depreciation &amp; Amortisation Total</t>
  </si>
  <si>
    <t>Fixed Assets Total</t>
  </si>
  <si>
    <t>Trade Receivables Total</t>
  </si>
  <si>
    <t>Cash And Bank Balances Total</t>
  </si>
  <si>
    <t>Short Term Loans &amp; Advances Total</t>
  </si>
  <si>
    <t>Other Current Assets Total</t>
  </si>
  <si>
    <t>Revenue From Operations Total</t>
  </si>
  <si>
    <t>Other Income Total</t>
  </si>
  <si>
    <t>Raw Material Consumed Total</t>
  </si>
  <si>
    <t>Employee Benefit Expenses Total</t>
  </si>
  <si>
    <t>Finance Costs Total</t>
  </si>
  <si>
    <t>Other Expenses Total</t>
  </si>
  <si>
    <t>opening stock Total</t>
  </si>
  <si>
    <t>(blank) Total</t>
  </si>
  <si>
    <t xml:space="preserve">Stock </t>
  </si>
  <si>
    <t>Finished</t>
  </si>
  <si>
    <t>Power &amp; fuel</t>
  </si>
  <si>
    <t>Raw material</t>
  </si>
  <si>
    <t>CGST @ 2.5% on Chemical</t>
  </si>
  <si>
    <t>CHANDRA SALES CORPORATION(SALE) (--27ADQPA0441E1Z0)</t>
  </si>
  <si>
    <t>Darak and Associates</t>
  </si>
  <si>
    <t>Gratuity to Staff</t>
  </si>
  <si>
    <t>KEDAR PAPER CONVERSIONS (--36ADFPK0203M1ZT)</t>
  </si>
  <si>
    <t>SAVITRI ENTERPRISES (WP)</t>
  </si>
  <si>
    <t>SGST @ 2.5 % on Chemical</t>
  </si>
  <si>
    <t>Values</t>
  </si>
  <si>
    <t>1-Apr-2019 to 31-Mar-2020</t>
  </si>
  <si>
    <t>Hardoli Paper Mills Ltd. - (19-20)</t>
  </si>
  <si>
    <t>Dr</t>
  </si>
  <si>
    <t>Cr</t>
  </si>
  <si>
    <t>CST Tax Expenses</t>
  </si>
  <si>
    <t>MAHALAXMI FIRE SERVICES, NAGPUR</t>
  </si>
  <si>
    <t>Purchase Expenses : OCC</t>
  </si>
  <si>
    <t>RAVINDRA KUMBHARE</t>
  </si>
  <si>
    <t>SARASWATI GENERAL STORES, NAGPUR</t>
  </si>
  <si>
    <t>Site Development Expenses</t>
  </si>
  <si>
    <t>FY 2019-20</t>
  </si>
  <si>
    <t>Dr. 2019-20</t>
  </si>
  <si>
    <t>Cr. 2019-20</t>
  </si>
  <si>
    <t>Dr. Final 2019-20</t>
  </si>
  <si>
    <t>Cr. Final 2019-20</t>
  </si>
  <si>
    <t>Sum of Dr. Final 2019-20</t>
  </si>
  <si>
    <t>Sum of Cr. Final 2019-20</t>
  </si>
  <si>
    <t>Opening-2020-21</t>
  </si>
  <si>
    <t>Opening-2019-20</t>
  </si>
  <si>
    <t>Closing-2020-21</t>
  </si>
  <si>
    <t>Closing-2019-20</t>
  </si>
  <si>
    <t>STATEMENT OF CHANGE IN EQUITY FOR THE YEAR ENDED ON 31ST MARCH, 2021</t>
  </si>
  <si>
    <t>2 Total</t>
  </si>
  <si>
    <t>3 Total</t>
  </si>
  <si>
    <t>4 Total</t>
  </si>
  <si>
    <t>5 Total</t>
  </si>
  <si>
    <t>6 Total</t>
  </si>
  <si>
    <t>7 Total</t>
  </si>
  <si>
    <t>8 Total</t>
  </si>
  <si>
    <t>9 Total</t>
  </si>
  <si>
    <t>10 Total</t>
  </si>
  <si>
    <t>12 Total</t>
  </si>
  <si>
    <t>13 Total</t>
  </si>
  <si>
    <t>15 Total</t>
  </si>
  <si>
    <t>16 Total</t>
  </si>
  <si>
    <t>17 Total</t>
  </si>
  <si>
    <t>18 Total</t>
  </si>
  <si>
    <t>19 Total</t>
  </si>
  <si>
    <t>20 Total</t>
  </si>
  <si>
    <t>22 Total</t>
  </si>
  <si>
    <t>24 Total</t>
  </si>
  <si>
    <t>25 Total</t>
  </si>
  <si>
    <t>26 Total</t>
  </si>
  <si>
    <t>Share holding Patern</t>
  </si>
  <si>
    <t>Requirement</t>
  </si>
  <si>
    <t>List of all the share holders required. We have received the list of top 100 share holders only.</t>
  </si>
  <si>
    <t>Working Capital Term Loan</t>
  </si>
  <si>
    <t>Amount</t>
  </si>
  <si>
    <t>Repayment</t>
  </si>
  <si>
    <t>Balance</t>
  </si>
  <si>
    <t>Month</t>
  </si>
  <si>
    <t>21-22</t>
  </si>
  <si>
    <t>22-23</t>
  </si>
  <si>
    <t>23-24</t>
  </si>
  <si>
    <t>24-25</t>
  </si>
  <si>
    <t xml:space="preserve">Closing Balance </t>
  </si>
  <si>
    <t>Short Term</t>
  </si>
  <si>
    <t>Long Term</t>
  </si>
  <si>
    <t>Term Loan from Bank (Refer Note. 18)</t>
  </si>
  <si>
    <t xml:space="preserve">Bifurcation of Term Loan </t>
  </si>
  <si>
    <t>Term Loans</t>
  </si>
  <si>
    <t>Repayment Schedule, Term Loan statement and Closing Balance certificate from Bank.</t>
  </si>
  <si>
    <t xml:space="preserve">GST </t>
  </si>
  <si>
    <t>GST As per Electronic Credit Ledger is Nil, whereas in Books it is showing as Debit Balance of 131081.26 (Net). Please provide the reconciliation of GST as per Books &amp; as per Credit Ledger.</t>
  </si>
  <si>
    <t>Ledger Confirmations of unsecured loan required.</t>
  </si>
  <si>
    <t>Gratuity valuation from Actury required.</t>
  </si>
  <si>
    <t>Bifurcation of Payable to the parties registered under MSME &amp; non MSME required also ROC return filed for the same is required.</t>
  </si>
  <si>
    <t>Pending to be checked by Amit.</t>
  </si>
  <si>
    <t>SALES A/C INTERASTATE</t>
  </si>
  <si>
    <t>Covid-19 Expenses (Corona)</t>
  </si>
  <si>
    <t>IMTRADE PAPER &amp; PLASTICS BV</t>
  </si>
  <si>
    <t>Interest Receivable on Power</t>
  </si>
  <si>
    <t>Other Financial Assets</t>
  </si>
  <si>
    <t>Balance at the beginning of the year</t>
  </si>
  <si>
    <t>Balance at the end of the year</t>
  </si>
  <si>
    <t>HARDOLI PAPER MILLS LIMITED    LIST OF HOLDERS AS ON 31-MAR-2021</t>
  </si>
  <si>
    <t xml:space="preserve">HOLDING AS ON </t>
  </si>
  <si>
    <t>PURCHASED</t>
  </si>
  <si>
    <t>SOLD</t>
  </si>
  <si>
    <t>P_TYPE</t>
  </si>
  <si>
    <t>FOLIO_NO</t>
  </si>
  <si>
    <t>NAME</t>
  </si>
  <si>
    <t>00001006</t>
  </si>
  <si>
    <t>KHUZEMA Z  SAIFEE</t>
  </si>
  <si>
    <t>00001007</t>
  </si>
  <si>
    <t>MURTUZA SHABBIR  BOHRA</t>
  </si>
  <si>
    <t>00001008</t>
  </si>
  <si>
    <t>MUSTAFA SHABBIR  BOHRA</t>
  </si>
  <si>
    <t>00001061</t>
  </si>
  <si>
    <t>KAMAL K AGRAWAL</t>
  </si>
  <si>
    <t>00001067</t>
  </si>
  <si>
    <t>ANILKUMAR  LAKHOTIYA (HUF)</t>
  </si>
  <si>
    <t>00001090</t>
  </si>
  <si>
    <t>KAILASH  KAUR</t>
  </si>
  <si>
    <t>00001091</t>
  </si>
  <si>
    <t>BALJIT  KAUR</t>
  </si>
  <si>
    <t>00001092</t>
  </si>
  <si>
    <t>JASWINDER  KAUR</t>
  </si>
  <si>
    <t>00001093</t>
  </si>
  <si>
    <t>MANINDER SINGH SAINI</t>
  </si>
  <si>
    <t>00001094</t>
  </si>
  <si>
    <t>BALJIT SINGH SAINI</t>
  </si>
  <si>
    <t>00001095</t>
  </si>
  <si>
    <t>SUSHIL  KAUR</t>
  </si>
  <si>
    <t>00001096</t>
  </si>
  <si>
    <t>SATNAM  KAUR</t>
  </si>
  <si>
    <t>00001098</t>
  </si>
  <si>
    <t>ANITA GAURAV LAKHOTIYA</t>
  </si>
  <si>
    <t>00001105</t>
  </si>
  <si>
    <t>GAURAV ANILKUMAR LAKHOTIYA</t>
  </si>
  <si>
    <t>00001106</t>
  </si>
  <si>
    <t>MEGHA AKSHAY RATHI</t>
  </si>
  <si>
    <t>00001108</t>
  </si>
  <si>
    <t>RUBLEEN SUKHWINDERSINGH SAINI</t>
  </si>
  <si>
    <t>00001109</t>
  </si>
  <si>
    <t>INDERJITSINGH JASBIRSINGH SAINI</t>
  </si>
  <si>
    <t>00001110</t>
  </si>
  <si>
    <t>RAJESHWARI SHASHIKANT KAPSE</t>
  </si>
  <si>
    <t>00001111</t>
  </si>
  <si>
    <t>RAMESH TAORI</t>
  </si>
  <si>
    <t>00001112</t>
  </si>
  <si>
    <t>SHREE HOME DECOR</t>
  </si>
  <si>
    <t>00001113</t>
  </si>
  <si>
    <t>KIRAN HARI CHAOJI</t>
  </si>
  <si>
    <t>00001114</t>
  </si>
  <si>
    <t>TASNEEM MURTAZA BOHRA</t>
  </si>
  <si>
    <t>00001115</t>
  </si>
  <si>
    <t>00001116</t>
  </si>
  <si>
    <t>BHUSHAN SURESH TAORI</t>
  </si>
  <si>
    <t>00001117</t>
  </si>
  <si>
    <t>AMRITPAL KAUR SAINI</t>
  </si>
  <si>
    <t>00001123</t>
  </si>
  <si>
    <t>MADHURIMA  RATHI</t>
  </si>
  <si>
    <t>00001126</t>
  </si>
  <si>
    <t>GAURAV  LAKHOTIYA</t>
  </si>
  <si>
    <t>00001129</t>
  </si>
  <si>
    <t>PRITHPALSINGH JOGINDERSINGH KHANIJON</t>
  </si>
  <si>
    <t>00001130</t>
  </si>
  <si>
    <t>NARINDER KAUR GILL</t>
  </si>
  <si>
    <t>00001131</t>
  </si>
  <si>
    <t>00001133</t>
  </si>
  <si>
    <t>PRITAM NARENDRA KHIVANSARA</t>
  </si>
  <si>
    <t>1201060002237604</t>
  </si>
  <si>
    <t>SANJAY KAILASHCHANDRA AGRAWAL</t>
  </si>
  <si>
    <t>1201060002421256</t>
  </si>
  <si>
    <t>VASUDEO MALU</t>
  </si>
  <si>
    <t>1201060002423895</t>
  </si>
  <si>
    <t>SASHIKALA VASUDEO MALU</t>
  </si>
  <si>
    <t>1201060002473725</t>
  </si>
  <si>
    <t>ANITA DILIP AGRAWAL</t>
  </si>
  <si>
    <t>1201060002473744</t>
  </si>
  <si>
    <t>DILIP PURUSHOTTAMDASJI AGRAWAL</t>
  </si>
  <si>
    <t>1201060002666327</t>
  </si>
  <si>
    <t>KAMALKUMAR KAILASH AGRAWAL</t>
  </si>
  <si>
    <t>1201060002930001</t>
  </si>
  <si>
    <t>BANWARI BHANWARLAL MALU</t>
  </si>
  <si>
    <t>1201060002936271</t>
  </si>
  <si>
    <t>JARNAILSINGH GURDASSINGH SAINI</t>
  </si>
  <si>
    <t>1201060002936284</t>
  </si>
  <si>
    <t>RAJINDERSINGH BISHANSINGH SAINI</t>
  </si>
  <si>
    <t>1201060002956621</t>
  </si>
  <si>
    <t>KAILASH PURUSHOTTAM AGRAWAL</t>
  </si>
  <si>
    <t>1201060002959878</t>
  </si>
  <si>
    <t>SHAILENDRA KAILASHCHANDRA AGRAWAL</t>
  </si>
  <si>
    <t>1201060002973126</t>
  </si>
  <si>
    <t>KAILASH AGRAWAL HUF</t>
  </si>
  <si>
    <t>1201060003300667</t>
  </si>
  <si>
    <t>1201060003378027</t>
  </si>
  <si>
    <t>1201060003471932</t>
  </si>
  <si>
    <t>GARIMA GAURAV MAHESHWARI</t>
  </si>
  <si>
    <t>1201060100019329</t>
  </si>
  <si>
    <t>Shiv Kumar Balbhadra Prasad Agrawal</t>
  </si>
  <si>
    <t>1201060100048939</t>
  </si>
  <si>
    <t>Prem Sadhuram Kewalramani</t>
  </si>
  <si>
    <t>1201060100063915</t>
  </si>
  <si>
    <t>SNEHLATA ANILKUMAR LAKHOTIYA</t>
  </si>
  <si>
    <t>1201060100063921</t>
  </si>
  <si>
    <t>ANILKUMAR MURARILAL LAKHOTIYA</t>
  </si>
  <si>
    <t>1201060100064450</t>
  </si>
  <si>
    <t>Anilkumar Murarilal Lakhotiya (HUF)</t>
  </si>
  <si>
    <t>1201060100260880</t>
  </si>
  <si>
    <t>PRABHA AGRAWAL</t>
  </si>
  <si>
    <t>1201060100260901</t>
  </si>
  <si>
    <t>ARCHANA SHAILENDRA AGRAWAL</t>
  </si>
  <si>
    <t>1201060100260920</t>
  </si>
  <si>
    <t>KAJAL SANJAY AGRAWAL</t>
  </si>
  <si>
    <t>1201060100264211</t>
  </si>
  <si>
    <t>NAVITA KAMAL AGRAWAL</t>
  </si>
  <si>
    <t>1201060100264870</t>
  </si>
  <si>
    <t>KAVERIDEVI JEETMAL MALU</t>
  </si>
  <si>
    <t>1201090000714254</t>
  </si>
  <si>
    <t>DHANRAJ MURLIDHAR MINIYAR</t>
  </si>
  <si>
    <t>1201690000074131</t>
  </si>
  <si>
    <t>ALOK KIRTI MEHTA</t>
  </si>
  <si>
    <t>1202200000018681</t>
  </si>
  <si>
    <t>VIJAY RANGNATHRAO JOSHI</t>
  </si>
  <si>
    <t>1202300000276320</t>
  </si>
  <si>
    <t>BABULAL AMARCHAND AGRAWAL</t>
  </si>
  <si>
    <t>1202890000052057</t>
  </si>
  <si>
    <t>RAJKUMAR RAMPRASADJI AGRAWAL</t>
  </si>
  <si>
    <t>1203320001296038</t>
  </si>
  <si>
    <t>SAGAR PRAFUL MALANI</t>
  </si>
  <si>
    <t>1203450000841674</t>
  </si>
  <si>
    <t>RAMPRASAD RAMBILAS AGRAWAL</t>
  </si>
  <si>
    <t>1203460000462054</t>
  </si>
  <si>
    <t>NARAYAN DAS DHANWANI .</t>
  </si>
  <si>
    <t>1203600000026531</t>
  </si>
  <si>
    <t>DINA PRAFUL RANDERIA</t>
  </si>
  <si>
    <t>1205520000000211</t>
  </si>
  <si>
    <t>PRAMOD HASTIMAL RUNWAL</t>
  </si>
  <si>
    <t>1206420004707505</t>
  </si>
  <si>
    <t>NAVIN J BOHARA</t>
  </si>
  <si>
    <t>1206420006939762</t>
  </si>
  <si>
    <t>KISHOR POPATLAL CHORDIA</t>
  </si>
  <si>
    <t>1302190000124989</t>
  </si>
  <si>
    <t>NARENDRA RAMNATH BHANGDIYA</t>
  </si>
  <si>
    <t>1304030000015780</t>
  </si>
  <si>
    <t>MAXIM ALEX CASTELINO</t>
  </si>
  <si>
    <t>A0000103</t>
  </si>
  <si>
    <t>ACHYUT MADHAV  DHAMDHARE</t>
  </si>
  <si>
    <t>A0000105</t>
  </si>
  <si>
    <t>AJAY SHANTILAL  KHETARPAL</t>
  </si>
  <si>
    <t>A0000114</t>
  </si>
  <si>
    <t>ANIL DATTATRAYA  HAROLIKAR</t>
  </si>
  <si>
    <t>A0000120</t>
  </si>
  <si>
    <t>ARUNKUMAR RAMKISHORSING  SAINI</t>
  </si>
  <si>
    <t>A0000123</t>
  </si>
  <si>
    <t>ASHADEVI JAYANARAYAN  SONI</t>
  </si>
  <si>
    <t>A0000160</t>
  </si>
  <si>
    <t>AMARSINGH BAWASINGH  SAINI</t>
  </si>
  <si>
    <t>A0000161</t>
  </si>
  <si>
    <t>A0000301</t>
  </si>
  <si>
    <t>A R  AWACHAT</t>
  </si>
  <si>
    <t>A0000302</t>
  </si>
  <si>
    <t>ABDUL RAHMAN SIDDIQUI</t>
  </si>
  <si>
    <t>A0000303</t>
  </si>
  <si>
    <t>ABHAY  WADYALKAR</t>
  </si>
  <si>
    <t>A0000304</t>
  </si>
  <si>
    <t>ABHISHEK  AGRAWAL</t>
  </si>
  <si>
    <t>A0000306</t>
  </si>
  <si>
    <t>ADESH  BHATIA</t>
  </si>
  <si>
    <t>A0000308</t>
  </si>
  <si>
    <t>AJAY  SHARMA</t>
  </si>
  <si>
    <t>A0000309</t>
  </si>
  <si>
    <t>AJAY MOHANLAL  SAPRA</t>
  </si>
  <si>
    <t>A0000314</t>
  </si>
  <si>
    <t>AMRIK SINGH  JOLLY</t>
  </si>
  <si>
    <t>A0000315</t>
  </si>
  <si>
    <t>ANAND JAGANNATH  GAIDHAN</t>
  </si>
  <si>
    <t>A0000320</t>
  </si>
  <si>
    <t>ANIL WASUDEORAO  BALWAIK</t>
  </si>
  <si>
    <t>A0000321</t>
  </si>
  <si>
    <t>ANIL  GOENKA</t>
  </si>
  <si>
    <t>A0000323</t>
  </si>
  <si>
    <t>ANIRBAN  MAITY</t>
  </si>
  <si>
    <t>A0000324</t>
  </si>
  <si>
    <t>ANITA  AGRAWAL</t>
  </si>
  <si>
    <t>A0000332</t>
  </si>
  <si>
    <t>ARUN KUMAR  SHARMA</t>
  </si>
  <si>
    <t>A0000335</t>
  </si>
  <si>
    <t>ARUN GULABCHAND  JAISWAL</t>
  </si>
  <si>
    <t>A0000336</t>
  </si>
  <si>
    <t>ARVIND KUMAR  JAIN</t>
  </si>
  <si>
    <t>A0000344</t>
  </si>
  <si>
    <t>ASHOK  DAGA</t>
  </si>
  <si>
    <t>A0000346</t>
  </si>
  <si>
    <t>ASHWIN KAMALKUMAR  SINGHANIA</t>
  </si>
  <si>
    <t>A0000351</t>
  </si>
  <si>
    <t>AVTAR SONGH  SONI</t>
  </si>
  <si>
    <t>B0000101</t>
  </si>
  <si>
    <t>BALJITSINGH JASWANTSINGH  SAINI</t>
  </si>
  <si>
    <t>B0000106</t>
  </si>
  <si>
    <t>BHAGWANDAS VISHNUDAS  LADDHA</t>
  </si>
  <si>
    <t>B0000108</t>
  </si>
  <si>
    <t>BHARTI CHANDRAHAS  CHAREKAR</t>
  </si>
  <si>
    <t>B0000110</t>
  </si>
  <si>
    <t>BHIMRAO KANTIK  CHAUDHARI</t>
  </si>
  <si>
    <t>B0000112</t>
  </si>
  <si>
    <t>BULAKIDAS A  VERMA</t>
  </si>
  <si>
    <t>B0000158</t>
  </si>
  <si>
    <t>BALJITSINGH   JASWANTSINGH SAINI</t>
  </si>
  <si>
    <t>B0000159</t>
  </si>
  <si>
    <t>B0000302</t>
  </si>
  <si>
    <t>BACKSIS SINGH  RANA</t>
  </si>
  <si>
    <t>B0000304</t>
  </si>
  <si>
    <t>BALDEV SINGH  GOYAL</t>
  </si>
  <si>
    <t>B0000305</t>
  </si>
  <si>
    <t>BALJITSINGH  SAINI</t>
  </si>
  <si>
    <t>B0000310</t>
  </si>
  <si>
    <t>BHANUKUMAR  SHAH</t>
  </si>
  <si>
    <t>B0000313</t>
  </si>
  <si>
    <t>BHARTI  BANTHIA</t>
  </si>
  <si>
    <t>B0000314</t>
  </si>
  <si>
    <t>BHOLAJI CHINDHUJI  SHENDE</t>
  </si>
  <si>
    <t>B0000315</t>
  </si>
  <si>
    <t>BHUPINDER SINGH  KOHLI</t>
  </si>
  <si>
    <t>B0000316</t>
  </si>
  <si>
    <t>BHUPINDER SING  JOLLY</t>
  </si>
  <si>
    <t>B0000317</t>
  </si>
  <si>
    <t>BIMAL  VORA</t>
  </si>
  <si>
    <t>B0000321</t>
  </si>
  <si>
    <t>BRINDAVAN RAMSUMER  MISHRA</t>
  </si>
  <si>
    <t>B0000322</t>
  </si>
  <si>
    <t>BRIJINDER SINGH  SONI</t>
  </si>
  <si>
    <t>C0000101</t>
  </si>
  <si>
    <t>CHANDRAKANT HARIKISAN  RATHI</t>
  </si>
  <si>
    <t>C0000303</t>
  </si>
  <si>
    <t>CHANDRAKANT  VORA</t>
  </si>
  <si>
    <t>C0000306</t>
  </si>
  <si>
    <t>CHANDRASHEKHAR  MADAN</t>
  </si>
  <si>
    <t>C0000310</t>
  </si>
  <si>
    <t>CHARANPRIT SINGH  SAINI</t>
  </si>
  <si>
    <t>C0000311</t>
  </si>
  <si>
    <t>CHETAN  CHANDAK</t>
  </si>
  <si>
    <t>C0000312</t>
  </si>
  <si>
    <t>CHHAYA  AGRAWAL</t>
  </si>
  <si>
    <t>D0000101</t>
  </si>
  <si>
    <t>DAMYANTI HANUMANDAS  RATHI</t>
  </si>
  <si>
    <t>D0000106</t>
  </si>
  <si>
    <t>DHYANPRAKASH KANHAIYALAL  MODANI</t>
  </si>
  <si>
    <t>D0000303</t>
  </si>
  <si>
    <t>DEEPAK  KHANDELWAL</t>
  </si>
  <si>
    <t>D0000304</t>
  </si>
  <si>
    <t>DEEPAK H  LAKHIANI</t>
  </si>
  <si>
    <t>D0000310</t>
  </si>
  <si>
    <t>DHIRENDRA  KANABAR</t>
  </si>
  <si>
    <t>D0000311</t>
  </si>
  <si>
    <t>DIANA  D'SOUZA</t>
  </si>
  <si>
    <t>D0000316</t>
  </si>
  <si>
    <t>DILIP  SIKCHI</t>
  </si>
  <si>
    <t>D0000318</t>
  </si>
  <si>
    <t>DINESH  TAWARI</t>
  </si>
  <si>
    <t>D0000319</t>
  </si>
  <si>
    <t>DIPAK CHAMANLAL  PAREKH</t>
  </si>
  <si>
    <t>D0000320</t>
  </si>
  <si>
    <t>DIPAK BABURAO  CHAFALE</t>
  </si>
  <si>
    <t>D0000322</t>
  </si>
  <si>
    <t>DORAB  PATEL</t>
  </si>
  <si>
    <t>D0000325</t>
  </si>
  <si>
    <t>DIVYESH  VORA</t>
  </si>
  <si>
    <t>G0000103</t>
  </si>
  <si>
    <t>GEETA RAMNARAYAN SHARMA</t>
  </si>
  <si>
    <t>G0000108</t>
  </si>
  <si>
    <t>GOVIND KRISHNAJI  KUBDE</t>
  </si>
  <si>
    <t>G0000303</t>
  </si>
  <si>
    <t>GANESH S  BHATTAD</t>
  </si>
  <si>
    <t>G0000313</t>
  </si>
  <si>
    <t>GIRISH PISUMAL  DEWANI</t>
  </si>
  <si>
    <t>G0000317</t>
  </si>
  <si>
    <t>GOPAL  AGRAWAL</t>
  </si>
  <si>
    <t>G0000323</t>
  </si>
  <si>
    <t>GULREZ IMRAN  ALI</t>
  </si>
  <si>
    <t>G0000327</t>
  </si>
  <si>
    <t>GURDAYAL SINGH  PADDA</t>
  </si>
  <si>
    <t>G0000333</t>
  </si>
  <si>
    <t>GHANSHYAM J  SOMANI</t>
  </si>
  <si>
    <t>H0000102</t>
  </si>
  <si>
    <t>HARISHCHANDRA BHAGRIRATH  SONI</t>
  </si>
  <si>
    <t>H0000302</t>
  </si>
  <si>
    <t>HARISHCAHANDRA  GUPTA</t>
  </si>
  <si>
    <t>H0000303</t>
  </si>
  <si>
    <t>HARJIT SINGH  SAINI</t>
  </si>
  <si>
    <t>H0000304</t>
  </si>
  <si>
    <t>HARJINDER PAL  SINGH</t>
  </si>
  <si>
    <t>H0000306</t>
  </si>
  <si>
    <t>HEMANT  BANSAL</t>
  </si>
  <si>
    <t>H0000307</t>
  </si>
  <si>
    <t>HEMLATA  BOHRA</t>
  </si>
  <si>
    <t>H0000308</t>
  </si>
  <si>
    <t>HENRY  D'SOUZA</t>
  </si>
  <si>
    <t>I0000101</t>
  </si>
  <si>
    <t>INDUMATI HARICHANDRA  SONI</t>
  </si>
  <si>
    <t>I0000302</t>
  </si>
  <si>
    <t>INDERCHAND  JAIN</t>
  </si>
  <si>
    <t>I0000306</t>
  </si>
  <si>
    <t>IQBAL SINGH  CHABRA</t>
  </si>
  <si>
    <t>IN300159/10247390</t>
  </si>
  <si>
    <t>NIRMAL MODI</t>
  </si>
  <si>
    <t>IN300214/13740590</t>
  </si>
  <si>
    <t>RAJESH SAJJAN JAIN</t>
  </si>
  <si>
    <t>IN300214/14654619</t>
  </si>
  <si>
    <t>SUDHA GUPTA</t>
  </si>
  <si>
    <t>IN300513/15045878</t>
  </si>
  <si>
    <t>MANJU MAYUR BAGADIA</t>
  </si>
  <si>
    <t>IN300513/15067950</t>
  </si>
  <si>
    <t>JYOTI K BAGADIA</t>
  </si>
  <si>
    <t>IN300513/86347801</t>
  </si>
  <si>
    <t>BHARATKUMAR BHOGILAL DOSHI</t>
  </si>
  <si>
    <t>IN300757/10487373</t>
  </si>
  <si>
    <t>SHRAWAN KUMAR MALU</t>
  </si>
  <si>
    <t>IN300757/10488663</t>
  </si>
  <si>
    <t>PURUSHOTTAM MALU</t>
  </si>
  <si>
    <t>IN300829/10260164</t>
  </si>
  <si>
    <t>DOSHI BHARATKUMAR BHOGILAL</t>
  </si>
  <si>
    <t>IN300829/10274329</t>
  </si>
  <si>
    <t>DOSHI PRAFULLCHANDRA BHOGILAL</t>
  </si>
  <si>
    <t>IN300888/13445440</t>
  </si>
  <si>
    <t>NAREN PRAVIN SANGHVI</t>
  </si>
  <si>
    <t>IN300974/10367045</t>
  </si>
  <si>
    <t>DILIP RAMESHCHANDRA LAL</t>
  </si>
  <si>
    <t>IN301098/10368765</t>
  </si>
  <si>
    <t>IN301127/16415914</t>
  </si>
  <si>
    <t>YOGESH PURI</t>
  </si>
  <si>
    <t>IN301330/20523538</t>
  </si>
  <si>
    <t>GUNWANT VENKATRAO PATIL</t>
  </si>
  <si>
    <t>IN301549/19570178</t>
  </si>
  <si>
    <t>SUSHIL RAJENDRA SANGHI</t>
  </si>
  <si>
    <t>IN301604/10015674</t>
  </si>
  <si>
    <t>OMPRAKASH RATHI</t>
  </si>
  <si>
    <t>IN301604/10015683</t>
  </si>
  <si>
    <t>AKSHAY RATHI</t>
  </si>
  <si>
    <t>IN301604/10015690</t>
  </si>
  <si>
    <t>MANGAL RATHI</t>
  </si>
  <si>
    <t>IN301604/10309670</t>
  </si>
  <si>
    <t>JUGALKISHORE ASARAMJI DHOOT</t>
  </si>
  <si>
    <t>IN301604/10587304</t>
  </si>
  <si>
    <t>NAVALKUMAR B AGRAWAL</t>
  </si>
  <si>
    <t>IN301604/11008207</t>
  </si>
  <si>
    <t>LATA JUGALKISHOR DHOOT</t>
  </si>
  <si>
    <t>IN302437/10078360</t>
  </si>
  <si>
    <t>KISHORE CHANGRANI</t>
  </si>
  <si>
    <t>IN302679/30889008</t>
  </si>
  <si>
    <t>VITHALDAS CHUNILAL BAJAJ</t>
  </si>
  <si>
    <t>IN303028/67899511</t>
  </si>
  <si>
    <t>DIANA  DSOUZA</t>
  </si>
  <si>
    <t>IN306114/20080716</t>
  </si>
  <si>
    <t>MANOJ KUMAR KOCHAR</t>
  </si>
  <si>
    <t>J0000102</t>
  </si>
  <si>
    <t>JASVINDERKAUR JASWANTSINGH  SAINI</t>
  </si>
  <si>
    <t>J0000103</t>
  </si>
  <si>
    <t>JASWANTSINGH AMARSINGH  SAINI</t>
  </si>
  <si>
    <t>J0000105</t>
  </si>
  <si>
    <t>JEETKAUR AMARSINGH  SAINI</t>
  </si>
  <si>
    <t>J0000158</t>
  </si>
  <si>
    <t>J0000159</t>
  </si>
  <si>
    <t>J0000160</t>
  </si>
  <si>
    <t>J0000161</t>
  </si>
  <si>
    <t>JEETKAUR   AMARSINGH SAINI</t>
  </si>
  <si>
    <t>J0000301</t>
  </si>
  <si>
    <t>JAGANNATH  SONI</t>
  </si>
  <si>
    <t>J0000306</t>
  </si>
  <si>
    <t>JARNAIL SINGH  SAINI</t>
  </si>
  <si>
    <t>J0000307</t>
  </si>
  <si>
    <t>JARNAIL SINGH  DHOOT</t>
  </si>
  <si>
    <t>J0000308</t>
  </si>
  <si>
    <t>JASBIR SINGH  SAINI</t>
  </si>
  <si>
    <t>J0000309</t>
  </si>
  <si>
    <t>JASBIRSINGH  SAINI</t>
  </si>
  <si>
    <t>J0000315</t>
  </si>
  <si>
    <t>JAYESH  BAVISHI</t>
  </si>
  <si>
    <t>J0000325</t>
  </si>
  <si>
    <t>JUGALKISHORE  AGRAWAL</t>
  </si>
  <si>
    <t>J0000326</t>
  </si>
  <si>
    <t>JUZER  AMIN</t>
  </si>
  <si>
    <t>J0000330</t>
  </si>
  <si>
    <t>JYOTI KRISHNA HEDA</t>
  </si>
  <si>
    <t>K0000105</t>
  </si>
  <si>
    <t>KAILASHKAUR JARNAILSINGH  SAINI</t>
  </si>
  <si>
    <t>K0000107</t>
  </si>
  <si>
    <t>KALPANA GANGADHAR  LALPOTU</t>
  </si>
  <si>
    <t>K0000108</t>
  </si>
  <si>
    <t>KALPANA SANJAY SOMANI</t>
  </si>
  <si>
    <t>K0000115</t>
  </si>
  <si>
    <t>KARNALSINGH GURDASSINGH  SAINI</t>
  </si>
  <si>
    <t>K0000121</t>
  </si>
  <si>
    <t>KISHOR UTTAMCHAND  KHIVANSARA</t>
  </si>
  <si>
    <t>K0000124</t>
  </si>
  <si>
    <t>KULDEEPSINGH GURMITSINGH  SAINI</t>
  </si>
  <si>
    <t>K0000159</t>
  </si>
  <si>
    <t>K0000160</t>
  </si>
  <si>
    <t>KALYANI OMPRAKASH  RATHI</t>
  </si>
  <si>
    <t>K0000161</t>
  </si>
  <si>
    <t>KARNAILSINGH GURDASSING  SAINI</t>
  </si>
  <si>
    <t>K0000164</t>
  </si>
  <si>
    <t>K0000303</t>
  </si>
  <si>
    <t>KAILASH  RATHI</t>
  </si>
  <si>
    <t>K0000305</t>
  </si>
  <si>
    <t>KAILASH CHANDRA  NUWAL</t>
  </si>
  <si>
    <t>K0000306</t>
  </si>
  <si>
    <t>KAJORMAL  AGRAWAL</t>
  </si>
  <si>
    <t>K0000311</t>
  </si>
  <si>
    <t>KAMLADEVI B  MALU</t>
  </si>
  <si>
    <t>K0000312</t>
  </si>
  <si>
    <t>KAMLESH  RATHI</t>
  </si>
  <si>
    <t>K0000313</t>
  </si>
  <si>
    <t>KAMLESH  GUPTA</t>
  </si>
  <si>
    <t>K0000314</t>
  </si>
  <si>
    <t>KANAIYALAL  THAKKAR</t>
  </si>
  <si>
    <t>K0000315</t>
  </si>
  <si>
    <t>KANCHAN SANJAY  GANDHI</t>
  </si>
  <si>
    <t>K0000318</t>
  </si>
  <si>
    <t>KANTILAL MOHANLAL  JALAPARA</t>
  </si>
  <si>
    <t>K0000319</t>
  </si>
  <si>
    <t>KANTILAL CHAMPAKLAL  BHAYANI</t>
  </si>
  <si>
    <t>K0000320</t>
  </si>
  <si>
    <t>KASHIDEVI  AGRAWAL</t>
  </si>
  <si>
    <t>K0000326</t>
  </si>
  <si>
    <t>KHUZEMA  SAIFEE</t>
  </si>
  <si>
    <t>K0000327</t>
  </si>
  <si>
    <t>KIRAN  KHIVANSARA</t>
  </si>
  <si>
    <t>K0000330</t>
  </si>
  <si>
    <t>KIRIT GOVARDHAN  DAS KARIA</t>
  </si>
  <si>
    <t>K0000331</t>
  </si>
  <si>
    <t>KISAN VITHOBA  BHOLE</t>
  </si>
  <si>
    <t>K0000336</t>
  </si>
  <si>
    <t>KISHOR  SONI</t>
  </si>
  <si>
    <t>K0000338</t>
  </si>
  <si>
    <t>KRISHNA  HEDA</t>
  </si>
  <si>
    <t>K0000339</t>
  </si>
  <si>
    <t>KRISHNA GOPAL  GAURI SHANKAR NEWATIA</t>
  </si>
  <si>
    <t>K0000341</t>
  </si>
  <si>
    <t>KRUTI  VARMA</t>
  </si>
  <si>
    <t>K0000342</t>
  </si>
  <si>
    <t>KULVINDER SINGH  MANGAT</t>
  </si>
  <si>
    <t>K0000343</t>
  </si>
  <si>
    <t>KULWANT SINGH  TULI</t>
  </si>
  <si>
    <t>L0000101</t>
  </si>
  <si>
    <t>LAXMIDEVI DWARKADAS  SHARMA</t>
  </si>
  <si>
    <t>L0000102</t>
  </si>
  <si>
    <t>LAXMINARAYAN DHANRAJ  SHARMA</t>
  </si>
  <si>
    <t>L0000301</t>
  </si>
  <si>
    <t>LAHARI MANOHAR  VAKIL</t>
  </si>
  <si>
    <t>L0000302</t>
  </si>
  <si>
    <t>LAJINDER SINGH  BAWA</t>
  </si>
  <si>
    <t>L0000310</t>
  </si>
  <si>
    <t>LATA  DHOOT</t>
  </si>
  <si>
    <t>M0000102</t>
  </si>
  <si>
    <t>MADHURI SURESH  VAISHNAV</t>
  </si>
  <si>
    <t>M0000106</t>
  </si>
  <si>
    <t>MANINDERKAUR HARVINDERSINGH  SAINI</t>
  </si>
  <si>
    <t>M0000107</t>
  </si>
  <si>
    <t>MANINDERSINGH JARNAILSINGH  SAINI</t>
  </si>
  <si>
    <t>M0000109</t>
  </si>
  <si>
    <t>MANOJ DWARKANATH  LOYA</t>
  </si>
  <si>
    <t>M0000158</t>
  </si>
  <si>
    <t>M0000302</t>
  </si>
  <si>
    <t>MADHUSUDAN  BHATRIYA</t>
  </si>
  <si>
    <t>M0000303</t>
  </si>
  <si>
    <t>MADHU  TAORI</t>
  </si>
  <si>
    <t>M0000304</t>
  </si>
  <si>
    <t>MADHU  AGARWAL</t>
  </si>
  <si>
    <t>M0000306</t>
  </si>
  <si>
    <t>MADHURI  SHUKLA</t>
  </si>
  <si>
    <t>M0000322</t>
  </si>
  <si>
    <t>MANJEET SINGH  SAINI</t>
  </si>
  <si>
    <t>M0000323</t>
  </si>
  <si>
    <t>MANJIT SINGH  SONI</t>
  </si>
  <si>
    <t>M0000328</t>
  </si>
  <si>
    <t>MANOHARLAL  AGRAWAL</t>
  </si>
  <si>
    <t>M0000329</t>
  </si>
  <si>
    <t>MANOHAR  BHORKAR</t>
  </si>
  <si>
    <t>M0000330</t>
  </si>
  <si>
    <t>MANOHARRAO  GIRDE</t>
  </si>
  <si>
    <t>M0000337</t>
  </si>
  <si>
    <t>MD AZUM  S/O A RAZZAK TUMBI</t>
  </si>
  <si>
    <t>M0000338</t>
  </si>
  <si>
    <t>MEEMRAJ  AGARWAL</t>
  </si>
  <si>
    <t>M0000342</t>
  </si>
  <si>
    <t>MILIND  BHOLE</t>
  </si>
  <si>
    <t>M0000344</t>
  </si>
  <si>
    <t>MITA  BAVISHI</t>
  </si>
  <si>
    <t>M0000347</t>
  </si>
  <si>
    <t>MOHD AZAM  TUMBI</t>
  </si>
  <si>
    <t>M0000349</t>
  </si>
  <si>
    <t>MUFFADDAL  AMIN</t>
  </si>
  <si>
    <t>M0000350</t>
  </si>
  <si>
    <t>MUKESH  CHOURASIA</t>
  </si>
  <si>
    <t>M0000351</t>
  </si>
  <si>
    <t>MUKUL KUMAR  AGRAWAL</t>
  </si>
  <si>
    <t>M0000355</t>
  </si>
  <si>
    <t>MUSTAFA  COCHINWALA</t>
  </si>
  <si>
    <t>N0000101</t>
  </si>
  <si>
    <t>N  NARENDRAN</t>
  </si>
  <si>
    <t>N0000105</t>
  </si>
  <si>
    <t>NANDLAL GOVERDHANDAS  BHANSALI</t>
  </si>
  <si>
    <t>N0000110</t>
  </si>
  <si>
    <t>NAUNATH SHEKUJI  SHEWALE</t>
  </si>
  <si>
    <t>N0000113</t>
  </si>
  <si>
    <t>NAWNEETADAS VALLABHDAS  PAREKH</t>
  </si>
  <si>
    <t>N0000118</t>
  </si>
  <si>
    <t>NITIN JAYNARAYAN  SONI</t>
  </si>
  <si>
    <t>N0000302</t>
  </si>
  <si>
    <t>NAGESH  BURBURE</t>
  </si>
  <si>
    <t>N0000318</t>
  </si>
  <si>
    <t>NARESH ZUMBERLAL  JAIN</t>
  </si>
  <si>
    <t>N0000319</t>
  </si>
  <si>
    <t>NARINDER KUMAR  SAINI</t>
  </si>
  <si>
    <t>N0000320</t>
  </si>
  <si>
    <t>NAWALKISHORE  AGRAWAL</t>
  </si>
  <si>
    <t>N0000322</t>
  </si>
  <si>
    <t>NINNA Y  CHUGH</t>
  </si>
  <si>
    <t>N0000328</t>
  </si>
  <si>
    <t>NITA T  KOYA</t>
  </si>
  <si>
    <t>O0000102</t>
  </si>
  <si>
    <t>OMPRAKASH BHAULAL ASAWA</t>
  </si>
  <si>
    <t>O0000302</t>
  </si>
  <si>
    <t>ONKAR SINGH BAINS</t>
  </si>
  <si>
    <t>P0000107</t>
  </si>
  <si>
    <t>PRAKASH BALWANTRAO  SARJE</t>
  </si>
  <si>
    <t>P0000111</t>
  </si>
  <si>
    <t>PRAVINCHANDRA SHIVRAM  DRAVID</t>
  </si>
  <si>
    <t>P0000301</t>
  </si>
  <si>
    <t>P P  TUNGLE</t>
  </si>
  <si>
    <t>P0000303</t>
  </si>
  <si>
    <t>PARAMJIT SINGH  MATHARU</t>
  </si>
  <si>
    <t>P0000304</t>
  </si>
  <si>
    <t>PAWAN KUMAR  RUNGTA</t>
  </si>
  <si>
    <t>P0000305</t>
  </si>
  <si>
    <t>PAWANKUMAR SHYAMSUNDAR  PODDAR</t>
  </si>
  <si>
    <t>P0000306</t>
  </si>
  <si>
    <t>PAWAN  BANSAL</t>
  </si>
  <si>
    <t>P0000308</t>
  </si>
  <si>
    <t>PRADIP  DESHMUKH</t>
  </si>
  <si>
    <t>P0000314</t>
  </si>
  <si>
    <t>PRAKASH GOVERDHAN  KARIYA</t>
  </si>
  <si>
    <t>P0000315</t>
  </si>
  <si>
    <t>PRAKASH DIWAN  RAJPUT</t>
  </si>
  <si>
    <t>P0000317</t>
  </si>
  <si>
    <t>PRAMILA  SHAH</t>
  </si>
  <si>
    <t>P0000320</t>
  </si>
  <si>
    <t>PRASHANT PURUSHOTTAM  JAGDALE</t>
  </si>
  <si>
    <t>P0000322</t>
  </si>
  <si>
    <t>PRASHANT VISHNU  ASHTIKAR</t>
  </si>
  <si>
    <t>P0000323</t>
  </si>
  <si>
    <t>PRATIBHA  DESHMUKH</t>
  </si>
  <si>
    <t>P0000324</t>
  </si>
  <si>
    <t>PRAVINABEN V  VORA</t>
  </si>
  <si>
    <t>P0000327</t>
  </si>
  <si>
    <t>PREM SHANKAR  MUNDHRA</t>
  </si>
  <si>
    <t>P0000331</t>
  </si>
  <si>
    <t>PREMLATA  BANSAL</t>
  </si>
  <si>
    <t>P0000332</t>
  </si>
  <si>
    <t>PRITAM  KHIVANSARA</t>
  </si>
  <si>
    <t>P0000334</t>
  </si>
  <si>
    <t>PRITPALSINGH  KHAIJOUN</t>
  </si>
  <si>
    <t>P0000337</t>
  </si>
  <si>
    <t>PUSHPA  BANSAL</t>
  </si>
  <si>
    <t>P0000338</t>
  </si>
  <si>
    <t>PRAVIN SHANKARLAL  TAPADIA</t>
  </si>
  <si>
    <t>R0000101</t>
  </si>
  <si>
    <t>RACHNA MAHAVIR  PRASAD MODI</t>
  </si>
  <si>
    <t>R0000104</t>
  </si>
  <si>
    <t>RAGHUNATH GOVINDRAM  MINEEYAR</t>
  </si>
  <si>
    <t>R0000114</t>
  </si>
  <si>
    <t>RAJIV  BEHAL</t>
  </si>
  <si>
    <t>R0000116</t>
  </si>
  <si>
    <t>RAJKAMAL RAMKISHAN  BAHETI</t>
  </si>
  <si>
    <t>R0000119</t>
  </si>
  <si>
    <t>RAMESH MOHANLAL  TAORI (HUF)</t>
  </si>
  <si>
    <t>R0000120</t>
  </si>
  <si>
    <t>RAMKISHAN DEVICHAND  BAHETI</t>
  </si>
  <si>
    <t>R0000121</t>
  </si>
  <si>
    <t>RAMPRASAD RAMBILAS  AGRAWAL</t>
  </si>
  <si>
    <t>R0000123</t>
  </si>
  <si>
    <t>RASHMI UMESH  PANDAV</t>
  </si>
  <si>
    <t>R0000124</t>
  </si>
  <si>
    <t>RAVINAND RAJARAM  SHARMA</t>
  </si>
  <si>
    <t>R0000125</t>
  </si>
  <si>
    <t>RAVINDRA JAYNARAYAN  SONI</t>
  </si>
  <si>
    <t>R0000127</t>
  </si>
  <si>
    <t>REETA  BIYANI</t>
  </si>
  <si>
    <t>R0000129</t>
  </si>
  <si>
    <t>REKHA  NARENDRAN</t>
  </si>
  <si>
    <t>R0000132</t>
  </si>
  <si>
    <t>ROSHANLAL ZUMBERLAL MEHAR</t>
  </si>
  <si>
    <t>R0000305</t>
  </si>
  <si>
    <t>RAJAN  MINOCHA</t>
  </si>
  <si>
    <t>R0000307</t>
  </si>
  <si>
    <t>RAJENDRA PRASAD  BAISWARA</t>
  </si>
  <si>
    <t>R0000310</t>
  </si>
  <si>
    <t>RAJENDRA  BANSAL</t>
  </si>
  <si>
    <t>R0000311</t>
  </si>
  <si>
    <t>RAJENDRA PRASAD  SANGHI</t>
  </si>
  <si>
    <t>R0000313</t>
  </si>
  <si>
    <t>RAJESH  AGARWAL</t>
  </si>
  <si>
    <t>R0000316</t>
  </si>
  <si>
    <t>RAJESH R  LADDHA</t>
  </si>
  <si>
    <t>R0000317</t>
  </si>
  <si>
    <t>RAJESH  KUMAR</t>
  </si>
  <si>
    <t>R0000324</t>
  </si>
  <si>
    <t>RAMAGAURI KANTILAL  BHAYANI</t>
  </si>
  <si>
    <t>R0000325</t>
  </si>
  <si>
    <t>RAMAKRISHNA NAMDEORAO  LONDHE</t>
  </si>
  <si>
    <t>R0000326</t>
  </si>
  <si>
    <t>RAMAMOHANA RAO  APPALA</t>
  </si>
  <si>
    <t>R0000328</t>
  </si>
  <si>
    <t>RAMESHWAR  DHOOT</t>
  </si>
  <si>
    <t>R0000329</t>
  </si>
  <si>
    <t>RAMESHCHANDRA  SONI</t>
  </si>
  <si>
    <t>R0000330</t>
  </si>
  <si>
    <t>RAMESH RAMGOPAL  JAISWAL</t>
  </si>
  <si>
    <t>R0000332</t>
  </si>
  <si>
    <t>RAMHARI INVESTMENTS  PVT LTD</t>
  </si>
  <si>
    <t>R0000333</t>
  </si>
  <si>
    <t>RAMNARAYAN  JAISWAL</t>
  </si>
  <si>
    <t>R0000334</t>
  </si>
  <si>
    <t>RAMRAO  DESHMUKH</t>
  </si>
  <si>
    <t>R0000337</t>
  </si>
  <si>
    <t>RAVINDRA PAL  DHAWAN</t>
  </si>
  <si>
    <t>R0000338</t>
  </si>
  <si>
    <t>REKHA LAXMAN  MOGHE</t>
  </si>
  <si>
    <t>R0000340</t>
  </si>
  <si>
    <t>REKHA  TAORI</t>
  </si>
  <si>
    <t>R0000343</t>
  </si>
  <si>
    <t>ROCHINAM TILOKCHAND  GIDWANI</t>
  </si>
  <si>
    <t>S0000105</t>
  </si>
  <si>
    <t>SANDHYA CHANDRAKANT  RATHI</t>
  </si>
  <si>
    <t>S0000107</t>
  </si>
  <si>
    <t>SANGEETA RAVINDRA  SONI</t>
  </si>
  <si>
    <t>S0000108</t>
  </si>
  <si>
    <t>SANGEETA ASHOK  BORA</t>
  </si>
  <si>
    <t>S0000110</t>
  </si>
  <si>
    <t>SANJAY RAMASWAROOP  GANDHI</t>
  </si>
  <si>
    <t>S0000116</t>
  </si>
  <si>
    <t>SATISH MOHANLAL  TAORI</t>
  </si>
  <si>
    <t>S0000117</t>
  </si>
  <si>
    <t>SATNAMKAUR KARNAILSINGH  SAINI</t>
  </si>
  <si>
    <t>S0000120</t>
  </si>
  <si>
    <t>SEEMA VINOD  JAIN</t>
  </si>
  <si>
    <t>S0000124</t>
  </si>
  <si>
    <t>SHARAD LAXMINARAYAN NAVANDAR</t>
  </si>
  <si>
    <t>S0000125</t>
  </si>
  <si>
    <t>SHASHIKALA RAMESH  BAHETI</t>
  </si>
  <si>
    <t>S0000131</t>
  </si>
  <si>
    <t>SHOBHA RAMESH  MALANI</t>
  </si>
  <si>
    <t>S0000135</t>
  </si>
  <si>
    <t>SHYAMASUNDER LAXMINARAYAN  RATHI</t>
  </si>
  <si>
    <t>S0000138</t>
  </si>
  <si>
    <t>SUBHASHCHANDRA SHAMRAO  WAGHOLIKAR</t>
  </si>
  <si>
    <t>S0000140</t>
  </si>
  <si>
    <t>SUBHASH DAMODHAR  RATHI</t>
  </si>
  <si>
    <t>S0000142</t>
  </si>
  <si>
    <t>SUKHAVINDERSINGH JARNAILSINGH  SAINI</t>
  </si>
  <si>
    <t>S0000144</t>
  </si>
  <si>
    <t>SUMAN SHARAD  NAVANDAR</t>
  </si>
  <si>
    <t>S0000145</t>
  </si>
  <si>
    <t>SUMANT RAMESH  MALANI</t>
  </si>
  <si>
    <t>S0000147</t>
  </si>
  <si>
    <t>SUNANDA SHRIRAM  HOLANI</t>
  </si>
  <si>
    <t>S0000148</t>
  </si>
  <si>
    <t>SUNANDA SURYAKANT  MUNOTH</t>
  </si>
  <si>
    <t>S0000151</t>
  </si>
  <si>
    <t>SURYAKANT GOKULDAS  SOMANI</t>
  </si>
  <si>
    <t>S0000152</t>
  </si>
  <si>
    <t>SUSHAMA NITIN  SONI</t>
  </si>
  <si>
    <t>S0000155</t>
  </si>
  <si>
    <t>SUSHILKAUR GURMITSINGH  SAINI</t>
  </si>
  <si>
    <t>S0000158</t>
  </si>
  <si>
    <t>SAMEER JUGALKISHORE  DHOOT</t>
  </si>
  <si>
    <t>S0000164</t>
  </si>
  <si>
    <t>SATNAMKAUR KARANSINGH  SAINI</t>
  </si>
  <si>
    <t>S0000167</t>
  </si>
  <si>
    <t>SHIVKUMAR PURSHOTTAMDAS  AGRAWAL</t>
  </si>
  <si>
    <t>S0000170</t>
  </si>
  <si>
    <t>S0000308</t>
  </si>
  <si>
    <t>SANDEEP S  DENGLA</t>
  </si>
  <si>
    <t>S0000316</t>
  </si>
  <si>
    <t>SANJAY D  ARORA</t>
  </si>
  <si>
    <t>S0000319</t>
  </si>
  <si>
    <t>SANJAY RAMSWARUP  GANDHI</t>
  </si>
  <si>
    <t>S0000320</t>
  </si>
  <si>
    <t>SANJAY SANCHALAL  CHHAJED</t>
  </si>
  <si>
    <t>S0000322</t>
  </si>
  <si>
    <t>SANJEEV KUMAR  LIHALA</t>
  </si>
  <si>
    <t>S0000323</t>
  </si>
  <si>
    <t>SANJEEV  SAOJI</t>
  </si>
  <si>
    <t>S0000326</t>
  </si>
  <si>
    <t>SANKERLAL BHAGWANDAS  KHANDELWAL</t>
  </si>
  <si>
    <t>S0000327</t>
  </si>
  <si>
    <t>SANTOSHDEVI  AGRAWAL</t>
  </si>
  <si>
    <t>S0000332</t>
  </si>
  <si>
    <t>SARBJIT SINGH  WIRK</t>
  </si>
  <si>
    <t>S0000334</t>
  </si>
  <si>
    <t>SARITA  AGARWAL</t>
  </si>
  <si>
    <t>S0000336</t>
  </si>
  <si>
    <t>SARLADEVI  GUPTA</t>
  </si>
  <si>
    <t>S0000342</t>
  </si>
  <si>
    <t>SATYABHAMA  AGARWAL</t>
  </si>
  <si>
    <t>S0000344</t>
  </si>
  <si>
    <t>SAVITA  AGRAWAL</t>
  </si>
  <si>
    <t>S0000346</t>
  </si>
  <si>
    <t>SAWARMAL S  DAINGLA</t>
  </si>
  <si>
    <t>S0000347</t>
  </si>
  <si>
    <t>SHABBIR  BOHRA</t>
  </si>
  <si>
    <t>S0000356</t>
  </si>
  <si>
    <t>SHASHI  AGRAWAL</t>
  </si>
  <si>
    <t>S0000359</t>
  </si>
  <si>
    <t>SHEETAL  DHOOT</t>
  </si>
  <si>
    <t>S0000360</t>
  </si>
  <si>
    <t>SHEHNAZ  BOHRA</t>
  </si>
  <si>
    <t>S0000361</t>
  </si>
  <si>
    <t>SHIMLA  AGRAWAL</t>
  </si>
  <si>
    <t>S0000363</t>
  </si>
  <si>
    <t>SHIVBHAGWAN  LAHOTI</t>
  </si>
  <si>
    <t>S0000364</t>
  </si>
  <si>
    <t>SHIVNARAYAN  JAISWAL</t>
  </si>
  <si>
    <t>S0000365</t>
  </si>
  <si>
    <t>SHIVSHANKAR  AGRAWAL</t>
  </si>
  <si>
    <t>S0000371</t>
  </si>
  <si>
    <t>SHUJKAT AHMED  SIDDIQUI</t>
  </si>
  <si>
    <t>S0000372</t>
  </si>
  <si>
    <t>SHYAM  RATHI</t>
  </si>
  <si>
    <t>S0000373</t>
  </si>
  <si>
    <t>SHYAM  AGRAWAL</t>
  </si>
  <si>
    <t>S0000377</t>
  </si>
  <si>
    <t>SITA DEVI  BANSAL</t>
  </si>
  <si>
    <t>S0000379</t>
  </si>
  <si>
    <t>SITALDAS TILOKCHAND  GIDWANI</t>
  </si>
  <si>
    <t>S0000387</t>
  </si>
  <si>
    <t>SUDESH  SHARMA</t>
  </si>
  <si>
    <t>S0000389</t>
  </si>
  <si>
    <t>SUKHVINDERSINGH  CHANNE</t>
  </si>
  <si>
    <t>S0000390</t>
  </si>
  <si>
    <t>SUMANBAI  LADE</t>
  </si>
  <si>
    <t>S0000394</t>
  </si>
  <si>
    <t>SUNIL  BANTHIA</t>
  </si>
  <si>
    <t>S0000396</t>
  </si>
  <si>
    <t>SURENDER SINGH  BEANT SINGH HODA</t>
  </si>
  <si>
    <t>S0000399</t>
  </si>
  <si>
    <t>SURESH  TAORI</t>
  </si>
  <si>
    <t>S0000401</t>
  </si>
  <si>
    <t>SURINDER KAUR SAINI</t>
  </si>
  <si>
    <t>S0000404</t>
  </si>
  <si>
    <t>SURYAKANT V  KORADIA</t>
  </si>
  <si>
    <t>S0000409</t>
  </si>
  <si>
    <t>SUSHILA  AGARWAL</t>
  </si>
  <si>
    <t>S0000415</t>
  </si>
  <si>
    <t>SHARDA PAPER  PRODUCTS PVT LTD</t>
  </si>
  <si>
    <t>T0000306</t>
  </si>
  <si>
    <t>TUSHAR K  KOYA</t>
  </si>
  <si>
    <t>U0000101</t>
  </si>
  <si>
    <t>UMESH RAMNARAYAN SHARMA</t>
  </si>
  <si>
    <t>V0000104</t>
  </si>
  <si>
    <t>VIJAYALAXMI  NARENDRAN</t>
  </si>
  <si>
    <t>V0000113</t>
  </si>
  <si>
    <t>VISHAL PADAMKUMAR  GANGWAL</t>
  </si>
  <si>
    <t>V0000304</t>
  </si>
  <si>
    <t>VASANT MOTIRAM  BARDE</t>
  </si>
  <si>
    <t>V0000305</t>
  </si>
  <si>
    <t>VASANTRAO  GIRDE</t>
  </si>
  <si>
    <t>V0000308</t>
  </si>
  <si>
    <t>VERONICA JOHN  FERREIRA</t>
  </si>
  <si>
    <t>V0000310</t>
  </si>
  <si>
    <t>VIDYA WASANT  GADKAR</t>
  </si>
  <si>
    <t>V0000312</t>
  </si>
  <si>
    <t>VIJAY  BAJAJ</t>
  </si>
  <si>
    <t>V0000314</t>
  </si>
  <si>
    <t>VIJAYA  BHANSALI</t>
  </si>
  <si>
    <t>V0000316</t>
  </si>
  <si>
    <t>VIJAY O  BANSAL</t>
  </si>
  <si>
    <t>V0000317</t>
  </si>
  <si>
    <t>VIJAY KIRAN  CHAOJI</t>
  </si>
  <si>
    <t>V0000320</t>
  </si>
  <si>
    <t>VIJAYA  SHETE</t>
  </si>
  <si>
    <t>V0000322</t>
  </si>
  <si>
    <t>VIJAYKUMAR  DESHPANDE</t>
  </si>
  <si>
    <t>V0000323</t>
  </si>
  <si>
    <t>VIKAS  SHETE</t>
  </si>
  <si>
    <t>V0000326</t>
  </si>
  <si>
    <t>VIMALKUMAR  AGRAWAL</t>
  </si>
  <si>
    <t>V0000328</t>
  </si>
  <si>
    <t>VINAYKUMAR S  VAHORA</t>
  </si>
  <si>
    <t>V0000330</t>
  </si>
  <si>
    <t>VINAY JANARDAN  VAITY</t>
  </si>
  <si>
    <t>V0000332</t>
  </si>
  <si>
    <t>VINOD M  KANANI</t>
  </si>
  <si>
    <t>V0000333</t>
  </si>
  <si>
    <t>VINODKUMAR  AGRAWAL</t>
  </si>
  <si>
    <t>V0000335</t>
  </si>
  <si>
    <t>IRENDRA KUMAR  AGRAWAL</t>
  </si>
  <si>
    <t>V0000336</t>
  </si>
  <si>
    <t>VISHAL   KIRAN LAKHANI</t>
  </si>
  <si>
    <t>V0000339</t>
  </si>
  <si>
    <t>VISHNU  ASHTIKAR</t>
  </si>
  <si>
    <t>V0000342</t>
  </si>
  <si>
    <t>VINOD  GANVIR</t>
  </si>
  <si>
    <t>W0000101</t>
  </si>
  <si>
    <t>WASUDEO TRIMBAKRAO  WASANTGADKAR</t>
  </si>
  <si>
    <t>W0000301</t>
  </si>
  <si>
    <t>WASANT  BORIKAR</t>
  </si>
  <si>
    <t>Y0000303</t>
  </si>
  <si>
    <t>YASMIN  AMIN</t>
  </si>
  <si>
    <t>Y0000304</t>
  </si>
  <si>
    <t>YESHAWANT  FUKE</t>
  </si>
  <si>
    <t>Y0000307</t>
  </si>
  <si>
    <t>YOGESH  CHUGH</t>
  </si>
  <si>
    <t>Y0000308</t>
  </si>
  <si>
    <t>YUG  VARMA</t>
  </si>
  <si>
    <t>Z0000301</t>
  </si>
  <si>
    <t>ZAKIUDDING  SAIFEE</t>
  </si>
  <si>
    <t>Z0000302</t>
  </si>
  <si>
    <t>ZARINA  MEMON</t>
  </si>
  <si>
    <t>Z0000303</t>
  </si>
  <si>
    <t>ZIA UL  HASAN</t>
  </si>
  <si>
    <t>Z0000304</t>
  </si>
  <si>
    <t>ZOHER  SABIR</t>
  </si>
  <si>
    <t>%age</t>
  </si>
  <si>
    <t>Anilkumar Lakhotiya HUF</t>
  </si>
  <si>
    <t>31.03.2021</t>
  </si>
  <si>
    <t>c. The Company has not allotted any shares for consideration other than cash during 5 years preceding March 31, 2021</t>
  </si>
  <si>
    <t xml:space="preserve">1) Term Loan is secured by way of Hypothecation of all movable assets created out of bank finance as well as on Land, factory building,Plant and Machiney,Electrical fittings and Misc. assets with the personal guarantees of the directors. </t>
  </si>
  <si>
    <t>2) One term loan of Rs. 2 crores is repayable in 72 monthly installments of which 12 installments are pending of Rs. 2.75 lacs each &amp; last installment of RS.3.00 lacs. Other Term loan of Rs. 1.5 Crores is repayable in 72 monthly installment of which 11 installment are pending of Rs. 2.00 Lacs each and last installment of Rs. 8.00 Lacs.)</t>
  </si>
  <si>
    <t>WCTL from Bank (Refer Note. 18)</t>
  </si>
  <si>
    <t>2) Fund Based Working Capital Term loan was sancioned  on 05.04.2021 which is repayable in 4 years including the moratariun of 12 months. The repayment will start from June 21 with the monthly repayment of Rs. 4.06 Lacs payable in 36 monthly installments.</t>
  </si>
  <si>
    <t xml:space="preserve">1) Working Capital Term Loan (WCTL) is secured by the hypothecation &amp; first charge on existing as well as future etire stock of raw materials, finished goods, stock-in-process, stores and spares, packing materials at the factory premises or at some other places including goods in transit, outstanding moneys, book debts and receivables with the personal guarantees of the directors. </t>
  </si>
  <si>
    <t xml:space="preserve"> - WCTL from Bank</t>
  </si>
  <si>
    <t>Hardoli Paper Mills Limited</t>
  </si>
  <si>
    <t>01-04-2020  To 31-03-2021</t>
  </si>
  <si>
    <t>AS ON 31/03/2021</t>
  </si>
  <si>
    <t>Account Name</t>
  </si>
  <si>
    <t>Op. Bal.</t>
  </si>
  <si>
    <t>Debit Amt</t>
  </si>
  <si>
    <t>Credit Amt</t>
  </si>
  <si>
    <t>Closing Credit Bal</t>
  </si>
  <si>
    <t>RATE OF INTEREST</t>
  </si>
  <si>
    <t>INTEREST</t>
  </si>
  <si>
    <t>TOTAL</t>
  </si>
  <si>
    <t xml:space="preserve">STATEMENT OF UNSECURED LOAN INTEREST </t>
  </si>
  <si>
    <t>Sr. No.</t>
  </si>
  <si>
    <t xml:space="preserve">Credit </t>
  </si>
  <si>
    <t>Closing Bal</t>
  </si>
  <si>
    <t>From</t>
  </si>
  <si>
    <t>To</t>
  </si>
  <si>
    <t>Days</t>
  </si>
  <si>
    <t>Post TDS</t>
  </si>
  <si>
    <t>Rate</t>
  </si>
  <si>
    <t>Cl. Bal.</t>
  </si>
  <si>
    <t>Directors</t>
  </si>
  <si>
    <t>ANILKUMAR M. LAKHOTIYA</t>
  </si>
  <si>
    <t>JARNAILSING SAINI</t>
  </si>
  <si>
    <t>ANITA LAKHOTIYA</t>
  </si>
  <si>
    <t>BALJITKAUR MANINDERSINGH SAINI</t>
  </si>
  <si>
    <t>HAZELKAUR MANINDERSINGH SAINI</t>
  </si>
  <si>
    <t>KAILSHKAUR JARNAILSINGH SAINI</t>
  </si>
  <si>
    <t>SANJAMKAUR SAINI</t>
  </si>
  <si>
    <t>SNEHLATA A. LAKHOTIYA</t>
  </si>
  <si>
    <t>Related Parties - Repayable on demand after 1st April, 2022</t>
  </si>
  <si>
    <t>Remuneration Payable</t>
  </si>
  <si>
    <t>Other Financial Assets Total</t>
  </si>
  <si>
    <t>PSI Subsidy</t>
  </si>
  <si>
    <t xml:space="preserve">      - Manufacturing (Export)</t>
  </si>
  <si>
    <t>It is Provision for earlier year</t>
  </si>
  <si>
    <t>TO be deducted from Purchase</t>
  </si>
  <si>
    <t>QTY</t>
  </si>
  <si>
    <t>Year Ended March 31, 2021 (₹)</t>
  </si>
  <si>
    <t>Year Ended March 31, 2020 (₹)</t>
  </si>
  <si>
    <t>PROFIT PER MT CALCULATION FOR THE YEAR ENDED ON 31ST MARCH, 2021</t>
  </si>
  <si>
    <t>Manufacturing Expenses</t>
  </si>
  <si>
    <t>Cost of Production</t>
  </si>
  <si>
    <t>Gross Profit</t>
  </si>
  <si>
    <t>Net Profit Before Tax</t>
  </si>
  <si>
    <t>Sales of Production Qty</t>
  </si>
  <si>
    <t>HARDOLI PAPER MILLS LTD,</t>
  </si>
  <si>
    <t>RAW MATERIAL PURCHASE,CONSUMPTION &amp; CLOSING STOCK AS ON 31-03-2021</t>
  </si>
  <si>
    <t>S.R.NO.</t>
  </si>
  <si>
    <t>OPENING STOCK</t>
  </si>
  <si>
    <t>PURCHASE</t>
  </si>
  <si>
    <t>CONSUMPTION</t>
  </si>
  <si>
    <t>CLOSING STOCK</t>
  </si>
  <si>
    <t>RATE</t>
  </si>
  <si>
    <t>AMOUNT</t>
  </si>
  <si>
    <t>FREIGHT</t>
  </si>
  <si>
    <t>A)</t>
  </si>
  <si>
    <t>WASTE KRAFT (LOCAL)</t>
  </si>
  <si>
    <t>B)</t>
  </si>
  <si>
    <t>SUPERIOR KRAFT (OCC)</t>
  </si>
  <si>
    <t>TARNSIT (OCC)</t>
  </si>
  <si>
    <t>TOTAL (A+B)</t>
  </si>
  <si>
    <t>C)</t>
  </si>
  <si>
    <t>PACKING MATRIAL</t>
  </si>
  <si>
    <t>D)</t>
  </si>
  <si>
    <t>CHEMICAL</t>
  </si>
  <si>
    <t>E)</t>
  </si>
  <si>
    <t>COAL</t>
  </si>
  <si>
    <t>TOTAL (A+B+C+D)</t>
  </si>
  <si>
    <t>F)</t>
  </si>
  <si>
    <t>FINISHED GOODS</t>
  </si>
  <si>
    <t>G)</t>
  </si>
  <si>
    <t>STORE &amp; SPARES</t>
  </si>
  <si>
    <t>GRAND TOTAL(A:G)</t>
  </si>
  <si>
    <t>WASTE PAPER</t>
  </si>
  <si>
    <t>As  Per Tally</t>
  </si>
  <si>
    <t>As per Working</t>
  </si>
  <si>
    <t>diff</t>
  </si>
  <si>
    <t>COAL Purchase</t>
  </si>
  <si>
    <t>Import Qty</t>
  </si>
  <si>
    <t>Purchase</t>
  </si>
  <si>
    <t>Carrying &amp; Forwarding</t>
  </si>
  <si>
    <t>Other</t>
  </si>
  <si>
    <t>Total Cost</t>
  </si>
  <si>
    <t>Rate/ Ton</t>
  </si>
  <si>
    <t>Cl. Stock</t>
  </si>
  <si>
    <t>Cl. Stock Value</t>
  </si>
  <si>
    <t>Difference</t>
  </si>
  <si>
    <t>Sonoco Products Company</t>
  </si>
  <si>
    <t>W M RECYCLE AMERICA LLC</t>
  </si>
  <si>
    <t>CELLMARK INC.</t>
  </si>
  <si>
    <t>Cellmark Asia PTE Ltd.</t>
  </si>
  <si>
    <t>Date</t>
  </si>
  <si>
    <t>Coal Stock Valuation</t>
  </si>
  <si>
    <t>Mine</t>
  </si>
  <si>
    <t>Destination</t>
  </si>
  <si>
    <t>Closing Stock</t>
  </si>
  <si>
    <t>Invoice No.</t>
  </si>
  <si>
    <t>Inv. Qty</t>
  </si>
  <si>
    <t>Other Charges</t>
  </si>
  <si>
    <t>Cess</t>
  </si>
  <si>
    <t>Purchase Exp</t>
  </si>
  <si>
    <t>Cost / Ton</t>
  </si>
  <si>
    <t>Value of Closing Stock</t>
  </si>
  <si>
    <t>Umred</t>
  </si>
  <si>
    <t>WCL (7288)</t>
  </si>
  <si>
    <t>WUI214501AD02044</t>
  </si>
  <si>
    <t>Gondegaon</t>
  </si>
  <si>
    <t>WCL (6903)</t>
  </si>
  <si>
    <t>WNI213212AD03465</t>
  </si>
  <si>
    <t>Closing Stock Valuation</t>
  </si>
  <si>
    <t>Hardoli  Paper  Mills  Ltd</t>
  </si>
  <si>
    <t>Valuation as  per cost</t>
  </si>
  <si>
    <t>2018-19</t>
  </si>
  <si>
    <t xml:space="preserve">Production  </t>
  </si>
  <si>
    <t>Excluded</t>
  </si>
  <si>
    <t>Overheads</t>
  </si>
  <si>
    <t xml:space="preserve">Raw Material Consumption </t>
  </si>
  <si>
    <t>Salary  &amp; Wages</t>
  </si>
  <si>
    <t>Incentive on Power Consumption</t>
  </si>
  <si>
    <t>Security  Service  Charges</t>
  </si>
  <si>
    <t>Stores  &amp;  Spares  Consumed</t>
  </si>
  <si>
    <t>Packing  Material Consumed</t>
  </si>
  <si>
    <t>Factory  Expenses</t>
  </si>
  <si>
    <t>Waste paper Fedding Charges</t>
  </si>
  <si>
    <t>Administration Cost</t>
  </si>
  <si>
    <t>Cost /MT</t>
  </si>
  <si>
    <t>Total Cost/MT</t>
  </si>
  <si>
    <t xml:space="preserve">Cl. Stock </t>
  </si>
  <si>
    <t>Valuation at cost</t>
  </si>
  <si>
    <t>Net Realisable Value</t>
  </si>
  <si>
    <t>Cost or NRV whichever is  lower</t>
  </si>
  <si>
    <t>FINANCIAL YEAR 2020-21</t>
  </si>
  <si>
    <t>Repair  &amp;  Maint - Machinery</t>
  </si>
  <si>
    <t>Weight</t>
  </si>
  <si>
    <t>Market Price</t>
  </si>
  <si>
    <t xml:space="preserve">NAME                                                       </t>
  </si>
  <si>
    <t>:</t>
  </si>
  <si>
    <t>HARDOLI PAPER MILLS LTD.</t>
  </si>
  <si>
    <t>STATUS</t>
  </si>
  <si>
    <t>PUBLIC LIMITED COMPANY</t>
  </si>
  <si>
    <t>PREVIOUS YEAR</t>
  </si>
  <si>
    <t xml:space="preserve">ASSESSMENT YEAR                                 </t>
  </si>
  <si>
    <t>PAN NO.</t>
  </si>
  <si>
    <t>AAACH 1472 N</t>
  </si>
  <si>
    <t>COMPUTATION OF INCOME</t>
  </si>
  <si>
    <t>Normal Taxation</t>
  </si>
  <si>
    <t>U/s 115BAA</t>
  </si>
  <si>
    <t>A.Y.2020-21</t>
  </si>
  <si>
    <t>Profit as per Profit and Loss Statement after extraordinary item</t>
  </si>
  <si>
    <t>ADD : DISALLOWANCE CONSIDERED SEPARATELY</t>
  </si>
  <si>
    <t>Depreciation as per books</t>
  </si>
  <si>
    <t xml:space="preserve">Provision for Gratuity </t>
  </si>
  <si>
    <t>Penalty on Sales Tax</t>
  </si>
  <si>
    <t>Penalty on Service Tax</t>
  </si>
  <si>
    <t xml:space="preserve">Bonus </t>
  </si>
  <si>
    <t>Penalties</t>
  </si>
  <si>
    <t>LESS : ALLOWANCE CONSIDERED SEPARATELY</t>
  </si>
  <si>
    <t>Depreciation as per Income Tax</t>
  </si>
  <si>
    <t>LESS : UTILISATION OF UNABSORBED DEPRECIATION</t>
  </si>
  <si>
    <t>ADD : UNABSORBED DEPRECIATION TO BE CARRIED FORWARD</t>
  </si>
  <si>
    <t>Payment of Gratuity for earlier years</t>
  </si>
  <si>
    <t>Excess provision for bonus for earlier year</t>
  </si>
  <si>
    <t>Bonus paid for last year u/s 43B</t>
  </si>
  <si>
    <t>GROSS TOTAL INCOME</t>
  </si>
  <si>
    <t xml:space="preserve">TOTAL INCOME </t>
  </si>
  <si>
    <t>Profit on Sale of Mutual fund</t>
  </si>
  <si>
    <t>Less:Exempt Income - u/s 10(38)</t>
  </si>
  <si>
    <t>Less : Set off of Losses</t>
  </si>
  <si>
    <t>TAX ON TOTAL INCOME  (A)</t>
  </si>
  <si>
    <t>COMPUTATION UNDER SECTION 115JB</t>
  </si>
  <si>
    <t>Less : Depreciation or book loss (whichever is lower)</t>
  </si>
  <si>
    <t>BOOK PROFIT</t>
  </si>
  <si>
    <t xml:space="preserve">15% THEREOF </t>
  </si>
  <si>
    <t>TAX ON INCOME  (B)</t>
  </si>
  <si>
    <t>A OR B WHICHEVER IS HIGHER</t>
  </si>
  <si>
    <t>Add  : Surcharge @ 7%</t>
  </si>
  <si>
    <t>TOTAL TAX PAYABLE</t>
  </si>
  <si>
    <t>Less : Tax Paid</t>
  </si>
  <si>
    <t xml:space="preserve">           (a)  TDS and TCS ( As per 26 AS)</t>
  </si>
  <si>
    <t xml:space="preserve">           (b)  MAT Utilised</t>
  </si>
  <si>
    <t xml:space="preserve">           (c)  Advance Tax</t>
  </si>
  <si>
    <t>Add  : Interest  u/s 234C</t>
  </si>
  <si>
    <t>Less : Self Assessment Tax Paid</t>
  </si>
  <si>
    <t>BALANCE TAX PAYABLE / (REFUNDABLE)</t>
  </si>
  <si>
    <t>MAT Credit</t>
  </si>
  <si>
    <t>Calculation of Maximum Remuneration to Director u/s 197 of  Companies Act 2013</t>
  </si>
  <si>
    <t>In case of No profit /Loss/Inedaqate Profit</t>
  </si>
  <si>
    <t>Mat Credit Utilisation working</t>
  </si>
  <si>
    <t>Effective capital :</t>
  </si>
  <si>
    <t>IT</t>
  </si>
  <si>
    <t>MAT</t>
  </si>
  <si>
    <t>Paid up capial</t>
  </si>
  <si>
    <t>SC</t>
  </si>
  <si>
    <t xml:space="preserve">Reserves </t>
  </si>
  <si>
    <t>EC</t>
  </si>
  <si>
    <t>Long term loans and deposit</t>
  </si>
  <si>
    <t>repayment after 1 year</t>
  </si>
  <si>
    <t>Investments</t>
  </si>
  <si>
    <t>Celing Limit</t>
  </si>
  <si>
    <t>Effective capital  between  5 Crores - 10 Crores</t>
  </si>
  <si>
    <t>Total Remuneration Allowable</t>
  </si>
  <si>
    <t>Actual Given</t>
  </si>
  <si>
    <t>Short</t>
  </si>
  <si>
    <t>2021-22</t>
  </si>
  <si>
    <t>GST  Paid Expenses</t>
  </si>
  <si>
    <t>Interest on I.T. Refund A.Y. 2016-17</t>
  </si>
  <si>
    <t>Income Tax Receivable AY 2020-21</t>
  </si>
  <si>
    <t>Difference as per cl</t>
  </si>
  <si>
    <t>Cl as per calculation</t>
  </si>
  <si>
    <t>Cl as per tally</t>
  </si>
  <si>
    <t>Difference due to Cl stock valuation</t>
  </si>
  <si>
    <t>2020-2021</t>
  </si>
  <si>
    <t>Gross  Block</t>
  </si>
  <si>
    <t>Additions From 01/04/2020-31/03/2021</t>
  </si>
  <si>
    <t>Deletions From 01/04/2020-31/03/2021</t>
  </si>
  <si>
    <t>Accumulated Depreciation on 01/04/2020</t>
  </si>
  <si>
    <t>Charge to P&amp;L</t>
  </si>
  <si>
    <t>Deletion</t>
  </si>
  <si>
    <t>Accumulated Depreciation</t>
  </si>
  <si>
    <t>Net Block</t>
  </si>
  <si>
    <t>Land</t>
  </si>
  <si>
    <t>Buildings</t>
  </si>
  <si>
    <t>Motor Vehicles</t>
  </si>
  <si>
    <t>Computers</t>
  </si>
  <si>
    <t>Office Equipments</t>
  </si>
  <si>
    <t>Furniture and Fittings</t>
  </si>
  <si>
    <t>Electrical Installations</t>
  </si>
  <si>
    <t>Sub Total</t>
  </si>
  <si>
    <t>1. WIP Building</t>
  </si>
  <si>
    <t>2. WIP Plant &amp; Machinery</t>
  </si>
  <si>
    <t>Provison for Dep as per Tally</t>
  </si>
  <si>
    <t>2019-2020</t>
  </si>
  <si>
    <t>Additions From 01/04/2019-31/03/2020</t>
  </si>
  <si>
    <t>Deletions From 01/04/2019-31/03/2020</t>
  </si>
  <si>
    <t>Accumulated Depreciation on 01/04/2019</t>
  </si>
  <si>
    <t>Asset Category</t>
  </si>
  <si>
    <t>Gross Block</t>
  </si>
  <si>
    <t>At April 01 2019</t>
  </si>
  <si>
    <t>Additions</t>
  </si>
  <si>
    <t>Disposals</t>
  </si>
  <si>
    <t>At March 31 2020</t>
  </si>
  <si>
    <t>At March 31 2021</t>
  </si>
  <si>
    <t>Note 2 : PROPERTY, PLANT &amp; EQUIPMENT</t>
  </si>
  <si>
    <t>Year ended</t>
  </si>
  <si>
    <t>31st March, 2020 (₹)</t>
  </si>
  <si>
    <t>A CASH FLOW FROM OPERATING ACTIVITIES</t>
  </si>
  <si>
    <t xml:space="preserve">PROFIT BEFORE INCOME TAX </t>
  </si>
  <si>
    <t>Adjustments for:</t>
  </si>
  <si>
    <t>Other comprehensive Income - Acturial Gain / (loss)</t>
  </si>
  <si>
    <t xml:space="preserve">Depreciation, amortisation and impairment </t>
  </si>
  <si>
    <t xml:space="preserve">Net (Gain)/ Loss on disposal of property, plant and equipment </t>
  </si>
  <si>
    <t>FY 2018-19</t>
  </si>
  <si>
    <t>FY 2017-18</t>
  </si>
  <si>
    <t xml:space="preserve">Operating profit before working capital changes </t>
  </si>
  <si>
    <t>Change in operating assets and liabilities:</t>
  </si>
  <si>
    <t xml:space="preserve">(Increase)/ Decrease in inventories </t>
  </si>
  <si>
    <t xml:space="preserve">(Increase)/ Decrease in trade receivables </t>
  </si>
  <si>
    <t>(Increase)/ Decrease in other financials assets</t>
  </si>
  <si>
    <t xml:space="preserve">(Increase)/ Decrease in other current assets </t>
  </si>
  <si>
    <t>(Increase)/ Decrease in other Bank Balance</t>
  </si>
  <si>
    <t xml:space="preserve">Increase/ (Decrease) in trade payables </t>
  </si>
  <si>
    <t>Trade Payable</t>
  </si>
  <si>
    <t>Increase/ (Decrease) in other Non Current Provisions</t>
  </si>
  <si>
    <t>Non Current Provisions</t>
  </si>
  <si>
    <t xml:space="preserve">Increase/ (Decrease) in other financial liabilities </t>
  </si>
  <si>
    <t>Other Financial Liabilities</t>
  </si>
  <si>
    <t xml:space="preserve">Increase/ (Decrease) in other current liabilities </t>
  </si>
  <si>
    <t xml:space="preserve">Increase/ (Decrease) in provisions </t>
  </si>
  <si>
    <t>Current Provisions</t>
  </si>
  <si>
    <t xml:space="preserve">(Increase)/ Decrease in other financial assets (Non Current) </t>
  </si>
  <si>
    <t>Non Current Financial Assets</t>
  </si>
  <si>
    <t xml:space="preserve">(Increase)/ Decrease in other non-current assets </t>
  </si>
  <si>
    <t>Non Current Assets</t>
  </si>
  <si>
    <t>Provision</t>
  </si>
  <si>
    <t xml:space="preserve">Changes in Working Capital </t>
  </si>
  <si>
    <t xml:space="preserve">Cash generated from Operations </t>
  </si>
  <si>
    <t xml:space="preserve">Income taxes paid (net of refunds) </t>
  </si>
  <si>
    <t>Paid during the year</t>
  </si>
  <si>
    <t xml:space="preserve">NET CASH INFLOW GENERATED FROM OPERATING ACTIVITIES </t>
  </si>
  <si>
    <t>Other Tax Assets</t>
  </si>
  <si>
    <t>Income Tax Provision</t>
  </si>
  <si>
    <t>B CASH FLOW FROM INVESTING ACTIVITIES</t>
  </si>
  <si>
    <t>MAT adjustment</t>
  </si>
  <si>
    <t xml:space="preserve">Payment for property, plant and equipment </t>
  </si>
  <si>
    <t xml:space="preserve">Proceeds from sale of property, plant and equipment </t>
  </si>
  <si>
    <t xml:space="preserve">Payment for purchase of investments </t>
  </si>
  <si>
    <t xml:space="preserve">Payment for purchase of inter-corporate deposits placed </t>
  </si>
  <si>
    <t xml:space="preserve">(Given)/ Repayment of loans by related parties </t>
  </si>
  <si>
    <t xml:space="preserve">Interest received </t>
  </si>
  <si>
    <t xml:space="preserve">NET CASH (OUTFLOW) / INFLOW FROM INVESTING ACTIVITIES </t>
  </si>
  <si>
    <t>C CASH FLOW FROM FINANCING ACTIVITIES</t>
  </si>
  <si>
    <t xml:space="preserve">Proceeds from issuance of share capital (net of share issue expenses) </t>
  </si>
  <si>
    <t xml:space="preserve">Increase/ (Decrease) in Borrowing </t>
  </si>
  <si>
    <t>Borrowing</t>
  </si>
  <si>
    <t xml:space="preserve">Repayment of borrowings </t>
  </si>
  <si>
    <t xml:space="preserve">Interest paid </t>
  </si>
  <si>
    <t xml:space="preserve">Dividends paid to company's shareholders </t>
  </si>
  <si>
    <t xml:space="preserve">NET CASH (OUTFLOW) / INFLOW FROM FINANCING ACTIVITIES </t>
  </si>
  <si>
    <t xml:space="preserve">D NET INCREASE / (DECREASE) IN CASH &amp; CASH EQUIVALENTS (A+B+C) </t>
  </si>
  <si>
    <t>E CASH AND CASH EQUIVALENTS AT THE BEGINNING OF THE FINANCIAL YEAR.</t>
  </si>
  <si>
    <t>F CASH AND CASH EQUIVALENTS AT END OF THE YEAR.(Refer Note No.7)</t>
  </si>
  <si>
    <t>The cash flow statement has been prepared under the indirect method as set out in Indian Accounting Standard (Ind AS 7) statement of cash flows.</t>
  </si>
  <si>
    <t>31st March, 2021 (₹)</t>
  </si>
  <si>
    <t>CASH FLOW STATEMENT FOR THE YEAR ENDED 31ST MARCH, 2021</t>
  </si>
  <si>
    <t xml:space="preserve"> (i) Deposits</t>
  </si>
  <si>
    <t>NOTE 3 : DEPOSITS (FINANCIAL ASSETS)</t>
  </si>
  <si>
    <t>Closing 2019-20</t>
  </si>
  <si>
    <t>Opening 2019-20</t>
  </si>
  <si>
    <t>Closing 2020-21</t>
  </si>
  <si>
    <t>Opening 2020-21</t>
  </si>
  <si>
    <t>Difference 2020-21</t>
  </si>
  <si>
    <t>Difference  2019-20</t>
  </si>
  <si>
    <t>Particular</t>
  </si>
  <si>
    <t>IPS Claim</t>
  </si>
  <si>
    <t>Financial Years</t>
  </si>
  <si>
    <t>Dated</t>
  </si>
  <si>
    <t>Admissible IPS Provision</t>
  </si>
  <si>
    <t>Received As per Books</t>
  </si>
  <si>
    <t>Closing Balance Amount</t>
  </si>
  <si>
    <t>F. Y. 2008-09</t>
  </si>
  <si>
    <t>F. Y. 2009-10</t>
  </si>
  <si>
    <t>F. Y. 2010-11</t>
  </si>
  <si>
    <t>F. Y. 2011-12</t>
  </si>
  <si>
    <t>F. Y. 2012-13</t>
  </si>
  <si>
    <t>F. Y. 2013-14</t>
  </si>
  <si>
    <t>F. Y. 2014-15</t>
  </si>
  <si>
    <t>F. Y. 2015-16</t>
  </si>
  <si>
    <t>F. Y. 2016-17_Rem</t>
  </si>
  <si>
    <t>F. Y. 2016-17</t>
  </si>
  <si>
    <t>F. Y. 2017-18_Vat</t>
  </si>
  <si>
    <t>GST Act July-2017</t>
  </si>
  <si>
    <t>F. Y. 2017-18_GST</t>
  </si>
  <si>
    <t>F. Y. 2018-19</t>
  </si>
  <si>
    <t>As per Books</t>
  </si>
  <si>
    <t>Admissible IPS Claimed as per Books</t>
  </si>
  <si>
    <t>IPS Claimed Received as per Books</t>
  </si>
  <si>
    <t>Remaining Balance  (Closing Balance 31/08/2020)</t>
  </si>
  <si>
    <t>Opening Balance as on 01/09/2020</t>
  </si>
  <si>
    <t>Less: IPS Claime Received on dated</t>
  </si>
  <si>
    <t>F. Y. 2018-19_GST</t>
  </si>
  <si>
    <t>FY 2014-15</t>
  </si>
  <si>
    <t>FY 2010-11</t>
  </si>
  <si>
    <t>FY 2013-14</t>
  </si>
  <si>
    <t>FY 2015-16</t>
  </si>
  <si>
    <t>FY 2012-13</t>
  </si>
  <si>
    <t>Remaining/Closing Balance</t>
  </si>
  <si>
    <t>Add: Receivable for FY 19-20</t>
  </si>
  <si>
    <t>Balance as per Books</t>
  </si>
  <si>
    <t>Due Date Wise Debtor Ageing as on 31.03.2021</t>
  </si>
  <si>
    <t>S.No.</t>
  </si>
  <si>
    <t>Debtors Type</t>
  </si>
  <si>
    <t>Inv. No.</t>
  </si>
  <si>
    <t>Amount Rs.</t>
  </si>
  <si>
    <t>Credit Days</t>
  </si>
  <si>
    <t>Due  Date</t>
  </si>
  <si>
    <t>Due  Days</t>
  </si>
  <si>
    <t>Day's</t>
  </si>
  <si>
    <t>0-90</t>
  </si>
  <si>
    <t>91-180</t>
  </si>
  <si>
    <t>181-365</t>
  </si>
  <si>
    <t>1-2 years</t>
  </si>
  <si>
    <t>&gt;2years</t>
  </si>
  <si>
    <t>Subsequent Realization date</t>
  </si>
  <si>
    <t>Subsequent Realization Amount</t>
  </si>
  <si>
    <t>Outstanding as till date</t>
  </si>
  <si>
    <t>Reason /remark for non receipt</t>
  </si>
  <si>
    <t>Export Receivables</t>
  </si>
  <si>
    <t>CHANDRA COAL PVT LTD (SALE)</t>
  </si>
  <si>
    <t>Domestic Receivables</t>
  </si>
  <si>
    <t>HPML/19-20/1389 / 1390 / 1401</t>
  </si>
  <si>
    <t>HPML/20-21/365</t>
  </si>
  <si>
    <t>HPML/20-21/1220</t>
  </si>
  <si>
    <t>HPML/20-21/2133</t>
  </si>
  <si>
    <t>HPML/20-21/2153</t>
  </si>
  <si>
    <t>HPML/20-21/2207</t>
  </si>
  <si>
    <t>HPML/20-21/2219</t>
  </si>
  <si>
    <t>HPML/20-21/2261</t>
  </si>
  <si>
    <t>HPML/20-21/2264</t>
  </si>
  <si>
    <t>HPML/20-21/2265</t>
  </si>
  <si>
    <t>HPML/20-21/2283</t>
  </si>
  <si>
    <t>HPML/20-21/2293</t>
  </si>
  <si>
    <t>HPML/20-21/2296</t>
  </si>
  <si>
    <t>HPML/20-21/2299</t>
  </si>
  <si>
    <t>HPML/20-21/2302</t>
  </si>
  <si>
    <t>HPML/20-21/2306</t>
  </si>
  <si>
    <t>HPML/20-21/2307</t>
  </si>
  <si>
    <t>HPML/20-21/2309</t>
  </si>
  <si>
    <t>HPML/20-21/2314</t>
  </si>
  <si>
    <t>HPML/20-21/2318</t>
  </si>
  <si>
    <t>HPML/20-21/2319</t>
  </si>
  <si>
    <t>HPML/20-21/2325</t>
  </si>
  <si>
    <t>HPML/20-21/2326</t>
  </si>
  <si>
    <t>HPML/20-21/2333</t>
  </si>
  <si>
    <t>HPML/20-21/2334</t>
  </si>
  <si>
    <t>HPML/20-21/2335</t>
  </si>
  <si>
    <t>HPML/20-21/2336</t>
  </si>
  <si>
    <t>HPML/20-21/2343</t>
  </si>
  <si>
    <t>HPML/20-21/2346</t>
  </si>
  <si>
    <t>HPML/20-21/2351</t>
  </si>
  <si>
    <t>HPML/20-21/2352</t>
  </si>
  <si>
    <t>HPML/20-21/2354</t>
  </si>
  <si>
    <t>HPML/20-21/2361</t>
  </si>
  <si>
    <t>HPML/20-21/2370</t>
  </si>
  <si>
    <t>HPML/20-21/2371</t>
  </si>
  <si>
    <t>HPML/20-21/2372</t>
  </si>
  <si>
    <t>HPML/20-21/2373</t>
  </si>
  <si>
    <t>HPML/20-21/2380</t>
  </si>
  <si>
    <t>HPML/20-21/2383</t>
  </si>
  <si>
    <t>HPML/20-21/2405</t>
  </si>
  <si>
    <t>HPML/20-21/2417</t>
  </si>
  <si>
    <t>HPML/20-21/2422</t>
  </si>
  <si>
    <t>HPML/20-21/2423</t>
  </si>
  <si>
    <t>HPML/20-21/2425</t>
  </si>
  <si>
    <t>HPML/20-21/2437</t>
  </si>
  <si>
    <t>HPML/20-21/2438</t>
  </si>
  <si>
    <t>HPML/20-21/2439</t>
  </si>
  <si>
    <t>HPML/20-21/2440</t>
  </si>
  <si>
    <t>HPML/20-21/2447</t>
  </si>
  <si>
    <t>HPML/20-21/2449</t>
  </si>
  <si>
    <t>HPML/20-21/2451</t>
  </si>
  <si>
    <t>HPML/20-21/2461</t>
  </si>
  <si>
    <t>HPML/20-21/2462</t>
  </si>
  <si>
    <t>HPML/20-21/2470</t>
  </si>
  <si>
    <t>HPML/20-21/2475</t>
  </si>
  <si>
    <t>HPML/20-21/2476</t>
  </si>
  <si>
    <t>HPML/20-21/2482</t>
  </si>
  <si>
    <t>HPML/20-21/2486</t>
  </si>
  <si>
    <t>HPML/20-21/2488</t>
  </si>
  <si>
    <t>HPML/20-21/2489</t>
  </si>
  <si>
    <t>HPML/20-21/2495</t>
  </si>
  <si>
    <t>HPML/20-21/2498</t>
  </si>
  <si>
    <t>HPML/20-21/2503</t>
  </si>
  <si>
    <t>HPML/20-21/2506</t>
  </si>
  <si>
    <t>HPML/20-21/2511</t>
  </si>
  <si>
    <t>HPML/20-21/2517</t>
  </si>
  <si>
    <t>HPML/20-21/2524</t>
  </si>
  <si>
    <t>HPML/20-21/2533</t>
  </si>
  <si>
    <t>HPML/20-21/2536</t>
  </si>
  <si>
    <t>HPML/20-21/2540</t>
  </si>
  <si>
    <t>HPML/20-21/2545</t>
  </si>
  <si>
    <t>HPML/20-21/2557</t>
  </si>
  <si>
    <t>HPML/20-21/2583</t>
  </si>
  <si>
    <t>HPML/20-21/2592</t>
  </si>
  <si>
    <t>HPML/20-21/2596</t>
  </si>
  <si>
    <t>HPML/20-21/2597</t>
  </si>
  <si>
    <t>HPML/20-21/2623</t>
  </si>
  <si>
    <t>HPML/20-21/2631</t>
  </si>
  <si>
    <t>HPML/20-21/2632</t>
  </si>
  <si>
    <t>HPML/20-21/2636</t>
  </si>
  <si>
    <t>HPML/20-21/2641</t>
  </si>
  <si>
    <t>HPML/20-21/2644</t>
  </si>
  <si>
    <t>HPML/20-21/2653</t>
  </si>
  <si>
    <t>HPML/20-21/2661</t>
  </si>
  <si>
    <t>HPML/20-21/2662</t>
  </si>
  <si>
    <t>HPML/20-21/911</t>
  </si>
  <si>
    <t>HPML/20-21/985</t>
  </si>
  <si>
    <t>HPML/20-21/1191</t>
  </si>
  <si>
    <t>HPML/20-21/2041</t>
  </si>
  <si>
    <t>HPML/20-21/2095</t>
  </si>
  <si>
    <t>HPML/20-21/2303</t>
  </si>
  <si>
    <t>HPML/20-21/2369</t>
  </si>
  <si>
    <t>HPML/20-21/1753</t>
  </si>
  <si>
    <t>HPML/20-21/1819</t>
  </si>
  <si>
    <t>HPML/20-21/1862</t>
  </si>
  <si>
    <t>OTHER</t>
  </si>
  <si>
    <t>HPML/20-21/343</t>
  </si>
  <si>
    <t>HPML/20-21/2491</t>
  </si>
  <si>
    <t>HPML/20-21/2513</t>
  </si>
  <si>
    <t>HPML/20-21/2652</t>
  </si>
  <si>
    <t>HPML/20-21/2496</t>
  </si>
  <si>
    <t>HPML/20-21/2502</t>
  </si>
  <si>
    <t>HPML/20-21/2576</t>
  </si>
  <si>
    <t>HPML/20-21/2602</t>
  </si>
  <si>
    <t>HPML/20-21/2620</t>
  </si>
  <si>
    <t>HPML/20-21/2541</t>
  </si>
  <si>
    <t>HPML/20-21/2588</t>
  </si>
  <si>
    <t>HPML/20-21/2610</t>
  </si>
  <si>
    <t>HPML/20-21/2642</t>
  </si>
  <si>
    <t>LAKHOTIYA TRADERS PVT LTD</t>
  </si>
  <si>
    <t>HPML/20-21/1321</t>
  </si>
  <si>
    <t>HPML/20-21/1481</t>
  </si>
  <si>
    <t>HPML/20-21/1561</t>
  </si>
  <si>
    <t>HPML/20-21/1981</t>
  </si>
  <si>
    <t>HPML/20-21/2291</t>
  </si>
  <si>
    <t>HPML/20-21/2294</t>
  </si>
  <si>
    <t>HPML/20-21/2295</t>
  </si>
  <si>
    <t>HPML/20-21/2305</t>
  </si>
  <si>
    <t>HPML/20-21/2312</t>
  </si>
  <si>
    <t>HPML/20-21/2313</t>
  </si>
  <si>
    <t>HPML/20-21/2315</t>
  </si>
  <si>
    <t>HPML/20-21/2316</t>
  </si>
  <si>
    <t>HPML/20-21/2317</t>
  </si>
  <si>
    <t>HPML/20-21/2320</t>
  </si>
  <si>
    <t>HPML/20-21/2323</t>
  </si>
  <si>
    <t>HPML/20-21/2337</t>
  </si>
  <si>
    <t>HPML/20-21/2339</t>
  </si>
  <si>
    <t>HPML/20-21/2341</t>
  </si>
  <si>
    <t>HPML/20-21/2342</t>
  </si>
  <si>
    <t>HPML/20-21/2344</t>
  </si>
  <si>
    <t>HPML/20-21/2345</t>
  </si>
  <si>
    <t>HPML/20-21/2349</t>
  </si>
  <si>
    <t>HPML/20-21/2358</t>
  </si>
  <si>
    <t>HPML/20-21/2359</t>
  </si>
  <si>
    <t>HPML/20-21/2360</t>
  </si>
  <si>
    <t>HPML/20-21/2363</t>
  </si>
  <si>
    <t>HPML/20-21/2364</t>
  </si>
  <si>
    <t>HPML/20-21/2365</t>
  </si>
  <si>
    <t>HPML/20-21/2366</t>
  </si>
  <si>
    <t>HPML/20-21/2367</t>
  </si>
  <si>
    <t>HPML/20-21/2385</t>
  </si>
  <si>
    <t>HPML/20-21/2391</t>
  </si>
  <si>
    <t>HPML/20-21/2392</t>
  </si>
  <si>
    <t>HPML/20-21/2393</t>
  </si>
  <si>
    <t>HPML/20-21/2395</t>
  </si>
  <si>
    <t>HPML/20-21/2400</t>
  </si>
  <si>
    <t>HPML/20-21/2403</t>
  </si>
  <si>
    <t>HPML/20-21/2408</t>
  </si>
  <si>
    <t>GPML/20-21/2416</t>
  </si>
  <si>
    <t>HPML/20-21/2418</t>
  </si>
  <si>
    <t>HPML/20-21/2420</t>
  </si>
  <si>
    <t>HPML/20-21/2421</t>
  </si>
  <si>
    <t>HPML/20-21/2428</t>
  </si>
  <si>
    <t>HPML/20-21/2429</t>
  </si>
  <si>
    <t>HPML/20-21/2430</t>
  </si>
  <si>
    <t>HPML/20-21/2431</t>
  </si>
  <si>
    <t>HPML/20-21/2434</t>
  </si>
  <si>
    <t>HPML/20-21/2452</t>
  </si>
  <si>
    <t>HPML/20-21/2457</t>
  </si>
  <si>
    <t>HPML/20-21/2463</t>
  </si>
  <si>
    <t>HPML/20-21/2464</t>
  </si>
  <si>
    <t>HPML/20-21/2467</t>
  </si>
  <si>
    <t>HPML/20-21/2472</t>
  </si>
  <si>
    <t>HPML/20-21/2474</t>
  </si>
  <si>
    <t>HPML/20-21/2485</t>
  </si>
  <si>
    <t>HPML/20-21/2487</t>
  </si>
  <si>
    <t>HPML/20-21/2492</t>
  </si>
  <si>
    <t>HPML/20-21/2493</t>
  </si>
  <si>
    <t>HPML/20-21/2494</t>
  </si>
  <si>
    <t>HPML/20-21/2500</t>
  </si>
  <si>
    <t>HPML/20-21/2509</t>
  </si>
  <si>
    <t>HPML/20-21/2518</t>
  </si>
  <si>
    <t>HPML/20-21/2519</t>
  </si>
  <si>
    <t>HPML/20-21/2521</t>
  </si>
  <si>
    <t>HPML/20-21/2522</t>
  </si>
  <si>
    <t>HPML/20-21/2523</t>
  </si>
  <si>
    <t>HPML/20-21/2525</t>
  </si>
  <si>
    <t>HPML/20-21/2528</t>
  </si>
  <si>
    <t>HPML/20-21/2531</t>
  </si>
  <si>
    <t>HPML/20-21/2534</t>
  </si>
  <si>
    <t>HPML/20-21/2537</t>
  </si>
  <si>
    <t>HPML/20-21/2539</t>
  </si>
  <si>
    <t>HPML/20-21/2544</t>
  </si>
  <si>
    <t>HPML/20-21/2549</t>
  </si>
  <si>
    <t>HPML/20-21/2550</t>
  </si>
  <si>
    <t>HPML/20-21/2551</t>
  </si>
  <si>
    <t>HPML/20-21/2552</t>
  </si>
  <si>
    <t>HPML/20-21/2555</t>
  </si>
  <si>
    <t>HPML/20-21/2556</t>
  </si>
  <si>
    <t>HPML/20-21/2560</t>
  </si>
  <si>
    <t>HPML/20-21/2563</t>
  </si>
  <si>
    <t>HPML/20-21/2565</t>
  </si>
  <si>
    <t>HPML/20-21/2568</t>
  </si>
  <si>
    <t>HPML/20-21/2571</t>
  </si>
  <si>
    <t>HPML/20-21/2577</t>
  </si>
  <si>
    <t>HPML/20-21/2589</t>
  </si>
  <si>
    <t>HPML/20-21/2591</t>
  </si>
  <si>
    <t>HPML/20-21/2593</t>
  </si>
  <si>
    <t>HPML/20-21/2594</t>
  </si>
  <si>
    <t>HPML/20-21/2595</t>
  </si>
  <si>
    <t>HPML/20-21/2599</t>
  </si>
  <si>
    <t>HPML/20-21/2604</t>
  </si>
  <si>
    <t>HPML/20-21/2608</t>
  </si>
  <si>
    <t>HPML/20-21/2609</t>
  </si>
  <si>
    <t>HPML/20-21/2611</t>
  </si>
  <si>
    <t>HPML/20-21/2612</t>
  </si>
  <si>
    <t>HPML/20-21/2614</t>
  </si>
  <si>
    <t>HPML/20-21/2617</t>
  </si>
  <si>
    <t>HPML/20-21/2625</t>
  </si>
  <si>
    <t>HPML/20-21/2629</t>
  </si>
  <si>
    <t>HPML/20-21/2630</t>
  </si>
  <si>
    <t>HPML/20-21/2643</t>
  </si>
  <si>
    <t>HPML/20-21/2645</t>
  </si>
  <si>
    <t>HPML/20-21/2646</t>
  </si>
  <si>
    <t>HPML/20-21/2647</t>
  </si>
  <si>
    <t>HPML/20-21/2649</t>
  </si>
  <si>
    <t>HPML/20-21/2651</t>
  </si>
  <si>
    <t>HPML/20-21/2657</t>
  </si>
  <si>
    <t>HPML/20-21/2658</t>
  </si>
  <si>
    <t>HPML/20-21/2659</t>
  </si>
  <si>
    <t>HPML/20-21/2660</t>
  </si>
  <si>
    <t>HPML/20-21/2667</t>
  </si>
  <si>
    <t>HPML/20-21/1958</t>
  </si>
  <si>
    <t>HPML/20-21/2427</t>
  </si>
  <si>
    <t>TCS/APR-SEPT/11</t>
  </si>
  <si>
    <t>HPML/20-21/2194</t>
  </si>
  <si>
    <t>HPML/20-21/2260</t>
  </si>
  <si>
    <t>HPML/20-21/2404</t>
  </si>
  <si>
    <t>HPML/20-21/2407</t>
  </si>
  <si>
    <t>HPML/20-21/2501</t>
  </si>
  <si>
    <t>HPML/20-21/2559</t>
  </si>
  <si>
    <t>HPML/20-21/2665</t>
  </si>
  <si>
    <t>TCS/APR-SEPT/04</t>
  </si>
  <si>
    <t>HPML/20-21/2225</t>
  </si>
  <si>
    <t>HPML/20-21/2231</t>
  </si>
  <si>
    <t>HPML/20-21/2244</t>
  </si>
  <si>
    <t>HPML/20-21/2259</t>
  </si>
  <si>
    <t>HPML/20-21/2262</t>
  </si>
  <si>
    <t>HPML/20-21/2272</t>
  </si>
  <si>
    <t>HPML/20-21/2277</t>
  </si>
  <si>
    <t>HPML/20-21/2280</t>
  </si>
  <si>
    <t>HPML/20-21/2286</t>
  </si>
  <si>
    <t>HPML/20-21/2298</t>
  </si>
  <si>
    <t>HPML/20-21/2304</t>
  </si>
  <si>
    <t>HPML/20-21/2324</t>
  </si>
  <si>
    <t>HPML/20-21/2328</t>
  </si>
  <si>
    <t>HPML/20-21/2332</t>
  </si>
  <si>
    <t>HPML/20-21/2340</t>
  </si>
  <si>
    <t>HPML/20-21/2348</t>
  </si>
  <si>
    <t>HPML/20-21/2350</t>
  </si>
  <si>
    <t>HPML/20-21/2353</t>
  </si>
  <si>
    <t>HPML/20-21/2357</t>
  </si>
  <si>
    <t>HPML/20-21/2362</t>
  </si>
  <si>
    <t>HPML/20-21/2368</t>
  </si>
  <si>
    <t>HPML/20-21/2377</t>
  </si>
  <si>
    <t>HPML/20-21/2381</t>
  </si>
  <si>
    <t>HPML/20-21/2386</t>
  </si>
  <si>
    <t>HPML/20-21/2388</t>
  </si>
  <si>
    <t>HPML/20-21/2390</t>
  </si>
  <si>
    <t>HPML/20-21/2397</t>
  </si>
  <si>
    <t>HPML/20-21/2398</t>
  </si>
  <si>
    <t>HPML/20-21/2402</t>
  </si>
  <si>
    <t>HPML/20-21/2412</t>
  </si>
  <si>
    <t>HPML/20-21/2419</t>
  </si>
  <si>
    <t>CREDIT NOTE</t>
  </si>
  <si>
    <t>2009A</t>
  </si>
  <si>
    <t>HPML/20-21/2433</t>
  </si>
  <si>
    <t>HPML/20-21/2441</t>
  </si>
  <si>
    <t>HPML/20-21/2443</t>
  </si>
  <si>
    <t>HPML/20-21/2446</t>
  </si>
  <si>
    <t>HPML/20-21/2458</t>
  </si>
  <si>
    <t>HPML/20-21/2465</t>
  </si>
  <si>
    <t>HPML/20-21/2478</t>
  </si>
  <si>
    <t>HPML/20-21/2481</t>
  </si>
  <si>
    <t>HPML/20-21/2484</t>
  </si>
  <si>
    <t>HPML/20-21/2497</t>
  </si>
  <si>
    <t>HPML/20-21/2505</t>
  </si>
  <si>
    <t>HPML/20-21/2507</t>
  </si>
  <si>
    <t>HPML/20-21/2530</t>
  </si>
  <si>
    <t>HPML/20-21/2553</t>
  </si>
  <si>
    <t>HPML/20-21/2554</t>
  </si>
  <si>
    <t>HPML/20-21/2561</t>
  </si>
  <si>
    <t>HPML/20-21/2566</t>
  </si>
  <si>
    <t>HPML/20-21/2567</t>
  </si>
  <si>
    <t>HPML/20-21/2573</t>
  </si>
  <si>
    <t>HPML/20-21/2574</t>
  </si>
  <si>
    <t>HPML/20-21/2578</t>
  </si>
  <si>
    <t>HPML/20-21/2579</t>
  </si>
  <si>
    <t>HPML/20-21/2582</t>
  </si>
  <si>
    <t>HPML/20-21/2615</t>
  </si>
  <si>
    <t>HPML/20-21/2616</t>
  </si>
  <si>
    <t>HPML/20-21/2618</t>
  </si>
  <si>
    <t>HPML/20-21/2627</t>
  </si>
  <si>
    <t>HPML/20-21/2640</t>
  </si>
  <si>
    <t>HPML/20-21/2648</t>
  </si>
  <si>
    <t>HPML/20-21/2650</t>
  </si>
  <si>
    <t>HPML/20-21/2656</t>
  </si>
  <si>
    <t>HPML/20-21/2664</t>
  </si>
  <si>
    <t>HPML/20-21/2666</t>
  </si>
  <si>
    <t>HPML/20-21/556</t>
  </si>
  <si>
    <t>Short Payment</t>
  </si>
  <si>
    <t>HPML/20-21/081</t>
  </si>
  <si>
    <t>HPML/20-21/353</t>
  </si>
  <si>
    <t>Excess Payment</t>
  </si>
  <si>
    <t>HPML/20-21/810</t>
  </si>
  <si>
    <t>HPML/20-21/894</t>
  </si>
  <si>
    <t>HPML/20-21/1102</t>
  </si>
  <si>
    <t>HPML/20-21/1173</t>
  </si>
  <si>
    <t>HPML/20-21/1236</t>
  </si>
  <si>
    <t>DEBIT NOTE FOR TCS</t>
  </si>
  <si>
    <t>TCS/APR-SEP/05</t>
  </si>
  <si>
    <t>HPML/20-21/2077</t>
  </si>
  <si>
    <t>HPML/20-21/2200</t>
  </si>
  <si>
    <t>HPML/20-21/2202</t>
  </si>
  <si>
    <t>HPML/20-21/2221</t>
  </si>
  <si>
    <t>HPML/20-21/2224</t>
  </si>
  <si>
    <t>HPML/20-21/2234</t>
  </si>
  <si>
    <t>HPML/20-21/2242</t>
  </si>
  <si>
    <t>HPML/20-21/2243</t>
  </si>
  <si>
    <t>HPML/20-21/2249</t>
  </si>
  <si>
    <t>HPML/20-21/2250</t>
  </si>
  <si>
    <t>HPML/20-21/2252</t>
  </si>
  <si>
    <t>HPML/20-21/2266</t>
  </si>
  <si>
    <t>HPML/20-21/2268</t>
  </si>
  <si>
    <t>HPML/20-21/2269</t>
  </si>
  <si>
    <t>HPML/20-21/2275</t>
  </si>
  <si>
    <t>HPML/20-21/2284</t>
  </si>
  <si>
    <t>HPML/20-21/2285</t>
  </si>
  <si>
    <t>HPML/20-21/2287</t>
  </si>
  <si>
    <t>HPML/20-21/2288</t>
  </si>
  <si>
    <t>HPML/20-21/2308</t>
  </si>
  <si>
    <t>HPML/20-21/2311</t>
  </si>
  <si>
    <t>HPML/20-21/2321</t>
  </si>
  <si>
    <t>HPML/20-21/2327</t>
  </si>
  <si>
    <t>HPML/20-21/2329</t>
  </si>
  <si>
    <t>HPML/20-21/2330</t>
  </si>
  <si>
    <t>HPML/20-21/2375</t>
  </si>
  <si>
    <t>HPML/20-21/2376</t>
  </si>
  <si>
    <t>HPML/20-21/2382</t>
  </si>
  <si>
    <t>HPML/20-21/2384</t>
  </si>
  <si>
    <t>HPML/20-21/2389</t>
  </si>
  <si>
    <t>HPML/20-21/2396</t>
  </si>
  <si>
    <t>HPML/20-21/2409</t>
  </si>
  <si>
    <t>HPML/20-21/2410</t>
  </si>
  <si>
    <t>HPML/20-21/2411</t>
  </si>
  <si>
    <t>HPML/20-21/2414</t>
  </si>
  <si>
    <t>HPML/20-21/2415</t>
  </si>
  <si>
    <t>HPML/20-21/2436</t>
  </si>
  <si>
    <t>HPML/20-21/2456</t>
  </si>
  <si>
    <t>HPML/20-21/2459</t>
  </si>
  <si>
    <t>HPML/20-21/2466</t>
  </si>
  <si>
    <t>HPML/20-21/2479</t>
  </si>
  <si>
    <t>HPML/20-21/2483</t>
  </si>
  <si>
    <t>HPML/20-21/2516</t>
  </si>
  <si>
    <t>HPML/20-21/2520</t>
  </si>
  <si>
    <t>HPML/20-21/2527</t>
  </si>
  <si>
    <t>HPML/20-21/2529</t>
  </si>
  <si>
    <t>HPML/20-21/2532</t>
  </si>
  <si>
    <t>HPML/20-21/2538</t>
  </si>
  <si>
    <t>HPML/20-21/2542</t>
  </si>
  <si>
    <t>HPML/20-21/2543</t>
  </si>
  <si>
    <t>HPML/20-21/2546</t>
  </si>
  <si>
    <t>HPML/20-21/2581</t>
  </si>
  <si>
    <t>HPML/20-21/2613</t>
  </si>
  <si>
    <t>HPML/20-21/2624</t>
  </si>
  <si>
    <t>HPML/20-21/2626</t>
  </si>
  <si>
    <t>HPML/20-21/2628</t>
  </si>
  <si>
    <t>HPML/20-21/2634</t>
  </si>
  <si>
    <t>Other Credit Bal</t>
  </si>
  <si>
    <t>HPML/20-21/2514</t>
  </si>
  <si>
    <t>HPML/20-21/2535</t>
  </si>
  <si>
    <t>HPML/20-21/2575</t>
  </si>
  <si>
    <t>HPML/20-21/2619</t>
  </si>
  <si>
    <t>HPML/20-21/2663</t>
  </si>
  <si>
    <t>HPML/20-21/2471</t>
  </si>
  <si>
    <t>HPML/20-21/2477</t>
  </si>
  <si>
    <t>HPML/20-21/2510</t>
  </si>
  <si>
    <t>HPML/20-21/2526</t>
  </si>
  <si>
    <t>HPML/20-21/2547</t>
  </si>
  <si>
    <t>HPML/20-21/2548</t>
  </si>
  <si>
    <t>HPML/20-21/2601</t>
  </si>
  <si>
    <t>HPML/20-21/2605</t>
  </si>
  <si>
    <t>HPML/20-21/2635</t>
  </si>
  <si>
    <t>HPML/20-21/2637</t>
  </si>
  <si>
    <t>HPML/20-21/2655</t>
  </si>
  <si>
    <t>HPML/19-20/2724</t>
  </si>
  <si>
    <t>HPML/20-21/220</t>
  </si>
  <si>
    <t>HPML/20-21/258</t>
  </si>
  <si>
    <t>HPML/20-21/435</t>
  </si>
  <si>
    <t>HPML/20-21/703</t>
  </si>
  <si>
    <t>HPML/20-21/2214</t>
  </si>
  <si>
    <t>HPML/20-21/2413</t>
  </si>
  <si>
    <t>CR-2238</t>
  </si>
  <si>
    <t>CR-2278</t>
  </si>
  <si>
    <t>CR-2406</t>
  </si>
  <si>
    <t>HPML/20-21/2445</t>
  </si>
  <si>
    <t>HPML/20-21/2606</t>
  </si>
  <si>
    <t>CR-2444</t>
  </si>
  <si>
    <t>CR-2586</t>
  </si>
  <si>
    <t>CR-2607</t>
  </si>
  <si>
    <t>HPML/20-21/2480</t>
  </si>
  <si>
    <t>HPML/20-21/1109</t>
  </si>
  <si>
    <t>HPML/20-21/939</t>
  </si>
  <si>
    <t>HPML/20-21/989</t>
  </si>
  <si>
    <t>HPML/20-21/1103</t>
  </si>
  <si>
    <t>HPML/20-21/1743</t>
  </si>
  <si>
    <t>HPML/20-21/1796</t>
  </si>
  <si>
    <t>HPML/20-21/1841</t>
  </si>
  <si>
    <t>HPML/20-21/2508</t>
  </si>
  <si>
    <t>HPML/20-21/2584</t>
  </si>
  <si>
    <t>HPML/20-21/2585</t>
  </si>
  <si>
    <t>HPML/20-21/2600</t>
  </si>
  <si>
    <t>HPML/20-21/2621</t>
  </si>
  <si>
    <t>HPML/20-21/686</t>
  </si>
  <si>
    <t>HPML/20-21/2278</t>
  </si>
  <si>
    <t>HPML/20-21/2406</t>
  </si>
  <si>
    <t>HPML/20-21/2444</t>
  </si>
  <si>
    <t>HPML/20-21/2586</t>
  </si>
  <si>
    <t>HPML/20-21/2607</t>
  </si>
  <si>
    <t>HPML/20-21/1928</t>
  </si>
  <si>
    <t>HPML/20-21/2580</t>
  </si>
  <si>
    <t>Part Payment Rced. Against Bill No 2580</t>
  </si>
  <si>
    <t>HPML/20-21/1686</t>
  </si>
  <si>
    <t>HPML/20-21/2639</t>
  </si>
  <si>
    <t>HPML/20-21/1995</t>
  </si>
  <si>
    <t>HPML/20-21/2042</t>
  </si>
  <si>
    <t>HPML/20-21/2223</t>
  </si>
  <si>
    <t>HORIZON PACKS PVT LTD</t>
  </si>
  <si>
    <t>HPML/20-21/2450</t>
  </si>
  <si>
    <t>HPML/20-21/2468</t>
  </si>
  <si>
    <t>HPML/20-21/2469</t>
  </si>
  <si>
    <t>OSS/2020-21/001</t>
  </si>
  <si>
    <t>HPML/20-21/2442</t>
  </si>
  <si>
    <t>HPML/20-21/2564</t>
  </si>
  <si>
    <t>HPML/20-21/2633</t>
  </si>
  <si>
    <t>HPML/20-21/761</t>
  </si>
  <si>
    <t>HPML/20-21/1188</t>
  </si>
  <si>
    <t>HPML/20-21/1898</t>
  </si>
  <si>
    <t>HPML/20-21/1945</t>
  </si>
  <si>
    <t>HPML/20-21/2355</t>
  </si>
  <si>
    <t>HPML/20-21/2638</t>
  </si>
  <si>
    <t>SHREERAM PACKERS</t>
  </si>
  <si>
    <t>HPML/20-21/2603</t>
  </si>
  <si>
    <t>HPML/20-21/2142</t>
  </si>
  <si>
    <t>HPML/20-21/2347</t>
  </si>
  <si>
    <t>HPML/20-21/2241</t>
  </si>
  <si>
    <t>HPML/20-21/2473</t>
  </si>
  <si>
    <t>HPML/20-21/2572</t>
  </si>
  <si>
    <t>EXP/2020-21/01</t>
  </si>
  <si>
    <t>EXP/2020-21/02</t>
  </si>
  <si>
    <t>EXP/2020-21/03</t>
  </si>
  <si>
    <t>ANAMIKA TRADERS (SALES COMM)</t>
  </si>
  <si>
    <t>Tranf to JAGPIN BEWERIES LTD</t>
  </si>
  <si>
    <t>MANGAL PAPER</t>
  </si>
  <si>
    <t>HPML/20-21/2499</t>
  </si>
  <si>
    <t>HPML/20-21/2569</t>
  </si>
  <si>
    <t>GRAND TOTAL  DR. BALANCE</t>
  </si>
  <si>
    <t>LESS: CREDIT BALANCE</t>
  </si>
  <si>
    <t>UNIVERSAL INFRA &amp; AGRI OILS P LTD</t>
  </si>
  <si>
    <t>HPML/20-21/2590</t>
  </si>
  <si>
    <t>EXCESS PAYMENT RECEIVED</t>
  </si>
  <si>
    <t>Balance Nil</t>
  </si>
  <si>
    <t>Summery - Debtors Type</t>
  </si>
  <si>
    <t>Total Debtors</t>
  </si>
  <si>
    <t>Diff.</t>
  </si>
  <si>
    <t>Staff Loan Repayment Schdule From 01.04.2020 to 31.03.2021</t>
  </si>
  <si>
    <t>bookcd</t>
  </si>
  <si>
    <t>bookdes</t>
  </si>
  <si>
    <t>accd</t>
  </si>
  <si>
    <t>acname</t>
  </si>
  <si>
    <t>trcurcd</t>
  </si>
  <si>
    <t>subldcd</t>
  </si>
  <si>
    <t>Emplyee Name</t>
  </si>
  <si>
    <t>Loan Amount as on 31.03.2021</t>
  </si>
  <si>
    <t>&lt; 1 Year</t>
  </si>
  <si>
    <t>&gt; 1 Year</t>
  </si>
  <si>
    <t>AP</t>
  </si>
  <si>
    <t>Amol Pharma</t>
  </si>
  <si>
    <t>200215</t>
  </si>
  <si>
    <t>Staff Loan</t>
  </si>
  <si>
    <t>RS</t>
  </si>
  <si>
    <t>AP/002</t>
  </si>
  <si>
    <t>AP/035</t>
  </si>
  <si>
    <t>Mohd. Anis Abdul Aziz</t>
  </si>
  <si>
    <t>Vinod Samsurkar</t>
  </si>
  <si>
    <t>SURESH KUMAR SAHU</t>
  </si>
  <si>
    <t>HARDOLI PAPER MILLS LTD</t>
  </si>
  <si>
    <t>ANNEXURE A</t>
  </si>
  <si>
    <t>RE: PARTICULARS OF DEPRECIATION ALLOWABLE AS PER INCOME TAX ACT</t>
  </si>
  <si>
    <t>REF : CLAUSE '18' OF FORM 3CD</t>
  </si>
  <si>
    <t>Name Of Asset</t>
  </si>
  <si>
    <t xml:space="preserve">Rate of </t>
  </si>
  <si>
    <t>W.D.V.as on</t>
  </si>
  <si>
    <t>Addition</t>
  </si>
  <si>
    <t>Exchange Difference (Gain)/ Loss</t>
  </si>
  <si>
    <t>Deletions</t>
  </si>
  <si>
    <t xml:space="preserve">Depreciation </t>
  </si>
  <si>
    <t>Additional Depreciation for the Current Year</t>
  </si>
  <si>
    <t>Additional Depreciation for the Preceeding Year</t>
  </si>
  <si>
    <t>Total 
Depreciation</t>
  </si>
  <si>
    <t xml:space="preserve">W.D.V.as on </t>
  </si>
  <si>
    <t>Additional Depreciation to be carried forward</t>
  </si>
  <si>
    <t>Depren</t>
  </si>
  <si>
    <t>Before 6</t>
  </si>
  <si>
    <t>After 6</t>
  </si>
  <si>
    <t>Allowable</t>
  </si>
  <si>
    <t>Months</t>
  </si>
  <si>
    <t>BLOCK I</t>
  </si>
  <si>
    <t>Block I Total</t>
  </si>
  <si>
    <t>BLOCK II</t>
  </si>
  <si>
    <t>Block II Total</t>
  </si>
  <si>
    <t>BLOCK III</t>
  </si>
  <si>
    <t xml:space="preserve">Furniture &amp; Fixtures </t>
  </si>
  <si>
    <t>Electric Installation</t>
  </si>
  <si>
    <t>Block III Total</t>
  </si>
  <si>
    <t>BLOCK IV</t>
  </si>
  <si>
    <t>Car &amp; Motor Vehicle</t>
  </si>
  <si>
    <t>Block IV Total</t>
  </si>
  <si>
    <t>BLOCK V</t>
  </si>
  <si>
    <t>a</t>
  </si>
  <si>
    <t>b</t>
  </si>
  <si>
    <t>Plant &amp; Machinery (No Add Dep)</t>
  </si>
  <si>
    <t>c</t>
  </si>
  <si>
    <t>Pollution Control Equipment</t>
  </si>
  <si>
    <t>Block V Total</t>
  </si>
  <si>
    <t>BLOCK VI</t>
  </si>
  <si>
    <t>Block VI Total</t>
  </si>
  <si>
    <t>Additonal Dep.</t>
  </si>
  <si>
    <t>Before</t>
  </si>
  <si>
    <t>After</t>
  </si>
  <si>
    <t>Additonal to be carried forward</t>
  </si>
  <si>
    <t>(as per details given below)</t>
  </si>
  <si>
    <t>Plant and Machiney</t>
  </si>
  <si>
    <t>01.04.2020</t>
  </si>
  <si>
    <t>ASSESSMENT YEAR 2020-21</t>
  </si>
  <si>
    <t>Computation of additional deprecation 2020-21</t>
  </si>
  <si>
    <t>Additional dep of last year 2019-20</t>
  </si>
  <si>
    <t>Actual  Value (Rs.)</t>
  </si>
  <si>
    <t>Tax Value (Rs.)</t>
  </si>
  <si>
    <t>Difference on account of Depreciation</t>
  </si>
  <si>
    <t>WDV as per Companies Act (excluding Revaluation reserve)</t>
  </si>
  <si>
    <t>WDV as per Income Tax Act</t>
  </si>
  <si>
    <t xml:space="preserve">                  Deferred Tax Liability</t>
  </si>
  <si>
    <t>Provision for Bonus</t>
  </si>
  <si>
    <t>Provision for Gratuity</t>
  </si>
  <si>
    <t>Provision for Leave encashment</t>
  </si>
  <si>
    <t>Business Losses</t>
  </si>
  <si>
    <t>Deferred Tax Asset</t>
  </si>
  <si>
    <t>Total Deferred Tax Asset</t>
  </si>
  <si>
    <t>Total Deferred Tax Liability</t>
  </si>
  <si>
    <t>Opening Balance of Deferred Tax Liability</t>
  </si>
  <si>
    <t>Clubbed Entry</t>
  </si>
  <si>
    <t xml:space="preserve">Profit &amp; Loss A/c                                   </t>
  </si>
  <si>
    <t xml:space="preserve"> Dr.</t>
  </si>
  <si>
    <t xml:space="preserve">         To Deferred Tax Liability</t>
  </si>
  <si>
    <t>AY 2021-22</t>
  </si>
  <si>
    <t>Deferred Tax Assets for the year ended 31.03.21</t>
  </si>
  <si>
    <t>Contact : 0712-2770168, 0712-2770968</t>
  </si>
  <si>
    <t>Interest Accured on Deposit</t>
  </si>
  <si>
    <t>SALES A/C INTERASTATE (SALES A/C INTERnSTATE)</t>
  </si>
  <si>
    <t>Difference in opening balances</t>
  </si>
  <si>
    <t>Interest on I.T. Refund A.Y. 2020-21</t>
  </si>
  <si>
    <t>Depreciation as per P&amp;L</t>
  </si>
  <si>
    <t>Depreciation as per PPE</t>
  </si>
  <si>
    <t>Loss on sales of asset</t>
  </si>
  <si>
    <t>ACTUAL</t>
  </si>
  <si>
    <t>I</t>
  </si>
  <si>
    <t>RATIO ANALYSIS</t>
  </si>
  <si>
    <t>Net  Sales</t>
  </si>
  <si>
    <t>EBIDTA (including Other Income)</t>
  </si>
  <si>
    <t>Current Assets</t>
  </si>
  <si>
    <t>Less: Adjustments</t>
  </si>
  <si>
    <t>Adjusted Current Assets</t>
  </si>
  <si>
    <t>Current Liabilities</t>
  </si>
  <si>
    <r>
      <t xml:space="preserve">less: </t>
    </r>
    <r>
      <rPr>
        <sz val="10"/>
        <rFont val="Book Antiqua"/>
        <family val="1"/>
      </rPr>
      <t>Creditors for Capital Goods</t>
    </r>
  </si>
  <si>
    <t>Adjusted Current Liabilities</t>
  </si>
  <si>
    <t>Net Working Capital</t>
  </si>
  <si>
    <t xml:space="preserve">Gross Profit </t>
  </si>
  <si>
    <t>Cash Accruals</t>
  </si>
  <si>
    <t>Total Outside Liabilities</t>
  </si>
  <si>
    <t>Tangible Net Worth</t>
  </si>
  <si>
    <t>Net Worth</t>
  </si>
  <si>
    <t>Less: Investment in Associates</t>
  </si>
  <si>
    <t>Adjusted Net Worth</t>
  </si>
  <si>
    <t>Total Tangible Assets</t>
  </si>
  <si>
    <t>Working capital Loans</t>
  </si>
  <si>
    <t>Total Debt</t>
  </si>
  <si>
    <t>II</t>
  </si>
  <si>
    <t>CRITICAL RATIOS</t>
  </si>
  <si>
    <t>Growth in Sales</t>
  </si>
  <si>
    <t>Gross Profit Ratio</t>
  </si>
  <si>
    <t>EBIDTA/Sales</t>
  </si>
  <si>
    <t>Consumption Ratio</t>
  </si>
  <si>
    <t>PBT/Sales</t>
  </si>
  <si>
    <t>PBT/Sales (Excl. Extraordinary Items)</t>
  </si>
  <si>
    <t>PAT/Sales</t>
  </si>
  <si>
    <t xml:space="preserve">PAT/Sales </t>
  </si>
  <si>
    <t>Interest Coverage  (PBDIT/Int. times)</t>
  </si>
  <si>
    <t>TOL/TNW</t>
  </si>
  <si>
    <t>Current Ratio(CA/CL)</t>
  </si>
  <si>
    <t>Current ratio Excluding TL Installment</t>
  </si>
  <si>
    <t>NWC/CA(%)</t>
  </si>
  <si>
    <t>ROCE(PBDIT incl. Other Income/TTA)</t>
  </si>
  <si>
    <t>Cash Accruals/ Net Sales</t>
  </si>
  <si>
    <t>Debt/EBIDTA</t>
  </si>
  <si>
    <t>III</t>
  </si>
  <si>
    <t>OTHER RATIOS</t>
  </si>
  <si>
    <t>Operating Profit/Sales</t>
  </si>
  <si>
    <t>Operating Costs(Excl. Intt)/sales</t>
  </si>
  <si>
    <t>Deferred Debt/Equity</t>
  </si>
  <si>
    <t>CA/TTA(%)</t>
  </si>
  <si>
    <t>Bank Borrowings/Current Assets</t>
  </si>
  <si>
    <t>Inventory to Total Current Assets</t>
  </si>
  <si>
    <t>Receivable to Total Current Assets</t>
  </si>
  <si>
    <t>Inventory to Sales (days)</t>
  </si>
  <si>
    <t>Receivables to Sales (days)</t>
  </si>
  <si>
    <t>Creditors to RMC (days)</t>
  </si>
  <si>
    <t>RMC in Sales</t>
  </si>
  <si>
    <t>Debtors Holding Period in Days</t>
  </si>
  <si>
    <t>Creditors Holding Period in Days</t>
  </si>
  <si>
    <t>Raw Material Holding Period in Days</t>
  </si>
  <si>
    <t xml:space="preserve">Brought Forward Loss / Unabsorbed Depreciation  </t>
  </si>
  <si>
    <t>Business Loss</t>
  </si>
  <si>
    <t>Unabsorbed Depreciation</t>
  </si>
  <si>
    <t>Normal Depreciation</t>
  </si>
  <si>
    <t>Additional Depreciation</t>
  </si>
  <si>
    <t>AY 2016-17</t>
  </si>
  <si>
    <t>Less: Set off Against Income of AY 2018-19</t>
  </si>
  <si>
    <t>Less: Set off Against Income of AY 2020-21</t>
  </si>
  <si>
    <t>Add  : Education Cess @ 4%</t>
  </si>
  <si>
    <t>Interest Calculation u/s 234C</t>
  </si>
  <si>
    <t>S. No.</t>
  </si>
  <si>
    <t>Installment Period</t>
  </si>
  <si>
    <t>Total Tax Due</t>
  </si>
  <si>
    <t>To Be Deposited (In %)</t>
  </si>
  <si>
    <t>To Be Deposited (In Amount)</t>
  </si>
  <si>
    <t>Deposit Amount</t>
  </si>
  <si>
    <t>Remaining Tax Due</t>
  </si>
  <si>
    <t>Int Rate (In %)</t>
  </si>
  <si>
    <t>First (Up to June)</t>
  </si>
  <si>
    <t>Second (Up to Sep)</t>
  </si>
  <si>
    <t>Third (Up to Dec)</t>
  </si>
  <si>
    <t>Fourth (Up to March)</t>
  </si>
  <si>
    <t>FOR DARAK AND ASSOCIATES</t>
  </si>
  <si>
    <t>AMIT M DARAK</t>
  </si>
  <si>
    <t>FIRM REGISTRATION NO: 132818W</t>
  </si>
  <si>
    <t>Membership No:144005</t>
  </si>
  <si>
    <t>UDIN:</t>
  </si>
  <si>
    <t>Chandra Coal Private Ltd (Coal Purchase &amp; Coal Liasoning Charges)</t>
  </si>
  <si>
    <t>Salary to Related Party</t>
  </si>
  <si>
    <t>DEPOSIT ACCOUNT NO</t>
  </si>
  <si>
    <t>DEPOSIT DATE</t>
  </si>
  <si>
    <t>MATURITY DATE</t>
  </si>
  <si>
    <t>DEPOSIT AMOUNT</t>
  </si>
  <si>
    <t>INTEREST RATE</t>
  </si>
  <si>
    <t>Interest for Period 1-4-2020 to 31-03-2021</t>
  </si>
  <si>
    <t>TDS</t>
  </si>
  <si>
    <t>INTREST AS ON 31-03-2021</t>
  </si>
  <si>
    <t>BALANCE AS ON 31-03-2021</t>
  </si>
  <si>
    <t>MATURITY AMOUNT</t>
  </si>
  <si>
    <t>PURPOSE OF FD</t>
  </si>
  <si>
    <t>07.03.2019</t>
  </si>
  <si>
    <t>31.10.2021</t>
  </si>
  <si>
    <t>MPCB</t>
  </si>
  <si>
    <t>14.03.2016</t>
  </si>
  <si>
    <t>31.05.2021</t>
  </si>
  <si>
    <t>MSEDCL</t>
  </si>
  <si>
    <t>17.02.2021</t>
  </si>
  <si>
    <t>31.08.2021</t>
  </si>
  <si>
    <t>CUSTOM</t>
  </si>
  <si>
    <t>Unidentified Difference</t>
  </si>
  <si>
    <t>Matured</t>
  </si>
  <si>
    <t>Pending from Hardoli, entries to be rectified.</t>
  </si>
  <si>
    <t>Details of Capital Advance as on 31-03-2021</t>
  </si>
  <si>
    <t>vendorname</t>
  </si>
  <si>
    <t>Date of Advance</t>
  </si>
  <si>
    <t>Ageing</t>
  </si>
  <si>
    <t xml:space="preserve">Amt of Advance </t>
  </si>
  <si>
    <t>Amt of Bill / PO</t>
  </si>
  <si>
    <t>Contingent Liability</t>
  </si>
  <si>
    <t>Kessela Engineering P. Ltd.</t>
  </si>
  <si>
    <t>Remarks</t>
  </si>
  <si>
    <t>Deposits</t>
  </si>
  <si>
    <t>HARDOLI PAPER MILLS LTD. NAGPUR.</t>
  </si>
  <si>
    <t>Prepaid Insurance Statement Period From 01/04/2020 To 31/03/2021</t>
  </si>
  <si>
    <t>S.N.</t>
  </si>
  <si>
    <t>POLICY NO.</t>
  </si>
  <si>
    <t>NAME OF POLICY</t>
  </si>
  <si>
    <t>NATURE OF POLICY</t>
  </si>
  <si>
    <t xml:space="preserve">POLICY </t>
  </si>
  <si>
    <t>PRIMIUM</t>
  </si>
  <si>
    <t>NET</t>
  </si>
  <si>
    <t>PERIOD</t>
  </si>
  <si>
    <t xml:space="preserve">For The </t>
  </si>
  <si>
    <t>PRE</t>
  </si>
  <si>
    <t>AMT.</t>
  </si>
  <si>
    <t>CGST</t>
  </si>
  <si>
    <t>SGST</t>
  </si>
  <si>
    <t>IGST</t>
  </si>
  <si>
    <t>Year</t>
  </si>
  <si>
    <t>PAID</t>
  </si>
  <si>
    <t>FROM</t>
  </si>
  <si>
    <t>TO</t>
  </si>
  <si>
    <t>281800111910000289</t>
  </si>
  <si>
    <t xml:space="preserve">Standard Fire &amp; Special </t>
  </si>
  <si>
    <t>Stock Increased</t>
  </si>
  <si>
    <t>08/07/19</t>
  </si>
  <si>
    <t>07/07/20</t>
  </si>
  <si>
    <t>Perils Policy</t>
  </si>
  <si>
    <t>281800312010000299</t>
  </si>
  <si>
    <t>Vehicle Insurance Policy</t>
  </si>
  <si>
    <t>SKODA RAPID  V.NO. MH-31 EA-1889</t>
  </si>
  <si>
    <t>28/04/20</t>
  </si>
  <si>
    <t>27/04/21</t>
  </si>
  <si>
    <t>281800442010000003</t>
  </si>
  <si>
    <t>Contractors Plant &amp; M/c.</t>
  </si>
  <si>
    <r>
      <rPr>
        <sz val="11"/>
        <rFont val="Arial"/>
        <family val="2"/>
      </rPr>
      <t>FORK LIFT TRUCK VOLTAS</t>
    </r>
    <r>
      <rPr>
        <sz val="12"/>
        <rFont val="Arial"/>
        <family val="2"/>
      </rPr>
      <t xml:space="preserve"> </t>
    </r>
    <r>
      <rPr>
        <sz val="9"/>
        <rFont val="Arial"/>
        <family val="2"/>
      </rPr>
      <t>[20FCBCHUT 2125-2015]</t>
    </r>
  </si>
  <si>
    <t>08/05/20</t>
  </si>
  <si>
    <t>07/05/21</t>
  </si>
  <si>
    <t>281800312010000475</t>
  </si>
  <si>
    <t>MARUTI SUZUKI ALTO -MH 49 AS 8426 [2018]</t>
  </si>
  <si>
    <t>11/05/20</t>
  </si>
  <si>
    <t>10/05/21</t>
  </si>
  <si>
    <t>281800442010000006</t>
  </si>
  <si>
    <r>
      <rPr>
        <sz val="11"/>
        <rFont val="Arial"/>
        <family val="2"/>
      </rPr>
      <t>FORK LIFT TRUCK VOLTAS</t>
    </r>
    <r>
      <rPr>
        <sz val="12"/>
        <rFont val="Arial"/>
        <family val="2"/>
      </rPr>
      <t xml:space="preserve"> </t>
    </r>
    <r>
      <rPr>
        <sz val="10"/>
        <rFont val="Arial"/>
        <family val="2"/>
      </rPr>
      <t>[DVXD1215 8552-2012]</t>
    </r>
  </si>
  <si>
    <t>25/05/20</t>
  </si>
  <si>
    <t>24/05/21</t>
  </si>
  <si>
    <t>281800442010000005</t>
  </si>
  <si>
    <r>
      <rPr>
        <sz val="11"/>
        <rFont val="Arial"/>
        <family val="2"/>
      </rPr>
      <t>FORK LIFT TRUCK VOLTAS</t>
    </r>
    <r>
      <rPr>
        <sz val="12"/>
        <rFont val="Arial"/>
        <family val="2"/>
      </rPr>
      <t xml:space="preserve"> </t>
    </r>
    <r>
      <rPr>
        <sz val="10"/>
        <rFont val="Arial"/>
        <family val="2"/>
      </rPr>
      <t>[DVXE18167230-2018]</t>
    </r>
  </si>
  <si>
    <t>26/05/20</t>
  </si>
  <si>
    <t>25/05/21</t>
  </si>
  <si>
    <t>281800592010000207</t>
  </si>
  <si>
    <t>Money Insurance</t>
  </si>
  <si>
    <t xml:space="preserve">Risk covered for money transit from office to </t>
  </si>
  <si>
    <t>08/07/20</t>
  </si>
  <si>
    <t>07/07/21</t>
  </si>
  <si>
    <t>factory mkt. Cash carring in bank to factory,</t>
  </si>
  <si>
    <t>House, Mkt. &amp; Vice Versa.</t>
  </si>
  <si>
    <t>Carried by employees carring in brief case,</t>
  </si>
  <si>
    <t>suitcase, cloth bags. Cash in safe at Factory.</t>
  </si>
  <si>
    <t>281800592010000206</t>
  </si>
  <si>
    <t>Office Package Insurance</t>
  </si>
  <si>
    <t>Electronic Equipments, Clothing &amp; Personal</t>
  </si>
  <si>
    <t>11/07/20</t>
  </si>
  <si>
    <t>10/07/21</t>
  </si>
  <si>
    <t>effects. Business  Furniture, furninishing, safes</t>
  </si>
  <si>
    <t>office machinery, fixtures &amp;fittings unused office</t>
  </si>
  <si>
    <t>stationery, Baggage, Personal accident. Money</t>
  </si>
  <si>
    <t>ascept Wages and Salary in direct transit bet-</t>
  </si>
  <si>
    <t>ween any two places</t>
  </si>
  <si>
    <t>281800112010000226</t>
  </si>
  <si>
    <t>1]Other Stocks :</t>
  </si>
  <si>
    <t xml:space="preserve"> 1)Raw Material, Imported pulp boards waste</t>
  </si>
  <si>
    <t xml:space="preserve">    papers and others.</t>
  </si>
  <si>
    <t xml:space="preserve"> 2)Finished Semifinished goods.</t>
  </si>
  <si>
    <t xml:space="preserve"> 3)Chemicals/Powders etc.</t>
  </si>
  <si>
    <t xml:space="preserve"> 4)Coal, Coke, Fuel etc.</t>
  </si>
  <si>
    <t>281800112010000227</t>
  </si>
  <si>
    <t>1] Building (S) Only :</t>
  </si>
  <si>
    <t>12/07/20</t>
  </si>
  <si>
    <t>11/07/21</t>
  </si>
  <si>
    <t xml:space="preserve"> 1)On main factory building &amp; various blocks.</t>
  </si>
  <si>
    <t>2] Plant/Machinery &amp; Accessories :</t>
  </si>
  <si>
    <t>1) On Plant and Machineries, Electrical Motors</t>
  </si>
  <si>
    <t xml:space="preserve"> Panels, Cables, Capacitor, Boiler with all acc.</t>
  </si>
  <si>
    <t xml:space="preserve"> Transformer spares packing material stores</t>
  </si>
  <si>
    <t xml:space="preserve"> items and other as per Insured trade and other</t>
  </si>
  <si>
    <t xml:space="preserve"> detail as per renewal.</t>
  </si>
  <si>
    <t>3] Furniture, Fixtures and Fittings</t>
  </si>
  <si>
    <t>281800592010000231</t>
  </si>
  <si>
    <t>Burglary B.P. Policy</t>
  </si>
  <si>
    <t>On Stocks of All Kinds Of Finished Semifinshed</t>
  </si>
  <si>
    <t>18/07/20</t>
  </si>
  <si>
    <t>17/07/21</t>
  </si>
  <si>
    <t>Chemical Packing Materrials And Store Items</t>
  </si>
  <si>
    <t>As Per Trade Goods Kept In Ist Class Construction</t>
  </si>
  <si>
    <t>281800422010000786</t>
  </si>
  <si>
    <t>Personal Accident Policy</t>
  </si>
  <si>
    <t>Shri Anil Lakhotiya</t>
  </si>
  <si>
    <t>11/10/20</t>
  </si>
  <si>
    <t>10/10/21</t>
  </si>
  <si>
    <t>281800422010000787</t>
  </si>
  <si>
    <t>''</t>
  </si>
  <si>
    <t>Shri K. P. Agrawal</t>
  </si>
  <si>
    <t>281800422010000788</t>
  </si>
  <si>
    <t>Shri Devidas D. Pande</t>
  </si>
  <si>
    <t>09/10/20</t>
  </si>
  <si>
    <t>08/10/21</t>
  </si>
  <si>
    <t>281800312010000645</t>
  </si>
  <si>
    <t>TOYOTA INNOVA CRYSTA  V.NO. MH-49-BB-9738</t>
  </si>
  <si>
    <t>27/11/20</t>
  </si>
  <si>
    <t>26/11/22</t>
  </si>
  <si>
    <t>281800312010003848</t>
  </si>
  <si>
    <t>TOYOTA INNOVA  V.NO. MH-40-KR-9681</t>
  </si>
  <si>
    <t>09/12/20</t>
  </si>
  <si>
    <t>08/12/21</t>
  </si>
  <si>
    <t>281800412010000057</t>
  </si>
  <si>
    <t>Workmen Compensation</t>
  </si>
  <si>
    <t>105 Employees/Contractors Employee/Sub-Cont.</t>
  </si>
  <si>
    <t>16/12/20</t>
  </si>
  <si>
    <t>15/12/21</t>
  </si>
  <si>
    <t>Policy</t>
  </si>
  <si>
    <t>Labours, Casual Employees</t>
  </si>
  <si>
    <t>Group Workers Welfare Policy</t>
  </si>
  <si>
    <t>On muster staff employees Technical Staff,</t>
  </si>
  <si>
    <t>Factory Staff, Office Staff.</t>
  </si>
  <si>
    <t>Group Personal Accident Policy</t>
  </si>
  <si>
    <t>281800442010000044</t>
  </si>
  <si>
    <r>
      <rPr>
        <sz val="11"/>
        <rFont val="Arial"/>
        <family val="2"/>
      </rPr>
      <t>FORK LIFT TRUCK VOLTAS</t>
    </r>
    <r>
      <rPr>
        <sz val="12"/>
        <rFont val="Arial"/>
        <family val="2"/>
      </rPr>
      <t xml:space="preserve"> </t>
    </r>
    <r>
      <rPr>
        <sz val="8"/>
        <rFont val="Arial"/>
        <family val="2"/>
      </rPr>
      <t>[KIG16702KMA002071-2021]</t>
    </r>
  </si>
  <si>
    <t>06/02/21</t>
  </si>
  <si>
    <t>05/02/22</t>
  </si>
  <si>
    <t>281108312010004180</t>
  </si>
  <si>
    <t>TOYOTA INNOVA  V.NO. MH-49-B-3689</t>
  </si>
  <si>
    <t>12/03/21</t>
  </si>
  <si>
    <t>11/03/22</t>
  </si>
  <si>
    <t>281800422010001754</t>
  </si>
  <si>
    <t>Shri Mahadeo Motghare</t>
  </si>
  <si>
    <t>31/03/21</t>
  </si>
  <si>
    <t>30/03/22</t>
  </si>
  <si>
    <t>28180021200000011</t>
  </si>
  <si>
    <t>Marine Policy</t>
  </si>
  <si>
    <r>
      <t xml:space="preserve">Balance as on </t>
    </r>
    <r>
      <rPr>
        <b/>
        <u/>
        <sz val="11"/>
        <rFont val="Arial"/>
        <family val="2"/>
      </rPr>
      <t>31.03.21 Rs. 98,63,850/-</t>
    </r>
    <r>
      <rPr>
        <b/>
        <sz val="11"/>
        <rFont val="Arial"/>
        <family val="2"/>
      </rPr>
      <t xml:space="preserve"> &amp; </t>
    </r>
    <r>
      <rPr>
        <b/>
        <u/>
        <sz val="11"/>
        <rFont val="Arial"/>
        <family val="2"/>
      </rPr>
      <t>Prepaid Amount Rs. 9,864/-</t>
    </r>
  </si>
  <si>
    <t>[For Sum Insured Rs. 2,00,00,000/- Premium Rs. 20,000/-]</t>
  </si>
  <si>
    <t>Insurance Prepaid Total</t>
  </si>
  <si>
    <t>KAILASH AGARWAL - WHOLE TIME DIRECTOR</t>
  </si>
  <si>
    <t>ANIL KUMAR LAKHOTIYA - MANAGING  DIRECTOR</t>
  </si>
  <si>
    <t>Discard of Fixed Assets</t>
  </si>
  <si>
    <t>Purchase Compensation</t>
  </si>
  <si>
    <t>Clearing &amp; Forwarding Expenses</t>
  </si>
  <si>
    <t>Selling &amp; Dist.-Clearing &amp; Forwarding</t>
  </si>
  <si>
    <t>Commission on sales</t>
  </si>
  <si>
    <t>Baljitkaur Manindersingh Saini</t>
  </si>
  <si>
    <t>Mrs. Baljitkaur Manindersingh Saini</t>
  </si>
  <si>
    <t>Bank Gurantee fiven to Customs Department</t>
  </si>
  <si>
    <t xml:space="preserve">PSI Subsidy for FY 2018-19 &amp; FY 2019-20 is recognised in the books after the receipt of provisional sanction from office of District Industries Centre. </t>
  </si>
  <si>
    <t>Sales in Transit</t>
  </si>
  <si>
    <t>Finished Goods (Sale in Transit)</t>
  </si>
  <si>
    <t>Disposal of Assets</t>
  </si>
  <si>
    <t>Income Tax Refunf A.Y. 2020-21</t>
  </si>
  <si>
    <t>Loss on Discardment of F A</t>
  </si>
  <si>
    <t>Note :</t>
  </si>
  <si>
    <t>1) Depreciation on building includes the depreciation charged on revalued amount of Rs, 573063/-.</t>
  </si>
  <si>
    <t>(Valued at cost or net realisable value whichever is less)</t>
  </si>
  <si>
    <t>Date: 25-06-2021</t>
  </si>
  <si>
    <t>Estimated amount of contracts remaining to be executed on Capital accounts and not provided</t>
  </si>
  <si>
    <t>Capital Commitments (Net of Advances )</t>
  </si>
  <si>
    <t>Promotion of Education</t>
  </si>
  <si>
    <t>Rural Development Projects</t>
  </si>
  <si>
    <t>Benefit of Police and their Family</t>
  </si>
  <si>
    <t>CSR Expenses Incurred in Subsequent FY</t>
  </si>
  <si>
    <t>Amount Incurred in Current FY Relating to Previous FY</t>
  </si>
  <si>
    <t>Amount required to be spent as per Section 135 of the Act:</t>
  </si>
  <si>
    <t>Unspent CSR Expenses</t>
  </si>
  <si>
    <t>NOTE 40 :</t>
  </si>
  <si>
    <t>NOTE 42 :</t>
  </si>
  <si>
    <t>NOTE 32: FAIR VALUE DISCLOSURES</t>
  </si>
  <si>
    <t>The carrying value and fair value of financial assets/liabilities by caregories are as follows:</t>
  </si>
  <si>
    <t>Notes</t>
  </si>
  <si>
    <t>a) Trade Receivables</t>
  </si>
  <si>
    <t>b) Cash and Cash Equivalents</t>
  </si>
  <si>
    <t>c) Bank Balances other than above</t>
  </si>
  <si>
    <t>d) Other Financial Assets</t>
  </si>
  <si>
    <t>a) Borrowings</t>
  </si>
  <si>
    <t>b) Trade Payables</t>
  </si>
  <si>
    <t xml:space="preserve"> Other current liabilities</t>
  </si>
  <si>
    <t>c) Other Financial Liabilities</t>
  </si>
  <si>
    <t>Fair value hierarchy and method of valuation</t>
  </si>
  <si>
    <t>The company considers that the carrying value amount recognised in the financial statements approximate the fair value largely due to the short term maturities of these instruments.</t>
  </si>
  <si>
    <t>Risk Management Framework</t>
  </si>
  <si>
    <t>The company's principle financial liabilities includes borrowings, trade and other payables. The company's principal financial assets includes loans, cash and cash equivalents and others. The company is exposed to credit risk, liquidity risk and market risk. The company's senior management oversees the management of these risks. The Company's senior management provides assurance that the Company's financial risk activities are governed by appropriate policies and procedures and that financial risks are identified, measured and managed in accordance with the company's policies and risk objectives.</t>
  </si>
  <si>
    <t>Financial Risk Management</t>
  </si>
  <si>
    <t>The Company has exposure to the following risks arising from financial instruments:</t>
  </si>
  <si>
    <t>The carrying amount of following financial assets represents the maximum credit exposure:</t>
  </si>
  <si>
    <r>
      <t xml:space="preserve">Trade receivables : </t>
    </r>
    <r>
      <rPr>
        <sz val="14"/>
        <rFont val="Calibri"/>
        <family val="2"/>
        <scheme val="minor"/>
      </rPr>
      <t>The Company’s exposure to credit risk is influenced mainly by the individual characteristics of each customer. Each outstanding customer receivables are regularly monitored and if outstanding is above due date, the further sales are controlled and can only be released if there is a proper justification. No impairment is observed in the carrying value of trade receivables.</t>
    </r>
  </si>
  <si>
    <r>
      <t xml:space="preserve">Other Financial Assets: </t>
    </r>
    <r>
      <rPr>
        <sz val="14"/>
        <rFont val="Calibri"/>
        <family val="2"/>
        <scheme val="minor"/>
      </rPr>
      <t xml:space="preserve">Credit risk from balances with banks and loans, advances are managed by responsible and authorised person of the Company. Investments of surplus funds are made only with approved counterparties. </t>
    </r>
  </si>
  <si>
    <r>
      <t>i)</t>
    </r>
    <r>
      <rPr>
        <b/>
        <sz val="14"/>
        <rFont val="Calibri"/>
        <family val="2"/>
        <scheme val="minor"/>
      </rPr>
      <t xml:space="preserve"> Credit Risk :</t>
    </r>
    <r>
      <rPr>
        <sz val="14"/>
        <rFont val="Calibri"/>
        <family val="2"/>
        <scheme val="minor"/>
      </rPr>
      <t xml:space="preserve"> Credit risk is the risk of financial loss to the Company if a customer or counterparty to a financial instrument fails to meet its contractual obligations and arises principally from the Company's receivables from customers, investment in inter corporate deposit and loans given to related parties.</t>
    </r>
  </si>
  <si>
    <r>
      <t xml:space="preserve">ii) </t>
    </r>
    <r>
      <rPr>
        <b/>
        <sz val="14"/>
        <rFont val="Calibri"/>
        <family val="2"/>
        <scheme val="minor"/>
      </rPr>
      <t xml:space="preserve">Liquidity Risk : </t>
    </r>
    <r>
      <rPr>
        <sz val="14"/>
        <rFont val="Calibri"/>
        <family val="2"/>
        <scheme val="minor"/>
      </rPr>
      <t>Liquidity risk is the risk that the Company will encounter difficulty in meeting the obligations associated with its financial liabilities that are settled by delivering cash or another financial asset. The Company’s approach in managing liquidity is to ensure as far as possible that it will have sufficient liquidity to meet its liabilities when they are due, under both normal and stressed condition, without incurring unacceptablelosses or risking damage to the Company’s reputation</t>
    </r>
  </si>
  <si>
    <t>The Management monitors rolling forecasts of the Company's liquidity position on the basis of expected cash flows. The Company’s objective is to maintain a balance between continuity of funding and flexibility through the use of surplus funds and inter-corporate loans.</t>
  </si>
  <si>
    <r>
      <t xml:space="preserve">iii) </t>
    </r>
    <r>
      <rPr>
        <b/>
        <sz val="14"/>
        <rFont val="Calibri"/>
        <family val="2"/>
        <scheme val="minor"/>
      </rPr>
      <t xml:space="preserve">Market Risk : </t>
    </r>
    <r>
      <rPr>
        <sz val="14"/>
        <rFont val="Calibri"/>
        <family val="2"/>
        <scheme val="minor"/>
      </rPr>
      <t>Market risk is the risk that changes in market prices such as foreign exchange rates, interest rates and commodity prices which will affect the Company’s income or the value of its holdings of financial instruments. The objective of market risk management is to manage and control market exposures within acceptable parameters, while optimising the return.</t>
    </r>
    <r>
      <rPr>
        <b/>
        <sz val="14"/>
        <rFont val="Calibri"/>
        <family val="2"/>
        <scheme val="minor"/>
      </rPr>
      <t xml:space="preserve"> </t>
    </r>
  </si>
  <si>
    <r>
      <t xml:space="preserve">a) </t>
    </r>
    <r>
      <rPr>
        <b/>
        <sz val="14"/>
        <rFont val="Calibri"/>
        <family val="2"/>
        <scheme val="minor"/>
      </rPr>
      <t xml:space="preserve">Foreign currency risk </t>
    </r>
    <r>
      <rPr>
        <sz val="14"/>
        <rFont val="Calibri"/>
        <family val="2"/>
        <scheme val="minor"/>
      </rPr>
      <t>is the risk that the value of financial instruments will fluctuate due to changes in foreign exchange rates. It arises mainly where receivables and payables exist due to transactions entered in foreign currencies.</t>
    </r>
  </si>
  <si>
    <r>
      <t>b)</t>
    </r>
    <r>
      <rPr>
        <b/>
        <sz val="14"/>
        <rFont val="Calibri"/>
        <family val="2"/>
        <scheme val="minor"/>
      </rPr>
      <t xml:space="preserve"> Interest rate risk :</t>
    </r>
    <r>
      <rPr>
        <sz val="14"/>
        <rFont val="Calibri"/>
        <family val="2"/>
        <scheme val="minor"/>
      </rPr>
      <t xml:space="preserve"> Interest rate risk is the risk that the future cash flows of a financial instrument will fluctuate because of changes in market interest rates. The Company’s main interest rate risk arises from long-term borrowings with variable rates, which expose the Company to cash flow interest rate risk.</t>
    </r>
  </si>
  <si>
    <t>Exposure to interest rate risk</t>
  </si>
  <si>
    <t>The Company’s interest rate risk arises majorly from the term loans from banks carrying floating rate of interest. These obligations exposes the Company to cash flow interest rate risk. The exposure of the Company’s borrowing to interest rate changes as reported to the management at the end of the reporting period are as follows:</t>
  </si>
  <si>
    <t>Particulars Variable - rate Instruments</t>
  </si>
  <si>
    <t>Current Borrowings (Working Capital Facility)</t>
  </si>
  <si>
    <t>Term Loan including WCTL  from Bank</t>
  </si>
  <si>
    <t>Current maturities of non-current borrowings</t>
  </si>
  <si>
    <t>NOTE 33: CAPITAL MANAGEMENT</t>
  </si>
  <si>
    <t>For the purpose of the Company’s capital management, capital includes issued equity share capital, share premium and all other equity reserves attributable to the equity holders. The primary objective of the management of the Company’s capital structure is to maintain an efficient mix of debt and equity in order to achieve a low cost of capital, while taking into account the desirability of retaining financial flexibility to pursue business opportunities and adequate access to liquidity to mitigate the effect of unforeseen events on cash flows.</t>
  </si>
  <si>
    <t>The Company manages its capital structure and makes adjustments to it in light of changes in economic conditions. To maintain or adjust the capital structure, the Company may return capital to shareholders, raise new debt or issue new shares.</t>
  </si>
  <si>
    <t>The Company monitors capital on the basis of the debt to capital ratio, which is calculated as interest-bearing debts divided by total capital (equity attributable to owners of the parent plus interest-bearing debts)</t>
  </si>
  <si>
    <t>No changes were made in the objectives, policies or processes for managing capital during the years ended 31 March 2021 and
31 March 2020</t>
  </si>
  <si>
    <t>NOTE 34 : Disclosure required by INDAS 19-Employee Benefits</t>
  </si>
  <si>
    <t>NOTE 35 :</t>
  </si>
  <si>
    <t>NOTE 36 :</t>
  </si>
  <si>
    <t>NOTE 37: CORPORATE SOCIAL RESPONSIBILITY</t>
  </si>
  <si>
    <t>NOTE 38 :  RELATED PARTIES DISCLOSURE</t>
  </si>
  <si>
    <t>NOTE 39 :CONTINGENT LIABILITIES &amp; CAPITAL COMMITMENTS</t>
  </si>
  <si>
    <t>NOTE 41 :</t>
  </si>
  <si>
    <t>NOTE 43 :PSI Subsidy</t>
  </si>
  <si>
    <t>NOTE 44 :</t>
  </si>
  <si>
    <t>Information as required to be furnished as per section 22 of the Micro, Small and Medium Enterprises Development Act, 2006 (MSMED Act) for the year ended March 31,2021 is given below. This infromation has been determind to the extent such parties have been identified on the basis of information available with the company</t>
  </si>
  <si>
    <t>Current Provision for Gratuity (Refer Note 34)</t>
  </si>
  <si>
    <t xml:space="preserve">     - Manufacturing Sales</t>
  </si>
  <si>
    <t>CSR Expenses (Refer Note 37)</t>
  </si>
  <si>
    <t>1 to 44</t>
  </si>
  <si>
    <t xml:space="preserve">March 31, 2020 </t>
  </si>
  <si>
    <t xml:space="preserve">March 31, 2021 </t>
  </si>
  <si>
    <t>March 31, 2021</t>
  </si>
  <si>
    <t>31st March, 2021</t>
  </si>
  <si>
    <t xml:space="preserve">31st March, 2020 </t>
  </si>
  <si>
    <t>Rs. in Lakhs</t>
  </si>
  <si>
    <t>CSR Expenses payable</t>
  </si>
  <si>
    <t>CSR Expenses  Payable</t>
  </si>
  <si>
    <t>CSR Expenses to be Incurred</t>
  </si>
  <si>
    <t>(2) Earlier Year Taxes</t>
  </si>
  <si>
    <t>Raw Materials  (Stock in Transit of ₹ 43,80,095/-)</t>
  </si>
  <si>
    <t>Less: Closing Stock  (Stock in Transit of ₹ 43,80,095/-)</t>
  </si>
  <si>
    <t>Loss on Sale / Disacrdment of PPE</t>
  </si>
  <si>
    <t>Less : Closing Stock (Sale in Transit of ₹ 78,92,030/-)</t>
  </si>
  <si>
    <t>Finished Goods   (Sale in Transit of ₹ 78,62,030/-)</t>
  </si>
  <si>
    <t>(3) MAT credit Entilement</t>
  </si>
  <si>
    <t>(4) Deferred tax</t>
  </si>
  <si>
    <t>Regd Office : Krishna Kunj, 1st Floor, Central Ave, Bhavsar Chowk, Gandhibagh, Nagpur, Maharashtra 440002</t>
  </si>
  <si>
    <t xml:space="preserve">CIN - U21010MH1995PLC085883 </t>
  </si>
  <si>
    <t>Audited financial results for the Quarter and year ended 31/03/2021</t>
  </si>
  <si>
    <t>Sr. no</t>
  </si>
  <si>
    <t>Quarter Ended</t>
  </si>
  <si>
    <t>Year Ended 31/03/2021</t>
  </si>
  <si>
    <t>Year Ended 31/03/2020</t>
  </si>
  <si>
    <t>Un Audited</t>
  </si>
  <si>
    <t>Audited</t>
  </si>
  <si>
    <t>Income from Operations</t>
  </si>
  <si>
    <t>a)</t>
  </si>
  <si>
    <t>Net Sales/ Income from Operation</t>
  </si>
  <si>
    <t>b)</t>
  </si>
  <si>
    <t>Other  Income</t>
  </si>
  <si>
    <t>Total Income From Operation</t>
  </si>
  <si>
    <t>Expenses</t>
  </si>
  <si>
    <t>Cost of Material Consumed</t>
  </si>
  <si>
    <t>c)</t>
  </si>
  <si>
    <t>Changes in Inventories of Finished Goods and Work In Progress</t>
  </si>
  <si>
    <t>d)</t>
  </si>
  <si>
    <t>e)</t>
  </si>
  <si>
    <t>Depreciation and Amortisation</t>
  </si>
  <si>
    <t>f)</t>
  </si>
  <si>
    <t>Finance Cost</t>
  </si>
  <si>
    <t>g)</t>
  </si>
  <si>
    <t>Total Expenses</t>
  </si>
  <si>
    <t>Profit/(Loss) from Operations before Exceptional Items and Tax(I -II)</t>
  </si>
  <si>
    <t>IV</t>
  </si>
  <si>
    <t>Exceptional Items</t>
  </si>
  <si>
    <t>V</t>
  </si>
  <si>
    <t>Profit/(Loss) from Ordinary Activities before  Tax(III -IV)</t>
  </si>
  <si>
    <t>VI</t>
  </si>
  <si>
    <t>Tax Expenses</t>
  </si>
  <si>
    <t>Current tax</t>
  </si>
  <si>
    <t>Earlier Year Taxes</t>
  </si>
  <si>
    <t>MAT credit Entilement</t>
  </si>
  <si>
    <t>Deferred tax</t>
  </si>
  <si>
    <t>VII</t>
  </si>
  <si>
    <t>Profit/(Loss) for the period from Continuing  Operations(V-VI)</t>
  </si>
  <si>
    <t>VIII</t>
  </si>
  <si>
    <t>Other Comphrehensive Income/(Expenses)-Net of Taxes</t>
  </si>
  <si>
    <t>Items that will not be reclassified to profit or loss</t>
  </si>
  <si>
    <t>Income tax relating to items that will not be reclassified to profit or loss</t>
  </si>
  <si>
    <t>Items that will be reclassified to profit or loss</t>
  </si>
  <si>
    <t>IX</t>
  </si>
  <si>
    <t>Total Comprehensive Income for the Period(VII+VIII)</t>
  </si>
  <si>
    <t>X</t>
  </si>
  <si>
    <t>Paid up Equity Share Capital(Face Value of Rs. 10 Each)</t>
  </si>
  <si>
    <t>XI</t>
  </si>
  <si>
    <t>Earning Per Shares</t>
  </si>
  <si>
    <t>Basic</t>
  </si>
  <si>
    <t>Diluted</t>
  </si>
  <si>
    <t xml:space="preserve">Notes: </t>
  </si>
  <si>
    <t>1)</t>
  </si>
  <si>
    <t>The above results were reviewed by the Audit Committee and then approved by the Board at their respective meeting held on 25.06.2021</t>
  </si>
  <si>
    <t>2)</t>
  </si>
  <si>
    <t>The above financial results are prepared in compliance with Indian Accounting Standards ("IND-AS") as notified under Section 133 of the Companies Act, 2013 ("The Act") [ Companies (India Accounting Standards) Rules, 2015] as amended accordingly these financial results have been prepared in accordance with the recognition and measurement principles laid down in the Ind AS 34 Interim Financial reporting" prescribed under Section 133 of the Companies Act, 2013 read with the relevant rules issued there under.</t>
  </si>
  <si>
    <t>3)</t>
  </si>
  <si>
    <t>The Company is into manufacturing of Kraft Paper which is considered as the only reportable segment. The Company's operations are based in India.</t>
  </si>
  <si>
    <t>4)</t>
  </si>
  <si>
    <t>The figures for corresponding periods have been regrouped, wherever applicable, to make them comparable.</t>
  </si>
  <si>
    <t>(Rs. In Lacs, unless otherwise stated.)</t>
  </si>
  <si>
    <t>Statement Of Audited Assets and Liabilities as on 31st March 2021</t>
  </si>
  <si>
    <t>5)</t>
  </si>
  <si>
    <t>The figures of the quarter ended on 31st March 2021 and 31st March 2020 are balancing figures between audited figures in respect of full financial year and the unaudited published year to date figures upto the quarter ended on 31st December 2020 and 31st December 2019 respectively, which were subject to limited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</si>
</sst>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 #,##0.00_ ;_ * \-#,##0.00_ ;_ * &quot;-&quot;??_ ;_ @_ "/>
    <numFmt numFmtId="164" formatCode="&quot;&quot;0.00"/>
    <numFmt numFmtId="165" formatCode="&quot;&quot;0"/>
    <numFmt numFmtId="166" formatCode="_(* #,##0_);_(* \(#,##0\);_(* &quot;-&quot;_);_(@_)"/>
    <numFmt numFmtId="167" formatCode="_ * #,##0_ ;_ * \-#,##0_ ;_ * &quot;-&quot;??_ ;_ @_ "/>
    <numFmt numFmtId="168" formatCode="0.00;[Red]0.00"/>
    <numFmt numFmtId="169" formatCode="_(&quot;$&quot;* #,##0.00_);_(&quot;$&quot;* \(#,##0.00\);_(&quot;$&quot;* &quot;-&quot;??_);_(@_)"/>
    <numFmt numFmtId="170" formatCode="_(* #,##0_);_(* \(#,##0\);_(* &quot;-&quot;??_);_(@_)"/>
    <numFmt numFmtId="171" formatCode="[$-409]d\-mmm\-yy;@"/>
    <numFmt numFmtId="172" formatCode="_(* #,##0.00_);_(* \(#,##0.00\);_(* &quot;-&quot;??_);_(@_)"/>
    <numFmt numFmtId="173" formatCode="0;[Red]0"/>
    <numFmt numFmtId="174" formatCode="_ * #,##0.0_ ;_ * \-#,##0.0_ ;_ * &quot;-&quot;??_ ;_ @_ "/>
    <numFmt numFmtId="175" formatCode="0.0"/>
    <numFmt numFmtId="176" formatCode="_ * #,##0.000_ ;_ * \-#,##0.000_ ;_ * &quot;-&quot;??_ ;_ @_ "/>
    <numFmt numFmtId="177" formatCode="_ * #,##0.0000_ ;_ * \-#,##0.0000_ ;_ * &quot;-&quot;??_ ;_ @_ "/>
    <numFmt numFmtId="178" formatCode="_(* #,##0.000_);_(* \(#,##0.000\);_(* &quot;-&quot;??_);_(@_)"/>
    <numFmt numFmtId="179" formatCode="0_);\(0\)"/>
    <numFmt numFmtId="180" formatCode="_-* #,##0.00_-;\-* #,##0.00_-;_-* &quot;-&quot;??_-;_-@_-"/>
    <numFmt numFmtId="181" formatCode="_-* #,##0_-;\-* #,##0_-;_-* &quot;-&quot;??_-;_-@_-"/>
    <numFmt numFmtId="182" formatCode="dd\-mmm\-yyyy"/>
    <numFmt numFmtId="183" formatCode="dd\-mm\-yyyy"/>
    <numFmt numFmtId="184" formatCode="&quot;WORKINGS ON DEFERRED TAXATION AS ON &quot;[$-409]d\-mmm\-yy;@"/>
    <numFmt numFmtId="185" formatCode="0.0%"/>
    <numFmt numFmtId="186" formatCode="&quot;Deferred Tax Liability as on &quot;[$-409]d\-mmm\-yy;@"/>
    <numFmt numFmtId="187" formatCode="_(* #,##0.00_);_(* \(#,##0.00\);_(* &quot;-&quot;_);_(@_)"/>
    <numFmt numFmtId="188" formatCode="0.000000000000;[Red]0.000000000000"/>
    <numFmt numFmtId="189" formatCode="0.00000000;[Red]0.00000000"/>
    <numFmt numFmtId="190" formatCode="0.00000"/>
    <numFmt numFmtId="191" formatCode="#,##0.000000;\-#,##0.000000"/>
  </numFmts>
  <fonts count="118" x14ac:knownFonts="1">
    <font>
      <sz val="11"/>
      <color theme="1"/>
      <name val="Calibri"/>
      <family val="2"/>
      <scheme val="minor"/>
    </font>
    <font>
      <sz val="10"/>
      <color theme="1"/>
      <name val="Arial"/>
      <family val="2"/>
    </font>
    <font>
      <b/>
      <sz val="12"/>
      <color theme="1"/>
      <name val="Arial"/>
      <family val="2"/>
    </font>
    <font>
      <sz val="9"/>
      <color theme="1"/>
      <name val="Arial"/>
      <family val="2"/>
    </font>
    <font>
      <b/>
      <sz val="9"/>
      <color theme="1"/>
      <name val="Arial"/>
      <family val="2"/>
    </font>
    <font>
      <sz val="11"/>
      <color theme="1"/>
      <name val="Calibri"/>
      <family val="2"/>
      <scheme val="minor"/>
    </font>
    <font>
      <b/>
      <sz val="11"/>
      <color theme="1"/>
      <name val="Calibri"/>
      <family val="2"/>
      <scheme val="minor"/>
    </font>
    <font>
      <b/>
      <sz val="11"/>
      <color theme="1"/>
      <name val="Arial Black"/>
      <family val="2"/>
    </font>
    <font>
      <sz val="11"/>
      <name val="Times New Roman"/>
      <family val="1"/>
    </font>
    <font>
      <b/>
      <sz val="11"/>
      <name val="Bookman Old Style"/>
      <family val="1"/>
    </font>
    <font>
      <sz val="11"/>
      <color theme="1"/>
      <name val="Bookman Old Style"/>
      <family val="1"/>
    </font>
    <font>
      <sz val="11"/>
      <name val="Bookman Old Style"/>
      <family val="1"/>
    </font>
    <font>
      <sz val="10"/>
      <name val="Arial"/>
      <family val="2"/>
    </font>
    <font>
      <sz val="11"/>
      <color indexed="8"/>
      <name val="Bookman Old Style"/>
      <family val="1"/>
    </font>
    <font>
      <sz val="14"/>
      <name val="Calibri"/>
      <family val="2"/>
      <scheme val="minor"/>
    </font>
    <font>
      <b/>
      <sz val="14"/>
      <name val="Calibri"/>
      <family val="2"/>
      <scheme val="minor"/>
    </font>
    <font>
      <b/>
      <u/>
      <sz val="14"/>
      <name val="Calibri"/>
      <family val="2"/>
      <scheme val="minor"/>
    </font>
    <font>
      <b/>
      <i/>
      <u/>
      <sz val="14"/>
      <name val="Calibri"/>
      <family val="2"/>
      <scheme val="minor"/>
    </font>
    <font>
      <i/>
      <sz val="14"/>
      <name val="Calibri"/>
      <family val="2"/>
      <scheme val="minor"/>
    </font>
    <font>
      <u/>
      <sz val="14"/>
      <name val="Calibri"/>
      <family val="2"/>
      <scheme val="minor"/>
    </font>
    <font>
      <sz val="10"/>
      <name val="Bookman Old Style"/>
      <family val="1"/>
    </font>
    <font>
      <sz val="14"/>
      <color theme="1"/>
      <name val="Calibri"/>
      <family val="2"/>
      <scheme val="minor"/>
    </font>
    <font>
      <b/>
      <sz val="14"/>
      <color theme="1"/>
      <name val="Calibri"/>
      <family val="2"/>
      <scheme val="minor"/>
    </font>
    <font>
      <u/>
      <sz val="14"/>
      <color theme="1"/>
      <name val="Calibri"/>
      <family val="2"/>
      <scheme val="minor"/>
    </font>
    <font>
      <b/>
      <u/>
      <sz val="11"/>
      <color theme="1"/>
      <name val="Calibri"/>
      <family val="2"/>
      <scheme val="minor"/>
    </font>
    <font>
      <b/>
      <sz val="10"/>
      <name val="Bookman Old Style"/>
      <family val="1"/>
    </font>
    <font>
      <b/>
      <u val="singleAccounting"/>
      <sz val="10"/>
      <name val="Bookman Old Style"/>
      <family val="1"/>
    </font>
    <font>
      <b/>
      <u/>
      <sz val="10"/>
      <name val="Bookman Old Style"/>
      <family val="1"/>
    </font>
    <font>
      <b/>
      <sz val="10"/>
      <color indexed="8"/>
      <name val="Bookman Old Style"/>
      <family val="1"/>
    </font>
    <font>
      <sz val="10"/>
      <color indexed="8"/>
      <name val="Bookman Old Style"/>
      <family val="1"/>
    </font>
    <font>
      <sz val="11"/>
      <color theme="1"/>
      <name val="Book Antiqua"/>
      <family val="2"/>
    </font>
    <font>
      <b/>
      <sz val="18"/>
      <color theme="1"/>
      <name val="Book Antiqua"/>
      <family val="1"/>
    </font>
    <font>
      <b/>
      <sz val="12"/>
      <color theme="1"/>
      <name val="Book Antiqua"/>
      <family val="1"/>
    </font>
    <font>
      <b/>
      <sz val="12"/>
      <color rgb="FFFF0000"/>
      <name val="Book Antiqua"/>
      <family val="1"/>
    </font>
    <font>
      <b/>
      <sz val="11"/>
      <color theme="1"/>
      <name val="Book Antiqua"/>
      <family val="1"/>
    </font>
    <font>
      <sz val="10"/>
      <color theme="1"/>
      <name val="Book Antiqua"/>
      <family val="2"/>
    </font>
    <font>
      <sz val="11"/>
      <color theme="1"/>
      <name val="Book Antiqua"/>
      <family val="1"/>
    </font>
    <font>
      <b/>
      <sz val="10"/>
      <color theme="1"/>
      <name val="Book Antiqua"/>
      <family val="2"/>
    </font>
    <font>
      <b/>
      <sz val="11"/>
      <color theme="1"/>
      <name val="Book Antiqua"/>
      <family val="2"/>
    </font>
    <font>
      <b/>
      <sz val="10"/>
      <color theme="1"/>
      <name val="Book Antiqua"/>
      <family val="1"/>
    </font>
    <font>
      <sz val="10"/>
      <color theme="1"/>
      <name val="Book Antiqua"/>
      <family val="1"/>
    </font>
    <font>
      <sz val="11"/>
      <name val="Book Antiqua"/>
      <family val="1"/>
    </font>
    <font>
      <sz val="11"/>
      <color rgb="FFFF0000"/>
      <name val="Book Antiqua"/>
      <family val="1"/>
    </font>
    <font>
      <sz val="10"/>
      <color rgb="FFFF0000"/>
      <name val="Book Antiqua"/>
      <family val="2"/>
    </font>
    <font>
      <b/>
      <sz val="11"/>
      <name val="Book Antiqua"/>
      <family val="1"/>
    </font>
    <font>
      <sz val="12"/>
      <color theme="1"/>
      <name val="Book Antiqua"/>
      <family val="1"/>
    </font>
    <font>
      <b/>
      <sz val="14"/>
      <color theme="1"/>
      <name val="Book Antiqua"/>
      <family val="1"/>
    </font>
    <font>
      <b/>
      <sz val="16"/>
      <color theme="1"/>
      <name val="Book Antiqua"/>
      <family val="1"/>
    </font>
    <font>
      <sz val="11"/>
      <color theme="0"/>
      <name val="Book Antiqua"/>
      <family val="2"/>
    </font>
    <font>
      <sz val="10"/>
      <color rgb="FF333333"/>
      <name val="Verdana"/>
      <family val="2"/>
    </font>
    <font>
      <sz val="11"/>
      <name val="Book Antiqua"/>
      <family val="2"/>
    </font>
    <font>
      <sz val="10"/>
      <color theme="0"/>
      <name val="Book Antiqua"/>
      <family val="2"/>
    </font>
    <font>
      <b/>
      <sz val="11"/>
      <color theme="0"/>
      <name val="Book Antiqua"/>
      <family val="2"/>
    </font>
    <font>
      <b/>
      <u/>
      <sz val="11"/>
      <color theme="1"/>
      <name val="Book Antiqua"/>
      <family val="1"/>
    </font>
    <font>
      <b/>
      <sz val="10"/>
      <name val="Calibri Light"/>
      <family val="1"/>
      <scheme val="major"/>
    </font>
    <font>
      <b/>
      <u/>
      <sz val="10"/>
      <name val="Calibri Light"/>
      <family val="1"/>
      <scheme val="major"/>
    </font>
    <font>
      <sz val="10"/>
      <name val="Calibri Light"/>
      <family val="1"/>
      <scheme val="major"/>
    </font>
    <font>
      <b/>
      <sz val="10"/>
      <color indexed="12"/>
      <name val="Calibri Light"/>
      <family val="1"/>
      <scheme val="major"/>
    </font>
    <font>
      <sz val="10"/>
      <color indexed="12"/>
      <name val="Calibri Light"/>
      <family val="1"/>
      <scheme val="major"/>
    </font>
    <font>
      <b/>
      <sz val="12"/>
      <name val="Times New Roman"/>
      <family val="1"/>
    </font>
    <font>
      <sz val="12"/>
      <name val="Times New Roman"/>
      <family val="1"/>
    </font>
    <font>
      <i/>
      <sz val="12"/>
      <name val="Times New Roman"/>
      <family val="1"/>
    </font>
    <font>
      <sz val="12"/>
      <color indexed="8"/>
      <name val="Times New Roman"/>
      <family val="1"/>
    </font>
    <font>
      <sz val="12"/>
      <color rgb="FFFF0000"/>
      <name val="Times New Roman"/>
      <family val="1"/>
    </font>
    <font>
      <b/>
      <u/>
      <sz val="12"/>
      <name val="Times New Roman"/>
      <family val="1"/>
    </font>
    <font>
      <sz val="10"/>
      <name val="Times New Roman"/>
      <family val="1"/>
    </font>
    <font>
      <b/>
      <sz val="10"/>
      <name val="Times New Roman"/>
      <family val="1"/>
    </font>
    <font>
      <sz val="12"/>
      <color theme="1"/>
      <name val="Calibri"/>
      <family val="2"/>
      <scheme val="minor"/>
    </font>
    <font>
      <b/>
      <u/>
      <sz val="12"/>
      <color theme="1"/>
      <name val="Calibri"/>
      <family val="2"/>
      <scheme val="minor"/>
    </font>
    <font>
      <b/>
      <sz val="12"/>
      <name val="Calibri"/>
      <family val="2"/>
      <scheme val="minor"/>
    </font>
    <font>
      <b/>
      <sz val="12"/>
      <color theme="1"/>
      <name val="Calibri"/>
      <family val="2"/>
      <scheme val="minor"/>
    </font>
    <font>
      <u/>
      <sz val="11"/>
      <color theme="10"/>
      <name val="Calibri"/>
      <family val="2"/>
    </font>
    <font>
      <b/>
      <sz val="11"/>
      <name val="Calibri"/>
      <family val="2"/>
      <scheme val="minor"/>
    </font>
    <font>
      <sz val="11"/>
      <color theme="2" tint="-0.249977111117893"/>
      <name val="Calibri"/>
      <family val="2"/>
      <scheme val="minor"/>
    </font>
    <font>
      <sz val="12"/>
      <name val="Calibri"/>
      <family val="2"/>
      <scheme val="minor"/>
    </font>
    <font>
      <b/>
      <u/>
      <sz val="12"/>
      <name val="Calibri"/>
      <family val="2"/>
      <scheme val="minor"/>
    </font>
    <font>
      <b/>
      <u/>
      <sz val="11"/>
      <color theme="2" tint="-0.249977111117893"/>
      <name val="Calibri"/>
      <family val="2"/>
      <scheme val="minor"/>
    </font>
    <font>
      <sz val="10"/>
      <name val="Courier"/>
      <family val="3"/>
    </font>
    <font>
      <sz val="24"/>
      <name val="Times New Roman"/>
      <family val="1"/>
    </font>
    <font>
      <b/>
      <sz val="24"/>
      <name val="Times New Roman"/>
      <family val="1"/>
    </font>
    <font>
      <b/>
      <sz val="24"/>
      <color theme="1"/>
      <name val="Arial"/>
      <family val="2"/>
    </font>
    <font>
      <sz val="24"/>
      <color theme="1"/>
      <name val="Arial"/>
      <family val="2"/>
    </font>
    <font>
      <sz val="24"/>
      <color theme="1"/>
      <name val="Calibri"/>
      <family val="2"/>
      <scheme val="minor"/>
    </font>
    <font>
      <b/>
      <sz val="22"/>
      <color theme="1"/>
      <name val="Arial"/>
      <family val="2"/>
    </font>
    <font>
      <sz val="22"/>
      <name val="Times New Roman"/>
      <family val="1"/>
    </font>
    <font>
      <sz val="22"/>
      <color theme="1"/>
      <name val="Arial"/>
      <family val="2"/>
    </font>
    <font>
      <b/>
      <u/>
      <sz val="24"/>
      <color theme="1"/>
      <name val="Arial"/>
      <family val="2"/>
    </font>
    <font>
      <b/>
      <i/>
      <sz val="24"/>
      <name val="Times New Roman"/>
      <family val="1"/>
    </font>
    <font>
      <b/>
      <sz val="20"/>
      <color theme="1"/>
      <name val="Calibri"/>
      <family val="2"/>
      <scheme val="minor"/>
    </font>
    <font>
      <u/>
      <sz val="11"/>
      <color theme="10"/>
      <name val="Book Antiqua"/>
      <family val="2"/>
    </font>
    <font>
      <sz val="11"/>
      <name val="Calibri"/>
      <family val="2"/>
      <scheme val="minor"/>
    </font>
    <font>
      <b/>
      <sz val="11"/>
      <color indexed="12"/>
      <name val="Calibri"/>
      <family val="2"/>
      <scheme val="minor"/>
    </font>
    <font>
      <sz val="11"/>
      <color indexed="0"/>
      <name val="Calibri"/>
      <family val="2"/>
      <scheme val="minor"/>
    </font>
    <font>
      <b/>
      <sz val="11"/>
      <color indexed="0"/>
      <name val="Calibri"/>
      <family val="2"/>
      <scheme val="minor"/>
    </font>
    <font>
      <b/>
      <sz val="11"/>
      <color indexed="8"/>
      <name val="Calibri"/>
      <family val="2"/>
      <scheme val="minor"/>
    </font>
    <font>
      <b/>
      <sz val="12"/>
      <name val="Bookman Old Style"/>
      <family val="1"/>
    </font>
    <font>
      <b/>
      <sz val="12"/>
      <color indexed="12"/>
      <name val="Bookman Old Style"/>
      <family val="1"/>
    </font>
    <font>
      <sz val="12"/>
      <color indexed="12"/>
      <name val="Bookman Old Style"/>
      <family val="1"/>
    </font>
    <font>
      <sz val="12"/>
      <name val="Bookman Old Style"/>
      <family val="1"/>
    </font>
    <font>
      <sz val="11"/>
      <color indexed="8"/>
      <name val="Calibri"/>
      <family val="2"/>
    </font>
    <font>
      <i/>
      <sz val="9"/>
      <color theme="1"/>
      <name val="Arial"/>
      <family val="2"/>
    </font>
    <font>
      <sz val="10"/>
      <name val="Book Antiqua"/>
      <family val="1"/>
    </font>
    <font>
      <b/>
      <sz val="10"/>
      <name val="Book Antiqua"/>
      <family val="1"/>
    </font>
    <font>
      <i/>
      <sz val="10"/>
      <name val="Book Antiqua"/>
      <family val="1"/>
    </font>
    <font>
      <sz val="15"/>
      <color theme="1"/>
      <name val="Calibri"/>
      <family val="2"/>
      <scheme val="minor"/>
    </font>
    <font>
      <b/>
      <sz val="15"/>
      <color theme="1"/>
      <name val="Calibri"/>
      <family val="2"/>
      <scheme val="minor"/>
    </font>
    <font>
      <sz val="11"/>
      <color rgb="FFFF0000"/>
      <name val="Calibri"/>
      <family val="2"/>
      <scheme val="minor"/>
    </font>
    <font>
      <b/>
      <sz val="16"/>
      <name val="Arial"/>
      <family val="2"/>
    </font>
    <font>
      <b/>
      <sz val="12"/>
      <name val="Arial"/>
      <family val="2"/>
    </font>
    <font>
      <sz val="12"/>
      <name val="Arial"/>
      <family val="2"/>
    </font>
    <font>
      <sz val="11"/>
      <name val="Arial"/>
      <family val="2"/>
    </font>
    <font>
      <sz val="9"/>
      <name val="Arial"/>
      <family val="2"/>
    </font>
    <font>
      <sz val="8"/>
      <name val="Arial"/>
      <family val="2"/>
    </font>
    <font>
      <b/>
      <sz val="11"/>
      <name val="Arial"/>
      <family val="2"/>
    </font>
    <font>
      <b/>
      <u/>
      <sz val="11"/>
      <name val="Arial"/>
      <family val="2"/>
    </font>
    <font>
      <b/>
      <sz val="16"/>
      <name val="Calibri"/>
      <family val="2"/>
      <scheme val="minor"/>
    </font>
    <font>
      <b/>
      <sz val="13"/>
      <color theme="1"/>
      <name val="Calibri"/>
      <family val="2"/>
      <scheme val="minor"/>
    </font>
    <font>
      <sz val="12"/>
      <color rgb="FF00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theme="2" tint="-0.249977111117893"/>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10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auto="1"/>
      </right>
      <top style="thin">
        <color indexed="64"/>
      </top>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auto="1"/>
      </top>
      <bottom style="thin">
        <color auto="1"/>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39"/>
      </left>
      <right style="thin">
        <color indexed="39"/>
      </right>
      <top style="thin">
        <color indexed="39"/>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39"/>
      </left>
      <right style="thin">
        <color indexed="39"/>
      </right>
      <top/>
      <bottom style="thin">
        <color indexed="39"/>
      </bottom>
      <diagonal/>
    </border>
    <border>
      <left style="thin">
        <color indexed="39"/>
      </left>
      <right style="thin">
        <color indexed="39"/>
      </right>
      <top style="thin">
        <color indexed="39"/>
      </top>
      <bottom style="thin">
        <color indexed="39"/>
      </bottom>
      <diagonal/>
    </border>
    <border>
      <left style="thin">
        <color indexed="39"/>
      </left>
      <right/>
      <top style="thin">
        <color indexed="39"/>
      </top>
      <bottom/>
      <diagonal/>
    </border>
    <border>
      <left style="thin">
        <color indexed="39"/>
      </left>
      <right/>
      <top/>
      <bottom style="thin">
        <color indexed="39"/>
      </bottom>
      <diagonal/>
    </border>
    <border>
      <left/>
      <right style="thin">
        <color indexed="39"/>
      </right>
      <top style="thin">
        <color indexed="39"/>
      </top>
      <bottom style="thin">
        <color indexed="39"/>
      </bottom>
      <diagonal/>
    </border>
    <border>
      <left style="thin">
        <color indexed="39"/>
      </left>
      <right style="thin">
        <color indexed="39"/>
      </right>
      <top style="thin">
        <color indexed="39"/>
      </top>
      <bottom style="thin">
        <color indexed="39"/>
      </bottom>
      <diagonal/>
    </border>
    <border>
      <left style="thin">
        <color indexed="39"/>
      </left>
      <right/>
      <top style="thin">
        <color indexed="39"/>
      </top>
      <bottom style="thin">
        <color indexed="3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12"/>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style="thin">
        <color indexed="64"/>
      </left>
      <right/>
      <top/>
      <bottom style="thin">
        <color auto="1"/>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47">
    <xf numFmtId="0" fontId="0" fillId="0" borderId="0"/>
    <xf numFmtId="43" fontId="5" fillId="0" borderId="0" applyFont="0" applyFill="0" applyBorder="0" applyAlignment="0" applyProtection="0"/>
    <xf numFmtId="0" fontId="8" fillId="0" borderId="0"/>
    <xf numFmtId="167" fontId="12" fillId="0" borderId="0"/>
    <xf numFmtId="167" fontId="12" fillId="0" borderId="0"/>
    <xf numFmtId="9" fontId="5" fillId="0" borderId="0" applyFont="0" applyFill="0" applyBorder="0" applyAlignment="0" applyProtection="0"/>
    <xf numFmtId="9" fontId="12" fillId="0" borderId="0" applyFont="0" applyFill="0" applyBorder="0" applyAlignment="0" applyProtection="0"/>
    <xf numFmtId="172" fontId="5" fillId="0" borderId="0" applyFont="0" applyFill="0" applyBorder="0" applyAlignment="0" applyProtection="0"/>
    <xf numFmtId="9" fontId="20" fillId="0" borderId="0" applyFont="0" applyFill="0" applyBorder="0" applyAlignment="0" applyProtection="0"/>
    <xf numFmtId="167" fontId="12" fillId="0" borderId="0"/>
    <xf numFmtId="0" fontId="5" fillId="0" borderId="0"/>
    <xf numFmtId="167" fontId="12" fillId="0" borderId="0"/>
    <xf numFmtId="175" fontId="12" fillId="0" borderId="0" applyFont="0" applyFill="0" applyBorder="0" applyAlignment="0" applyProtection="0"/>
    <xf numFmtId="9" fontId="12" fillId="0" borderId="0" applyFont="0" applyFill="0" applyBorder="0" applyAlignment="0" applyProtection="0"/>
    <xf numFmtId="172" fontId="30" fillId="0" borderId="0" applyFont="0" applyFill="0" applyBorder="0" applyAlignment="0" applyProtection="0"/>
    <xf numFmtId="0" fontId="30" fillId="0" borderId="0"/>
    <xf numFmtId="167" fontId="12" fillId="0" borderId="0"/>
    <xf numFmtId="175" fontId="12" fillId="0" borderId="0" applyFont="0" applyFill="0" applyBorder="0" applyAlignment="0" applyProtection="0"/>
    <xf numFmtId="167" fontId="12" fillId="0" borderId="0"/>
    <xf numFmtId="167" fontId="12" fillId="0" borderId="0"/>
    <xf numFmtId="175" fontId="12" fillId="0" borderId="0" applyFont="0" applyFill="0" applyBorder="0" applyAlignment="0" applyProtection="0"/>
    <xf numFmtId="172" fontId="12" fillId="0" borderId="0" applyFont="0" applyFill="0" applyBorder="0" applyAlignment="0" applyProtection="0"/>
    <xf numFmtId="179" fontId="12" fillId="0" borderId="0"/>
    <xf numFmtId="179" fontId="12" fillId="0" borderId="0"/>
    <xf numFmtId="180" fontId="12" fillId="0" borderId="0" applyFont="0" applyFill="0" applyBorder="0" applyAlignment="0" applyProtection="0"/>
    <xf numFmtId="0" fontId="71" fillId="0" borderId="0" applyNumberFormat="0" applyFill="0" applyBorder="0" applyAlignment="0" applyProtection="0">
      <alignment vertical="top"/>
      <protection locked="0"/>
    </xf>
    <xf numFmtId="0" fontId="12" fillId="0" borderId="0"/>
    <xf numFmtId="0" fontId="77" fillId="0" borderId="0"/>
    <xf numFmtId="172" fontId="12" fillId="0" borderId="0" applyFont="0" applyFill="0" applyBorder="0" applyAlignment="0" applyProtection="0"/>
    <xf numFmtId="0" fontId="12" fillId="0" borderId="0"/>
    <xf numFmtId="0" fontId="5" fillId="0" borderId="0"/>
    <xf numFmtId="0" fontId="12" fillId="0" borderId="0"/>
    <xf numFmtId="0" fontId="65" fillId="0" borderId="0"/>
    <xf numFmtId="175" fontId="12" fillId="0" borderId="0" applyFont="0" applyFill="0" applyBorder="0" applyAlignment="0" applyProtection="0"/>
    <xf numFmtId="167" fontId="12" fillId="0" borderId="0"/>
    <xf numFmtId="0" fontId="89" fillId="0" borderId="0" applyNumberFormat="0" applyFill="0" applyBorder="0" applyAlignment="0" applyProtection="0"/>
    <xf numFmtId="172" fontId="12" fillId="0" borderId="0" applyFont="0" applyFill="0" applyBorder="0" applyAlignment="0" applyProtection="0"/>
    <xf numFmtId="0" fontId="12" fillId="0" borderId="0"/>
    <xf numFmtId="167" fontId="12" fillId="0" borderId="0"/>
    <xf numFmtId="175" fontId="12" fillId="0" borderId="0" applyFont="0" applyFill="0" applyBorder="0" applyAlignment="0" applyProtection="0"/>
    <xf numFmtId="43" fontId="99" fillId="0" borderId="0" applyFont="0" applyFill="0" applyBorder="0" applyAlignment="0" applyProtection="0"/>
    <xf numFmtId="0" fontId="12" fillId="0" borderId="0"/>
    <xf numFmtId="9" fontId="12" fillId="0" borderId="0" applyFont="0" applyFill="0" applyBorder="0" applyAlignment="0" applyProtection="0"/>
    <xf numFmtId="170" fontId="5" fillId="0" borderId="0" applyFont="0" applyFill="0" applyBorder="0" applyAlignment="0" applyProtection="0"/>
    <xf numFmtId="172" fontId="12" fillId="0" borderId="0" applyFont="0" applyFill="0" applyBorder="0" applyAlignment="0" applyProtection="0"/>
    <xf numFmtId="0" fontId="12" fillId="0" borderId="0"/>
    <xf numFmtId="0" fontId="12" fillId="0" borderId="0"/>
  </cellStyleXfs>
  <cellXfs count="1967">
    <xf numFmtId="0" fontId="0" fillId="0" borderId="0" xfId="0"/>
    <xf numFmtId="49" fontId="4" fillId="0" borderId="2" xfId="0" applyNumberFormat="1" applyFont="1" applyBorder="1" applyAlignment="1">
      <alignment horizontal="left" vertical="top" indent="3"/>
    </xf>
    <xf numFmtId="49" fontId="4" fillId="0" borderId="5" xfId="0" applyNumberFormat="1" applyFont="1" applyBorder="1" applyAlignment="1">
      <alignment horizontal="left" vertical="top" indent="3"/>
    </xf>
    <xf numFmtId="166" fontId="0" fillId="0" borderId="0" xfId="0" applyNumberFormat="1"/>
    <xf numFmtId="0" fontId="6" fillId="0" borderId="0" xfId="0" applyFont="1"/>
    <xf numFmtId="166" fontId="9" fillId="0" borderId="7" xfId="2" applyNumberFormat="1" applyFont="1" applyBorder="1" applyAlignment="1">
      <alignment horizontal="left"/>
    </xf>
    <xf numFmtId="0" fontId="10" fillId="0" borderId="0" xfId="0" applyFont="1" applyAlignment="1">
      <alignment horizontal="left"/>
    </xf>
    <xf numFmtId="166" fontId="11" fillId="0" borderId="0" xfId="2" applyNumberFormat="1" applyFont="1" applyAlignment="1">
      <alignment horizontal="left"/>
    </xf>
    <xf numFmtId="49" fontId="3" fillId="0" borderId="0" xfId="0" applyNumberFormat="1" applyFont="1" applyAlignment="1">
      <alignment vertical="top"/>
    </xf>
    <xf numFmtId="166" fontId="11" fillId="0" borderId="0" xfId="3" applyNumberFormat="1" applyFont="1"/>
    <xf numFmtId="166" fontId="10" fillId="0" borderId="0" xfId="0" applyNumberFormat="1" applyFont="1" applyAlignment="1">
      <alignment vertical="top"/>
    </xf>
    <xf numFmtId="166" fontId="11" fillId="0" borderId="0" xfId="3" applyNumberFormat="1" applyFont="1" applyAlignment="1">
      <alignment horizontal="left"/>
    </xf>
    <xf numFmtId="49" fontId="10" fillId="0" borderId="0" xfId="0" applyNumberFormat="1" applyFont="1" applyAlignment="1">
      <alignment vertical="top"/>
    </xf>
    <xf numFmtId="166" fontId="11" fillId="0" borderId="0" xfId="1" applyNumberFormat="1" applyFont="1" applyFill="1" applyBorder="1" applyAlignment="1">
      <alignment horizontal="left"/>
    </xf>
    <xf numFmtId="166" fontId="13" fillId="0" borderId="0" xfId="4" applyNumberFormat="1" applyFont="1" applyAlignment="1">
      <alignment vertical="top"/>
    </xf>
    <xf numFmtId="166" fontId="10" fillId="0" borderId="0" xfId="0" applyNumberFormat="1" applyFont="1"/>
    <xf numFmtId="0" fontId="0" fillId="0" borderId="0" xfId="0" applyAlignment="1">
      <alignment horizontal="left"/>
    </xf>
    <xf numFmtId="166" fontId="11" fillId="0" borderId="5" xfId="2" applyNumberFormat="1" applyFont="1" applyBorder="1" applyAlignment="1">
      <alignment horizontal="left"/>
    </xf>
    <xf numFmtId="167" fontId="10" fillId="0" borderId="0" xfId="0" applyNumberFormat="1" applyFont="1"/>
    <xf numFmtId="0" fontId="10" fillId="0" borderId="5" xfId="0" applyFont="1" applyBorder="1" applyAlignment="1">
      <alignment horizontal="left"/>
    </xf>
    <xf numFmtId="49" fontId="3" fillId="0" borderId="5" xfId="0" applyNumberFormat="1" applyFont="1" applyBorder="1" applyAlignment="1">
      <alignment vertical="top"/>
    </xf>
    <xf numFmtId="49" fontId="10" fillId="0" borderId="5" xfId="0" applyNumberFormat="1" applyFont="1" applyBorder="1" applyAlignment="1">
      <alignment vertical="top"/>
    </xf>
    <xf numFmtId="166" fontId="11" fillId="0" borderId="5" xfId="3" applyNumberFormat="1" applyFont="1" applyBorder="1"/>
    <xf numFmtId="166" fontId="11" fillId="0" borderId="5" xfId="3" applyNumberFormat="1" applyFont="1" applyBorder="1" applyAlignment="1">
      <alignment horizontal="left"/>
    </xf>
    <xf numFmtId="166" fontId="10" fillId="0" borderId="5" xfId="0" applyNumberFormat="1" applyFont="1" applyBorder="1" applyAlignment="1">
      <alignment vertical="top"/>
    </xf>
    <xf numFmtId="166" fontId="9" fillId="0" borderId="5" xfId="2" applyNumberFormat="1" applyFont="1" applyBorder="1" applyAlignment="1">
      <alignment horizontal="left"/>
    </xf>
    <xf numFmtId="166" fontId="9" fillId="0" borderId="0" xfId="2" applyNumberFormat="1" applyFont="1" applyAlignment="1">
      <alignment horizontal="left"/>
    </xf>
    <xf numFmtId="166" fontId="13" fillId="0" borderId="5" xfId="0" applyNumberFormat="1" applyFont="1" applyBorder="1"/>
    <xf numFmtId="166" fontId="9" fillId="0" borderId="8" xfId="3" applyNumberFormat="1" applyFont="1" applyBorder="1"/>
    <xf numFmtId="43" fontId="0" fillId="0" borderId="0" xfId="1" applyFont="1" applyFill="1"/>
    <xf numFmtId="168" fontId="14" fillId="0" borderId="0" xfId="4" applyNumberFormat="1" applyFont="1"/>
    <xf numFmtId="9" fontId="14" fillId="0" borderId="0" xfId="6" applyFont="1" applyFill="1" applyBorder="1" applyAlignment="1"/>
    <xf numFmtId="1" fontId="14" fillId="0" borderId="0" xfId="4" applyNumberFormat="1" applyFont="1"/>
    <xf numFmtId="167" fontId="14" fillId="0" borderId="0" xfId="1" applyNumberFormat="1" applyFont="1" applyFill="1" applyBorder="1" applyAlignment="1">
      <alignment horizontal="right"/>
    </xf>
    <xf numFmtId="0" fontId="15" fillId="0" borderId="4" xfId="0" applyFont="1" applyBorder="1" applyAlignment="1">
      <alignment vertical="center" wrapText="1"/>
    </xf>
    <xf numFmtId="168" fontId="14" fillId="0" borderId="2" xfId="4" applyNumberFormat="1" applyFont="1" applyBorder="1"/>
    <xf numFmtId="0" fontId="14" fillId="0" borderId="6" xfId="0" applyFont="1" applyBorder="1" applyAlignment="1">
      <alignment vertical="center" wrapText="1"/>
    </xf>
    <xf numFmtId="168" fontId="14" fillId="0" borderId="1" xfId="4" applyNumberFormat="1" applyFont="1" applyBorder="1"/>
    <xf numFmtId="167" fontId="15" fillId="0" borderId="12" xfId="1" applyNumberFormat="1" applyFont="1" applyFill="1" applyBorder="1" applyAlignment="1">
      <alignment horizontal="center"/>
    </xf>
    <xf numFmtId="0" fontId="15" fillId="0" borderId="5" xfId="0" applyFont="1" applyBorder="1" applyAlignment="1">
      <alignment vertical="top" wrapText="1"/>
    </xf>
    <xf numFmtId="0" fontId="14" fillId="0" borderId="13" xfId="0" applyFont="1" applyBorder="1" applyAlignment="1">
      <alignment vertical="center" wrapText="1"/>
    </xf>
    <xf numFmtId="167" fontId="14" fillId="0" borderId="13" xfId="1" applyNumberFormat="1" applyFont="1" applyFill="1" applyBorder="1" applyAlignment="1">
      <alignment vertical="center" wrapText="1"/>
    </xf>
    <xf numFmtId="0" fontId="14" fillId="0" borderId="5" xfId="0" applyFont="1" applyBorder="1" applyAlignment="1">
      <alignment vertical="top"/>
    </xf>
    <xf numFmtId="1" fontId="15" fillId="0" borderId="13" xfId="4" applyNumberFormat="1" applyFont="1" applyBorder="1" applyAlignment="1">
      <alignment horizontal="center"/>
    </xf>
    <xf numFmtId="167" fontId="14" fillId="0" borderId="13" xfId="1" applyNumberFormat="1" applyFont="1" applyFill="1" applyBorder="1" applyAlignment="1">
      <alignment horizontal="center"/>
    </xf>
    <xf numFmtId="167" fontId="14" fillId="0" borderId="13" xfId="1" applyNumberFormat="1" applyFont="1" applyFill="1" applyBorder="1" applyAlignment="1">
      <alignment horizontal="right"/>
    </xf>
    <xf numFmtId="0" fontId="14" fillId="0" borderId="5" xfId="0" applyFont="1" applyBorder="1" applyAlignment="1">
      <alignment vertical="top" wrapText="1"/>
    </xf>
    <xf numFmtId="167" fontId="15" fillId="0" borderId="13" xfId="1" applyNumberFormat="1" applyFont="1" applyFill="1" applyBorder="1" applyAlignment="1">
      <alignment horizontal="right"/>
    </xf>
    <xf numFmtId="0" fontId="14" fillId="0" borderId="5" xfId="0" applyFont="1" applyBorder="1" applyAlignment="1">
      <alignment vertical="center" wrapText="1"/>
    </xf>
    <xf numFmtId="167" fontId="15" fillId="0" borderId="7" xfId="1" applyNumberFormat="1" applyFont="1" applyFill="1" applyBorder="1" applyAlignment="1">
      <alignment horizontal="right"/>
    </xf>
    <xf numFmtId="0" fontId="14" fillId="0" borderId="5" xfId="0" applyFont="1" applyBorder="1" applyAlignment="1">
      <alignment horizontal="left" vertical="top"/>
    </xf>
    <xf numFmtId="168" fontId="14" fillId="0" borderId="10" xfId="4" applyNumberFormat="1" applyFont="1" applyBorder="1"/>
    <xf numFmtId="1" fontId="15" fillId="0" borderId="0" xfId="4" applyNumberFormat="1" applyFont="1" applyAlignment="1">
      <alignment horizontal="center"/>
    </xf>
    <xf numFmtId="167" fontId="14" fillId="0" borderId="10" xfId="1" applyNumberFormat="1" applyFont="1" applyFill="1" applyBorder="1" applyAlignment="1">
      <alignment horizontal="center"/>
    </xf>
    <xf numFmtId="0" fontId="15" fillId="0" borderId="5" xfId="0" applyFont="1" applyBorder="1" applyAlignment="1">
      <alignment vertical="center" wrapText="1"/>
    </xf>
    <xf numFmtId="167" fontId="15" fillId="0" borderId="14" xfId="1" applyNumberFormat="1" applyFont="1" applyFill="1" applyBorder="1" applyAlignment="1">
      <alignment vertical="center"/>
    </xf>
    <xf numFmtId="0" fontId="15" fillId="0" borderId="5" xfId="0" applyFont="1" applyBorder="1" applyAlignment="1">
      <alignment vertical="center"/>
    </xf>
    <xf numFmtId="167" fontId="14" fillId="0" borderId="13" xfId="1" applyNumberFormat="1" applyFont="1" applyFill="1" applyBorder="1" applyAlignment="1">
      <alignment vertical="center"/>
    </xf>
    <xf numFmtId="167" fontId="15" fillId="0" borderId="7" xfId="1" applyNumberFormat="1" applyFont="1" applyFill="1" applyBorder="1" applyAlignment="1">
      <alignment vertical="center"/>
    </xf>
    <xf numFmtId="167" fontId="15" fillId="0" borderId="9" xfId="1" applyNumberFormat="1" applyFont="1" applyFill="1" applyBorder="1" applyAlignment="1">
      <alignment vertical="center"/>
    </xf>
    <xf numFmtId="167" fontId="15" fillId="0" borderId="15" xfId="1" applyNumberFormat="1" applyFont="1" applyFill="1" applyBorder="1" applyAlignment="1">
      <alignment vertical="center"/>
    </xf>
    <xf numFmtId="0" fontId="15" fillId="0" borderId="6" xfId="0" applyFont="1" applyBorder="1" applyAlignment="1">
      <alignment vertical="center"/>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170" fontId="14" fillId="0" borderId="0" xfId="1" applyNumberFormat="1" applyFont="1" applyFill="1" applyBorder="1" applyAlignment="1">
      <alignment horizontal="center" vertical="center" wrapText="1"/>
    </xf>
    <xf numFmtId="0" fontId="14" fillId="0" borderId="0" xfId="0" applyFont="1" applyAlignment="1">
      <alignment vertical="center" wrapText="1"/>
    </xf>
    <xf numFmtId="0" fontId="14" fillId="0" borderId="5" xfId="4" applyNumberFormat="1" applyFont="1" applyBorder="1"/>
    <xf numFmtId="0" fontId="14" fillId="0" borderId="0" xfId="4" applyNumberFormat="1" applyFont="1"/>
    <xf numFmtId="167" fontId="14" fillId="0" borderId="10" xfId="1" applyNumberFormat="1" applyFont="1" applyFill="1" applyBorder="1" applyAlignment="1">
      <alignment horizontal="right"/>
    </xf>
    <xf numFmtId="168" fontId="15" fillId="0" borderId="5" xfId="4" applyNumberFormat="1" applyFont="1" applyBorder="1"/>
    <xf numFmtId="168" fontId="15" fillId="0" borderId="0" xfId="4" applyNumberFormat="1" applyFont="1"/>
    <xf numFmtId="1" fontId="15" fillId="0" borderId="0" xfId="4" applyNumberFormat="1" applyFont="1" applyAlignment="1">
      <alignment horizontal="left"/>
    </xf>
    <xf numFmtId="9" fontId="15" fillId="0" borderId="0" xfId="6" applyFont="1" applyFill="1" applyBorder="1" applyAlignment="1"/>
    <xf numFmtId="9" fontId="14" fillId="0" borderId="5" xfId="6" applyFont="1" applyFill="1" applyBorder="1" applyAlignment="1"/>
    <xf numFmtId="168" fontId="14" fillId="0" borderId="5" xfId="4" applyNumberFormat="1" applyFont="1" applyBorder="1"/>
    <xf numFmtId="1" fontId="14" fillId="0" borderId="0" xfId="4" applyNumberFormat="1" applyFont="1" applyAlignment="1">
      <alignment horizontal="left"/>
    </xf>
    <xf numFmtId="168" fontId="14" fillId="0" borderId="6" xfId="4" applyNumberFormat="1" applyFont="1" applyBorder="1"/>
    <xf numFmtId="1" fontId="14" fillId="0" borderId="1" xfId="4" applyNumberFormat="1" applyFont="1" applyBorder="1"/>
    <xf numFmtId="168" fontId="14" fillId="0" borderId="9" xfId="4" applyNumberFormat="1" applyFont="1" applyBorder="1"/>
    <xf numFmtId="168" fontId="14" fillId="0" borderId="16" xfId="4" applyNumberFormat="1" applyFont="1" applyBorder="1"/>
    <xf numFmtId="167" fontId="15" fillId="0" borderId="13" xfId="1" applyNumberFormat="1" applyFont="1" applyFill="1" applyBorder="1" applyAlignment="1">
      <alignment horizontal="center"/>
    </xf>
    <xf numFmtId="1" fontId="15" fillId="0" borderId="4" xfId="4" applyNumberFormat="1" applyFont="1" applyBorder="1" applyAlignment="1">
      <alignment horizontal="center"/>
    </xf>
    <xf numFmtId="167" fontId="14" fillId="0" borderId="11" xfId="1" applyNumberFormat="1" applyFont="1" applyFill="1" applyBorder="1" applyAlignment="1">
      <alignment horizontal="right"/>
    </xf>
    <xf numFmtId="1" fontId="15" fillId="0" borderId="5" xfId="4" applyNumberFormat="1" applyFont="1" applyBorder="1" applyAlignment="1">
      <alignment horizontal="center"/>
    </xf>
    <xf numFmtId="167" fontId="15" fillId="0" borderId="7" xfId="1" applyNumberFormat="1" applyFont="1" applyFill="1" applyBorder="1" applyAlignment="1">
      <alignment vertical="center" wrapText="1"/>
    </xf>
    <xf numFmtId="9" fontId="15" fillId="0" borderId="5" xfId="5" applyFont="1" applyFill="1" applyBorder="1" applyAlignment="1">
      <alignment vertical="center" wrapText="1"/>
    </xf>
    <xf numFmtId="0" fontId="14" fillId="0" borderId="5" xfId="0" applyFont="1" applyBorder="1" applyAlignment="1">
      <alignment vertical="center"/>
    </xf>
    <xf numFmtId="0" fontId="15" fillId="0" borderId="0" xfId="0" applyFont="1" applyAlignment="1">
      <alignment vertical="center"/>
    </xf>
    <xf numFmtId="0" fontId="15" fillId="0" borderId="10" xfId="0" applyFont="1" applyBorder="1" applyAlignment="1">
      <alignment horizontal="left" vertical="center" wrapText="1"/>
    </xf>
    <xf numFmtId="167" fontId="15" fillId="0" borderId="12" xfId="1" applyNumberFormat="1" applyFont="1" applyFill="1" applyBorder="1" applyAlignment="1">
      <alignment vertical="center" wrapText="1"/>
    </xf>
    <xf numFmtId="43" fontId="14" fillId="0" borderId="5" xfId="1" applyFont="1" applyFill="1" applyBorder="1" applyAlignment="1">
      <alignment vertical="center" wrapText="1"/>
    </xf>
    <xf numFmtId="167" fontId="15" fillId="0" borderId="5" xfId="1" applyNumberFormat="1" applyFont="1" applyFill="1" applyBorder="1" applyAlignment="1">
      <alignment horizontal="center"/>
    </xf>
    <xf numFmtId="167" fontId="14" fillId="0" borderId="5" xfId="1" applyNumberFormat="1" applyFont="1" applyFill="1" applyBorder="1" applyAlignment="1">
      <alignment horizontal="right"/>
    </xf>
    <xf numFmtId="167" fontId="15" fillId="0" borderId="18" xfId="1" applyNumberFormat="1" applyFont="1" applyFill="1" applyBorder="1" applyAlignment="1">
      <alignment vertical="center" wrapText="1"/>
    </xf>
    <xf numFmtId="167" fontId="15" fillId="0" borderId="15" xfId="1" applyNumberFormat="1" applyFont="1" applyFill="1" applyBorder="1" applyAlignment="1">
      <alignment vertical="center" wrapText="1"/>
    </xf>
    <xf numFmtId="167" fontId="14" fillId="0" borderId="12" xfId="1" applyNumberFormat="1" applyFont="1" applyFill="1" applyBorder="1" applyAlignment="1">
      <alignment vertical="center" wrapText="1"/>
    </xf>
    <xf numFmtId="0" fontId="15" fillId="0" borderId="0" xfId="0" applyFont="1" applyAlignment="1">
      <alignment vertical="top" wrapText="1"/>
    </xf>
    <xf numFmtId="0" fontId="15" fillId="0" borderId="1" xfId="0" applyFont="1" applyBorder="1" applyAlignment="1">
      <alignment vertical="center"/>
    </xf>
    <xf numFmtId="0" fontId="15" fillId="0" borderId="1" xfId="0" applyFont="1" applyBorder="1" applyAlignment="1">
      <alignment horizontal="left" vertical="center" wrapText="1"/>
    </xf>
    <xf numFmtId="167" fontId="15" fillId="0" borderId="10" xfId="1" applyNumberFormat="1" applyFont="1" applyFill="1" applyBorder="1" applyAlignment="1">
      <alignment horizontal="center"/>
    </xf>
    <xf numFmtId="168" fontId="15" fillId="0" borderId="4" xfId="4" applyNumberFormat="1" applyFont="1" applyBorder="1" applyAlignment="1">
      <alignment horizontal="left" vertical="center"/>
    </xf>
    <xf numFmtId="9" fontId="14" fillId="0" borderId="6" xfId="6" applyFont="1" applyFill="1" applyBorder="1" applyAlignment="1"/>
    <xf numFmtId="9" fontId="14" fillId="0" borderId="1" xfId="6" applyFont="1" applyFill="1" applyBorder="1" applyAlignment="1"/>
    <xf numFmtId="1" fontId="15" fillId="0" borderId="1" xfId="4" applyNumberFormat="1" applyFont="1" applyBorder="1"/>
    <xf numFmtId="0" fontId="16" fillId="0" borderId="5" xfId="0" applyFont="1" applyBorder="1"/>
    <xf numFmtId="0" fontId="17" fillId="0" borderId="0" xfId="0" applyFont="1"/>
    <xf numFmtId="0" fontId="14" fillId="0" borderId="0" xfId="0" applyFont="1"/>
    <xf numFmtId="0" fontId="14" fillId="0" borderId="5" xfId="0" applyFont="1" applyBorder="1"/>
    <xf numFmtId="167" fontId="15" fillId="0" borderId="15" xfId="1" applyNumberFormat="1" applyFont="1" applyFill="1" applyBorder="1"/>
    <xf numFmtId="167" fontId="15" fillId="0" borderId="13" xfId="1" applyNumberFormat="1" applyFont="1" applyFill="1" applyBorder="1"/>
    <xf numFmtId="167" fontId="14" fillId="0" borderId="13" xfId="1" applyNumberFormat="1" applyFont="1" applyFill="1" applyBorder="1"/>
    <xf numFmtId="0" fontId="15" fillId="0" borderId="5" xfId="4" applyNumberFormat="1" applyFont="1" applyBorder="1" applyAlignment="1">
      <alignment horizontal="left" vertical="top"/>
    </xf>
    <xf numFmtId="0" fontId="18" fillId="0" borderId="0" xfId="0" applyFont="1"/>
    <xf numFmtId="167" fontId="14" fillId="0" borderId="5" xfId="1" applyNumberFormat="1" applyFont="1" applyFill="1" applyBorder="1"/>
    <xf numFmtId="167" fontId="14" fillId="0" borderId="12" xfId="1" applyNumberFormat="1" applyFont="1" applyFill="1" applyBorder="1"/>
    <xf numFmtId="0" fontId="15" fillId="0" borderId="5" xfId="0" applyFont="1" applyBorder="1"/>
    <xf numFmtId="0" fontId="15" fillId="0" borderId="0" xfId="0" applyFont="1"/>
    <xf numFmtId="167" fontId="15" fillId="0" borderId="7" xfId="1" applyNumberFormat="1" applyFont="1" applyFill="1" applyBorder="1"/>
    <xf numFmtId="167" fontId="15" fillId="0" borderId="5" xfId="1" applyNumberFormat="1" applyFont="1" applyFill="1" applyBorder="1"/>
    <xf numFmtId="0" fontId="14" fillId="0" borderId="6" xfId="0" applyFont="1" applyBorder="1"/>
    <xf numFmtId="0" fontId="14" fillId="0" borderId="1" xfId="0" applyFont="1" applyBorder="1"/>
    <xf numFmtId="167" fontId="15" fillId="0" borderId="0" xfId="7" applyNumberFormat="1" applyFont="1" applyFill="1" applyBorder="1"/>
    <xf numFmtId="167" fontId="14" fillId="0" borderId="0" xfId="1" applyNumberFormat="1" applyFont="1" applyFill="1" applyBorder="1" applyAlignment="1">
      <alignment horizontal="center" vertical="center"/>
    </xf>
    <xf numFmtId="1" fontId="14" fillId="0" borderId="1" xfId="4" applyNumberFormat="1" applyFont="1" applyBorder="1" applyAlignment="1">
      <alignment horizontal="left"/>
    </xf>
    <xf numFmtId="9" fontId="16" fillId="0" borderId="5" xfId="6" applyFont="1" applyFill="1" applyBorder="1" applyAlignment="1">
      <alignment horizontal="left"/>
    </xf>
    <xf numFmtId="9" fontId="15" fillId="0" borderId="0" xfId="6" applyFont="1" applyFill="1" applyBorder="1" applyAlignment="1">
      <alignment horizontal="left"/>
    </xf>
    <xf numFmtId="9" fontId="15" fillId="0" borderId="5" xfId="6" applyFont="1" applyFill="1" applyBorder="1" applyAlignment="1">
      <alignment horizontal="left"/>
    </xf>
    <xf numFmtId="167" fontId="15" fillId="0" borderId="15" xfId="1" applyNumberFormat="1" applyFont="1" applyFill="1" applyBorder="1" applyAlignment="1">
      <alignment horizontal="right"/>
    </xf>
    <xf numFmtId="2" fontId="15" fillId="0" borderId="5" xfId="6" applyNumberFormat="1" applyFont="1" applyFill="1" applyBorder="1" applyAlignment="1"/>
    <xf numFmtId="2" fontId="15" fillId="0" borderId="0" xfId="6" applyNumberFormat="1" applyFont="1" applyFill="1" applyBorder="1" applyAlignment="1"/>
    <xf numFmtId="43" fontId="14" fillId="0" borderId="0" xfId="1" applyFont="1" applyFill="1" applyBorder="1" applyAlignment="1"/>
    <xf numFmtId="0" fontId="14" fillId="0" borderId="5" xfId="4" applyNumberFormat="1" applyFont="1" applyBorder="1" applyAlignment="1">
      <alignment vertical="top"/>
    </xf>
    <xf numFmtId="0" fontId="14" fillId="0" borderId="0" xfId="4" applyNumberFormat="1" applyFont="1" applyAlignment="1">
      <alignment vertical="top"/>
    </xf>
    <xf numFmtId="167" fontId="14" fillId="0" borderId="13" xfId="1" applyNumberFormat="1" applyFont="1" applyFill="1" applyBorder="1" applyAlignment="1"/>
    <xf numFmtId="167" fontId="14" fillId="0" borderId="5" xfId="1" applyNumberFormat="1" applyFont="1" applyFill="1" applyBorder="1" applyAlignment="1"/>
    <xf numFmtId="9" fontId="15" fillId="0" borderId="5" xfId="6" applyFont="1" applyFill="1" applyBorder="1" applyAlignment="1"/>
    <xf numFmtId="0" fontId="15" fillId="0" borderId="0" xfId="4" applyNumberFormat="1" applyFont="1" applyAlignment="1">
      <alignment vertical="top"/>
    </xf>
    <xf numFmtId="0" fontId="15" fillId="0" borderId="5" xfId="4" applyNumberFormat="1" applyFont="1" applyBorder="1" applyAlignment="1">
      <alignment vertical="top"/>
    </xf>
    <xf numFmtId="167" fontId="14" fillId="0" borderId="0" xfId="1" applyNumberFormat="1" applyFont="1" applyFill="1" applyBorder="1" applyAlignment="1"/>
    <xf numFmtId="1" fontId="15" fillId="0" borderId="0" xfId="4" applyNumberFormat="1" applyFont="1"/>
    <xf numFmtId="167" fontId="14" fillId="0" borderId="12" xfId="1" applyNumberFormat="1" applyFont="1" applyFill="1" applyBorder="1" applyAlignment="1"/>
    <xf numFmtId="167" fontId="15" fillId="0" borderId="16" xfId="1" applyNumberFormat="1" applyFont="1" applyFill="1" applyBorder="1" applyAlignment="1">
      <alignment horizontal="center"/>
    </xf>
    <xf numFmtId="2" fontId="16" fillId="0" borderId="5" xfId="6" applyNumberFormat="1" applyFont="1" applyFill="1" applyBorder="1" applyAlignment="1"/>
    <xf numFmtId="2" fontId="16" fillId="0" borderId="0" xfId="6" applyNumberFormat="1" applyFont="1" applyFill="1" applyBorder="1" applyAlignment="1"/>
    <xf numFmtId="0" fontId="14" fillId="0" borderId="5" xfId="4" applyNumberFormat="1" applyFont="1" applyBorder="1" applyAlignment="1">
      <alignment horizontal="left"/>
    </xf>
    <xf numFmtId="0" fontId="14" fillId="0" borderId="0" xfId="4" applyNumberFormat="1" applyFont="1" applyAlignment="1">
      <alignment horizontal="left"/>
    </xf>
    <xf numFmtId="1" fontId="14" fillId="0" borderId="0" xfId="4" applyNumberFormat="1" applyFont="1" applyAlignment="1">
      <alignment wrapText="1"/>
    </xf>
    <xf numFmtId="167" fontId="14" fillId="0" borderId="12" xfId="1" applyNumberFormat="1" applyFont="1" applyFill="1" applyBorder="1" applyAlignment="1">
      <alignment horizontal="right"/>
    </xf>
    <xf numFmtId="167" fontId="15" fillId="0" borderId="15" xfId="1" applyNumberFormat="1" applyFont="1" applyFill="1" applyBorder="1" applyAlignment="1"/>
    <xf numFmtId="0" fontId="16" fillId="0" borderId="5" xfId="4" applyNumberFormat="1" applyFont="1" applyBorder="1"/>
    <xf numFmtId="0" fontId="16" fillId="0" borderId="0" xfId="4" applyNumberFormat="1" applyFont="1"/>
    <xf numFmtId="167" fontId="14" fillId="0" borderId="10" xfId="1" applyNumberFormat="1" applyFont="1" applyFill="1" applyBorder="1" applyAlignment="1"/>
    <xf numFmtId="0" fontId="15" fillId="0" borderId="5" xfId="4" applyNumberFormat="1" applyFont="1" applyBorder="1" applyAlignment="1">
      <alignment horizontal="left"/>
    </xf>
    <xf numFmtId="0" fontId="15" fillId="0" borderId="5" xfId="4" applyNumberFormat="1" applyFont="1" applyBorder="1" applyAlignment="1">
      <alignment vertical="center"/>
    </xf>
    <xf numFmtId="172" fontId="15" fillId="0" borderId="0" xfId="4" applyNumberFormat="1" applyFont="1" applyAlignment="1">
      <alignment horizontal="center" vertical="center" wrapText="1"/>
    </xf>
    <xf numFmtId="167" fontId="15" fillId="0" borderId="13" xfId="1" applyNumberFormat="1" applyFont="1" applyFill="1" applyBorder="1" applyAlignment="1">
      <alignment horizontal="center" vertical="center"/>
    </xf>
    <xf numFmtId="2" fontId="14" fillId="0" borderId="0" xfId="4" applyNumberFormat="1" applyFont="1" applyAlignment="1">
      <alignment horizontal="center"/>
    </xf>
    <xf numFmtId="167" fontId="14" fillId="0" borderId="16" xfId="1" applyNumberFormat="1" applyFont="1" applyFill="1" applyBorder="1" applyAlignment="1"/>
    <xf numFmtId="167" fontId="15" fillId="0" borderId="10" xfId="1" applyNumberFormat="1" applyFont="1" applyFill="1" applyBorder="1" applyAlignment="1">
      <alignment horizontal="right"/>
    </xf>
    <xf numFmtId="9" fontId="15" fillId="0" borderId="5" xfId="6" applyFont="1" applyFill="1" applyBorder="1" applyAlignment="1">
      <alignment horizontal="justify" vertical="top"/>
    </xf>
    <xf numFmtId="1" fontId="15" fillId="0" borderId="10" xfId="4" applyNumberFormat="1" applyFont="1" applyBorder="1"/>
    <xf numFmtId="0" fontId="19" fillId="0" borderId="5" xfId="0" applyFont="1" applyBorder="1"/>
    <xf numFmtId="0" fontId="14" fillId="0" borderId="5" xfId="4" applyNumberFormat="1" applyFont="1" applyBorder="1" applyAlignment="1">
      <alignment horizontal="left" vertical="top"/>
    </xf>
    <xf numFmtId="168" fontId="19" fillId="0" borderId="0" xfId="4" applyNumberFormat="1" applyFont="1"/>
    <xf numFmtId="0" fontId="15" fillId="0" borderId="6" xfId="4" applyNumberFormat="1" applyFont="1" applyBorder="1" applyAlignment="1">
      <alignment horizontal="center"/>
    </xf>
    <xf numFmtId="0" fontId="15" fillId="0" borderId="1" xfId="4" applyNumberFormat="1" applyFont="1" applyBorder="1" applyAlignment="1">
      <alignment horizontal="center"/>
    </xf>
    <xf numFmtId="167" fontId="15" fillId="0" borderId="7" xfId="1" applyNumberFormat="1" applyFont="1" applyFill="1" applyBorder="1" applyAlignment="1">
      <alignment horizontal="center"/>
    </xf>
    <xf numFmtId="167" fontId="15" fillId="0" borderId="13" xfId="1" applyNumberFormat="1" applyFont="1" applyFill="1" applyBorder="1" applyAlignment="1"/>
    <xf numFmtId="167" fontId="15" fillId="0" borderId="10" xfId="1" applyNumberFormat="1" applyFont="1" applyFill="1" applyBorder="1" applyAlignment="1"/>
    <xf numFmtId="9" fontId="16" fillId="0" borderId="5" xfId="6" applyFont="1" applyFill="1" applyBorder="1" applyAlignment="1"/>
    <xf numFmtId="0" fontId="19" fillId="0" borderId="5" xfId="4" applyNumberFormat="1" applyFont="1" applyBorder="1" applyAlignment="1">
      <alignment horizontal="left"/>
    </xf>
    <xf numFmtId="0" fontId="15" fillId="0" borderId="0" xfId="4" applyNumberFormat="1" applyFont="1" applyAlignment="1">
      <alignment horizontal="left"/>
    </xf>
    <xf numFmtId="167" fontId="15" fillId="0" borderId="0" xfId="1" applyNumberFormat="1" applyFont="1" applyFill="1" applyBorder="1" applyAlignment="1">
      <alignment horizontal="right"/>
    </xf>
    <xf numFmtId="2" fontId="14" fillId="0" borderId="5" xfId="8" applyNumberFormat="1" applyFont="1" applyFill="1" applyBorder="1" applyAlignment="1"/>
    <xf numFmtId="166" fontId="14" fillId="0" borderId="0" xfId="4" applyNumberFormat="1" applyFont="1" applyAlignment="1">
      <alignment horizontal="justify" vertical="top" wrapText="1"/>
    </xf>
    <xf numFmtId="167" fontId="14" fillId="0" borderId="13" xfId="1" applyNumberFormat="1" applyFont="1" applyFill="1" applyBorder="1" applyAlignment="1">
      <alignment horizontal="justify" vertical="top" wrapText="1"/>
    </xf>
    <xf numFmtId="167" fontId="14" fillId="0" borderId="10" xfId="1" applyNumberFormat="1" applyFont="1" applyFill="1" applyBorder="1" applyAlignment="1">
      <alignment horizontal="justify" vertical="top" wrapText="1"/>
    </xf>
    <xf numFmtId="166" fontId="14" fillId="0" borderId="0" xfId="6" applyNumberFormat="1" applyFont="1" applyFill="1" applyBorder="1" applyAlignment="1"/>
    <xf numFmtId="0" fontId="15" fillId="0" borderId="5" xfId="4" applyNumberFormat="1" applyFont="1" applyBorder="1" applyAlignment="1">
      <alignment horizontal="center" wrapText="1"/>
    </xf>
    <xf numFmtId="2" fontId="14" fillId="0" borderId="5" xfId="6" applyNumberFormat="1" applyFont="1" applyFill="1" applyBorder="1" applyAlignment="1"/>
    <xf numFmtId="0" fontId="15" fillId="0" borderId="0" xfId="4" applyNumberFormat="1" applyFont="1" applyAlignment="1">
      <alignment horizontal="left" vertical="top"/>
    </xf>
    <xf numFmtId="9" fontId="14" fillId="0" borderId="5" xfId="6" quotePrefix="1" applyFont="1" applyFill="1" applyBorder="1" applyAlignment="1"/>
    <xf numFmtId="168" fontId="14" fillId="0" borderId="5" xfId="9" quotePrefix="1" applyNumberFormat="1" applyFont="1" applyBorder="1"/>
    <xf numFmtId="168" fontId="15" fillId="0" borderId="5" xfId="9" applyNumberFormat="1" applyFont="1" applyBorder="1"/>
    <xf numFmtId="168" fontId="14" fillId="0" borderId="5" xfId="9" applyNumberFormat="1" applyFont="1" applyBorder="1"/>
    <xf numFmtId="174" fontId="14" fillId="0" borderId="0" xfId="1" applyNumberFormat="1" applyFont="1" applyFill="1" applyBorder="1" applyAlignment="1"/>
    <xf numFmtId="172" fontId="14" fillId="0" borderId="0" xfId="0" applyNumberFormat="1" applyFont="1"/>
    <xf numFmtId="9" fontId="19" fillId="0" borderId="5" xfId="6" applyFont="1" applyFill="1" applyBorder="1" applyAlignment="1"/>
    <xf numFmtId="167" fontId="14" fillId="0" borderId="0" xfId="0" applyNumberFormat="1" applyFont="1"/>
    <xf numFmtId="166" fontId="14" fillId="0" borderId="0" xfId="0" applyNumberFormat="1" applyFont="1"/>
    <xf numFmtId="167" fontId="15" fillId="0" borderId="15" xfId="1" applyNumberFormat="1" applyFont="1" applyFill="1" applyBorder="1" applyAlignment="1">
      <alignment horizontal="center"/>
    </xf>
    <xf numFmtId="172" fontId="15" fillId="0" borderId="10" xfId="1" applyNumberFormat="1" applyFont="1" applyFill="1" applyBorder="1" applyAlignment="1">
      <alignment horizontal="center"/>
    </xf>
    <xf numFmtId="43" fontId="15" fillId="0" borderId="10" xfId="1" applyFont="1" applyFill="1" applyBorder="1" applyAlignment="1">
      <alignment horizontal="center"/>
    </xf>
    <xf numFmtId="168" fontId="14" fillId="0" borderId="11" xfId="4" applyNumberFormat="1" applyFont="1" applyBorder="1"/>
    <xf numFmtId="0" fontId="14" fillId="0" borderId="0" xfId="0" applyFont="1" applyAlignment="1">
      <alignment vertical="top" wrapText="1"/>
    </xf>
    <xf numFmtId="1" fontId="15" fillId="0" borderId="9" xfId="4" applyNumberFormat="1" applyFont="1" applyBorder="1"/>
    <xf numFmtId="168" fontId="15" fillId="0" borderId="6" xfId="4" applyNumberFormat="1" applyFont="1" applyBorder="1"/>
    <xf numFmtId="1" fontId="15" fillId="0" borderId="16" xfId="4" applyNumberFormat="1" applyFont="1" applyBorder="1"/>
    <xf numFmtId="168" fontId="15" fillId="0" borderId="10" xfId="4" applyNumberFormat="1" applyFont="1" applyBorder="1" applyAlignment="1">
      <alignment horizontal="left" wrapText="1"/>
    </xf>
    <xf numFmtId="168" fontId="15" fillId="0" borderId="0" xfId="4" applyNumberFormat="1" applyFont="1" applyAlignment="1">
      <alignment wrapText="1"/>
    </xf>
    <xf numFmtId="168" fontId="14" fillId="0" borderId="5" xfId="4" applyNumberFormat="1" applyFont="1" applyBorder="1" applyAlignment="1">
      <alignment vertical="top"/>
    </xf>
    <xf numFmtId="167" fontId="14" fillId="0" borderId="13" xfId="1" applyNumberFormat="1" applyFont="1" applyFill="1" applyBorder="1" applyAlignment="1">
      <alignment vertical="top"/>
    </xf>
    <xf numFmtId="168" fontId="15" fillId="0" borderId="5" xfId="4" applyNumberFormat="1" applyFont="1" applyBorder="1" applyAlignment="1">
      <alignment vertical="top"/>
    </xf>
    <xf numFmtId="167" fontId="15" fillId="0" borderId="10" xfId="1" applyNumberFormat="1" applyFont="1" applyFill="1" applyBorder="1" applyAlignment="1">
      <alignment vertical="top"/>
    </xf>
    <xf numFmtId="167" fontId="15" fillId="0" borderId="7" xfId="1" applyNumberFormat="1" applyFont="1" applyFill="1" applyBorder="1" applyAlignment="1">
      <alignment vertical="top"/>
    </xf>
    <xf numFmtId="10" fontId="14" fillId="0" borderId="13" xfId="5" applyNumberFormat="1" applyFont="1" applyFill="1" applyBorder="1" applyAlignment="1">
      <alignment horizontal="right"/>
    </xf>
    <xf numFmtId="10" fontId="14" fillId="0" borderId="12" xfId="5" applyNumberFormat="1" applyFont="1" applyFill="1" applyBorder="1" applyAlignment="1">
      <alignment horizontal="right"/>
    </xf>
    <xf numFmtId="10" fontId="14" fillId="0" borderId="16" xfId="5" applyNumberFormat="1" applyFont="1" applyFill="1" applyBorder="1" applyAlignment="1">
      <alignment horizontal="right"/>
    </xf>
    <xf numFmtId="167" fontId="15" fillId="0" borderId="16" xfId="1" applyNumberFormat="1" applyFont="1" applyFill="1" applyBorder="1"/>
    <xf numFmtId="167" fontId="15" fillId="0" borderId="0" xfId="1" applyNumberFormat="1" applyFont="1" applyFill="1" applyBorder="1" applyAlignment="1">
      <alignment horizontal="center"/>
    </xf>
    <xf numFmtId="167" fontId="14" fillId="0" borderId="1" xfId="1" applyNumberFormat="1" applyFont="1" applyFill="1" applyBorder="1"/>
    <xf numFmtId="9" fontId="15" fillId="0" borderId="0" xfId="6" applyFont="1" applyFill="1" applyBorder="1" applyAlignment="1">
      <alignment horizontal="center"/>
    </xf>
    <xf numFmtId="167" fontId="14" fillId="0" borderId="0" xfId="1" applyNumberFormat="1" applyFont="1" applyFill="1" applyBorder="1"/>
    <xf numFmtId="167" fontId="14" fillId="0" borderId="10" xfId="1" applyNumberFormat="1" applyFont="1" applyFill="1" applyBorder="1"/>
    <xf numFmtId="168" fontId="14" fillId="0" borderId="4" xfId="4" applyNumberFormat="1" applyFont="1" applyBorder="1"/>
    <xf numFmtId="171" fontId="15" fillId="0" borderId="9" xfId="1" applyNumberFormat="1" applyFont="1" applyFill="1" applyBorder="1" applyAlignment="1">
      <alignment horizontal="center" vertical="center" wrapText="1"/>
    </xf>
    <xf numFmtId="1" fontId="14" fillId="0" borderId="16" xfId="4" applyNumberFormat="1" applyFont="1" applyBorder="1"/>
    <xf numFmtId="167" fontId="14" fillId="0" borderId="1" xfId="1" applyNumberFormat="1" applyFont="1" applyFill="1" applyBorder="1" applyAlignment="1"/>
    <xf numFmtId="9" fontId="14" fillId="0" borderId="4" xfId="6" applyFont="1" applyFill="1" applyBorder="1" applyAlignment="1"/>
    <xf numFmtId="167" fontId="15" fillId="0" borderId="13" xfId="1" applyNumberFormat="1" applyFont="1" applyFill="1" applyBorder="1" applyAlignment="1">
      <alignment horizontal="center" vertical="center" wrapText="1"/>
    </xf>
    <xf numFmtId="0" fontId="14" fillId="0" borderId="0" xfId="0" applyFont="1" applyAlignment="1">
      <alignment horizontal="justify" vertical="top" wrapText="1"/>
    </xf>
    <xf numFmtId="0" fontId="14" fillId="0" borderId="5" xfId="0" applyFont="1" applyBorder="1" applyAlignment="1">
      <alignment horizontal="left" vertical="center" wrapText="1"/>
    </xf>
    <xf numFmtId="172" fontId="14" fillId="0" borderId="0" xfId="0" applyNumberFormat="1" applyFont="1" applyAlignment="1">
      <alignment vertical="center" wrapText="1"/>
    </xf>
    <xf numFmtId="167" fontId="14" fillId="0" borderId="0" xfId="1" applyNumberFormat="1" applyFont="1" applyFill="1" applyBorder="1" applyAlignment="1">
      <alignment horizontal="justify" vertical="top" wrapText="1"/>
    </xf>
    <xf numFmtId="168" fontId="19" fillId="0" borderId="5" xfId="4" applyNumberFormat="1" applyFont="1" applyBorder="1" applyAlignment="1">
      <alignment wrapText="1"/>
    </xf>
    <xf numFmtId="168" fontId="19" fillId="0" borderId="0" xfId="4" applyNumberFormat="1" applyFont="1" applyAlignment="1">
      <alignment wrapText="1"/>
    </xf>
    <xf numFmtId="168" fontId="14" fillId="0" borderId="0" xfId="4" applyNumberFormat="1" applyFont="1" applyAlignment="1">
      <alignment vertical="top"/>
    </xf>
    <xf numFmtId="167" fontId="14" fillId="0" borderId="0" xfId="1" applyNumberFormat="1" applyFont="1" applyFill="1" applyBorder="1" applyAlignment="1">
      <alignment vertical="center" wrapText="1"/>
    </xf>
    <xf numFmtId="9" fontId="15" fillId="0" borderId="1" xfId="6" applyFont="1" applyFill="1" applyBorder="1" applyAlignment="1"/>
    <xf numFmtId="168" fontId="14" fillId="0" borderId="0" xfId="4" applyNumberFormat="1" applyFont="1" applyAlignment="1">
      <alignment horizontal="center" vertical="top"/>
    </xf>
    <xf numFmtId="167" fontId="14" fillId="0" borderId="0" xfId="1" applyNumberFormat="1" applyFont="1" applyFill="1" applyBorder="1" applyAlignment="1">
      <alignment vertical="top"/>
    </xf>
    <xf numFmtId="9" fontId="14" fillId="0" borderId="0" xfId="6" applyFont="1" applyFill="1" applyAlignment="1"/>
    <xf numFmtId="49" fontId="4" fillId="0" borderId="2" xfId="0" applyNumberFormat="1" applyFont="1" applyBorder="1" applyAlignment="1">
      <alignment horizontal="left" vertical="top" indent="2"/>
    </xf>
    <xf numFmtId="49" fontId="4" fillId="0" borderId="5" xfId="0" applyNumberFormat="1" applyFont="1" applyBorder="1" applyAlignment="1">
      <alignment horizontal="left" vertical="top" indent="2"/>
    </xf>
    <xf numFmtId="49" fontId="4" fillId="0" borderId="6" xfId="0" applyNumberFormat="1" applyFont="1" applyBorder="1" applyAlignment="1">
      <alignment horizontal="left" vertical="top" indent="2"/>
    </xf>
    <xf numFmtId="49" fontId="3" fillId="0" borderId="7" xfId="0" applyNumberFormat="1" applyFont="1" applyBorder="1" applyAlignment="1">
      <alignment horizontal="center" vertical="top"/>
    </xf>
    <xf numFmtId="49" fontId="4" fillId="0" borderId="0" xfId="0" applyNumberFormat="1" applyFont="1" applyAlignment="1">
      <alignment vertical="top"/>
    </xf>
    <xf numFmtId="164" fontId="4" fillId="0" borderId="0" xfId="0" applyNumberFormat="1" applyFont="1" applyAlignment="1">
      <alignment horizontal="right" vertical="top"/>
    </xf>
    <xf numFmtId="165" fontId="4" fillId="0" borderId="0" xfId="0" applyNumberFormat="1" applyFont="1" applyAlignment="1">
      <alignment horizontal="right" vertical="top"/>
    </xf>
    <xf numFmtId="164" fontId="3" fillId="0" borderId="0" xfId="0" applyNumberFormat="1" applyFont="1" applyAlignment="1">
      <alignment horizontal="right" vertical="top"/>
    </xf>
    <xf numFmtId="165" fontId="3" fillId="0" borderId="0" xfId="0" applyNumberFormat="1" applyFont="1" applyAlignment="1">
      <alignment horizontal="right" vertical="top"/>
    </xf>
    <xf numFmtId="49" fontId="4" fillId="0" borderId="3" xfId="0" applyNumberFormat="1" applyFont="1" applyBorder="1" applyAlignment="1">
      <alignment horizontal="left" vertical="top" indent="2"/>
    </xf>
    <xf numFmtId="164" fontId="4" fillId="0" borderId="3" xfId="0" applyNumberFormat="1" applyFont="1" applyBorder="1" applyAlignment="1">
      <alignment horizontal="right" vertical="top"/>
    </xf>
    <xf numFmtId="49" fontId="4" fillId="0" borderId="0" xfId="0" applyNumberFormat="1" applyFont="1" applyAlignment="1">
      <alignment horizontal="left" vertical="top" indent="3"/>
    </xf>
    <xf numFmtId="43" fontId="0" fillId="0" borderId="0" xfId="1" applyFont="1"/>
    <xf numFmtId="43" fontId="3" fillId="0" borderId="11" xfId="1" applyFont="1" applyBorder="1" applyAlignment="1">
      <alignment horizontal="center" vertical="top"/>
    </xf>
    <xf numFmtId="43" fontId="0" fillId="0" borderId="0" xfId="1" applyFont="1" applyBorder="1"/>
    <xf numFmtId="43" fontId="3" fillId="0" borderId="0" xfId="1" applyFont="1" applyBorder="1" applyAlignment="1">
      <alignment horizontal="right" vertical="top"/>
    </xf>
    <xf numFmtId="43" fontId="4" fillId="0" borderId="0" xfId="1" applyFont="1" applyBorder="1" applyAlignment="1">
      <alignment horizontal="right" vertical="top"/>
    </xf>
    <xf numFmtId="43" fontId="6" fillId="0" borderId="0" xfId="1" applyFont="1"/>
    <xf numFmtId="167" fontId="14" fillId="0" borderId="10" xfId="1" applyNumberFormat="1" applyFont="1" applyFill="1" applyBorder="1" applyAlignment="1">
      <alignment horizontal="left" wrapText="1"/>
    </xf>
    <xf numFmtId="168" fontId="14" fillId="0" borderId="0" xfId="4" applyNumberFormat="1" applyFont="1" applyAlignment="1">
      <alignment horizontal="justify" vertical="top" wrapText="1"/>
    </xf>
    <xf numFmtId="166" fontId="14" fillId="0" borderId="0" xfId="4" applyNumberFormat="1" applyFont="1" applyAlignment="1">
      <alignment vertical="top"/>
    </xf>
    <xf numFmtId="167" fontId="14" fillId="0" borderId="12" xfId="1" applyNumberFormat="1" applyFont="1" applyFill="1" applyBorder="1" applyAlignment="1">
      <alignment horizontal="center"/>
    </xf>
    <xf numFmtId="9" fontId="14" fillId="0" borderId="5" xfId="4" applyNumberFormat="1" applyFont="1" applyBorder="1" applyAlignment="1">
      <alignment vertical="top"/>
    </xf>
    <xf numFmtId="9" fontId="14" fillId="0" borderId="5" xfId="6" applyFont="1" applyFill="1" applyBorder="1" applyAlignment="1">
      <alignment horizontal="left"/>
    </xf>
    <xf numFmtId="9" fontId="14" fillId="0" borderId="0" xfId="6" applyFont="1" applyFill="1" applyBorder="1" applyAlignment="1">
      <alignment horizontal="left"/>
    </xf>
    <xf numFmtId="43" fontId="0" fillId="0" borderId="0" xfId="1" applyFont="1" applyFill="1" applyBorder="1"/>
    <xf numFmtId="167" fontId="14" fillId="0" borderId="13" xfId="1" applyNumberFormat="1" applyFont="1" applyFill="1" applyBorder="1" applyAlignment="1">
      <alignment horizontal="right" vertical="top" wrapText="1"/>
    </xf>
    <xf numFmtId="0" fontId="0" fillId="2" borderId="0" xfId="0" applyFill="1"/>
    <xf numFmtId="0" fontId="0" fillId="0" borderId="7" xfId="0" applyBorder="1"/>
    <xf numFmtId="168" fontId="15" fillId="0" borderId="0" xfId="4" applyNumberFormat="1" applyFont="1" applyAlignment="1">
      <alignment horizontal="center"/>
    </xf>
    <xf numFmtId="49" fontId="3" fillId="2" borderId="0" xfId="0" applyNumberFormat="1" applyFont="1" applyFill="1" applyAlignment="1">
      <alignment vertical="top"/>
    </xf>
    <xf numFmtId="168" fontId="21" fillId="0" borderId="0" xfId="4" applyNumberFormat="1" applyFont="1"/>
    <xf numFmtId="43" fontId="21" fillId="0" borderId="0" xfId="1" applyFont="1" applyFill="1" applyBorder="1" applyAlignment="1"/>
    <xf numFmtId="14" fontId="21" fillId="0" borderId="0" xfId="4" applyNumberFormat="1" applyFont="1"/>
    <xf numFmtId="168" fontId="21" fillId="0" borderId="2" xfId="4" applyNumberFormat="1" applyFont="1" applyBorder="1"/>
    <xf numFmtId="168" fontId="22" fillId="0" borderId="0" xfId="4" applyNumberFormat="1" applyFont="1"/>
    <xf numFmtId="0" fontId="21" fillId="0" borderId="0" xfId="0" applyFont="1"/>
    <xf numFmtId="168" fontId="21" fillId="0" borderId="7" xfId="4" applyNumberFormat="1" applyFont="1" applyBorder="1"/>
    <xf numFmtId="168" fontId="21" fillId="0" borderId="5" xfId="4" applyNumberFormat="1" applyFont="1" applyBorder="1"/>
    <xf numFmtId="168" fontId="23" fillId="0" borderId="0" xfId="4" applyNumberFormat="1" applyFont="1"/>
    <xf numFmtId="168" fontId="22" fillId="0" borderId="7" xfId="4" applyNumberFormat="1" applyFont="1" applyBorder="1"/>
    <xf numFmtId="1" fontId="15" fillId="0" borderId="0" xfId="4" applyNumberFormat="1" applyFont="1" applyAlignment="1">
      <alignment horizontal="center" vertical="center" wrapText="1"/>
    </xf>
    <xf numFmtId="43" fontId="14" fillId="0" borderId="0" xfId="1" applyFont="1" applyFill="1" applyBorder="1" applyAlignment="1">
      <alignment horizontal="center"/>
    </xf>
    <xf numFmtId="167" fontId="14" fillId="0" borderId="0" xfId="1" applyNumberFormat="1" applyFont="1" applyFill="1" applyBorder="1" applyAlignment="1">
      <alignment horizontal="center"/>
    </xf>
    <xf numFmtId="167" fontId="15" fillId="0" borderId="0" xfId="1" applyNumberFormat="1" applyFont="1" applyFill="1" applyBorder="1" applyAlignment="1">
      <alignment vertical="center"/>
    </xf>
    <xf numFmtId="167" fontId="14" fillId="0" borderId="0" xfId="1" applyNumberFormat="1" applyFont="1" applyFill="1" applyBorder="1" applyAlignment="1">
      <alignment vertical="center"/>
    </xf>
    <xf numFmtId="169" fontId="15" fillId="0" borderId="0" xfId="0" applyNumberFormat="1" applyFont="1" applyAlignment="1">
      <alignment horizontal="center" vertical="center" wrapText="1"/>
    </xf>
    <xf numFmtId="171" fontId="15" fillId="0" borderId="0" xfId="1" applyNumberFormat="1" applyFont="1" applyFill="1" applyBorder="1" applyAlignment="1">
      <alignment horizontal="center" vertical="center" wrapText="1"/>
    </xf>
    <xf numFmtId="167" fontId="15" fillId="0" borderId="0" xfId="1" applyNumberFormat="1" applyFont="1" applyFill="1" applyBorder="1" applyAlignment="1">
      <alignment vertical="center" wrapText="1"/>
    </xf>
    <xf numFmtId="43" fontId="14" fillId="0" borderId="0" xfId="1" applyFont="1" applyFill="1" applyBorder="1" applyAlignment="1">
      <alignment vertical="center" wrapText="1"/>
    </xf>
    <xf numFmtId="170" fontId="14" fillId="0" borderId="0" xfId="1" applyNumberFormat="1" applyFont="1" applyFill="1" applyBorder="1" applyAlignment="1">
      <alignment horizontal="right"/>
    </xf>
    <xf numFmtId="43" fontId="14" fillId="0" borderId="0" xfId="1" applyFont="1" applyFill="1" applyBorder="1" applyAlignment="1">
      <alignment horizontal="right"/>
    </xf>
    <xf numFmtId="167" fontId="15" fillId="0" borderId="0" xfId="1" applyNumberFormat="1" applyFont="1" applyFill="1" applyBorder="1"/>
    <xf numFmtId="43" fontId="14" fillId="0" borderId="0" xfId="1" applyFont="1" applyFill="1" applyBorder="1"/>
    <xf numFmtId="167" fontId="14" fillId="0" borderId="0" xfId="7" applyNumberFormat="1" applyFont="1" applyFill="1" applyBorder="1"/>
    <xf numFmtId="167" fontId="14" fillId="0" borderId="0" xfId="1" applyNumberFormat="1" applyFont="1" applyFill="1" applyBorder="1" applyAlignment="1">
      <alignment horizontal="left" wrapText="1"/>
    </xf>
    <xf numFmtId="170" fontId="14" fillId="0" borderId="0" xfId="1" applyNumberFormat="1" applyFont="1" applyFill="1" applyBorder="1" applyAlignment="1">
      <alignment horizontal="justify" vertical="top" wrapText="1"/>
    </xf>
    <xf numFmtId="170" fontId="14" fillId="0" borderId="0" xfId="1" applyNumberFormat="1" applyFont="1" applyFill="1" applyBorder="1" applyAlignment="1"/>
    <xf numFmtId="167" fontId="15" fillId="0" borderId="0" xfId="1" applyNumberFormat="1" applyFont="1" applyFill="1" applyBorder="1" applyAlignment="1"/>
    <xf numFmtId="167" fontId="15" fillId="0" borderId="0" xfId="1" applyNumberFormat="1" applyFont="1" applyFill="1" applyBorder="1" applyAlignment="1">
      <alignment horizontal="center" vertical="center"/>
    </xf>
    <xf numFmtId="172" fontId="15" fillId="0" borderId="0" xfId="1" applyNumberFormat="1" applyFont="1" applyFill="1" applyBorder="1" applyAlignment="1">
      <alignment horizontal="center"/>
    </xf>
    <xf numFmtId="43" fontId="15" fillId="0" borderId="0" xfId="1" applyFont="1" applyFill="1" applyBorder="1" applyAlignment="1">
      <alignment horizontal="center"/>
    </xf>
    <xf numFmtId="168" fontId="16" fillId="0" borderId="0" xfId="0" applyNumberFormat="1" applyFont="1" applyAlignment="1">
      <alignment horizontal="left" vertical="top"/>
    </xf>
    <xf numFmtId="166" fontId="14" fillId="0" borderId="0" xfId="1" applyNumberFormat="1" applyFont="1" applyFill="1" applyBorder="1" applyAlignment="1">
      <alignment horizontal="right"/>
    </xf>
    <xf numFmtId="167" fontId="15" fillId="0" borderId="0" xfId="1" applyNumberFormat="1" applyFont="1" applyFill="1" applyBorder="1" applyAlignment="1">
      <alignment vertical="top"/>
    </xf>
    <xf numFmtId="10" fontId="14" fillId="0" borderId="0" xfId="5" applyNumberFormat="1" applyFont="1" applyFill="1" applyBorder="1" applyAlignment="1">
      <alignment horizontal="right"/>
    </xf>
    <xf numFmtId="167" fontId="14" fillId="0" borderId="0" xfId="1" applyNumberFormat="1" applyFont="1" applyFill="1" applyBorder="1" applyAlignment="1">
      <alignment horizontal="justify" vertical="top"/>
    </xf>
    <xf numFmtId="167" fontId="15" fillId="0" borderId="0" xfId="1" applyNumberFormat="1" applyFont="1" applyFill="1" applyBorder="1" applyAlignment="1">
      <alignment horizontal="center" vertical="center" wrapText="1"/>
    </xf>
    <xf numFmtId="0" fontId="24" fillId="0" borderId="0" xfId="0" applyFont="1"/>
    <xf numFmtId="0" fontId="6" fillId="0" borderId="7" xfId="0" applyFont="1" applyBorder="1"/>
    <xf numFmtId="43" fontId="6" fillId="0" borderId="7" xfId="1" applyFont="1" applyBorder="1"/>
    <xf numFmtId="0" fontId="24" fillId="0" borderId="7" xfId="0" applyFont="1" applyBorder="1"/>
    <xf numFmtId="43" fontId="0" fillId="0" borderId="7" xfId="1" applyFont="1" applyBorder="1"/>
    <xf numFmtId="17" fontId="0" fillId="0" borderId="7" xfId="0" applyNumberFormat="1" applyBorder="1"/>
    <xf numFmtId="168" fontId="21" fillId="2" borderId="0" xfId="4" applyNumberFormat="1" applyFont="1" applyFill="1"/>
    <xf numFmtId="168" fontId="14" fillId="2" borderId="0" xfId="4" applyNumberFormat="1" applyFont="1" applyFill="1"/>
    <xf numFmtId="0" fontId="0" fillId="0" borderId="0" xfId="0" applyAlignment="1">
      <alignment horizontal="left" indent="1"/>
    </xf>
    <xf numFmtId="167" fontId="14" fillId="0" borderId="0" xfId="1" applyNumberFormat="1" applyFont="1" applyFill="1" applyBorder="1" applyAlignment="1">
      <alignment horizontal="left"/>
    </xf>
    <xf numFmtId="167" fontId="14" fillId="2" borderId="13" xfId="1" applyNumberFormat="1" applyFont="1" applyFill="1" applyBorder="1" applyAlignment="1">
      <alignment horizontal="right"/>
    </xf>
    <xf numFmtId="167" fontId="14" fillId="2" borderId="0" xfId="1" applyNumberFormat="1" applyFont="1" applyFill="1" applyBorder="1" applyAlignment="1">
      <alignment horizontal="right"/>
    </xf>
    <xf numFmtId="165" fontId="3" fillId="2" borderId="0" xfId="0" applyNumberFormat="1" applyFont="1" applyFill="1" applyAlignment="1">
      <alignment horizontal="right" vertical="top"/>
    </xf>
    <xf numFmtId="164" fontId="3" fillId="2" borderId="0" xfId="0" applyNumberFormat="1" applyFont="1" applyFill="1" applyAlignment="1">
      <alignment horizontal="right" vertical="top"/>
    </xf>
    <xf numFmtId="43" fontId="0" fillId="2" borderId="0" xfId="1" applyFont="1" applyFill="1"/>
    <xf numFmtId="167" fontId="14" fillId="0" borderId="12" xfId="1" applyNumberFormat="1" applyFont="1" applyFill="1" applyBorder="1" applyAlignment="1">
      <alignment horizontal="center" vertical="center" wrapText="1"/>
    </xf>
    <xf numFmtId="167" fontId="14" fillId="0" borderId="7" xfId="1" applyNumberFormat="1" applyFont="1" applyFill="1" applyBorder="1" applyAlignment="1">
      <alignment horizontal="center" vertical="center" wrapText="1"/>
    </xf>
    <xf numFmtId="167" fontId="14" fillId="0" borderId="0" xfId="1" applyNumberFormat="1" applyFont="1" applyFill="1" applyBorder="1" applyAlignment="1">
      <alignment horizontal="center" vertical="center" wrapText="1"/>
    </xf>
    <xf numFmtId="167" fontId="15" fillId="0" borderId="0" xfId="1" applyNumberFormat="1" applyFont="1" applyFill="1" applyBorder="1" applyAlignment="1">
      <alignment horizontal="left"/>
    </xf>
    <xf numFmtId="167" fontId="15" fillId="0" borderId="12" xfId="1" applyNumberFormat="1" applyFont="1" applyFill="1" applyBorder="1" applyAlignment="1">
      <alignment horizontal="center" vertical="center" wrapText="1"/>
    </xf>
    <xf numFmtId="167" fontId="14" fillId="0" borderId="5" xfId="1" applyNumberFormat="1" applyFont="1" applyFill="1" applyBorder="1" applyAlignment="1">
      <alignment vertical="center" wrapText="1"/>
    </xf>
    <xf numFmtId="167" fontId="14" fillId="0" borderId="6" xfId="1" applyNumberFormat="1" applyFont="1" applyFill="1" applyBorder="1" applyAlignment="1">
      <alignment horizontal="center" vertical="center" wrapText="1"/>
    </xf>
    <xf numFmtId="167" fontId="17" fillId="0" borderId="13" xfId="1" applyNumberFormat="1" applyFont="1" applyFill="1" applyBorder="1" applyAlignment="1"/>
    <xf numFmtId="167" fontId="14" fillId="0" borderId="7" xfId="1" applyNumberFormat="1" applyFont="1" applyFill="1" applyBorder="1"/>
    <xf numFmtId="167" fontId="14" fillId="0" borderId="1" xfId="1" applyNumberFormat="1" applyFont="1" applyFill="1" applyBorder="1" applyAlignment="1">
      <alignment horizontal="left"/>
    </xf>
    <xf numFmtId="167" fontId="14" fillId="0" borderId="13" xfId="1" applyNumberFormat="1" applyFont="1" applyFill="1" applyBorder="1" applyAlignment="1">
      <alignment horizontal="left" vertical="top" wrapText="1"/>
    </xf>
    <xf numFmtId="167" fontId="15" fillId="0" borderId="5" xfId="1" applyNumberFormat="1" applyFont="1" applyFill="1" applyBorder="1" applyAlignment="1">
      <alignment horizontal="justify" vertical="top" wrapText="1"/>
    </xf>
    <xf numFmtId="167" fontId="14" fillId="0" borderId="13" xfId="1" applyNumberFormat="1" applyFont="1" applyFill="1" applyBorder="1" applyAlignment="1">
      <alignment horizontal="left" wrapText="1"/>
    </xf>
    <xf numFmtId="167" fontId="15" fillId="0" borderId="13" xfId="1" applyNumberFormat="1" applyFont="1" applyFill="1" applyBorder="1" applyAlignment="1">
      <alignment horizontal="left" vertical="top" wrapText="1"/>
    </xf>
    <xf numFmtId="167" fontId="15" fillId="0" borderId="13" xfId="1" applyNumberFormat="1" applyFont="1" applyFill="1" applyBorder="1" applyAlignment="1">
      <alignment horizontal="justify" vertical="top" wrapText="1"/>
    </xf>
    <xf numFmtId="167" fontId="14" fillId="0" borderId="13" xfId="1" applyNumberFormat="1" applyFont="1" applyFill="1" applyBorder="1" applyAlignment="1">
      <alignment vertical="top" wrapText="1"/>
    </xf>
    <xf numFmtId="167" fontId="14" fillId="0" borderId="20" xfId="1" applyNumberFormat="1" applyFont="1" applyFill="1" applyBorder="1"/>
    <xf numFmtId="167" fontId="14" fillId="0" borderId="20" xfId="1" applyNumberFormat="1" applyFont="1" applyFill="1" applyBorder="1" applyAlignment="1"/>
    <xf numFmtId="167" fontId="15" fillId="0" borderId="10" xfId="1" applyNumberFormat="1" applyFont="1" applyFill="1" applyBorder="1" applyAlignment="1">
      <alignment horizontal="left" wrapText="1"/>
    </xf>
    <xf numFmtId="167" fontId="14" fillId="0" borderId="0" xfId="1" applyNumberFormat="1" applyFont="1" applyFill="1" applyBorder="1" applyAlignment="1">
      <alignment horizontal="left" vertical="top" wrapText="1"/>
    </xf>
    <xf numFmtId="167" fontId="15" fillId="0" borderId="12" xfId="1" applyNumberFormat="1" applyFont="1" applyFill="1" applyBorder="1"/>
    <xf numFmtId="167" fontId="15" fillId="0" borderId="1" xfId="1" applyNumberFormat="1" applyFont="1" applyFill="1" applyBorder="1" applyAlignment="1"/>
    <xf numFmtId="167" fontId="15" fillId="0" borderId="9" xfId="1" applyNumberFormat="1" applyFont="1" applyFill="1" applyBorder="1" applyAlignment="1">
      <alignment horizontal="center" vertical="center" wrapText="1"/>
    </xf>
    <xf numFmtId="167" fontId="19" fillId="0" borderId="0" xfId="1" applyNumberFormat="1" applyFont="1" applyFill="1" applyBorder="1" applyAlignment="1">
      <alignment wrapText="1"/>
    </xf>
    <xf numFmtId="167" fontId="14" fillId="0" borderId="0" xfId="1" applyNumberFormat="1" applyFont="1" applyFill="1" applyAlignment="1"/>
    <xf numFmtId="15" fontId="6" fillId="0" borderId="0" xfId="0" applyNumberFormat="1" applyFont="1"/>
    <xf numFmtId="10" fontId="0" fillId="0" borderId="0" xfId="5" applyNumberFormat="1" applyFont="1"/>
    <xf numFmtId="49" fontId="6" fillId="0" borderId="7" xfId="0" applyNumberFormat="1" applyFont="1" applyBorder="1"/>
    <xf numFmtId="15" fontId="6" fillId="0" borderId="7" xfId="0" applyNumberFormat="1" applyFont="1" applyBorder="1"/>
    <xf numFmtId="10" fontId="6" fillId="0" borderId="7" xfId="5" applyNumberFormat="1" applyFont="1" applyFill="1" applyBorder="1"/>
    <xf numFmtId="49" fontId="0" fillId="0" borderId="7" xfId="0" applyNumberFormat="1" applyBorder="1"/>
    <xf numFmtId="10" fontId="0" fillId="0" borderId="7" xfId="5" applyNumberFormat="1" applyFont="1" applyBorder="1"/>
    <xf numFmtId="0" fontId="0" fillId="2" borderId="7" xfId="0" applyFill="1" applyBorder="1"/>
    <xf numFmtId="49" fontId="0" fillId="2" borderId="7" xfId="0" applyNumberFormat="1" applyFill="1" applyBorder="1"/>
    <xf numFmtId="10" fontId="0" fillId="2" borderId="7" xfId="5" applyNumberFormat="1" applyFont="1" applyFill="1" applyBorder="1"/>
    <xf numFmtId="0" fontId="0" fillId="6" borderId="7" xfId="0" applyFill="1" applyBorder="1"/>
    <xf numFmtId="49" fontId="0" fillId="6" borderId="7" xfId="0" applyNumberFormat="1" applyFill="1" applyBorder="1"/>
    <xf numFmtId="0" fontId="0" fillId="5" borderId="7" xfId="0" applyFill="1" applyBorder="1"/>
    <xf numFmtId="49" fontId="0" fillId="5" borderId="7" xfId="0" applyNumberFormat="1" applyFill="1" applyBorder="1"/>
    <xf numFmtId="0" fontId="14" fillId="0" borderId="0" xfId="4" applyNumberFormat="1" applyFont="1" applyAlignment="1">
      <alignment vertical="top" wrapText="1"/>
    </xf>
    <xf numFmtId="0" fontId="15" fillId="0" borderId="5" xfId="4" applyNumberFormat="1" applyFont="1" applyBorder="1" applyAlignment="1">
      <alignment vertical="top" wrapText="1"/>
    </xf>
    <xf numFmtId="0" fontId="6" fillId="0" borderId="0" xfId="10" applyFont="1"/>
    <xf numFmtId="14" fontId="6" fillId="0" borderId="0" xfId="10" applyNumberFormat="1" applyFont="1"/>
    <xf numFmtId="0" fontId="0" fillId="0" borderId="0" xfId="10" applyFont="1"/>
    <xf numFmtId="0" fontId="5" fillId="0" borderId="0" xfId="10"/>
    <xf numFmtId="9" fontId="5" fillId="0" borderId="0" xfId="10" applyNumberFormat="1"/>
    <xf numFmtId="0" fontId="6" fillId="2" borderId="7" xfId="10" applyFont="1" applyFill="1" applyBorder="1"/>
    <xf numFmtId="0" fontId="0" fillId="0" borderId="7" xfId="10" applyFont="1" applyBorder="1"/>
    <xf numFmtId="170" fontId="5" fillId="0" borderId="7" xfId="10" applyNumberFormat="1" applyBorder="1"/>
    <xf numFmtId="0" fontId="5" fillId="0" borderId="7" xfId="10" applyBorder="1"/>
    <xf numFmtId="9" fontId="5" fillId="0" borderId="7" xfId="10" applyNumberFormat="1" applyBorder="1"/>
    <xf numFmtId="1" fontId="5" fillId="0" borderId="7" xfId="10" applyNumberFormat="1" applyBorder="1"/>
    <xf numFmtId="168" fontId="20" fillId="0" borderId="13" xfId="11" applyNumberFormat="1" applyFont="1" applyBorder="1"/>
    <xf numFmtId="0" fontId="6" fillId="0" borderId="17" xfId="10" applyFont="1" applyBorder="1"/>
    <xf numFmtId="0" fontId="6" fillId="0" borderId="3" xfId="10" applyFont="1" applyBorder="1"/>
    <xf numFmtId="0" fontId="6" fillId="0" borderId="7" xfId="10" applyFont="1" applyBorder="1"/>
    <xf numFmtId="1" fontId="6" fillId="0" borderId="7" xfId="10" applyNumberFormat="1" applyFont="1" applyBorder="1"/>
    <xf numFmtId="168" fontId="25" fillId="0" borderId="0" xfId="11" applyNumberFormat="1" applyFont="1"/>
    <xf numFmtId="168" fontId="20" fillId="0" borderId="0" xfId="11" applyNumberFormat="1" applyFont="1"/>
    <xf numFmtId="170" fontId="26" fillId="0" borderId="0" xfId="12" applyNumberFormat="1" applyFont="1" applyFill="1" applyAlignment="1">
      <alignment horizontal="center"/>
    </xf>
    <xf numFmtId="170" fontId="25" fillId="0" borderId="0" xfId="12" applyNumberFormat="1" applyFont="1" applyFill="1" applyAlignment="1">
      <alignment horizontal="center"/>
    </xf>
    <xf numFmtId="170" fontId="20" fillId="0" borderId="0" xfId="11" applyNumberFormat="1" applyFont="1"/>
    <xf numFmtId="173" fontId="20" fillId="0" borderId="0" xfId="11" applyNumberFormat="1" applyFont="1" applyAlignment="1">
      <alignment horizontal="center" vertical="center"/>
    </xf>
    <xf numFmtId="170" fontId="20" fillId="0" borderId="0" xfId="12" applyNumberFormat="1" applyFont="1" applyFill="1"/>
    <xf numFmtId="173" fontId="25" fillId="0" borderId="7" xfId="11" applyNumberFormat="1" applyFont="1" applyBorder="1" applyAlignment="1">
      <alignment horizontal="center" vertical="center"/>
    </xf>
    <xf numFmtId="168" fontId="25" fillId="0" borderId="7" xfId="11" applyNumberFormat="1" applyFont="1" applyBorder="1" applyAlignment="1">
      <alignment horizontal="center"/>
    </xf>
    <xf numFmtId="170" fontId="25" fillId="0" borderId="7" xfId="12" applyNumberFormat="1" applyFont="1" applyFill="1" applyBorder="1" applyAlignment="1">
      <alignment horizontal="center"/>
    </xf>
    <xf numFmtId="170" fontId="25" fillId="0" borderId="7" xfId="11" applyNumberFormat="1" applyFont="1" applyBorder="1" applyAlignment="1">
      <alignment horizontal="center"/>
    </xf>
    <xf numFmtId="14" fontId="25" fillId="0" borderId="7" xfId="11" applyNumberFormat="1" applyFont="1" applyBorder="1" applyAlignment="1">
      <alignment horizontal="center"/>
    </xf>
    <xf numFmtId="0" fontId="25" fillId="0" borderId="7" xfId="11" applyNumberFormat="1" applyFont="1" applyBorder="1" applyAlignment="1">
      <alignment horizontal="center"/>
    </xf>
    <xf numFmtId="173" fontId="25" fillId="0" borderId="13" xfId="11" applyNumberFormat="1" applyFont="1" applyBorder="1" applyAlignment="1">
      <alignment horizontal="center" vertical="center"/>
    </xf>
    <xf numFmtId="168" fontId="27" fillId="0" borderId="13" xfId="11" applyNumberFormat="1" applyFont="1" applyBorder="1"/>
    <xf numFmtId="170" fontId="25" fillId="0" borderId="13" xfId="12" applyNumberFormat="1" applyFont="1" applyFill="1" applyBorder="1" applyAlignment="1">
      <alignment horizontal="center"/>
    </xf>
    <xf numFmtId="170" fontId="25" fillId="0" borderId="13" xfId="11" applyNumberFormat="1" applyFont="1" applyBorder="1" applyAlignment="1">
      <alignment horizontal="center"/>
    </xf>
    <xf numFmtId="14" fontId="25" fillId="0" borderId="13" xfId="11" applyNumberFormat="1" applyFont="1" applyBorder="1" applyAlignment="1">
      <alignment horizontal="center"/>
    </xf>
    <xf numFmtId="0" fontId="25" fillId="0" borderId="13" xfId="11" applyNumberFormat="1" applyFont="1" applyBorder="1" applyAlignment="1">
      <alignment horizontal="center"/>
    </xf>
    <xf numFmtId="170" fontId="28" fillId="0" borderId="13" xfId="11" applyNumberFormat="1" applyFont="1" applyBorder="1" applyAlignment="1">
      <alignment horizontal="center"/>
    </xf>
    <xf numFmtId="173" fontId="20" fillId="0" borderId="13" xfId="11" applyNumberFormat="1" applyFont="1" applyBorder="1" applyAlignment="1">
      <alignment horizontal="center" vertical="center"/>
    </xf>
    <xf numFmtId="170" fontId="20" fillId="0" borderId="13" xfId="12" applyNumberFormat="1" applyFont="1" applyFill="1" applyBorder="1"/>
    <xf numFmtId="170" fontId="20" fillId="0" borderId="13" xfId="11" applyNumberFormat="1" applyFont="1" applyBorder="1"/>
    <xf numFmtId="14" fontId="20" fillId="0" borderId="13" xfId="11" applyNumberFormat="1" applyFont="1" applyBorder="1"/>
    <xf numFmtId="0" fontId="20" fillId="0" borderId="13" xfId="11" applyNumberFormat="1" applyFont="1" applyBorder="1"/>
    <xf numFmtId="170" fontId="29" fillId="0" borderId="13" xfId="11" applyNumberFormat="1" applyFont="1" applyBorder="1"/>
    <xf numFmtId="10" fontId="20" fillId="0" borderId="13" xfId="13" applyNumberFormat="1" applyFont="1" applyFill="1" applyBorder="1"/>
    <xf numFmtId="170" fontId="5" fillId="0" borderId="0" xfId="10" applyNumberFormat="1"/>
    <xf numFmtId="170" fontId="28" fillId="0" borderId="13" xfId="11" applyNumberFormat="1" applyFont="1" applyBorder="1"/>
    <xf numFmtId="168" fontId="25" fillId="0" borderId="7" xfId="11" applyNumberFormat="1" applyFont="1" applyBorder="1"/>
    <xf numFmtId="170" fontId="25" fillId="0" borderId="7" xfId="12" applyNumberFormat="1" applyFont="1" applyFill="1" applyBorder="1"/>
    <xf numFmtId="14" fontId="25" fillId="0" borderId="7" xfId="12" applyNumberFormat="1" applyFont="1" applyFill="1" applyBorder="1"/>
    <xf numFmtId="0" fontId="25" fillId="0" borderId="7" xfId="12" applyNumberFormat="1" applyFont="1" applyFill="1" applyBorder="1"/>
    <xf numFmtId="168" fontId="15" fillId="0" borderId="4" xfId="4" applyNumberFormat="1" applyFont="1" applyBorder="1"/>
    <xf numFmtId="167" fontId="15" fillId="2" borderId="7" xfId="1" applyNumberFormat="1" applyFont="1" applyFill="1" applyBorder="1" applyAlignment="1">
      <alignment horizontal="right"/>
    </xf>
    <xf numFmtId="167" fontId="15" fillId="2" borderId="0" xfId="1" applyNumberFormat="1" applyFont="1" applyFill="1" applyBorder="1" applyAlignment="1">
      <alignment horizontal="right"/>
    </xf>
    <xf numFmtId="167" fontId="16" fillId="2" borderId="9" xfId="1" applyNumberFormat="1" applyFont="1" applyFill="1" applyBorder="1" applyAlignment="1">
      <alignment horizontal="left" vertical="top" wrapText="1"/>
    </xf>
    <xf numFmtId="167" fontId="15" fillId="2" borderId="9" xfId="1" applyNumberFormat="1" applyFont="1" applyFill="1" applyBorder="1" applyAlignment="1">
      <alignment horizontal="center" vertical="center"/>
    </xf>
    <xf numFmtId="1" fontId="15" fillId="2" borderId="0" xfId="4" applyNumberFormat="1" applyFont="1" applyFill="1" applyAlignment="1">
      <alignment horizontal="center" vertical="center"/>
    </xf>
    <xf numFmtId="167" fontId="14" fillId="2" borderId="19" xfId="1" applyNumberFormat="1" applyFont="1" applyFill="1" applyBorder="1" applyAlignment="1">
      <alignment horizontal="left" vertical="top"/>
    </xf>
    <xf numFmtId="167" fontId="15" fillId="2" borderId="7" xfId="1" applyNumberFormat="1" applyFont="1" applyFill="1" applyBorder="1" applyAlignment="1">
      <alignment horizontal="left" vertical="top" wrapText="1"/>
    </xf>
    <xf numFmtId="168" fontId="15" fillId="0" borderId="10" xfId="0" applyNumberFormat="1" applyFont="1" applyBorder="1" applyAlignment="1">
      <alignment horizontal="center"/>
    </xf>
    <xf numFmtId="43" fontId="14" fillId="0" borderId="11" xfId="1" applyFont="1" applyFill="1" applyBorder="1" applyAlignment="1">
      <alignment horizontal="right"/>
    </xf>
    <xf numFmtId="176" fontId="14" fillId="0" borderId="11" xfId="1" applyNumberFormat="1" applyFont="1" applyFill="1" applyBorder="1" applyAlignment="1">
      <alignment horizontal="right"/>
    </xf>
    <xf numFmtId="1" fontId="15" fillId="0" borderId="7" xfId="4" applyNumberFormat="1" applyFont="1" applyBorder="1" applyAlignment="1">
      <alignment horizontal="center" vertical="center" wrapText="1"/>
    </xf>
    <xf numFmtId="0" fontId="14" fillId="0" borderId="11" xfId="0" applyFont="1" applyBorder="1" applyAlignment="1">
      <alignment vertical="center" wrapText="1"/>
    </xf>
    <xf numFmtId="176" fontId="15" fillId="0" borderId="11" xfId="1" applyNumberFormat="1" applyFont="1" applyFill="1" applyBorder="1" applyAlignment="1">
      <alignment horizontal="center"/>
    </xf>
    <xf numFmtId="43" fontId="15" fillId="0" borderId="11" xfId="1" applyFont="1" applyFill="1" applyBorder="1" applyAlignment="1">
      <alignment horizontal="center"/>
    </xf>
    <xf numFmtId="9" fontId="15" fillId="0" borderId="13" xfId="5" applyFont="1" applyFill="1" applyBorder="1" applyAlignment="1">
      <alignment vertical="center" wrapText="1"/>
    </xf>
    <xf numFmtId="176" fontId="15" fillId="0" borderId="13" xfId="1" applyNumberFormat="1" applyFont="1" applyFill="1" applyBorder="1" applyAlignment="1">
      <alignment horizontal="center"/>
    </xf>
    <xf numFmtId="43" fontId="15" fillId="0" borderId="13" xfId="1" applyFont="1" applyFill="1" applyBorder="1" applyAlignment="1">
      <alignment horizontal="center"/>
    </xf>
    <xf numFmtId="176" fontId="14" fillId="0" borderId="13" xfId="1" applyNumberFormat="1" applyFont="1" applyFill="1" applyBorder="1" applyAlignment="1">
      <alignment horizontal="right"/>
    </xf>
    <xf numFmtId="0" fontId="14" fillId="0" borderId="13" xfId="0" applyFont="1" applyBorder="1" applyAlignment="1">
      <alignment horizontal="left" vertical="top" wrapText="1"/>
    </xf>
    <xf numFmtId="43" fontId="14" fillId="0" borderId="13" xfId="1" applyFont="1" applyFill="1" applyBorder="1" applyAlignment="1">
      <alignment vertical="center" wrapText="1"/>
    </xf>
    <xf numFmtId="0" fontId="15" fillId="0" borderId="7" xfId="0" applyFont="1" applyBorder="1" applyAlignment="1">
      <alignment vertical="center" wrapText="1"/>
    </xf>
    <xf numFmtId="0" fontId="14" fillId="0" borderId="7" xfId="0" applyFont="1" applyBorder="1" applyAlignment="1">
      <alignment vertical="center" wrapText="1"/>
    </xf>
    <xf numFmtId="176" fontId="15" fillId="0" borderId="7" xfId="0" applyNumberFormat="1" applyFont="1" applyBorder="1" applyAlignment="1">
      <alignment vertical="center" wrapText="1"/>
    </xf>
    <xf numFmtId="43" fontId="15" fillId="0" borderId="7" xfId="0" applyNumberFormat="1" applyFont="1" applyBorder="1" applyAlignment="1">
      <alignment vertical="center" wrapText="1"/>
    </xf>
    <xf numFmtId="176" fontId="14" fillId="0" borderId="7" xfId="0" applyNumberFormat="1" applyFont="1" applyBorder="1" applyAlignment="1">
      <alignment vertical="center" wrapText="1"/>
    </xf>
    <xf numFmtId="43" fontId="14" fillId="0" borderId="7" xfId="0" applyNumberFormat="1" applyFont="1" applyBorder="1" applyAlignment="1">
      <alignment vertical="center" wrapText="1"/>
    </xf>
    <xf numFmtId="0" fontId="15" fillId="0" borderId="7" xfId="0" applyFont="1" applyBorder="1" applyAlignment="1">
      <alignment vertical="center"/>
    </xf>
    <xf numFmtId="43" fontId="14" fillId="0" borderId="7" xfId="1" applyFont="1" applyFill="1" applyBorder="1" applyAlignment="1">
      <alignment vertical="center" wrapText="1"/>
    </xf>
    <xf numFmtId="0" fontId="15" fillId="0" borderId="13" xfId="0" applyFont="1" applyBorder="1" applyAlignment="1">
      <alignment vertical="center" wrapText="1"/>
    </xf>
    <xf numFmtId="176" fontId="15" fillId="0" borderId="7" xfId="1" applyNumberFormat="1" applyFont="1" applyFill="1" applyBorder="1" applyAlignment="1">
      <alignment horizontal="center"/>
    </xf>
    <xf numFmtId="43" fontId="15" fillId="0" borderId="7" xfId="1" applyFont="1" applyFill="1" applyBorder="1" applyAlignment="1">
      <alignment horizontal="center"/>
    </xf>
    <xf numFmtId="167" fontId="14" fillId="0" borderId="7" xfId="1" applyNumberFormat="1" applyFont="1" applyFill="1" applyBorder="1" applyAlignment="1">
      <alignment horizontal="right"/>
    </xf>
    <xf numFmtId="176" fontId="15" fillId="0" borderId="13" xfId="0" applyNumberFormat="1" applyFont="1" applyBorder="1" applyAlignment="1">
      <alignment vertical="center" wrapText="1"/>
    </xf>
    <xf numFmtId="43" fontId="15" fillId="0" borderId="13" xfId="0" applyNumberFormat="1" applyFont="1" applyBorder="1" applyAlignment="1">
      <alignment vertical="center" wrapText="1"/>
    </xf>
    <xf numFmtId="167" fontId="15" fillId="0" borderId="13" xfId="1" applyNumberFormat="1" applyFont="1" applyFill="1" applyBorder="1" applyAlignment="1">
      <alignment vertical="center" wrapText="1"/>
    </xf>
    <xf numFmtId="167" fontId="0" fillId="0" borderId="0" xfId="0" applyNumberFormat="1"/>
    <xf numFmtId="43" fontId="0" fillId="0" borderId="0" xfId="0" applyNumberFormat="1"/>
    <xf numFmtId="177" fontId="0" fillId="0" borderId="0" xfId="1" applyNumberFormat="1" applyFont="1"/>
    <xf numFmtId="0" fontId="14" fillId="2" borderId="13" xfId="0" applyFont="1" applyFill="1" applyBorder="1" applyAlignment="1">
      <alignment vertical="center"/>
    </xf>
    <xf numFmtId="176" fontId="15" fillId="2" borderId="13" xfId="1" applyNumberFormat="1" applyFont="1" applyFill="1" applyBorder="1" applyAlignment="1">
      <alignment horizontal="center"/>
    </xf>
    <xf numFmtId="43" fontId="15" fillId="2" borderId="13" xfId="1" applyFont="1" applyFill="1" applyBorder="1" applyAlignment="1">
      <alignment horizontal="center"/>
    </xf>
    <xf numFmtId="172" fontId="30" fillId="0" borderId="0" xfId="14" applyFont="1"/>
    <xf numFmtId="172" fontId="30" fillId="0" borderId="0" xfId="14" applyFont="1" applyFill="1"/>
    <xf numFmtId="172" fontId="30" fillId="0" borderId="0" xfId="14" applyFont="1" applyBorder="1"/>
    <xf numFmtId="172" fontId="30" fillId="0" borderId="0" xfId="14" applyFont="1" applyFill="1" applyBorder="1"/>
    <xf numFmtId="172" fontId="32" fillId="0" borderId="0" xfId="14" applyFont="1" applyBorder="1" applyAlignment="1">
      <alignment horizontal="center" vertical="top"/>
    </xf>
    <xf numFmtId="178" fontId="32" fillId="0" borderId="0" xfId="14" applyNumberFormat="1" applyFont="1" applyBorder="1" applyAlignment="1">
      <alignment horizontal="center" vertical="top"/>
    </xf>
    <xf numFmtId="172" fontId="34" fillId="0" borderId="29" xfId="14" applyFont="1" applyBorder="1" applyAlignment="1">
      <alignment horizontal="right" vertical="center"/>
    </xf>
    <xf numFmtId="172" fontId="34" fillId="0" borderId="30" xfId="14" applyFont="1" applyBorder="1" applyAlignment="1">
      <alignment horizontal="right" vertical="center"/>
    </xf>
    <xf numFmtId="172" fontId="34" fillId="0" borderId="31" xfId="14" applyFont="1" applyFill="1" applyBorder="1" applyAlignment="1">
      <alignment horizontal="right" vertical="center"/>
    </xf>
    <xf numFmtId="172" fontId="34" fillId="0" borderId="32" xfId="14" applyFont="1" applyBorder="1" applyAlignment="1">
      <alignment horizontal="center" vertical="center"/>
    </xf>
    <xf numFmtId="172" fontId="34" fillId="0" borderId="32" xfId="14" applyFont="1" applyBorder="1" applyAlignment="1">
      <alignment horizontal="right" vertical="center"/>
    </xf>
    <xf numFmtId="172" fontId="34" fillId="0" borderId="31" xfId="14" applyFont="1" applyBorder="1" applyAlignment="1">
      <alignment horizontal="right" vertical="center"/>
    </xf>
    <xf numFmtId="178" fontId="34" fillId="0" borderId="29" xfId="14" applyNumberFormat="1" applyFont="1" applyBorder="1" applyAlignment="1">
      <alignment horizontal="right" vertical="center"/>
    </xf>
    <xf numFmtId="172" fontId="36" fillId="0" borderId="12" xfId="14" applyFont="1" applyBorder="1" applyAlignment="1">
      <alignment vertical="center"/>
    </xf>
    <xf numFmtId="170" fontId="36" fillId="0" borderId="34" xfId="14" applyNumberFormat="1" applyFont="1" applyBorder="1" applyAlignment="1">
      <alignment vertical="center"/>
    </xf>
    <xf numFmtId="172" fontId="36" fillId="0" borderId="35" xfId="14" applyFont="1" applyBorder="1" applyAlignment="1">
      <alignment vertical="center"/>
    </xf>
    <xf numFmtId="170" fontId="34" fillId="0" borderId="34" xfId="14" applyNumberFormat="1" applyFont="1" applyBorder="1" applyAlignment="1">
      <alignment vertical="center"/>
    </xf>
    <xf numFmtId="172" fontId="35" fillId="0" borderId="0" xfId="14" applyFont="1" applyAlignment="1">
      <alignment vertical="top"/>
    </xf>
    <xf numFmtId="172" fontId="35" fillId="0" borderId="0" xfId="14" applyFont="1" applyFill="1" applyAlignment="1">
      <alignment vertical="top"/>
    </xf>
    <xf numFmtId="172" fontId="36" fillId="0" borderId="39" xfId="14" applyFont="1" applyFill="1" applyBorder="1" applyAlignment="1">
      <alignment vertical="center"/>
    </xf>
    <xf numFmtId="172" fontId="36" fillId="0" borderId="41" xfId="14" applyFont="1" applyBorder="1" applyAlignment="1">
      <alignment vertical="center"/>
    </xf>
    <xf numFmtId="172" fontId="36" fillId="0" borderId="42" xfId="14" applyFont="1" applyFill="1" applyBorder="1" applyAlignment="1">
      <alignment vertical="center"/>
    </xf>
    <xf numFmtId="178" fontId="36" fillId="0" borderId="39" xfId="14" applyNumberFormat="1" applyFont="1" applyFill="1" applyBorder="1" applyAlignment="1">
      <alignment vertical="center"/>
    </xf>
    <xf numFmtId="172" fontId="36" fillId="0" borderId="41" xfId="14" applyFont="1" applyFill="1" applyBorder="1" applyAlignment="1">
      <alignment vertical="center"/>
    </xf>
    <xf numFmtId="172" fontId="36" fillId="0" borderId="35" xfId="14" applyFont="1" applyFill="1" applyBorder="1" applyAlignment="1">
      <alignment vertical="center"/>
    </xf>
    <xf numFmtId="172" fontId="36" fillId="0" borderId="43" xfId="14" applyFont="1" applyFill="1" applyBorder="1" applyAlignment="1">
      <alignment vertical="center"/>
    </xf>
    <xf numFmtId="178" fontId="36" fillId="0" borderId="35" xfId="14" applyNumberFormat="1" applyFont="1" applyFill="1" applyBorder="1" applyAlignment="1">
      <alignment vertical="center"/>
    </xf>
    <xf numFmtId="170" fontId="36" fillId="0" borderId="43" xfId="14" applyNumberFormat="1" applyFont="1" applyBorder="1" applyAlignment="1">
      <alignment vertical="center"/>
    </xf>
    <xf numFmtId="170" fontId="41" fillId="0" borderId="43" xfId="14" applyNumberFormat="1" applyFont="1" applyFill="1" applyBorder="1" applyAlignment="1">
      <alignment vertical="center"/>
    </xf>
    <xf numFmtId="172" fontId="43" fillId="0" borderId="17" xfId="14" applyFont="1" applyFill="1" applyBorder="1" applyAlignment="1">
      <alignment vertical="center"/>
    </xf>
    <xf numFmtId="178" fontId="30" fillId="0" borderId="35" xfId="14" applyNumberFormat="1" applyFont="1" applyFill="1" applyBorder="1" applyAlignment="1">
      <alignment vertical="center"/>
    </xf>
    <xf numFmtId="170" fontId="36" fillId="0" borderId="43" xfId="14" applyNumberFormat="1" applyFont="1" applyFill="1" applyBorder="1" applyAlignment="1">
      <alignment vertical="center"/>
    </xf>
    <xf numFmtId="170" fontId="36" fillId="0" borderId="34" xfId="14" applyNumberFormat="1" applyFont="1" applyFill="1" applyBorder="1" applyAlignment="1">
      <alignment vertical="center"/>
    </xf>
    <xf numFmtId="172" fontId="34" fillId="0" borderId="17" xfId="14" applyFont="1" applyBorder="1" applyAlignment="1">
      <alignment vertical="center"/>
    </xf>
    <xf numFmtId="172" fontId="36" fillId="0" borderId="7" xfId="14" applyFont="1" applyBorder="1" applyAlignment="1">
      <alignment vertical="center"/>
    </xf>
    <xf numFmtId="172" fontId="30" fillId="0" borderId="36" xfId="14" applyFont="1" applyBorder="1" applyAlignment="1">
      <alignment vertical="center"/>
    </xf>
    <xf numFmtId="172" fontId="30" fillId="0" borderId="0" xfId="14" applyFont="1" applyFill="1" applyAlignment="1">
      <alignment vertical="top"/>
    </xf>
    <xf numFmtId="172" fontId="30" fillId="0" borderId="0" xfId="14" applyFont="1" applyAlignment="1">
      <alignment vertical="top"/>
    </xf>
    <xf numFmtId="172" fontId="30" fillId="0" borderId="39" xfId="14" applyFont="1" applyBorder="1" applyAlignment="1">
      <alignment vertical="center"/>
    </xf>
    <xf numFmtId="172" fontId="30" fillId="0" borderId="40" xfId="14" applyFont="1" applyBorder="1" applyAlignment="1">
      <alignment vertical="center"/>
    </xf>
    <xf numFmtId="172" fontId="36" fillId="0" borderId="42" xfId="14" applyFont="1" applyBorder="1" applyAlignment="1">
      <alignment vertical="center"/>
    </xf>
    <xf numFmtId="172" fontId="30" fillId="0" borderId="40" xfId="14" applyFont="1" applyFill="1" applyBorder="1" applyAlignment="1">
      <alignment vertical="center"/>
    </xf>
    <xf numFmtId="170" fontId="36" fillId="0" borderId="42" xfId="14" applyNumberFormat="1" applyFont="1" applyFill="1" applyBorder="1" applyAlignment="1">
      <alignment vertical="center"/>
    </xf>
    <xf numFmtId="178" fontId="30" fillId="0" borderId="39" xfId="14" applyNumberFormat="1" applyFont="1" applyFill="1" applyBorder="1" applyAlignment="1">
      <alignment vertical="center"/>
    </xf>
    <xf numFmtId="172" fontId="30" fillId="0" borderId="42" xfId="14" applyFont="1" applyFill="1" applyBorder="1" applyAlignment="1">
      <alignment vertical="center"/>
    </xf>
    <xf numFmtId="172" fontId="37" fillId="0" borderId="0" xfId="14" applyFont="1" applyAlignment="1">
      <alignment vertical="top"/>
    </xf>
    <xf numFmtId="172" fontId="30" fillId="0" borderId="6" xfId="14" applyFont="1" applyFill="1" applyBorder="1" applyAlignment="1">
      <alignment vertical="center"/>
    </xf>
    <xf numFmtId="172" fontId="30" fillId="0" borderId="35" xfId="14" applyFont="1" applyBorder="1" applyAlignment="1">
      <alignment vertical="center"/>
    </xf>
    <xf numFmtId="172" fontId="30" fillId="0" borderId="17" xfId="14" applyFont="1" applyBorder="1" applyAlignment="1">
      <alignment vertical="center"/>
    </xf>
    <xf numFmtId="172" fontId="36" fillId="0" borderId="43" xfId="14" applyFont="1" applyBorder="1" applyAlignment="1">
      <alignment vertical="center"/>
    </xf>
    <xf numFmtId="172" fontId="30" fillId="0" borderId="17" xfId="14" applyFont="1" applyFill="1" applyBorder="1" applyAlignment="1">
      <alignment vertical="center"/>
    </xf>
    <xf numFmtId="172" fontId="36" fillId="0" borderId="7" xfId="14" applyFont="1" applyFill="1" applyBorder="1" applyAlignment="1">
      <alignment vertical="center"/>
    </xf>
    <xf numFmtId="172" fontId="30" fillId="0" borderId="43" xfId="14" applyFont="1" applyFill="1" applyBorder="1" applyAlignment="1">
      <alignment vertical="center"/>
    </xf>
    <xf numFmtId="170" fontId="30" fillId="0" borderId="43" xfId="14" applyNumberFormat="1" applyFont="1" applyFill="1" applyBorder="1" applyAlignment="1">
      <alignment vertical="center"/>
    </xf>
    <xf numFmtId="172" fontId="0" fillId="0" borderId="17" xfId="14" applyFont="1" applyBorder="1" applyAlignment="1">
      <alignment vertical="center"/>
    </xf>
    <xf numFmtId="172" fontId="36" fillId="0" borderId="34" xfId="14" applyFont="1" applyBorder="1" applyAlignment="1">
      <alignment vertical="center"/>
    </xf>
    <xf numFmtId="172" fontId="36" fillId="0" borderId="19" xfId="14" applyFont="1" applyFill="1" applyBorder="1" applyAlignment="1">
      <alignment vertical="center"/>
    </xf>
    <xf numFmtId="172" fontId="34" fillId="0" borderId="43" xfId="14" applyFont="1" applyFill="1" applyBorder="1" applyAlignment="1">
      <alignment vertical="center"/>
    </xf>
    <xf numFmtId="172" fontId="0" fillId="0" borderId="17" xfId="14" applyFont="1" applyFill="1" applyBorder="1" applyAlignment="1">
      <alignment vertical="center"/>
    </xf>
    <xf numFmtId="172" fontId="30" fillId="0" borderId="7" xfId="14" applyFont="1" applyFill="1" applyBorder="1" applyAlignment="1">
      <alignment vertical="center"/>
    </xf>
    <xf numFmtId="172" fontId="45" fillId="0" borderId="35" xfId="14" applyFont="1" applyBorder="1" applyAlignment="1">
      <alignment vertical="center"/>
    </xf>
    <xf numFmtId="172" fontId="32" fillId="0" borderId="17" xfId="14" applyFont="1" applyBorder="1" applyAlignment="1">
      <alignment vertical="center"/>
    </xf>
    <xf numFmtId="172" fontId="32" fillId="0" borderId="44" xfId="14" applyFont="1" applyFill="1" applyBorder="1" applyAlignment="1">
      <alignment vertical="center"/>
    </xf>
    <xf numFmtId="172" fontId="45" fillId="0" borderId="7" xfId="14" applyFont="1" applyBorder="1" applyAlignment="1">
      <alignment vertical="center"/>
    </xf>
    <xf numFmtId="170" fontId="32" fillId="0" borderId="43" xfId="14" applyNumberFormat="1" applyFont="1" applyBorder="1" applyAlignment="1">
      <alignment vertical="center"/>
    </xf>
    <xf numFmtId="172" fontId="32" fillId="0" borderId="17" xfId="14" applyFont="1" applyFill="1" applyBorder="1" applyAlignment="1">
      <alignment vertical="center"/>
    </xf>
    <xf numFmtId="178" fontId="32" fillId="0" borderId="44" xfId="14" applyNumberFormat="1" applyFont="1" applyFill="1" applyBorder="1" applyAlignment="1">
      <alignment vertical="center"/>
    </xf>
    <xf numFmtId="172" fontId="32" fillId="0" borderId="7" xfId="14" applyFont="1" applyFill="1" applyBorder="1" applyAlignment="1">
      <alignment vertical="center"/>
    </xf>
    <xf numFmtId="170" fontId="32" fillId="0" borderId="43" xfId="14" applyNumberFormat="1" applyFont="1" applyFill="1" applyBorder="1" applyAlignment="1">
      <alignment vertical="center"/>
    </xf>
    <xf numFmtId="170" fontId="34" fillId="0" borderId="0" xfId="14" applyNumberFormat="1" applyFont="1" applyFill="1" applyBorder="1" applyAlignment="1">
      <alignment vertical="top"/>
    </xf>
    <xf numFmtId="172" fontId="34" fillId="0" borderId="17" xfId="14" applyFont="1" applyFill="1" applyBorder="1" applyAlignment="1">
      <alignment vertical="center"/>
    </xf>
    <xf numFmtId="170" fontId="30" fillId="0" borderId="43" xfId="14" applyNumberFormat="1" applyFont="1" applyBorder="1" applyAlignment="1">
      <alignment vertical="center"/>
    </xf>
    <xf numFmtId="178" fontId="30" fillId="0" borderId="35" xfId="14" applyNumberFormat="1" applyFont="1" applyBorder="1" applyAlignment="1">
      <alignment vertical="center"/>
    </xf>
    <xf numFmtId="172" fontId="30" fillId="0" borderId="7" xfId="14" applyFont="1" applyBorder="1" applyAlignment="1">
      <alignment vertical="center"/>
    </xf>
    <xf numFmtId="172" fontId="30" fillId="0" borderId="4" xfId="14" applyFont="1" applyBorder="1" applyAlignment="1">
      <alignment vertical="center"/>
    </xf>
    <xf numFmtId="172" fontId="30" fillId="0" borderId="11" xfId="14" applyFont="1" applyBorder="1" applyAlignment="1">
      <alignment vertical="center"/>
    </xf>
    <xf numFmtId="172" fontId="30" fillId="0" borderId="46" xfId="14" applyFont="1" applyBorder="1" applyAlignment="1">
      <alignment vertical="center"/>
    </xf>
    <xf numFmtId="172" fontId="36" fillId="0" borderId="36" xfId="14" applyFont="1" applyBorder="1" applyAlignment="1">
      <alignment vertical="center"/>
    </xf>
    <xf numFmtId="172" fontId="35" fillId="0" borderId="4" xfId="14" applyFont="1" applyBorder="1" applyAlignment="1">
      <alignment vertical="center"/>
    </xf>
    <xf numFmtId="170" fontId="35" fillId="0" borderId="46" xfId="14" applyNumberFormat="1" applyFont="1" applyBorder="1" applyAlignment="1">
      <alignment vertical="center"/>
    </xf>
    <xf numFmtId="178" fontId="30" fillId="0" borderId="36" xfId="14" applyNumberFormat="1" applyFont="1" applyBorder="1" applyAlignment="1">
      <alignment vertical="center"/>
    </xf>
    <xf numFmtId="172" fontId="46" fillId="0" borderId="39" xfId="14" applyFont="1" applyBorder="1" applyAlignment="1">
      <alignment vertical="center"/>
    </xf>
    <xf numFmtId="172" fontId="46" fillId="0" borderId="40" xfId="14" applyFont="1" applyBorder="1" applyAlignment="1">
      <alignment horizontal="left" vertical="center"/>
    </xf>
    <xf numFmtId="172" fontId="46" fillId="0" borderId="47" xfId="14" applyFont="1" applyBorder="1" applyAlignment="1">
      <alignment vertical="center"/>
    </xf>
    <xf numFmtId="172" fontId="46" fillId="0" borderId="41" xfId="14" applyFont="1" applyBorder="1" applyAlignment="1">
      <alignment vertical="center"/>
    </xf>
    <xf numFmtId="170" fontId="47" fillId="0" borderId="42" xfId="14" applyNumberFormat="1" applyFont="1" applyBorder="1" applyAlignment="1">
      <alignment vertical="center"/>
    </xf>
    <xf numFmtId="172" fontId="47" fillId="0" borderId="47" xfId="14" applyFont="1" applyBorder="1" applyAlignment="1">
      <alignment vertical="center"/>
    </xf>
    <xf numFmtId="172" fontId="47" fillId="0" borderId="40" xfId="14" applyFont="1" applyBorder="1" applyAlignment="1">
      <alignment vertical="center"/>
    </xf>
    <xf numFmtId="178" fontId="47" fillId="0" borderId="47" xfId="14" applyNumberFormat="1" applyFont="1" applyBorder="1" applyAlignment="1">
      <alignment vertical="center"/>
    </xf>
    <xf numFmtId="170" fontId="47" fillId="0" borderId="42" xfId="14" applyNumberFormat="1" applyFont="1" applyFill="1" applyBorder="1" applyAlignment="1">
      <alignment vertical="center"/>
    </xf>
    <xf numFmtId="172" fontId="34" fillId="0" borderId="0" xfId="14" applyFont="1" applyFill="1" applyAlignment="1">
      <alignment vertical="top"/>
    </xf>
    <xf numFmtId="172" fontId="34" fillId="0" borderId="0" xfId="14" applyFont="1" applyAlignment="1">
      <alignment vertical="top"/>
    </xf>
    <xf numFmtId="172" fontId="34" fillId="0" borderId="0" xfId="14" applyFont="1" applyBorder="1" applyAlignment="1">
      <alignment vertical="top"/>
    </xf>
    <xf numFmtId="178" fontId="34" fillId="0" borderId="0" xfId="14" applyNumberFormat="1" applyFont="1" applyBorder="1" applyAlignment="1">
      <alignment vertical="top"/>
    </xf>
    <xf numFmtId="172" fontId="34" fillId="0" borderId="0" xfId="14" applyFont="1" applyFill="1" applyBorder="1" applyAlignment="1">
      <alignment vertical="top"/>
    </xf>
    <xf numFmtId="172" fontId="48" fillId="0" borderId="0" xfId="14" applyFont="1" applyFill="1" applyBorder="1"/>
    <xf numFmtId="0" fontId="49" fillId="0" borderId="0" xfId="15" applyFont="1"/>
    <xf numFmtId="172" fontId="50" fillId="0" borderId="0" xfId="14" applyFont="1" applyFill="1" applyBorder="1" applyAlignment="1">
      <alignment vertical="top"/>
    </xf>
    <xf numFmtId="178" fontId="48" fillId="0" borderId="0" xfId="14" applyNumberFormat="1" applyFont="1" applyFill="1" applyBorder="1"/>
    <xf numFmtId="172" fontId="50" fillId="0" borderId="0" xfId="14" applyFont="1" applyFill="1" applyBorder="1"/>
    <xf numFmtId="172" fontId="51" fillId="0" borderId="0" xfId="14" applyFont="1" applyBorder="1" applyAlignment="1">
      <alignment vertical="top"/>
    </xf>
    <xf numFmtId="172" fontId="52" fillId="0" borderId="0" xfId="14" applyFont="1" applyFill="1" applyBorder="1"/>
    <xf numFmtId="172" fontId="51" fillId="0" borderId="0" xfId="14" applyFont="1" applyFill="1" applyBorder="1" applyAlignment="1">
      <alignment vertical="top"/>
    </xf>
    <xf numFmtId="172" fontId="48" fillId="0" borderId="0" xfId="14" applyFont="1" applyFill="1" applyBorder="1" applyAlignment="1">
      <alignment vertical="top"/>
    </xf>
    <xf numFmtId="178" fontId="30" fillId="0" borderId="0" xfId="14" applyNumberFormat="1" applyFont="1"/>
    <xf numFmtId="178" fontId="30" fillId="0" borderId="0" xfId="14" applyNumberFormat="1" applyFont="1" applyFill="1"/>
    <xf numFmtId="178" fontId="30" fillId="0" borderId="0" xfId="14" applyNumberFormat="1" applyFont="1" applyFill="1" applyBorder="1"/>
    <xf numFmtId="178" fontId="30" fillId="0" borderId="0" xfId="14" applyNumberFormat="1" applyFont="1" applyFill="1" applyAlignment="1">
      <alignment vertical="top"/>
    </xf>
    <xf numFmtId="178" fontId="34" fillId="0" borderId="0" xfId="14" applyNumberFormat="1" applyFont="1" applyFill="1" applyAlignment="1">
      <alignment vertical="top"/>
    </xf>
    <xf numFmtId="172" fontId="35" fillId="7" borderId="33" xfId="14" applyFont="1" applyFill="1" applyBorder="1" applyAlignment="1">
      <alignment vertical="center"/>
    </xf>
    <xf numFmtId="172" fontId="34" fillId="7" borderId="6" xfId="14" applyFont="1" applyFill="1" applyBorder="1" applyAlignment="1">
      <alignment vertical="center"/>
    </xf>
    <xf numFmtId="178" fontId="36" fillId="7" borderId="33" xfId="14" applyNumberFormat="1" applyFont="1" applyFill="1" applyBorder="1" applyAlignment="1">
      <alignment vertical="center"/>
    </xf>
    <xf numFmtId="172" fontId="36" fillId="7" borderId="12" xfId="14" applyFont="1" applyFill="1" applyBorder="1" applyAlignment="1">
      <alignment vertical="center"/>
    </xf>
    <xf numFmtId="170" fontId="36" fillId="7" borderId="34" xfId="14" applyNumberFormat="1" applyFont="1" applyFill="1" applyBorder="1" applyAlignment="1">
      <alignment vertical="center"/>
    </xf>
    <xf numFmtId="172" fontId="35" fillId="7" borderId="6" xfId="14" applyFont="1" applyFill="1" applyBorder="1" applyAlignment="1">
      <alignment vertical="center"/>
    </xf>
    <xf numFmtId="172" fontId="36" fillId="7" borderId="35" xfId="14" applyFont="1" applyFill="1" applyBorder="1" applyAlignment="1">
      <alignment vertical="center"/>
    </xf>
    <xf numFmtId="178" fontId="30" fillId="7" borderId="33" xfId="14" applyNumberFormat="1" applyFont="1" applyFill="1" applyBorder="1" applyAlignment="1">
      <alignment vertical="center"/>
    </xf>
    <xf numFmtId="170" fontId="34" fillId="7" borderId="34" xfId="14" applyNumberFormat="1" applyFont="1" applyFill="1" applyBorder="1" applyAlignment="1">
      <alignment vertical="center"/>
    </xf>
    <xf numFmtId="172" fontId="35" fillId="7" borderId="0" xfId="14" applyFont="1" applyFill="1" applyAlignment="1">
      <alignment vertical="top"/>
    </xf>
    <xf numFmtId="178" fontId="35" fillId="7" borderId="0" xfId="14" applyNumberFormat="1" applyFont="1" applyFill="1" applyAlignment="1">
      <alignment vertical="top"/>
    </xf>
    <xf numFmtId="172" fontId="35" fillId="7" borderId="36" xfId="14" applyFont="1" applyFill="1" applyBorder="1" applyAlignment="1">
      <alignment vertical="center"/>
    </xf>
    <xf numFmtId="172" fontId="34" fillId="7" borderId="4" xfId="14" applyFont="1" applyFill="1" applyBorder="1" applyAlignment="1">
      <alignment horizontal="right" vertical="center"/>
    </xf>
    <xf numFmtId="178" fontId="34" fillId="7" borderId="36" xfId="14" applyNumberFormat="1" applyFont="1" applyFill="1" applyBorder="1" applyAlignment="1">
      <alignment vertical="center"/>
    </xf>
    <xf numFmtId="172" fontId="34" fillId="7" borderId="11" xfId="14" applyFont="1" applyFill="1" applyBorder="1" applyAlignment="1">
      <alignment vertical="center"/>
    </xf>
    <xf numFmtId="170" fontId="34" fillId="7" borderId="37" xfId="14" applyNumberFormat="1" applyFont="1" applyFill="1" applyBorder="1" applyAlignment="1">
      <alignment vertical="center"/>
    </xf>
    <xf numFmtId="178" fontId="34" fillId="7" borderId="38" xfId="14" applyNumberFormat="1" applyFont="1" applyFill="1" applyBorder="1" applyAlignment="1">
      <alignment vertical="center"/>
    </xf>
    <xf numFmtId="172" fontId="37" fillId="7" borderId="4" xfId="14" applyFont="1" applyFill="1" applyBorder="1" applyAlignment="1">
      <alignment vertical="center"/>
    </xf>
    <xf numFmtId="170" fontId="38" fillId="7" borderId="36" xfId="14" applyNumberFormat="1" applyFont="1" applyFill="1" applyBorder="1" applyAlignment="1">
      <alignment vertical="center"/>
    </xf>
    <xf numFmtId="178" fontId="38" fillId="7" borderId="36" xfId="14" applyNumberFormat="1" applyFont="1" applyFill="1" applyBorder="1" applyAlignment="1">
      <alignment vertical="center"/>
    </xf>
    <xf numFmtId="172" fontId="38" fillId="7" borderId="11" xfId="14" applyFont="1" applyFill="1" applyBorder="1" applyAlignment="1">
      <alignment vertical="center"/>
    </xf>
    <xf numFmtId="172" fontId="35" fillId="7" borderId="39" xfId="14" applyFont="1" applyFill="1" applyBorder="1" applyAlignment="1">
      <alignment vertical="center"/>
    </xf>
    <xf numFmtId="172" fontId="36" fillId="7" borderId="40" xfId="14" applyFont="1" applyFill="1" applyBorder="1" applyAlignment="1">
      <alignment vertical="center"/>
    </xf>
    <xf numFmtId="172" fontId="36" fillId="7" borderId="39" xfId="14" applyFont="1" applyFill="1" applyBorder="1" applyAlignment="1">
      <alignment vertical="center"/>
    </xf>
    <xf numFmtId="172" fontId="36" fillId="7" borderId="41" xfId="14" applyFont="1" applyFill="1" applyBorder="1" applyAlignment="1">
      <alignment vertical="center"/>
    </xf>
    <xf numFmtId="170" fontId="36" fillId="7" borderId="42" xfId="14" applyNumberFormat="1" applyFont="1" applyFill="1" applyBorder="1" applyAlignment="1">
      <alignment vertical="center"/>
    </xf>
    <xf numFmtId="172" fontId="35" fillId="7" borderId="40" xfId="14" applyFont="1" applyFill="1" applyBorder="1" applyAlignment="1">
      <alignment vertical="center"/>
    </xf>
    <xf numFmtId="172" fontId="36" fillId="7" borderId="42" xfId="14" applyFont="1" applyFill="1" applyBorder="1" applyAlignment="1">
      <alignment vertical="center"/>
    </xf>
    <xf numFmtId="178" fontId="35" fillId="7" borderId="39" xfId="14" applyNumberFormat="1" applyFont="1" applyFill="1" applyBorder="1" applyAlignment="1">
      <alignment vertical="center"/>
    </xf>
    <xf numFmtId="172" fontId="35" fillId="7" borderId="41" xfId="14" applyFont="1" applyFill="1" applyBorder="1" applyAlignment="1">
      <alignment vertical="center"/>
    </xf>
    <xf numFmtId="172" fontId="35" fillId="7" borderId="42" xfId="14" applyFont="1" applyFill="1" applyBorder="1" applyAlignment="1">
      <alignment vertical="center"/>
    </xf>
    <xf numFmtId="178" fontId="36" fillId="7" borderId="39" xfId="14" applyNumberFormat="1" applyFont="1" applyFill="1" applyBorder="1" applyAlignment="1">
      <alignment vertical="center"/>
    </xf>
    <xf numFmtId="172" fontId="39" fillId="7" borderId="7" xfId="14" applyFont="1" applyFill="1" applyBorder="1" applyAlignment="1">
      <alignment vertical="top"/>
    </xf>
    <xf numFmtId="178" fontId="39" fillId="7" borderId="7" xfId="14" applyNumberFormat="1" applyFont="1" applyFill="1" applyBorder="1" applyAlignment="1">
      <alignment vertical="top"/>
    </xf>
    <xf numFmtId="172" fontId="39" fillId="7" borderId="6" xfId="14" applyFont="1" applyFill="1" applyBorder="1" applyAlignment="1">
      <alignment vertical="center"/>
    </xf>
    <xf numFmtId="172" fontId="36" fillId="7" borderId="33" xfId="14" applyFont="1" applyFill="1" applyBorder="1" applyAlignment="1">
      <alignment vertical="center"/>
    </xf>
    <xf numFmtId="172" fontId="36" fillId="7" borderId="34" xfId="14" applyFont="1" applyFill="1" applyBorder="1" applyAlignment="1">
      <alignment vertical="center"/>
    </xf>
    <xf numFmtId="178" fontId="35" fillId="7" borderId="33" xfId="14" applyNumberFormat="1" applyFont="1" applyFill="1" applyBorder="1" applyAlignment="1">
      <alignment vertical="center"/>
    </xf>
    <xf numFmtId="172" fontId="35" fillId="7" borderId="12" xfId="14" applyFont="1" applyFill="1" applyBorder="1" applyAlignment="1">
      <alignment vertical="center"/>
    </xf>
    <xf numFmtId="172" fontId="35" fillId="7" borderId="34" xfId="14" applyFont="1" applyFill="1" applyBorder="1" applyAlignment="1">
      <alignment vertical="center"/>
    </xf>
    <xf numFmtId="14" fontId="35" fillId="7" borderId="7" xfId="14" applyNumberFormat="1" applyFont="1" applyFill="1" applyBorder="1" applyAlignment="1">
      <alignment vertical="top"/>
    </xf>
    <xf numFmtId="172" fontId="35" fillId="7" borderId="7" xfId="14" applyFont="1" applyFill="1" applyBorder="1" applyAlignment="1">
      <alignment vertical="top"/>
    </xf>
    <xf numFmtId="178" fontId="35" fillId="7" borderId="7" xfId="14" applyNumberFormat="1" applyFont="1" applyFill="1" applyBorder="1" applyAlignment="1">
      <alignment vertical="top"/>
    </xf>
    <xf numFmtId="172" fontId="35" fillId="7" borderId="35" xfId="14" applyFont="1" applyFill="1" applyBorder="1" applyAlignment="1">
      <alignment vertical="center"/>
    </xf>
    <xf numFmtId="172" fontId="40" fillId="7" borderId="17" xfId="14" applyFont="1" applyFill="1" applyBorder="1" applyAlignment="1">
      <alignment vertical="center"/>
    </xf>
    <xf numFmtId="172" fontId="35" fillId="7" borderId="17" xfId="14" applyFont="1" applyFill="1" applyBorder="1" applyAlignment="1">
      <alignment vertical="center"/>
    </xf>
    <xf numFmtId="172" fontId="36" fillId="7" borderId="43" xfId="14" applyFont="1" applyFill="1" applyBorder="1" applyAlignment="1">
      <alignment vertical="center"/>
    </xf>
    <xf numFmtId="178" fontId="35" fillId="7" borderId="35" xfId="14" applyNumberFormat="1" applyFont="1" applyFill="1" applyBorder="1" applyAlignment="1">
      <alignment vertical="center"/>
    </xf>
    <xf numFmtId="172" fontId="35" fillId="7" borderId="7" xfId="14" applyFont="1" applyFill="1" applyBorder="1" applyAlignment="1">
      <alignment vertical="center"/>
    </xf>
    <xf numFmtId="172" fontId="35" fillId="7" borderId="43" xfId="14" applyFont="1" applyFill="1" applyBorder="1" applyAlignment="1">
      <alignment vertical="center"/>
    </xf>
    <xf numFmtId="178" fontId="36" fillId="7" borderId="35" xfId="14" applyNumberFormat="1" applyFont="1" applyFill="1" applyBorder="1" applyAlignment="1">
      <alignment vertical="center"/>
    </xf>
    <xf numFmtId="170" fontId="36" fillId="7" borderId="43" xfId="14" applyNumberFormat="1" applyFont="1" applyFill="1" applyBorder="1" applyAlignment="1">
      <alignment vertical="center"/>
    </xf>
    <xf numFmtId="170" fontId="41" fillId="7" borderId="43" xfId="14" applyNumberFormat="1" applyFont="1" applyFill="1" applyBorder="1" applyAlignment="1">
      <alignment vertical="center"/>
    </xf>
    <xf numFmtId="172" fontId="42" fillId="7" borderId="35" xfId="14" applyFont="1" applyFill="1" applyBorder="1" applyAlignment="1">
      <alignment vertical="center"/>
    </xf>
    <xf numFmtId="172" fontId="43" fillId="7" borderId="17" xfId="14" applyFont="1" applyFill="1" applyBorder="1" applyAlignment="1">
      <alignment vertical="center"/>
    </xf>
    <xf numFmtId="172" fontId="42" fillId="7" borderId="43" xfId="14" applyFont="1" applyFill="1" applyBorder="1" applyAlignment="1">
      <alignment vertical="center"/>
    </xf>
    <xf numFmtId="178" fontId="43" fillId="7" borderId="35" xfId="14" applyNumberFormat="1" applyFont="1" applyFill="1" applyBorder="1" applyAlignment="1">
      <alignment vertical="center"/>
    </xf>
    <xf numFmtId="172" fontId="43" fillId="7" borderId="7" xfId="14" applyFont="1" applyFill="1" applyBorder="1" applyAlignment="1">
      <alignment vertical="center"/>
    </xf>
    <xf numFmtId="172" fontId="43" fillId="7" borderId="43" xfId="14" applyFont="1" applyFill="1" applyBorder="1" applyAlignment="1">
      <alignment vertical="center"/>
    </xf>
    <xf numFmtId="178" fontId="30" fillId="7" borderId="35" xfId="14" applyNumberFormat="1" applyFont="1" applyFill="1" applyBorder="1" applyAlignment="1">
      <alignment vertical="center"/>
    </xf>
    <xf numFmtId="170" fontId="41" fillId="7" borderId="34" xfId="14" applyNumberFormat="1" applyFont="1" applyFill="1" applyBorder="1" applyAlignment="1">
      <alignment vertical="center"/>
    </xf>
    <xf numFmtId="172" fontId="43" fillId="7" borderId="6" xfId="14" applyFont="1" applyFill="1" applyBorder="1" applyAlignment="1">
      <alignment vertical="center"/>
    </xf>
    <xf numFmtId="172" fontId="42" fillId="7" borderId="34" xfId="14" applyFont="1" applyFill="1" applyBorder="1" applyAlignment="1">
      <alignment vertical="center"/>
    </xf>
    <xf numFmtId="172" fontId="43" fillId="7" borderId="19" xfId="14" applyFont="1" applyFill="1" applyBorder="1" applyAlignment="1">
      <alignment vertical="center"/>
    </xf>
    <xf numFmtId="172" fontId="43" fillId="7" borderId="34" xfId="14" applyFont="1" applyFill="1" applyBorder="1" applyAlignment="1">
      <alignment vertical="center"/>
    </xf>
    <xf numFmtId="178" fontId="34" fillId="7" borderId="43" xfId="14" applyNumberFormat="1" applyFont="1" applyFill="1" applyBorder="1" applyAlignment="1">
      <alignment vertical="center"/>
    </xf>
    <xf numFmtId="178" fontId="36" fillId="7" borderId="43" xfId="14" applyNumberFormat="1" applyFont="1" applyFill="1" applyBorder="1" applyAlignment="1">
      <alignment vertical="center"/>
    </xf>
    <xf numFmtId="170" fontId="44" fillId="7" borderId="34" xfId="14" applyNumberFormat="1" applyFont="1" applyFill="1" applyBorder="1" applyAlignment="1">
      <alignment vertical="center"/>
    </xf>
    <xf numFmtId="178" fontId="41" fillId="7" borderId="35" xfId="14" applyNumberFormat="1" applyFont="1" applyFill="1" applyBorder="1" applyAlignment="1">
      <alignment vertical="center"/>
    </xf>
    <xf numFmtId="172" fontId="41" fillId="7" borderId="19" xfId="14" applyFont="1" applyFill="1" applyBorder="1" applyAlignment="1">
      <alignment vertical="center"/>
    </xf>
    <xf numFmtId="178" fontId="34" fillId="7" borderId="35" xfId="14" applyNumberFormat="1" applyFont="1" applyFill="1" applyBorder="1" applyAlignment="1">
      <alignment vertical="center"/>
    </xf>
    <xf numFmtId="172" fontId="34" fillId="7" borderId="17" xfId="14" applyFont="1" applyFill="1" applyBorder="1" applyAlignment="1">
      <alignment vertical="center"/>
    </xf>
    <xf numFmtId="172" fontId="36" fillId="7" borderId="7" xfId="14" applyFont="1" applyFill="1" applyBorder="1" applyAlignment="1">
      <alignment vertical="center"/>
    </xf>
    <xf numFmtId="172" fontId="41" fillId="7" borderId="34" xfId="14" applyFont="1" applyFill="1" applyBorder="1" applyAlignment="1">
      <alignment vertical="center"/>
    </xf>
    <xf numFmtId="178" fontId="42" fillId="7" borderId="35" xfId="14" applyNumberFormat="1" applyFont="1" applyFill="1" applyBorder="1" applyAlignment="1">
      <alignment vertical="center"/>
    </xf>
    <xf numFmtId="172" fontId="42" fillId="7" borderId="12" xfId="14" applyFont="1" applyFill="1" applyBorder="1" applyAlignment="1">
      <alignment vertical="center"/>
    </xf>
    <xf numFmtId="170" fontId="42" fillId="7" borderId="34" xfId="14" applyNumberFormat="1" applyFont="1" applyFill="1" applyBorder="1" applyAlignment="1">
      <alignment vertical="center"/>
    </xf>
    <xf numFmtId="172" fontId="39" fillId="7" borderId="35" xfId="14" applyFont="1" applyFill="1" applyBorder="1" applyAlignment="1">
      <alignment vertical="center"/>
    </xf>
    <xf numFmtId="172" fontId="34" fillId="7" borderId="35" xfId="14" applyFont="1" applyFill="1" applyBorder="1" applyAlignment="1">
      <alignment vertical="center"/>
    </xf>
    <xf numFmtId="172" fontId="39" fillId="7" borderId="0" xfId="14" applyFont="1" applyFill="1" applyAlignment="1">
      <alignment vertical="top"/>
    </xf>
    <xf numFmtId="178" fontId="39" fillId="7" borderId="0" xfId="14" applyNumberFormat="1" applyFont="1" applyFill="1" applyAlignment="1">
      <alignment vertical="top"/>
    </xf>
    <xf numFmtId="172" fontId="36" fillId="7" borderId="17" xfId="14" applyFont="1" applyFill="1" applyBorder="1" applyAlignment="1">
      <alignment vertical="center"/>
    </xf>
    <xf numFmtId="178" fontId="36" fillId="7" borderId="44" xfId="14" applyNumberFormat="1" applyFont="1" applyFill="1" applyBorder="1" applyAlignment="1">
      <alignment vertical="center"/>
    </xf>
    <xf numFmtId="172" fontId="34" fillId="7" borderId="19" xfId="14" applyFont="1" applyFill="1" applyBorder="1" applyAlignment="1">
      <alignment vertical="center"/>
    </xf>
    <xf numFmtId="178" fontId="36" fillId="7" borderId="3" xfId="14" applyNumberFormat="1" applyFont="1" applyFill="1" applyBorder="1" applyAlignment="1">
      <alignment vertical="center"/>
    </xf>
    <xf numFmtId="172" fontId="30" fillId="7" borderId="36" xfId="14" applyFont="1" applyFill="1" applyBorder="1" applyAlignment="1">
      <alignment vertical="center"/>
    </xf>
    <xf numFmtId="172" fontId="38" fillId="7" borderId="4" xfId="14" applyFont="1" applyFill="1" applyBorder="1" applyAlignment="1">
      <alignment vertical="center"/>
    </xf>
    <xf numFmtId="178" fontId="34" fillId="7" borderId="45" xfId="14" applyNumberFormat="1" applyFont="1" applyFill="1" applyBorder="1" applyAlignment="1">
      <alignment vertical="center"/>
    </xf>
    <xf numFmtId="170" fontId="34" fillId="7" borderId="46" xfId="14" applyNumberFormat="1" applyFont="1" applyFill="1" applyBorder="1" applyAlignment="1">
      <alignment vertical="center"/>
    </xf>
    <xf numFmtId="178" fontId="34" fillId="7" borderId="46" xfId="14" applyNumberFormat="1" applyFont="1" applyFill="1" applyBorder="1" applyAlignment="1">
      <alignment vertical="center"/>
    </xf>
    <xf numFmtId="178" fontId="38" fillId="7" borderId="46" xfId="14" applyNumberFormat="1" applyFont="1" applyFill="1" applyBorder="1" applyAlignment="1">
      <alignment vertical="center"/>
    </xf>
    <xf numFmtId="172" fontId="36" fillId="7" borderId="11" xfId="14" applyFont="1" applyFill="1" applyBorder="1" applyAlignment="1">
      <alignment vertical="center"/>
    </xf>
    <xf numFmtId="170" fontId="38" fillId="7" borderId="46" xfId="14" applyNumberFormat="1" applyFont="1" applyFill="1" applyBorder="1" applyAlignment="1">
      <alignment vertical="center"/>
    </xf>
    <xf numFmtId="172" fontId="30" fillId="7" borderId="0" xfId="14" applyFont="1" applyFill="1" applyAlignment="1">
      <alignment vertical="top"/>
    </xf>
    <xf numFmtId="178" fontId="30" fillId="7" borderId="0" xfId="14" applyNumberFormat="1" applyFont="1" applyFill="1" applyAlignment="1">
      <alignment vertical="top"/>
    </xf>
    <xf numFmtId="172" fontId="30" fillId="7" borderId="35" xfId="14" applyFont="1" applyFill="1" applyBorder="1" applyAlignment="1">
      <alignment vertical="center"/>
    </xf>
    <xf numFmtId="172" fontId="30" fillId="7" borderId="17" xfId="14" applyFont="1" applyFill="1" applyBorder="1" applyAlignment="1">
      <alignment vertical="center"/>
    </xf>
    <xf numFmtId="170" fontId="30" fillId="7" borderId="43" xfId="14" applyNumberFormat="1" applyFont="1" applyFill="1" applyBorder="1" applyAlignment="1">
      <alignment vertical="center"/>
    </xf>
    <xf numFmtId="172" fontId="37" fillId="7" borderId="0" xfId="14" applyFont="1" applyFill="1" applyAlignment="1">
      <alignment vertical="top"/>
    </xf>
    <xf numFmtId="0" fontId="53" fillId="0" borderId="0" xfId="0" applyFont="1"/>
    <xf numFmtId="178" fontId="0" fillId="0" borderId="0" xfId="14" applyNumberFormat="1" applyFont="1"/>
    <xf numFmtId="172" fontId="0" fillId="0" borderId="0" xfId="14" applyFont="1"/>
    <xf numFmtId="0" fontId="34" fillId="0" borderId="7" xfId="0" applyFont="1" applyBorder="1"/>
    <xf numFmtId="178" fontId="34" fillId="0" borderId="7" xfId="14" applyNumberFormat="1" applyFont="1" applyBorder="1"/>
    <xf numFmtId="172" fontId="34" fillId="0" borderId="7" xfId="14" applyFont="1" applyBorder="1"/>
    <xf numFmtId="178" fontId="0" fillId="0" borderId="7" xfId="14" applyNumberFormat="1" applyFont="1" applyBorder="1"/>
    <xf numFmtId="172" fontId="0" fillId="0" borderId="7" xfId="14" applyFont="1" applyBorder="1"/>
    <xf numFmtId="172" fontId="34" fillId="0" borderId="7" xfId="0" applyNumberFormat="1" applyFont="1" applyBorder="1"/>
    <xf numFmtId="172" fontId="0" fillId="7" borderId="33" xfId="14" applyFont="1" applyFill="1" applyBorder="1" applyAlignment="1">
      <alignment vertical="center"/>
    </xf>
    <xf numFmtId="172" fontId="30" fillId="7" borderId="6" xfId="14" applyFont="1" applyFill="1" applyBorder="1" applyAlignment="1">
      <alignment vertical="center"/>
    </xf>
    <xf numFmtId="170" fontId="30" fillId="7" borderId="34" xfId="14" applyNumberFormat="1" applyFont="1" applyFill="1" applyBorder="1" applyAlignment="1">
      <alignment vertical="center"/>
    </xf>
    <xf numFmtId="168" fontId="54" fillId="0" borderId="0" xfId="16" applyNumberFormat="1" applyFont="1" applyAlignment="1">
      <alignment horizontal="center"/>
    </xf>
    <xf numFmtId="168" fontId="55" fillId="0" borderId="0" xfId="16" applyNumberFormat="1" applyFont="1"/>
    <xf numFmtId="168" fontId="56" fillId="0" borderId="0" xfId="16" applyNumberFormat="1" applyFont="1"/>
    <xf numFmtId="170" fontId="56" fillId="0" borderId="0" xfId="17" applyNumberFormat="1" applyFont="1"/>
    <xf numFmtId="43" fontId="56" fillId="0" borderId="0" xfId="1" applyFont="1"/>
    <xf numFmtId="168" fontId="57" fillId="0" borderId="17" xfId="16" applyNumberFormat="1" applyFont="1" applyBorder="1"/>
    <xf numFmtId="168" fontId="58" fillId="0" borderId="3" xfId="18" applyNumberFormat="1" applyFont="1" applyBorder="1"/>
    <xf numFmtId="168" fontId="58" fillId="0" borderId="19" xfId="18" applyNumberFormat="1" applyFont="1" applyBorder="1"/>
    <xf numFmtId="178" fontId="57" fillId="0" borderId="7" xfId="17" applyNumberFormat="1" applyFont="1" applyBorder="1"/>
    <xf numFmtId="168" fontId="58" fillId="0" borderId="7" xfId="18" applyNumberFormat="1" applyFont="1" applyBorder="1"/>
    <xf numFmtId="43" fontId="57" fillId="0" borderId="7" xfId="1" applyFont="1" applyBorder="1"/>
    <xf numFmtId="168" fontId="54" fillId="0" borderId="17" xfId="16" applyNumberFormat="1" applyFont="1" applyBorder="1"/>
    <xf numFmtId="168" fontId="56" fillId="0" borderId="3" xfId="18" applyNumberFormat="1" applyFont="1" applyBorder="1"/>
    <xf numFmtId="168" fontId="56" fillId="0" borderId="19" xfId="18" applyNumberFormat="1" applyFont="1" applyBorder="1"/>
    <xf numFmtId="170" fontId="54" fillId="0" borderId="7" xfId="17" applyNumberFormat="1" applyFont="1" applyBorder="1" applyAlignment="1">
      <alignment horizontal="right"/>
    </xf>
    <xf numFmtId="168" fontId="56" fillId="0" borderId="7" xfId="18" applyNumberFormat="1" applyFont="1" applyBorder="1"/>
    <xf numFmtId="43" fontId="54" fillId="0" borderId="7" xfId="1" applyFont="1" applyBorder="1" applyAlignment="1">
      <alignment horizontal="right"/>
    </xf>
    <xf numFmtId="168" fontId="56" fillId="0" borderId="4" xfId="16" applyNumberFormat="1" applyFont="1" applyBorder="1"/>
    <xf numFmtId="168" fontId="56" fillId="0" borderId="2" xfId="18" applyNumberFormat="1" applyFont="1" applyBorder="1"/>
    <xf numFmtId="168" fontId="56" fillId="0" borderId="9" xfId="18" applyNumberFormat="1" applyFont="1" applyBorder="1"/>
    <xf numFmtId="170" fontId="56" fillId="0" borderId="11" xfId="17" applyNumberFormat="1" applyFont="1" applyBorder="1"/>
    <xf numFmtId="168" fontId="56" fillId="0" borderId="11" xfId="18" applyNumberFormat="1" applyFont="1" applyBorder="1"/>
    <xf numFmtId="43" fontId="56" fillId="0" borderId="11" xfId="1" applyFont="1" applyBorder="1"/>
    <xf numFmtId="168" fontId="56" fillId="0" borderId="5" xfId="16" applyNumberFormat="1" applyFont="1" applyBorder="1"/>
    <xf numFmtId="168" fontId="56" fillId="0" borderId="0" xfId="18" applyNumberFormat="1" applyFont="1"/>
    <xf numFmtId="168" fontId="56" fillId="0" borderId="10" xfId="18" applyNumberFormat="1" applyFont="1" applyBorder="1"/>
    <xf numFmtId="170" fontId="56" fillId="0" borderId="13" xfId="17" applyNumberFormat="1" applyFont="1" applyBorder="1"/>
    <xf numFmtId="168" fontId="56" fillId="0" borderId="13" xfId="18" applyNumberFormat="1" applyFont="1" applyBorder="1"/>
    <xf numFmtId="43" fontId="0" fillId="0" borderId="13" xfId="1" applyFont="1" applyBorder="1"/>
    <xf numFmtId="43" fontId="56" fillId="0" borderId="13" xfId="1" applyFont="1" applyBorder="1"/>
    <xf numFmtId="168" fontId="56" fillId="0" borderId="10" xfId="16" applyNumberFormat="1" applyFont="1" applyBorder="1"/>
    <xf numFmtId="168" fontId="56" fillId="0" borderId="13" xfId="16" applyNumberFormat="1" applyFont="1" applyBorder="1"/>
    <xf numFmtId="168" fontId="54" fillId="0" borderId="5" xfId="16" applyNumberFormat="1" applyFont="1" applyBorder="1"/>
    <xf numFmtId="168" fontId="54" fillId="0" borderId="18" xfId="16" applyNumberFormat="1" applyFont="1" applyBorder="1"/>
    <xf numFmtId="168" fontId="54" fillId="0" borderId="8" xfId="18" applyNumberFormat="1" applyFont="1" applyBorder="1"/>
    <xf numFmtId="168" fontId="54" fillId="0" borderId="14" xfId="18" applyNumberFormat="1" applyFont="1" applyBorder="1"/>
    <xf numFmtId="168" fontId="54" fillId="0" borderId="15" xfId="18" applyNumberFormat="1" applyFont="1" applyBorder="1"/>
    <xf numFmtId="43" fontId="54" fillId="0" borderId="15" xfId="1" applyFont="1" applyBorder="1"/>
    <xf numFmtId="168" fontId="54" fillId="0" borderId="0" xfId="16" applyNumberFormat="1" applyFont="1"/>
    <xf numFmtId="43" fontId="54" fillId="0" borderId="0" xfId="1" applyFont="1"/>
    <xf numFmtId="9" fontId="59" fillId="0" borderId="4" xfId="6" applyFont="1" applyBorder="1"/>
    <xf numFmtId="168" fontId="59" fillId="0" borderId="2" xfId="19" applyNumberFormat="1" applyFont="1" applyBorder="1"/>
    <xf numFmtId="168" fontId="59" fillId="0" borderId="2" xfId="19" applyNumberFormat="1" applyFont="1" applyBorder="1" applyAlignment="1">
      <alignment horizontal="center"/>
    </xf>
    <xf numFmtId="9" fontId="59" fillId="0" borderId="2" xfId="6" applyFont="1" applyBorder="1"/>
    <xf numFmtId="37" fontId="59" fillId="0" borderId="9" xfId="7" applyNumberFormat="1" applyFont="1" applyBorder="1" applyAlignment="1">
      <alignment horizontal="right"/>
    </xf>
    <xf numFmtId="9" fontId="59" fillId="0" borderId="5" xfId="6" applyFont="1" applyBorder="1"/>
    <xf numFmtId="168" fontId="59" fillId="0" borderId="0" xfId="19" applyNumberFormat="1" applyFont="1"/>
    <xf numFmtId="168" fontId="60" fillId="0" borderId="0" xfId="19" applyNumberFormat="1" applyFont="1"/>
    <xf numFmtId="9" fontId="59" fillId="0" borderId="0" xfId="6" applyFont="1"/>
    <xf numFmtId="37" fontId="59" fillId="0" borderId="10" xfId="7" applyNumberFormat="1" applyFont="1" applyBorder="1" applyAlignment="1">
      <alignment horizontal="right"/>
    </xf>
    <xf numFmtId="168" fontId="59" fillId="0" borderId="0" xfId="19" applyNumberFormat="1" applyFont="1" applyAlignment="1">
      <alignment horizontal="center"/>
    </xf>
    <xf numFmtId="168" fontId="60" fillId="0" borderId="5" xfId="19" applyNumberFormat="1" applyFont="1" applyBorder="1"/>
    <xf numFmtId="170" fontId="60" fillId="0" borderId="0" xfId="20" applyNumberFormat="1" applyFont="1"/>
    <xf numFmtId="170" fontId="60" fillId="0" borderId="5" xfId="20" applyNumberFormat="1" applyFont="1" applyBorder="1"/>
    <xf numFmtId="37" fontId="59" fillId="0" borderId="0" xfId="7" applyNumberFormat="1" applyFont="1" applyAlignment="1">
      <alignment horizontal="right"/>
    </xf>
    <xf numFmtId="168" fontId="59" fillId="0" borderId="4" xfId="19" applyNumberFormat="1" applyFont="1" applyBorder="1" applyAlignment="1">
      <alignment horizontal="center" vertical="top" wrapText="1"/>
    </xf>
    <xf numFmtId="168" fontId="59" fillId="0" borderId="2" xfId="19" applyNumberFormat="1" applyFont="1" applyBorder="1" applyAlignment="1">
      <alignment horizontal="center" vertical="top" wrapText="1"/>
    </xf>
    <xf numFmtId="168" fontId="59" fillId="0" borderId="9" xfId="19" applyNumberFormat="1" applyFont="1" applyBorder="1" applyAlignment="1">
      <alignment horizontal="center" vertical="top" wrapText="1"/>
    </xf>
    <xf numFmtId="170" fontId="60" fillId="0" borderId="10" xfId="20" applyNumberFormat="1" applyFont="1" applyBorder="1"/>
    <xf numFmtId="0" fontId="0" fillId="0" borderId="13" xfId="0" applyBorder="1"/>
    <xf numFmtId="172" fontId="60" fillId="0" borderId="5" xfId="20" applyNumberFormat="1" applyFont="1" applyBorder="1"/>
    <xf numFmtId="170" fontId="60" fillId="0" borderId="13" xfId="20" applyNumberFormat="1" applyFont="1" applyBorder="1"/>
    <xf numFmtId="3" fontId="60" fillId="0" borderId="0" xfId="20" applyNumberFormat="1" applyFont="1"/>
    <xf numFmtId="172" fontId="59" fillId="0" borderId="5" xfId="20" applyNumberFormat="1" applyFont="1" applyBorder="1"/>
    <xf numFmtId="172" fontId="0" fillId="0" borderId="0" xfId="7" applyFont="1"/>
    <xf numFmtId="49" fontId="60" fillId="0" borderId="0" xfId="19" applyNumberFormat="1" applyFont="1"/>
    <xf numFmtId="167" fontId="60" fillId="0" borderId="10" xfId="7" applyNumberFormat="1" applyFont="1" applyBorder="1" applyAlignment="1">
      <alignment horizontal="right"/>
    </xf>
    <xf numFmtId="167" fontId="60" fillId="0" borderId="13" xfId="7" applyNumberFormat="1" applyFont="1" applyBorder="1" applyAlignment="1">
      <alignment horizontal="right"/>
    </xf>
    <xf numFmtId="170" fontId="0" fillId="0" borderId="0" xfId="0" applyNumberFormat="1"/>
    <xf numFmtId="167" fontId="60" fillId="0" borderId="10" xfId="7" applyNumberFormat="1" applyFont="1" applyBorder="1"/>
    <xf numFmtId="167" fontId="60" fillId="0" borderId="12" xfId="7" applyNumberFormat="1" applyFont="1" applyBorder="1"/>
    <xf numFmtId="170" fontId="60" fillId="0" borderId="12" xfId="20" applyNumberFormat="1" applyFont="1" applyBorder="1" applyAlignment="1">
      <alignment horizontal="right"/>
    </xf>
    <xf numFmtId="37" fontId="59" fillId="0" borderId="13" xfId="7" applyNumberFormat="1" applyFont="1" applyBorder="1" applyAlignment="1">
      <alignment horizontal="right"/>
    </xf>
    <xf numFmtId="170" fontId="60" fillId="0" borderId="10" xfId="20" applyNumberFormat="1" applyFont="1" applyBorder="1" applyAlignment="1">
      <alignment horizontal="right"/>
    </xf>
    <xf numFmtId="170" fontId="60" fillId="0" borderId="13" xfId="20" applyNumberFormat="1" applyFont="1" applyBorder="1" applyAlignment="1">
      <alignment horizontal="right"/>
    </xf>
    <xf numFmtId="168" fontId="59" fillId="0" borderId="0" xfId="19" applyNumberFormat="1" applyFont="1" applyAlignment="1">
      <alignment horizontal="right"/>
    </xf>
    <xf numFmtId="167" fontId="60" fillId="0" borderId="0" xfId="7" applyNumberFormat="1" applyFont="1"/>
    <xf numFmtId="170" fontId="59" fillId="0" borderId="13" xfId="20" applyNumberFormat="1" applyFont="1" applyBorder="1" applyAlignment="1">
      <alignment horizontal="right"/>
    </xf>
    <xf numFmtId="37" fontId="59" fillId="0" borderId="11" xfId="7" applyNumberFormat="1" applyFont="1" applyBorder="1" applyAlignment="1">
      <alignment horizontal="right"/>
    </xf>
    <xf numFmtId="168" fontId="60" fillId="0" borderId="0" xfId="19" applyNumberFormat="1" applyFont="1" applyAlignment="1">
      <alignment horizontal="right"/>
    </xf>
    <xf numFmtId="9" fontId="60" fillId="0" borderId="5" xfId="6" applyFont="1" applyBorder="1"/>
    <xf numFmtId="170" fontId="60" fillId="0" borderId="12" xfId="20" applyNumberFormat="1" applyFont="1" applyBorder="1"/>
    <xf numFmtId="170" fontId="59" fillId="0" borderId="10" xfId="20" applyNumberFormat="1" applyFont="1" applyBorder="1" applyAlignment="1">
      <alignment horizontal="right"/>
    </xf>
    <xf numFmtId="37" fontId="59" fillId="0" borderId="15" xfId="7" applyNumberFormat="1" applyFont="1" applyBorder="1"/>
    <xf numFmtId="172" fontId="59" fillId="0" borderId="13" xfId="20" applyNumberFormat="1" applyFont="1" applyBorder="1"/>
    <xf numFmtId="170" fontId="59" fillId="0" borderId="13" xfId="20" applyNumberFormat="1" applyFont="1" applyBorder="1"/>
    <xf numFmtId="172" fontId="60" fillId="0" borderId="0" xfId="20" applyNumberFormat="1" applyFont="1"/>
    <xf numFmtId="37" fontId="60" fillId="0" borderId="13" xfId="7" applyNumberFormat="1" applyFont="1" applyBorder="1" applyAlignment="1">
      <alignment horizontal="right"/>
    </xf>
    <xf numFmtId="0" fontId="62" fillId="0" borderId="0" xfId="19" applyNumberFormat="1" applyFont="1" applyAlignment="1">
      <alignment vertical="top"/>
    </xf>
    <xf numFmtId="168" fontId="59" fillId="0" borderId="0" xfId="19" applyNumberFormat="1" applyFont="1" applyAlignment="1">
      <alignment horizontal="left"/>
    </xf>
    <xf numFmtId="37" fontId="0" fillId="0" borderId="0" xfId="0" applyNumberFormat="1"/>
    <xf numFmtId="37" fontId="60" fillId="0" borderId="12" xfId="7" applyNumberFormat="1" applyFont="1" applyBorder="1" applyAlignment="1">
      <alignment horizontal="right"/>
    </xf>
    <xf numFmtId="170" fontId="63" fillId="0" borderId="10" xfId="20" applyNumberFormat="1" applyFont="1" applyBorder="1" applyAlignment="1">
      <alignment horizontal="right"/>
    </xf>
    <xf numFmtId="37" fontId="60" fillId="0" borderId="13" xfId="7" applyNumberFormat="1" applyFont="1" applyBorder="1"/>
    <xf numFmtId="172" fontId="59" fillId="0" borderId="0" xfId="20" applyNumberFormat="1" applyFont="1" applyAlignment="1">
      <alignment horizontal="right"/>
    </xf>
    <xf numFmtId="172" fontId="60" fillId="0" borderId="13" xfId="7" applyFont="1" applyBorder="1" applyAlignment="1">
      <alignment horizontal="right"/>
    </xf>
    <xf numFmtId="172" fontId="59" fillId="0" borderId="0" xfId="20" applyNumberFormat="1" applyFont="1"/>
    <xf numFmtId="37" fontId="59" fillId="0" borderId="7" xfId="7" applyNumberFormat="1" applyFont="1" applyBorder="1" applyAlignment="1">
      <alignment horizontal="right"/>
    </xf>
    <xf numFmtId="168" fontId="60" fillId="0" borderId="6" xfId="19" applyNumberFormat="1" applyFont="1" applyBorder="1"/>
    <xf numFmtId="168" fontId="60" fillId="0" borderId="1" xfId="19" applyNumberFormat="1" applyFont="1" applyBorder="1"/>
    <xf numFmtId="170" fontId="60" fillId="0" borderId="16" xfId="20" applyNumberFormat="1" applyFont="1" applyBorder="1"/>
    <xf numFmtId="37" fontId="60" fillId="0" borderId="9" xfId="7" applyNumberFormat="1" applyFont="1" applyBorder="1" applyAlignment="1">
      <alignment horizontal="right"/>
    </xf>
    <xf numFmtId="37" fontId="60" fillId="0" borderId="10" xfId="7" applyNumberFormat="1" applyFont="1" applyBorder="1" applyAlignment="1">
      <alignment horizontal="right"/>
    </xf>
    <xf numFmtId="37" fontId="60" fillId="0" borderId="0" xfId="7" applyNumberFormat="1" applyFont="1" applyAlignment="1">
      <alignment horizontal="right"/>
    </xf>
    <xf numFmtId="37" fontId="60" fillId="0" borderId="0" xfId="7" applyNumberFormat="1" applyFont="1"/>
    <xf numFmtId="168" fontId="64" fillId="0" borderId="0" xfId="19" applyNumberFormat="1" applyFont="1"/>
    <xf numFmtId="9" fontId="59" fillId="0" borderId="0" xfId="5" applyFont="1"/>
    <xf numFmtId="9" fontId="60" fillId="0" borderId="0" xfId="5" applyFont="1"/>
    <xf numFmtId="170" fontId="59" fillId="0" borderId="0" xfId="21" applyNumberFormat="1" applyFont="1"/>
    <xf numFmtId="179" fontId="60" fillId="0" borderId="0" xfId="22" applyFont="1"/>
    <xf numFmtId="179" fontId="65" fillId="0" borderId="0" xfId="23" applyFont="1"/>
    <xf numFmtId="181" fontId="66" fillId="0" borderId="4" xfId="24" applyNumberFormat="1" applyFont="1" applyBorder="1"/>
    <xf numFmtId="181" fontId="66" fillId="0" borderId="2" xfId="24" applyNumberFormat="1" applyFont="1" applyBorder="1"/>
    <xf numFmtId="181" fontId="65" fillId="0" borderId="9" xfId="24" applyNumberFormat="1" applyFont="1" applyBorder="1"/>
    <xf numFmtId="181" fontId="65" fillId="0" borderId="5" xfId="24" applyNumberFormat="1" applyFont="1" applyBorder="1"/>
    <xf numFmtId="181" fontId="65" fillId="0" borderId="0" xfId="24" applyNumberFormat="1" applyFont="1"/>
    <xf numFmtId="181" fontId="65" fillId="0" borderId="10" xfId="24" applyNumberFormat="1" applyFont="1" applyBorder="1"/>
    <xf numFmtId="170" fontId="65" fillId="0" borderId="0" xfId="24" applyNumberFormat="1" applyFont="1" applyAlignment="1">
      <alignment horizontal="right"/>
    </xf>
    <xf numFmtId="181" fontId="65" fillId="0" borderId="6" xfId="24" applyNumberFormat="1" applyFont="1" applyBorder="1"/>
    <xf numFmtId="181" fontId="65" fillId="0" borderId="1" xfId="24" applyNumberFormat="1" applyFont="1" applyBorder="1"/>
    <xf numFmtId="167" fontId="59" fillId="0" borderId="0" xfId="19" applyFont="1"/>
    <xf numFmtId="181" fontId="66" fillId="0" borderId="10" xfId="24" applyNumberFormat="1" applyFont="1" applyBorder="1"/>
    <xf numFmtId="179" fontId="65" fillId="0" borderId="6" xfId="23" applyFont="1" applyBorder="1"/>
    <xf numFmtId="179" fontId="65" fillId="0" borderId="1" xfId="23" applyFont="1" applyBorder="1"/>
    <xf numFmtId="179" fontId="65" fillId="0" borderId="16" xfId="23" applyFont="1" applyBorder="1"/>
    <xf numFmtId="168" fontId="59" fillId="0" borderId="11" xfId="19" applyNumberFormat="1" applyFont="1" applyBorder="1"/>
    <xf numFmtId="168" fontId="60" fillId="0" borderId="11" xfId="19" applyNumberFormat="1" applyFont="1" applyBorder="1"/>
    <xf numFmtId="168" fontId="59" fillId="0" borderId="7" xfId="19" applyNumberFormat="1" applyFont="1" applyBorder="1"/>
    <xf numFmtId="167" fontId="60" fillId="0" borderId="0" xfId="19" applyFont="1"/>
    <xf numFmtId="168" fontId="60" fillId="0" borderId="4" xfId="19" applyNumberFormat="1" applyFont="1" applyBorder="1"/>
    <xf numFmtId="168" fontId="60" fillId="0" borderId="9" xfId="19" applyNumberFormat="1" applyFont="1" applyBorder="1"/>
    <xf numFmtId="168" fontId="60" fillId="0" borderId="19" xfId="19" applyNumberFormat="1" applyFont="1" applyBorder="1"/>
    <xf numFmtId="168" fontId="60" fillId="0" borderId="7" xfId="19" applyNumberFormat="1" applyFont="1" applyBorder="1"/>
    <xf numFmtId="167" fontId="60" fillId="0" borderId="6" xfId="7" applyNumberFormat="1" applyFont="1" applyBorder="1"/>
    <xf numFmtId="168" fontId="60" fillId="0" borderId="16" xfId="19" applyNumberFormat="1" applyFont="1" applyBorder="1"/>
    <xf numFmtId="167" fontId="60" fillId="0" borderId="19" xfId="7" applyNumberFormat="1" applyFont="1" applyBorder="1"/>
    <xf numFmtId="167" fontId="60" fillId="0" borderId="7" xfId="7" applyNumberFormat="1" applyFont="1" applyBorder="1"/>
    <xf numFmtId="43" fontId="14" fillId="0" borderId="0" xfId="0" applyNumberFormat="1" applyFont="1" applyAlignment="1">
      <alignment vertical="center" wrapText="1"/>
    </xf>
    <xf numFmtId="43" fontId="21" fillId="0" borderId="7" xfId="1" applyFont="1" applyFill="1" applyBorder="1" applyAlignment="1"/>
    <xf numFmtId="0" fontId="67" fillId="8" borderId="55" xfId="0" applyFont="1" applyFill="1" applyBorder="1"/>
    <xf numFmtId="14" fontId="70" fillId="8" borderId="57" xfId="0" applyNumberFormat="1" applyFont="1" applyFill="1" applyBorder="1" applyAlignment="1" applyProtection="1">
      <alignment horizontal="center" vertical="center"/>
      <protection hidden="1"/>
    </xf>
    <xf numFmtId="14" fontId="70" fillId="8" borderId="60" xfId="0" applyNumberFormat="1" applyFont="1" applyFill="1" applyBorder="1" applyAlignment="1" applyProtection="1">
      <alignment horizontal="center"/>
      <protection hidden="1"/>
    </xf>
    <xf numFmtId="14" fontId="70" fillId="8" borderId="30" xfId="0" applyNumberFormat="1" applyFont="1" applyFill="1" applyBorder="1" applyAlignment="1" applyProtection="1">
      <alignment vertical="center"/>
      <protection hidden="1"/>
    </xf>
    <xf numFmtId="0" fontId="70" fillId="8" borderId="30" xfId="0" applyFont="1" applyFill="1" applyBorder="1" applyAlignment="1" applyProtection="1">
      <alignment horizontal="center" vertical="center" wrapText="1"/>
      <protection hidden="1"/>
    </xf>
    <xf numFmtId="0" fontId="70" fillId="8" borderId="32" xfId="0" applyFont="1" applyFill="1" applyBorder="1" applyAlignment="1" applyProtection="1">
      <alignment horizontal="center" vertical="center" wrapText="1"/>
      <protection hidden="1"/>
    </xf>
    <xf numFmtId="0" fontId="70" fillId="8" borderId="61" xfId="0" applyFont="1" applyFill="1" applyBorder="1" applyAlignment="1" applyProtection="1">
      <alignment horizontal="center" vertical="center" wrapText="1"/>
      <protection hidden="1"/>
    </xf>
    <xf numFmtId="14" fontId="70" fillId="8" borderId="30" xfId="0" applyNumberFormat="1" applyFont="1" applyFill="1" applyBorder="1" applyAlignment="1" applyProtection="1">
      <alignment horizontal="center" vertical="center"/>
      <protection hidden="1"/>
    </xf>
    <xf numFmtId="0" fontId="70" fillId="8" borderId="29" xfId="0" applyFont="1" applyFill="1" applyBorder="1" applyAlignment="1" applyProtection="1">
      <alignment horizontal="center" vertical="center" wrapText="1"/>
      <protection hidden="1"/>
    </xf>
    <xf numFmtId="0" fontId="70" fillId="8" borderId="31" xfId="0" applyFont="1" applyFill="1" applyBorder="1" applyAlignment="1" applyProtection="1">
      <alignment horizontal="center" vertical="center" wrapText="1"/>
      <protection hidden="1"/>
    </xf>
    <xf numFmtId="0" fontId="72" fillId="8" borderId="60" xfId="25" applyFont="1" applyFill="1" applyBorder="1" applyAlignment="1" applyProtection="1">
      <alignment horizontal="left" vertical="center" wrapText="1"/>
      <protection hidden="1"/>
    </xf>
    <xf numFmtId="170" fontId="0" fillId="0" borderId="12" xfId="7" applyNumberFormat="1" applyFont="1" applyBorder="1" applyProtection="1">
      <protection hidden="1"/>
    </xf>
    <xf numFmtId="170" fontId="0" fillId="0" borderId="34" xfId="7" applyNumberFormat="1" applyFont="1" applyBorder="1" applyProtection="1">
      <protection hidden="1"/>
    </xf>
    <xf numFmtId="0" fontId="72" fillId="8" borderId="62" xfId="25" applyFont="1" applyFill="1" applyBorder="1" applyAlignment="1" applyProtection="1">
      <alignment horizontal="left" vertical="center" wrapText="1"/>
      <protection hidden="1"/>
    </xf>
    <xf numFmtId="170" fontId="0" fillId="0" borderId="7" xfId="7" applyNumberFormat="1" applyFont="1" applyBorder="1" applyProtection="1">
      <protection hidden="1"/>
    </xf>
    <xf numFmtId="170" fontId="0" fillId="0" borderId="43" xfId="7" applyNumberFormat="1" applyFont="1" applyBorder="1" applyProtection="1">
      <protection hidden="1"/>
    </xf>
    <xf numFmtId="0" fontId="72" fillId="8" borderId="63" xfId="25" applyFont="1" applyFill="1" applyBorder="1" applyAlignment="1" applyProtection="1">
      <alignment horizontal="left" vertical="center" wrapText="1"/>
      <protection hidden="1"/>
    </xf>
    <xf numFmtId="170" fontId="0" fillId="0" borderId="11" xfId="7" applyNumberFormat="1" applyFont="1" applyBorder="1" applyProtection="1">
      <protection hidden="1"/>
    </xf>
    <xf numFmtId="170" fontId="0" fillId="0" borderId="46" xfId="7" applyNumberFormat="1" applyFont="1" applyBorder="1" applyProtection="1">
      <protection hidden="1"/>
    </xf>
    <xf numFmtId="0" fontId="69" fillId="8" borderId="47" xfId="0" applyFont="1" applyFill="1" applyBorder="1" applyAlignment="1" applyProtection="1">
      <alignment horizontal="center"/>
      <protection hidden="1"/>
    </xf>
    <xf numFmtId="170" fontId="70" fillId="8" borderId="41" xfId="7" applyNumberFormat="1" applyFont="1" applyFill="1" applyBorder="1" applyProtection="1">
      <protection hidden="1"/>
    </xf>
    <xf numFmtId="170" fontId="70" fillId="8" borderId="42" xfId="7" applyNumberFormat="1" applyFont="1" applyFill="1" applyBorder="1" applyProtection="1">
      <protection hidden="1"/>
    </xf>
    <xf numFmtId="0" fontId="0" fillId="0" borderId="53" xfId="0" applyBorder="1"/>
    <xf numFmtId="0" fontId="0" fillId="0" borderId="5" xfId="0" applyBorder="1"/>
    <xf numFmtId="0" fontId="0" fillId="0" borderId="64" xfId="0" applyBorder="1"/>
    <xf numFmtId="0" fontId="24" fillId="8" borderId="49" xfId="0" applyFont="1" applyFill="1" applyBorder="1"/>
    <xf numFmtId="0" fontId="0" fillId="0" borderId="58" xfId="0" applyBorder="1"/>
    <xf numFmtId="0" fontId="0" fillId="0" borderId="59" xfId="0" applyBorder="1"/>
    <xf numFmtId="0" fontId="6" fillId="8" borderId="65" xfId="0" applyFont="1" applyFill="1" applyBorder="1"/>
    <xf numFmtId="170" fontId="0" fillId="0" borderId="7" xfId="7" applyNumberFormat="1" applyFont="1" applyBorder="1"/>
    <xf numFmtId="170" fontId="0" fillId="0" borderId="43" xfId="7" applyNumberFormat="1" applyFont="1" applyBorder="1"/>
    <xf numFmtId="0" fontId="6" fillId="8" borderId="45" xfId="0" applyFont="1" applyFill="1" applyBorder="1"/>
    <xf numFmtId="170" fontId="0" fillId="0" borderId="11" xfId="7" applyNumberFormat="1" applyFont="1" applyBorder="1"/>
    <xf numFmtId="0" fontId="69" fillId="8" borderId="49" xfId="0" applyFont="1" applyFill="1" applyBorder="1" applyAlignment="1" applyProtection="1">
      <alignment horizontal="center"/>
      <protection hidden="1"/>
    </xf>
    <xf numFmtId="170" fontId="70" fillId="8" borderId="66" xfId="7" applyNumberFormat="1" applyFont="1" applyFill="1" applyBorder="1" applyProtection="1">
      <protection hidden="1"/>
    </xf>
    <xf numFmtId="0" fontId="0" fillId="0" borderId="52" xfId="0" applyBorder="1"/>
    <xf numFmtId="170" fontId="0" fillId="0" borderId="16" xfId="7" applyNumberFormat="1" applyFont="1" applyFill="1" applyBorder="1" applyProtection="1">
      <protection hidden="1"/>
    </xf>
    <xf numFmtId="43" fontId="0" fillId="0" borderId="0" xfId="1" applyFont="1" applyAlignment="1">
      <alignment wrapText="1"/>
    </xf>
    <xf numFmtId="170" fontId="0" fillId="0" borderId="16" xfId="7" applyNumberFormat="1" applyFont="1" applyBorder="1" applyProtection="1">
      <protection hidden="1"/>
    </xf>
    <xf numFmtId="170" fontId="0" fillId="0" borderId="58" xfId="0" applyNumberFormat="1" applyBorder="1"/>
    <xf numFmtId="170" fontId="0" fillId="0" borderId="46" xfId="7" applyNumberFormat="1" applyFont="1" applyBorder="1"/>
    <xf numFmtId="0" fontId="0" fillId="0" borderId="10" xfId="0" applyBorder="1"/>
    <xf numFmtId="170" fontId="0" fillId="0" borderId="10" xfId="0" applyNumberFormat="1" applyBorder="1"/>
    <xf numFmtId="0" fontId="6" fillId="0" borderId="11" xfId="0" applyFont="1" applyBorder="1"/>
    <xf numFmtId="0" fontId="72" fillId="0" borderId="7" xfId="25" applyFont="1" applyFill="1" applyBorder="1" applyAlignment="1" applyProtection="1">
      <alignment horizontal="left" vertical="center" wrapText="1"/>
      <protection hidden="1"/>
    </xf>
    <xf numFmtId="0" fontId="6" fillId="0" borderId="13" xfId="0" applyFont="1" applyBorder="1"/>
    <xf numFmtId="170" fontId="6" fillId="0" borderId="13" xfId="0" applyNumberFormat="1" applyFont="1" applyBorder="1"/>
    <xf numFmtId="170" fontId="0" fillId="0" borderId="13" xfId="0" applyNumberFormat="1" applyBorder="1"/>
    <xf numFmtId="170" fontId="6" fillId="0" borderId="7" xfId="0" applyNumberFormat="1" applyFont="1" applyBorder="1"/>
    <xf numFmtId="170" fontId="6" fillId="0" borderId="11" xfId="0" applyNumberFormat="1" applyFont="1" applyBorder="1"/>
    <xf numFmtId="0" fontId="6" fillId="0" borderId="12" xfId="0" applyFont="1" applyBorder="1"/>
    <xf numFmtId="170" fontId="6" fillId="0" borderId="12" xfId="0" applyNumberFormat="1" applyFont="1" applyBorder="1"/>
    <xf numFmtId="0" fontId="73" fillId="0" borderId="0" xfId="0" applyFont="1"/>
    <xf numFmtId="43" fontId="73" fillId="0" borderId="0" xfId="1" applyFont="1"/>
    <xf numFmtId="168" fontId="74" fillId="0" borderId="5" xfId="26" applyNumberFormat="1" applyFont="1" applyBorder="1"/>
    <xf numFmtId="168" fontId="69" fillId="0" borderId="6" xfId="26" applyNumberFormat="1" applyFont="1" applyBorder="1" applyAlignment="1">
      <alignment horizontal="center"/>
    </xf>
    <xf numFmtId="168" fontId="69" fillId="0" borderId="1" xfId="26" applyNumberFormat="1" applyFont="1" applyBorder="1" applyAlignment="1">
      <alignment horizontal="center"/>
    </xf>
    <xf numFmtId="0" fontId="70" fillId="0" borderId="7" xfId="0" applyFont="1" applyBorder="1"/>
    <xf numFmtId="0" fontId="70" fillId="0" borderId="7" xfId="0" applyFont="1" applyBorder="1" applyAlignment="1">
      <alignment horizontal="right"/>
    </xf>
    <xf numFmtId="0" fontId="67" fillId="0" borderId="13" xfId="0" applyFont="1" applyBorder="1"/>
    <xf numFmtId="0" fontId="70" fillId="0" borderId="13" xfId="0" applyFont="1" applyBorder="1"/>
    <xf numFmtId="167" fontId="70" fillId="0" borderId="7" xfId="7" applyNumberFormat="1" applyFont="1" applyFill="1" applyBorder="1"/>
    <xf numFmtId="0" fontId="76" fillId="0" borderId="0" xfId="0" applyFont="1"/>
    <xf numFmtId="167" fontId="67" fillId="0" borderId="13" xfId="7" applyNumberFormat="1" applyFont="1" applyFill="1" applyBorder="1"/>
    <xf numFmtId="167" fontId="70" fillId="0" borderId="13" xfId="7" applyNumberFormat="1" applyFont="1" applyFill="1" applyBorder="1"/>
    <xf numFmtId="0" fontId="73" fillId="0" borderId="0" xfId="0" applyFont="1" applyAlignment="1">
      <alignment horizontal="left"/>
    </xf>
    <xf numFmtId="43" fontId="73" fillId="0" borderId="0" xfId="0" applyNumberFormat="1" applyFont="1"/>
    <xf numFmtId="0" fontId="70" fillId="0" borderId="13" xfId="0" applyFont="1" applyBorder="1" applyAlignment="1">
      <alignment horizontal="left" wrapText="1"/>
    </xf>
    <xf numFmtId="167" fontId="67" fillId="0" borderId="7" xfId="0" applyNumberFormat="1" applyFont="1" applyBorder="1"/>
    <xf numFmtId="0" fontId="67" fillId="0" borderId="5" xfId="0" applyFont="1" applyBorder="1"/>
    <xf numFmtId="0" fontId="67" fillId="0" borderId="0" xfId="0" applyFont="1"/>
    <xf numFmtId="167" fontId="73" fillId="0" borderId="0" xfId="0" applyNumberFormat="1" applyFont="1"/>
    <xf numFmtId="0" fontId="67" fillId="0" borderId="5" xfId="0" applyFont="1" applyBorder="1" applyAlignment="1">
      <alignment horizontal="left" wrapText="1"/>
    </xf>
    <xf numFmtId="0" fontId="67" fillId="0" borderId="0" xfId="0" applyFont="1" applyAlignment="1">
      <alignment horizontal="left" wrapText="1"/>
    </xf>
    <xf numFmtId="168" fontId="74" fillId="0" borderId="0" xfId="26" applyNumberFormat="1" applyFont="1"/>
    <xf numFmtId="167" fontId="67" fillId="4" borderId="13" xfId="7" applyNumberFormat="1" applyFont="1" applyFill="1" applyBorder="1"/>
    <xf numFmtId="0" fontId="0" fillId="4" borderId="0" xfId="0" applyFill="1"/>
    <xf numFmtId="0" fontId="73" fillId="4" borderId="0" xfId="0" applyFont="1" applyFill="1"/>
    <xf numFmtId="43" fontId="73" fillId="4" borderId="0" xfId="1" applyFont="1" applyFill="1"/>
    <xf numFmtId="167" fontId="15" fillId="0" borderId="5" xfId="0" applyNumberFormat="1" applyFont="1" applyBorder="1" applyAlignment="1">
      <alignment vertical="center"/>
    </xf>
    <xf numFmtId="43" fontId="73" fillId="0" borderId="0" xfId="1" applyFont="1" applyFill="1"/>
    <xf numFmtId="0" fontId="6" fillId="0" borderId="5" xfId="0" applyFont="1" applyBorder="1" applyAlignment="1">
      <alignment horizontal="center" vertical="top" wrapText="1"/>
    </xf>
    <xf numFmtId="0" fontId="6" fillId="0" borderId="0" xfId="0" applyFont="1" applyAlignment="1">
      <alignment horizontal="center" vertical="top" wrapText="1"/>
    </xf>
    <xf numFmtId="0" fontId="6" fillId="0" borderId="10" xfId="0" applyFont="1" applyBorder="1" applyAlignment="1">
      <alignment horizontal="center" vertical="top" wrapText="1"/>
    </xf>
    <xf numFmtId="14" fontId="0" fillId="0" borderId="0" xfId="0" applyNumberFormat="1"/>
    <xf numFmtId="43" fontId="5" fillId="0" borderId="0" xfId="1" applyFont="1" applyFill="1" applyBorder="1" applyAlignment="1">
      <alignment horizontal="center"/>
    </xf>
    <xf numFmtId="43" fontId="0" fillId="0" borderId="10" xfId="1" applyFont="1" applyFill="1" applyBorder="1"/>
    <xf numFmtId="43" fontId="5" fillId="0" borderId="0" xfId="1" applyFont="1" applyFill="1" applyBorder="1"/>
    <xf numFmtId="43" fontId="0" fillId="0" borderId="10" xfId="1" applyFont="1" applyBorder="1"/>
    <xf numFmtId="0" fontId="6" fillId="0" borderId="6" xfId="0" applyFont="1" applyBorder="1"/>
    <xf numFmtId="43" fontId="0" fillId="0" borderId="6" xfId="1" applyFont="1" applyBorder="1"/>
    <xf numFmtId="43" fontId="6" fillId="0" borderId="67" xfId="1" applyFont="1" applyBorder="1"/>
    <xf numFmtId="43" fontId="6" fillId="0" borderId="8" xfId="1" applyFont="1" applyBorder="1"/>
    <xf numFmtId="43" fontId="6" fillId="0" borderId="14" xfId="1" applyFont="1" applyBorder="1"/>
    <xf numFmtId="180" fontId="0" fillId="0" borderId="68" xfId="0" applyNumberFormat="1" applyBorder="1"/>
    <xf numFmtId="180" fontId="0" fillId="0" borderId="0" xfId="0" applyNumberFormat="1"/>
    <xf numFmtId="180" fontId="0" fillId="0" borderId="5" xfId="0" applyNumberFormat="1" applyBorder="1"/>
    <xf numFmtId="0" fontId="6" fillId="0" borderId="1" xfId="0" applyFont="1" applyBorder="1"/>
    <xf numFmtId="180" fontId="0" fillId="0" borderId="10" xfId="0" applyNumberFormat="1" applyBorder="1"/>
    <xf numFmtId="0" fontId="6" fillId="0" borderId="18" xfId="0" applyFont="1" applyBorder="1"/>
    <xf numFmtId="0" fontId="6" fillId="0" borderId="8" xfId="0" applyFont="1" applyBorder="1"/>
    <xf numFmtId="180" fontId="6" fillId="0" borderId="8" xfId="0" applyNumberFormat="1" applyFont="1" applyBorder="1"/>
    <xf numFmtId="180" fontId="6" fillId="0" borderId="14" xfId="0" applyNumberFormat="1" applyFont="1" applyBorder="1"/>
    <xf numFmtId="0" fontId="6" fillId="0" borderId="5" xfId="0" applyFont="1" applyBorder="1"/>
    <xf numFmtId="180" fontId="6" fillId="0" borderId="0" xfId="0" applyNumberFormat="1" applyFont="1"/>
    <xf numFmtId="43" fontId="6" fillId="0" borderId="0" xfId="1" applyFont="1" applyBorder="1"/>
    <xf numFmtId="43" fontId="6" fillId="0" borderId="1" xfId="1" applyFont="1" applyBorder="1"/>
    <xf numFmtId="0" fontId="6" fillId="0" borderId="8" xfId="0" applyFont="1" applyBorder="1" applyAlignment="1">
      <alignment horizontal="right"/>
    </xf>
    <xf numFmtId="0" fontId="0" fillId="0" borderId="6" xfId="0" applyBorder="1"/>
    <xf numFmtId="0" fontId="0" fillId="0" borderId="1" xfId="0" applyBorder="1"/>
    <xf numFmtId="180" fontId="0" fillId="0" borderId="1" xfId="0" applyNumberFormat="1" applyBorder="1"/>
    <xf numFmtId="0" fontId="0" fillId="0" borderId="16" xfId="0" applyBorder="1"/>
    <xf numFmtId="43" fontId="0" fillId="0" borderId="1" xfId="1" applyFont="1" applyBorder="1"/>
    <xf numFmtId="0" fontId="78" fillId="0" borderId="0" xfId="27" applyFont="1" applyAlignment="1" applyProtection="1">
      <alignment wrapText="1"/>
      <protection locked="0"/>
    </xf>
    <xf numFmtId="15" fontId="78" fillId="0" borderId="0" xfId="27" applyNumberFormat="1" applyFont="1" applyAlignment="1" applyProtection="1">
      <alignment vertical="center" wrapText="1"/>
      <protection locked="0"/>
    </xf>
    <xf numFmtId="0" fontId="79" fillId="9" borderId="0" xfId="27" applyFont="1" applyFill="1" applyAlignment="1" applyProtection="1">
      <alignment horizontal="center" vertical="center" shrinkToFit="1"/>
      <protection locked="0"/>
    </xf>
    <xf numFmtId="0" fontId="78" fillId="9" borderId="0" xfId="27" applyFont="1" applyFill="1" applyProtection="1">
      <protection locked="0"/>
    </xf>
    <xf numFmtId="0" fontId="78" fillId="9" borderId="0" xfId="27" applyFont="1" applyFill="1" applyAlignment="1" applyProtection="1">
      <alignment horizontal="left" shrinkToFit="1"/>
      <protection locked="0"/>
    </xf>
    <xf numFmtId="0" fontId="78" fillId="9" borderId="0" xfId="27" applyFont="1" applyFill="1" applyAlignment="1" applyProtection="1">
      <alignment horizontal="center" vertical="center" shrinkToFit="1"/>
      <protection locked="0"/>
    </xf>
    <xf numFmtId="15" fontId="78" fillId="9" borderId="0" xfId="27" applyNumberFormat="1" applyFont="1" applyFill="1" applyProtection="1">
      <protection locked="0"/>
    </xf>
    <xf numFmtId="172" fontId="78" fillId="9" borderId="0" xfId="28" applyFont="1" applyFill="1" applyProtection="1">
      <protection locked="0"/>
    </xf>
    <xf numFmtId="172" fontId="78" fillId="9" borderId="0" xfId="28" applyFont="1" applyFill="1" applyAlignment="1" applyProtection="1">
      <alignment horizontal="center" vertical="center"/>
      <protection locked="0"/>
    </xf>
    <xf numFmtId="0" fontId="79" fillId="0" borderId="0" xfId="27" applyFont="1" applyAlignment="1" applyProtection="1">
      <alignment wrapText="1"/>
      <protection locked="0"/>
    </xf>
    <xf numFmtId="15" fontId="79" fillId="10" borderId="74" xfId="27" applyNumberFormat="1" applyFont="1" applyFill="1" applyBorder="1" applyAlignment="1" applyProtection="1">
      <alignment horizontal="center" vertical="center" wrapText="1"/>
      <protection locked="0"/>
    </xf>
    <xf numFmtId="15" fontId="79" fillId="10" borderId="70" xfId="27" applyNumberFormat="1" applyFont="1" applyFill="1" applyBorder="1" applyAlignment="1" applyProtection="1">
      <alignment horizontal="center" vertical="center" wrapText="1"/>
      <protection locked="0"/>
    </xf>
    <xf numFmtId="0" fontId="79" fillId="0" borderId="7" xfId="27" applyFont="1" applyBorder="1" applyAlignment="1" applyProtection="1">
      <alignment horizontal="left" vertical="top" wrapText="1"/>
      <protection locked="0"/>
    </xf>
    <xf numFmtId="15" fontId="79" fillId="10" borderId="75" xfId="29" applyNumberFormat="1" applyFont="1" applyFill="1" applyBorder="1" applyAlignment="1" applyProtection="1">
      <alignment vertical="center"/>
      <protection locked="0"/>
    </xf>
    <xf numFmtId="0" fontId="78" fillId="0" borderId="0" xfId="27" applyFont="1" applyAlignment="1" applyProtection="1">
      <alignment horizontal="center" wrapText="1"/>
      <protection locked="0"/>
    </xf>
    <xf numFmtId="0" fontId="78" fillId="0" borderId="74" xfId="28" applyNumberFormat="1" applyFont="1" applyFill="1" applyBorder="1" applyAlignment="1" applyProtection="1">
      <alignment horizontal="center" vertical="center"/>
      <protection locked="0"/>
    </xf>
    <xf numFmtId="15" fontId="78" fillId="0" borderId="74" xfId="28" applyNumberFormat="1" applyFont="1" applyFill="1" applyBorder="1" applyAlignment="1" applyProtection="1">
      <alignment horizontal="center" vertical="center"/>
      <protection locked="0"/>
    </xf>
    <xf numFmtId="172" fontId="78" fillId="0" borderId="74" xfId="28" applyFont="1" applyFill="1" applyBorder="1" applyAlignment="1" applyProtection="1">
      <alignment horizontal="center" vertical="center"/>
      <protection locked="0"/>
    </xf>
    <xf numFmtId="172" fontId="78" fillId="0" borderId="70" xfId="28" applyFont="1" applyFill="1" applyBorder="1" applyAlignment="1" applyProtection="1">
      <alignment horizontal="center" vertical="center"/>
      <protection locked="0"/>
    </xf>
    <xf numFmtId="0" fontId="78" fillId="0" borderId="7" xfId="27" applyFont="1" applyBorder="1" applyAlignment="1" applyProtection="1">
      <alignment wrapText="1"/>
      <protection locked="0"/>
    </xf>
    <xf numFmtId="172" fontId="79" fillId="10" borderId="76" xfId="29" applyNumberFormat="1" applyFont="1" applyFill="1" applyBorder="1" applyAlignment="1" applyProtection="1">
      <alignment vertical="center"/>
      <protection locked="0"/>
    </xf>
    <xf numFmtId="49" fontId="80" fillId="0" borderId="7" xfId="0" applyNumberFormat="1" applyFont="1" applyBorder="1" applyAlignment="1">
      <alignment horizontal="left" vertical="center"/>
    </xf>
    <xf numFmtId="0" fontId="81" fillId="0" borderId="7" xfId="0" applyFont="1" applyBorder="1" applyAlignment="1">
      <alignment horizontal="center" vertical="center"/>
    </xf>
    <xf numFmtId="14" fontId="81" fillId="0" borderId="7" xfId="0" applyNumberFormat="1" applyFont="1" applyBorder="1" applyAlignment="1">
      <alignment horizontal="right" vertical="center"/>
    </xf>
    <xf numFmtId="49" fontId="81" fillId="0" borderId="7" xfId="0" applyNumberFormat="1" applyFont="1" applyBorder="1" applyAlignment="1">
      <alignment horizontal="center" vertical="center"/>
    </xf>
    <xf numFmtId="182" fontId="81" fillId="0" borderId="7" xfId="0" applyNumberFormat="1" applyFont="1" applyBorder="1" applyAlignment="1">
      <alignment horizontal="right" vertical="center"/>
    </xf>
    <xf numFmtId="183" fontId="81" fillId="0" borderId="7" xfId="0" applyNumberFormat="1" applyFont="1" applyBorder="1" applyAlignment="1">
      <alignment horizontal="right" vertical="center"/>
    </xf>
    <xf numFmtId="15" fontId="81" fillId="0" borderId="7" xfId="0" applyNumberFormat="1" applyFont="1" applyBorder="1" applyAlignment="1">
      <alignment horizontal="right" vertical="center"/>
    </xf>
    <xf numFmtId="172" fontId="82" fillId="0" borderId="0" xfId="30" applyNumberFormat="1" applyFont="1" applyAlignment="1">
      <alignment vertical="center"/>
    </xf>
    <xf numFmtId="172" fontId="79" fillId="0" borderId="0" xfId="27" applyNumberFormat="1" applyFont="1" applyAlignment="1" applyProtection="1">
      <alignment wrapText="1"/>
      <protection locked="0"/>
    </xf>
    <xf numFmtId="49" fontId="81" fillId="0" borderId="0" xfId="0" applyNumberFormat="1" applyFont="1" applyAlignment="1">
      <alignment horizontal="center" vertical="center"/>
    </xf>
    <xf numFmtId="172" fontId="78" fillId="0" borderId="0" xfId="27" applyNumberFormat="1" applyFont="1" applyAlignment="1" applyProtection="1">
      <alignment wrapText="1"/>
      <protection locked="0"/>
    </xf>
    <xf numFmtId="0" fontId="81" fillId="0" borderId="0" xfId="0" applyFont="1" applyAlignment="1">
      <alignment horizontal="center" vertical="center"/>
    </xf>
    <xf numFmtId="182" fontId="81" fillId="0" borderId="0" xfId="0" applyNumberFormat="1" applyFont="1" applyAlignment="1">
      <alignment horizontal="right" vertical="center"/>
    </xf>
    <xf numFmtId="49" fontId="80" fillId="0" borderId="7" xfId="0" applyNumberFormat="1" applyFont="1" applyBorder="1" applyAlignment="1">
      <alignment vertical="top"/>
    </xf>
    <xf numFmtId="49" fontId="81" fillId="0" borderId="7" xfId="0" applyNumberFormat="1" applyFont="1" applyBorder="1" applyAlignment="1">
      <alignment horizontal="center"/>
    </xf>
    <xf numFmtId="183" fontId="81" fillId="0" borderId="7" xfId="0" applyNumberFormat="1" applyFont="1" applyBorder="1" applyAlignment="1">
      <alignment horizontal="right" vertical="top"/>
    </xf>
    <xf numFmtId="15" fontId="81" fillId="0" borderId="7" xfId="0" applyNumberFormat="1" applyFont="1" applyBorder="1" applyAlignment="1">
      <alignment horizontal="right" vertical="top"/>
    </xf>
    <xf numFmtId="49" fontId="83" fillId="11" borderId="7" xfId="0" applyNumberFormat="1" applyFont="1" applyFill="1" applyBorder="1" applyAlignment="1">
      <alignment horizontal="left" vertical="center"/>
    </xf>
    <xf numFmtId="49" fontId="81" fillId="0" borderId="0" xfId="0" applyNumberFormat="1" applyFont="1" applyAlignment="1">
      <alignment horizontal="center"/>
    </xf>
    <xf numFmtId="49" fontId="83" fillId="0" borderId="7" xfId="0" applyNumberFormat="1" applyFont="1" applyBorder="1" applyAlignment="1">
      <alignment vertical="top"/>
    </xf>
    <xf numFmtId="0" fontId="84" fillId="0" borderId="74" xfId="28" applyNumberFormat="1" applyFont="1" applyFill="1" applyBorder="1" applyAlignment="1" applyProtection="1">
      <alignment horizontal="center" vertical="center"/>
      <protection locked="0"/>
    </xf>
    <xf numFmtId="49" fontId="85" fillId="0" borderId="7" xfId="0" applyNumberFormat="1" applyFont="1" applyBorder="1" applyAlignment="1">
      <alignment horizontal="center"/>
    </xf>
    <xf numFmtId="15" fontId="85" fillId="0" borderId="7" xfId="0" applyNumberFormat="1" applyFont="1" applyBorder="1" applyAlignment="1">
      <alignment horizontal="right" vertical="center"/>
    </xf>
    <xf numFmtId="0" fontId="84" fillId="0" borderId="0" xfId="28" applyNumberFormat="1" applyFont="1" applyFill="1" applyBorder="1" applyAlignment="1" applyProtection="1">
      <alignment horizontal="center" vertical="center"/>
      <protection locked="0"/>
    </xf>
    <xf numFmtId="15" fontId="85" fillId="0" borderId="0" xfId="0" applyNumberFormat="1" applyFont="1" applyAlignment="1">
      <alignment horizontal="right" vertical="center"/>
    </xf>
    <xf numFmtId="172" fontId="78" fillId="0" borderId="69" xfId="28" applyFont="1" applyFill="1" applyBorder="1" applyAlignment="1" applyProtection="1">
      <alignment horizontal="center" vertical="center"/>
      <protection locked="0"/>
    </xf>
    <xf numFmtId="0" fontId="82" fillId="0" borderId="7" xfId="30" applyFont="1" applyBorder="1" applyAlignment="1">
      <alignment vertical="center"/>
    </xf>
    <xf numFmtId="0" fontId="78" fillId="0" borderId="72" xfId="28" applyNumberFormat="1" applyFont="1" applyFill="1" applyBorder="1" applyAlignment="1" applyProtection="1">
      <alignment horizontal="center" vertical="center"/>
      <protection locked="0"/>
    </xf>
    <xf numFmtId="172" fontId="82" fillId="0" borderId="7" xfId="30" applyNumberFormat="1" applyFont="1" applyBorder="1" applyAlignment="1">
      <alignment vertical="center"/>
    </xf>
    <xf numFmtId="172" fontId="78" fillId="0" borderId="73" xfId="28" applyFont="1" applyFill="1" applyBorder="1" applyAlignment="1" applyProtection="1">
      <alignment horizontal="center" vertical="center"/>
      <protection locked="0"/>
    </xf>
    <xf numFmtId="49" fontId="80" fillId="0" borderId="7" xfId="0" applyNumberFormat="1" applyFont="1" applyBorder="1" applyAlignment="1">
      <alignment vertical="center"/>
    </xf>
    <xf numFmtId="0" fontId="81" fillId="0" borderId="7" xfId="0" applyFont="1" applyBorder="1" applyAlignment="1">
      <alignment horizontal="center"/>
    </xf>
    <xf numFmtId="182" fontId="81" fillId="0" borderId="7" xfId="0" applyNumberFormat="1" applyFont="1" applyBorder="1" applyAlignment="1">
      <alignment horizontal="right" vertical="top"/>
    </xf>
    <xf numFmtId="0" fontId="82" fillId="11" borderId="7" xfId="30" applyFont="1" applyFill="1" applyBorder="1" applyAlignment="1">
      <alignment vertical="center"/>
    </xf>
    <xf numFmtId="49" fontId="81" fillId="0" borderId="7" xfId="0" applyNumberFormat="1" applyFont="1" applyBorder="1" applyAlignment="1">
      <alignment vertical="center"/>
    </xf>
    <xf numFmtId="0" fontId="82" fillId="0" borderId="0" xfId="30" applyFont="1" applyAlignment="1">
      <alignment vertical="center"/>
    </xf>
    <xf numFmtId="49" fontId="81" fillId="0" borderId="7" xfId="0" applyNumberFormat="1" applyFont="1" applyBorder="1" applyAlignment="1">
      <alignment vertical="top"/>
    </xf>
    <xf numFmtId="49" fontId="81" fillId="0" borderId="7" xfId="0" applyNumberFormat="1" applyFont="1" applyBorder="1" applyAlignment="1">
      <alignment vertical="top" wrapText="1"/>
    </xf>
    <xf numFmtId="0" fontId="78" fillId="0" borderId="0" xfId="28" applyNumberFormat="1" applyFont="1" applyFill="1" applyBorder="1" applyAlignment="1" applyProtection="1">
      <alignment horizontal="center" vertical="center"/>
      <protection locked="0"/>
    </xf>
    <xf numFmtId="172" fontId="78" fillId="0" borderId="0" xfId="28" applyFont="1" applyFill="1" applyBorder="1" applyAlignment="1" applyProtection="1">
      <alignment horizontal="center" vertical="center"/>
      <protection locked="0"/>
    </xf>
    <xf numFmtId="15" fontId="81" fillId="0" borderId="17" xfId="0" applyNumberFormat="1" applyFont="1" applyBorder="1" applyAlignment="1">
      <alignment horizontal="right" vertical="center"/>
    </xf>
    <xf numFmtId="0" fontId="78" fillId="0" borderId="77" xfId="28" applyNumberFormat="1" applyFont="1" applyFill="1" applyBorder="1" applyAlignment="1" applyProtection="1">
      <alignment horizontal="center" vertical="center"/>
      <protection locked="0"/>
    </xf>
    <xf numFmtId="15" fontId="78" fillId="0" borderId="78" xfId="28" applyNumberFormat="1" applyFont="1" applyFill="1" applyBorder="1" applyAlignment="1" applyProtection="1">
      <alignment horizontal="center" vertical="center"/>
      <protection locked="0"/>
    </xf>
    <xf numFmtId="172" fontId="78" fillId="0" borderId="78" xfId="28" applyFont="1" applyFill="1" applyBorder="1" applyAlignment="1" applyProtection="1">
      <alignment horizontal="center" vertical="center"/>
      <protection locked="0"/>
    </xf>
    <xf numFmtId="172" fontId="78" fillId="0" borderId="79" xfId="28" applyFont="1" applyFill="1" applyBorder="1" applyAlignment="1" applyProtection="1">
      <alignment horizontal="center" vertical="center"/>
      <protection locked="0"/>
    </xf>
    <xf numFmtId="0" fontId="78" fillId="0" borderId="78" xfId="28" applyNumberFormat="1" applyFont="1" applyFill="1" applyBorder="1" applyAlignment="1" applyProtection="1">
      <alignment horizontal="center" vertical="center"/>
      <protection locked="0"/>
    </xf>
    <xf numFmtId="15" fontId="81" fillId="0" borderId="80" xfId="0" applyNumberFormat="1" applyFont="1" applyBorder="1" applyAlignment="1">
      <alignment horizontal="right" vertical="center"/>
    </xf>
    <xf numFmtId="15" fontId="78" fillId="0" borderId="79" xfId="28" applyNumberFormat="1" applyFont="1" applyFill="1" applyBorder="1" applyAlignment="1" applyProtection="1">
      <alignment horizontal="center" vertical="center"/>
      <protection locked="0"/>
    </xf>
    <xf numFmtId="15" fontId="78" fillId="0" borderId="0" xfId="28" applyNumberFormat="1" applyFont="1" applyFill="1" applyBorder="1" applyAlignment="1" applyProtection="1">
      <alignment horizontal="center" vertical="center"/>
      <protection locked="0"/>
    </xf>
    <xf numFmtId="0" fontId="82" fillId="0" borderId="81" xfId="30" applyFont="1" applyBorder="1" applyAlignment="1">
      <alignment vertical="center"/>
    </xf>
    <xf numFmtId="49" fontId="81" fillId="0" borderId="7" xfId="0" applyNumberFormat="1" applyFont="1" applyBorder="1" applyAlignment="1">
      <alignment horizontal="left" vertical="center"/>
    </xf>
    <xf numFmtId="182" fontId="81" fillId="0" borderId="7" xfId="0" applyNumberFormat="1" applyFont="1" applyBorder="1" applyAlignment="1">
      <alignment horizontal="center" vertical="center"/>
    </xf>
    <xf numFmtId="172" fontId="79" fillId="0" borderId="76" xfId="29" applyNumberFormat="1" applyFont="1" applyBorder="1" applyAlignment="1" applyProtection="1">
      <alignment vertical="center"/>
      <protection locked="0"/>
    </xf>
    <xf numFmtId="49" fontId="86" fillId="0" borderId="7" xfId="0" applyNumberFormat="1" applyFont="1" applyBorder="1" applyAlignment="1">
      <alignment vertical="top"/>
    </xf>
    <xf numFmtId="0" fontId="80" fillId="0" borderId="7" xfId="0" applyFont="1" applyBorder="1" applyAlignment="1">
      <alignment horizontal="left"/>
    </xf>
    <xf numFmtId="0" fontId="79" fillId="10" borderId="0" xfId="27" applyFont="1" applyFill="1" applyAlignment="1" applyProtection="1">
      <alignment horizontal="center" wrapText="1"/>
      <protection locked="0"/>
    </xf>
    <xf numFmtId="0" fontId="79" fillId="10" borderId="0" xfId="27" applyFont="1" applyFill="1" applyAlignment="1" applyProtection="1">
      <alignment wrapText="1"/>
      <protection locked="0"/>
    </xf>
    <xf numFmtId="0" fontId="79" fillId="10" borderId="78" xfId="28" applyNumberFormat="1" applyFont="1" applyFill="1" applyBorder="1" applyAlignment="1" applyProtection="1">
      <alignment horizontal="center" vertical="center"/>
      <protection locked="0"/>
    </xf>
    <xf numFmtId="0" fontId="79" fillId="10" borderId="78" xfId="28" applyNumberFormat="1" applyFont="1" applyFill="1" applyBorder="1" applyAlignment="1" applyProtection="1">
      <alignment horizontal="center" vertical="center" shrinkToFit="1"/>
      <protection locked="0"/>
    </xf>
    <xf numFmtId="15" fontId="79" fillId="10" borderId="78" xfId="28" applyNumberFormat="1" applyFont="1" applyFill="1" applyBorder="1" applyAlignment="1" applyProtection="1">
      <alignment horizontal="center" vertical="center"/>
      <protection locked="0"/>
    </xf>
    <xf numFmtId="172" fontId="79" fillId="10" borderId="78" xfId="28" applyFont="1" applyFill="1" applyBorder="1" applyAlignment="1" applyProtection="1">
      <alignment horizontal="center" vertical="center"/>
      <protection locked="0"/>
    </xf>
    <xf numFmtId="172" fontId="79" fillId="10" borderId="79" xfId="28" applyFont="1" applyFill="1" applyBorder="1" applyAlignment="1" applyProtection="1">
      <alignment horizontal="center" vertical="center"/>
      <protection locked="0"/>
    </xf>
    <xf numFmtId="172" fontId="79" fillId="10" borderId="7" xfId="28" applyFont="1" applyFill="1" applyBorder="1" applyAlignment="1" applyProtection="1">
      <alignment horizontal="center" vertical="center"/>
      <protection locked="0"/>
    </xf>
    <xf numFmtId="0" fontId="79" fillId="10" borderId="7" xfId="27" applyFont="1" applyFill="1" applyBorder="1" applyAlignment="1" applyProtection="1">
      <alignment wrapText="1"/>
      <protection locked="0"/>
    </xf>
    <xf numFmtId="0" fontId="78" fillId="0" borderId="0" xfId="27" applyFont="1" applyAlignment="1" applyProtection="1">
      <alignment horizontal="left" shrinkToFit="1"/>
      <protection locked="0"/>
    </xf>
    <xf numFmtId="0" fontId="78" fillId="0" borderId="0" xfId="27" applyFont="1" applyAlignment="1" applyProtection="1">
      <alignment horizontal="center" vertical="center" shrinkToFit="1"/>
      <protection locked="0"/>
    </xf>
    <xf numFmtId="15" fontId="78" fillId="0" borderId="0" xfId="27" applyNumberFormat="1" applyFont="1" applyAlignment="1" applyProtection="1">
      <alignment shrinkToFit="1"/>
      <protection locked="0"/>
    </xf>
    <xf numFmtId="172" fontId="78" fillId="0" borderId="0" xfId="28" applyFont="1" applyFill="1" applyBorder="1" applyAlignment="1" applyProtection="1">
      <alignment wrapText="1"/>
      <protection locked="0"/>
    </xf>
    <xf numFmtId="172" fontId="78" fillId="0" borderId="0" xfId="28" applyFont="1" applyFill="1" applyBorder="1" applyAlignment="1" applyProtection="1">
      <alignment horizontal="center" vertical="center" wrapText="1"/>
      <protection locked="0"/>
    </xf>
    <xf numFmtId="15" fontId="78" fillId="0" borderId="0" xfId="27" applyNumberFormat="1" applyFont="1" applyAlignment="1" applyProtection="1">
      <alignment wrapText="1"/>
      <protection locked="0"/>
    </xf>
    <xf numFmtId="172" fontId="78" fillId="12" borderId="78" xfId="28" applyFont="1" applyFill="1" applyBorder="1" applyAlignment="1" applyProtection="1">
      <alignment horizontal="center" vertical="center"/>
      <protection locked="0"/>
    </xf>
    <xf numFmtId="15" fontId="78" fillId="0" borderId="0" xfId="27" applyNumberFormat="1" applyFont="1" applyAlignment="1" applyProtection="1">
      <alignment horizontal="right" shrinkToFit="1"/>
      <protection locked="0"/>
    </xf>
    <xf numFmtId="0" fontId="78" fillId="10" borderId="0" xfId="27" applyFont="1" applyFill="1" applyAlignment="1" applyProtection="1">
      <alignment wrapText="1"/>
      <protection locked="0"/>
    </xf>
    <xf numFmtId="170" fontId="79" fillId="0" borderId="1" xfId="28" applyNumberFormat="1" applyFont="1" applyFill="1" applyBorder="1" applyAlignment="1" applyProtection="1">
      <alignment horizontal="center" vertical="center"/>
    </xf>
    <xf numFmtId="172" fontId="78" fillId="0" borderId="0" xfId="28" applyFont="1" applyFill="1" applyBorder="1" applyAlignment="1" applyProtection="1">
      <alignment horizontal="center" wrapText="1"/>
      <protection locked="0"/>
    </xf>
    <xf numFmtId="0" fontId="78" fillId="0" borderId="0" xfId="28" applyNumberFormat="1" applyFont="1" applyFill="1" applyBorder="1" applyAlignment="1" applyProtection="1">
      <alignment horizontal="center" vertical="center" wrapText="1"/>
      <protection locked="0"/>
    </xf>
    <xf numFmtId="172" fontId="78" fillId="0" borderId="86" xfId="27" applyNumberFormat="1" applyFont="1" applyBorder="1" applyAlignment="1" applyProtection="1">
      <alignment horizontal="center" vertical="center" wrapText="1"/>
      <protection locked="0"/>
    </xf>
    <xf numFmtId="172" fontId="78" fillId="0" borderId="87" xfId="28" applyFont="1" applyFill="1" applyBorder="1" applyAlignment="1" applyProtection="1">
      <alignment horizontal="center" vertical="center" wrapText="1"/>
      <protection locked="0"/>
    </xf>
    <xf numFmtId="0" fontId="78" fillId="0" borderId="87" xfId="27" applyFont="1" applyBorder="1" applyAlignment="1" applyProtection="1">
      <alignment horizontal="center" vertical="center" wrapText="1"/>
      <protection locked="0"/>
    </xf>
    <xf numFmtId="0" fontId="78" fillId="0" borderId="87" xfId="28" applyNumberFormat="1" applyFont="1" applyFill="1" applyBorder="1" applyAlignment="1" applyProtection="1">
      <alignment horizontal="center" vertical="center" wrapText="1"/>
      <protection locked="0"/>
    </xf>
    <xf numFmtId="0" fontId="78" fillId="0" borderId="0" xfId="28" applyNumberFormat="1" applyFont="1" applyFill="1" applyBorder="1" applyAlignment="1" applyProtection="1">
      <alignment horizontal="center" wrapText="1"/>
      <protection locked="0"/>
    </xf>
    <xf numFmtId="0" fontId="78" fillId="0" borderId="0" xfId="27" applyFont="1" applyAlignment="1" applyProtection="1">
      <alignment horizontal="center" vertical="center" wrapText="1"/>
      <protection locked="0"/>
    </xf>
    <xf numFmtId="172" fontId="79" fillId="0" borderId="87" xfId="27" applyNumberFormat="1" applyFont="1" applyBorder="1" applyAlignment="1" applyProtection="1">
      <alignment horizontal="center" vertical="center" wrapText="1"/>
      <protection locked="0"/>
    </xf>
    <xf numFmtId="172" fontId="79" fillId="0" borderId="87" xfId="28" applyFont="1" applyFill="1" applyBorder="1" applyAlignment="1" applyProtection="1">
      <alignment horizontal="center" vertical="center" wrapText="1"/>
      <protection locked="0"/>
    </xf>
    <xf numFmtId="0" fontId="79" fillId="0" borderId="87" xfId="27" applyFont="1" applyBorder="1" applyAlignment="1" applyProtection="1">
      <alignment horizontal="center" vertical="center" wrapText="1"/>
      <protection locked="0"/>
    </xf>
    <xf numFmtId="0" fontId="79" fillId="0" borderId="87" xfId="28" applyNumberFormat="1" applyFont="1" applyFill="1" applyBorder="1" applyAlignment="1" applyProtection="1">
      <alignment horizontal="center" vertical="center" wrapText="1"/>
      <protection locked="0"/>
    </xf>
    <xf numFmtId="0" fontId="78" fillId="0" borderId="0" xfId="27" applyFont="1" applyAlignment="1" applyProtection="1">
      <alignment shrinkToFit="1"/>
      <protection locked="0"/>
    </xf>
    <xf numFmtId="172" fontId="78" fillId="0" borderId="87" xfId="27" applyNumberFormat="1" applyFont="1" applyBorder="1" applyAlignment="1" applyProtection="1">
      <alignment horizontal="center" vertical="center" wrapText="1"/>
      <protection locked="0"/>
    </xf>
    <xf numFmtId="0" fontId="12" fillId="0" borderId="0" xfId="31"/>
    <xf numFmtId="0" fontId="6" fillId="10" borderId="7" xfId="31" applyFont="1" applyFill="1" applyBorder="1" applyAlignment="1">
      <alignment horizontal="center"/>
    </xf>
    <xf numFmtId="170" fontId="12" fillId="0" borderId="7" xfId="31" applyNumberFormat="1" applyBorder="1" applyAlignment="1">
      <alignment vertical="center"/>
    </xf>
    <xf numFmtId="0" fontId="12" fillId="0" borderId="7" xfId="31" applyBorder="1" applyAlignment="1">
      <alignment horizontal="center" vertical="center"/>
    </xf>
    <xf numFmtId="0" fontId="12" fillId="0" borderId="7" xfId="31" applyBorder="1" applyAlignment="1">
      <alignment vertical="center"/>
    </xf>
    <xf numFmtId="170" fontId="12" fillId="0" borderId="0" xfId="31" applyNumberFormat="1"/>
    <xf numFmtId="0" fontId="6" fillId="0" borderId="0" xfId="31" applyFont="1"/>
    <xf numFmtId="170" fontId="6" fillId="0" borderId="0" xfId="31" applyNumberFormat="1" applyFont="1"/>
    <xf numFmtId="0" fontId="6" fillId="10" borderId="7" xfId="31" applyFont="1" applyFill="1" applyBorder="1" applyAlignment="1">
      <alignment vertical="center"/>
    </xf>
    <xf numFmtId="170" fontId="6" fillId="10" borderId="7" xfId="31" applyNumberFormat="1" applyFont="1" applyFill="1" applyBorder="1" applyAlignment="1">
      <alignment vertical="center"/>
    </xf>
    <xf numFmtId="170" fontId="90" fillId="0" borderId="0" xfId="33" applyNumberFormat="1" applyFont="1" applyFill="1"/>
    <xf numFmtId="170" fontId="72" fillId="0" borderId="0" xfId="33" applyNumberFormat="1" applyFont="1" applyFill="1" applyBorder="1" applyAlignment="1">
      <alignment horizontal="center"/>
    </xf>
    <xf numFmtId="170" fontId="72" fillId="0" borderId="5" xfId="33" applyNumberFormat="1" applyFont="1" applyFill="1" applyBorder="1" applyAlignment="1">
      <alignment horizontal="center"/>
    </xf>
    <xf numFmtId="170" fontId="90" fillId="0" borderId="0" xfId="33" applyNumberFormat="1" applyFont="1" applyFill="1" applyBorder="1"/>
    <xf numFmtId="170" fontId="72" fillId="0" borderId="0" xfId="33" applyNumberFormat="1" applyFont="1" applyFill="1" applyBorder="1"/>
    <xf numFmtId="0" fontId="72" fillId="0" borderId="4" xfId="33" applyNumberFormat="1" applyFont="1" applyFill="1" applyBorder="1" applyAlignment="1">
      <alignment horizontal="center"/>
    </xf>
    <xf numFmtId="9" fontId="72" fillId="0" borderId="88" xfId="6" applyFont="1" applyFill="1" applyBorder="1"/>
    <xf numFmtId="170" fontId="72" fillId="0" borderId="89" xfId="33" applyNumberFormat="1" applyFont="1" applyFill="1" applyBorder="1" applyAlignment="1">
      <alignment horizontal="center"/>
    </xf>
    <xf numFmtId="170" fontId="72" fillId="0" borderId="88" xfId="33" applyNumberFormat="1" applyFont="1" applyFill="1" applyBorder="1" applyAlignment="1">
      <alignment horizontal="center"/>
    </xf>
    <xf numFmtId="170" fontId="72" fillId="0" borderId="9" xfId="33" applyNumberFormat="1" applyFont="1" applyFill="1" applyBorder="1" applyAlignment="1">
      <alignment horizontal="center"/>
    </xf>
    <xf numFmtId="0" fontId="72" fillId="0" borderId="5" xfId="33" applyNumberFormat="1" applyFont="1" applyFill="1" applyBorder="1" applyAlignment="1">
      <alignment horizontal="center"/>
    </xf>
    <xf numFmtId="170" fontId="72" fillId="0" borderId="13" xfId="33" applyNumberFormat="1" applyFont="1" applyFill="1" applyBorder="1"/>
    <xf numFmtId="170" fontId="72" fillId="0" borderId="13" xfId="33" applyNumberFormat="1" applyFont="1" applyFill="1" applyBorder="1" applyAlignment="1">
      <alignment horizontal="center"/>
    </xf>
    <xf numFmtId="14" fontId="72" fillId="0" borderId="13" xfId="33" applyNumberFormat="1" applyFont="1" applyFill="1" applyBorder="1" applyAlignment="1">
      <alignment horizontal="center"/>
    </xf>
    <xf numFmtId="0" fontId="92" fillId="0" borderId="6" xfId="33" applyNumberFormat="1" applyFont="1" applyFill="1" applyBorder="1" applyAlignment="1">
      <alignment horizontal="center"/>
    </xf>
    <xf numFmtId="170" fontId="92" fillId="0" borderId="12" xfId="33" applyNumberFormat="1" applyFont="1" applyFill="1" applyBorder="1"/>
    <xf numFmtId="170" fontId="92" fillId="0" borderId="90" xfId="33" applyNumberFormat="1" applyFont="1" applyFill="1" applyBorder="1"/>
    <xf numFmtId="170" fontId="93" fillId="0" borderId="12" xfId="33" applyNumberFormat="1" applyFont="1" applyFill="1" applyBorder="1" applyAlignment="1">
      <alignment horizontal="center"/>
    </xf>
    <xf numFmtId="170" fontId="72" fillId="0" borderId="12" xfId="33" applyNumberFormat="1" applyFont="1" applyFill="1" applyBorder="1" applyAlignment="1">
      <alignment horizontal="center"/>
    </xf>
    <xf numFmtId="0" fontId="92" fillId="0" borderId="88" xfId="33" applyNumberFormat="1" applyFont="1" applyFill="1" applyBorder="1" applyAlignment="1">
      <alignment horizontal="center"/>
    </xf>
    <xf numFmtId="170" fontId="92" fillId="0" borderId="88" xfId="33" applyNumberFormat="1" applyFont="1" applyFill="1" applyBorder="1"/>
    <xf numFmtId="170" fontId="92" fillId="0" borderId="13" xfId="33" applyNumberFormat="1" applyFont="1" applyFill="1" applyBorder="1"/>
    <xf numFmtId="0" fontId="92" fillId="0" borderId="13" xfId="33" applyNumberFormat="1" applyFont="1" applyFill="1" applyBorder="1" applyAlignment="1">
      <alignment horizontal="center"/>
    </xf>
    <xf numFmtId="9" fontId="94" fillId="0" borderId="10" xfId="6" applyFont="1" applyFill="1" applyBorder="1"/>
    <xf numFmtId="170" fontId="92" fillId="0" borderId="0" xfId="33" applyNumberFormat="1" applyFont="1" applyFill="1" applyBorder="1"/>
    <xf numFmtId="0" fontId="72" fillId="0" borderId="13" xfId="33" quotePrefix="1" applyNumberFormat="1" applyFont="1" applyFill="1" applyBorder="1" applyAlignment="1">
      <alignment horizontal="center"/>
    </xf>
    <xf numFmtId="9" fontId="90" fillId="0" borderId="10" xfId="6" applyFont="1" applyFill="1" applyBorder="1"/>
    <xf numFmtId="9" fontId="90" fillId="0" borderId="0" xfId="33" applyNumberFormat="1" applyFont="1" applyFill="1" applyBorder="1" applyAlignment="1">
      <alignment horizontal="center"/>
    </xf>
    <xf numFmtId="170" fontId="90" fillId="0" borderId="13" xfId="33" applyNumberFormat="1" applyFont="1" applyFill="1" applyBorder="1"/>
    <xf numFmtId="167" fontId="90" fillId="0" borderId="13" xfId="33" applyNumberFormat="1" applyFont="1" applyFill="1" applyBorder="1"/>
    <xf numFmtId="0" fontId="92" fillId="0" borderId="12" xfId="33" applyNumberFormat="1" applyFont="1" applyFill="1" applyBorder="1" applyAlignment="1">
      <alignment horizontal="center"/>
    </xf>
    <xf numFmtId="9" fontId="72" fillId="0" borderId="16" xfId="6" applyFont="1" applyFill="1" applyBorder="1"/>
    <xf numFmtId="9" fontId="90" fillId="0" borderId="90" xfId="33" applyNumberFormat="1" applyFont="1" applyFill="1" applyBorder="1" applyAlignment="1">
      <alignment horizontal="center"/>
    </xf>
    <xf numFmtId="170" fontId="72" fillId="0" borderId="7" xfId="33" applyNumberFormat="1" applyFont="1" applyFill="1" applyBorder="1"/>
    <xf numFmtId="172" fontId="90" fillId="0" borderId="10" xfId="33" applyNumberFormat="1" applyFont="1" applyFill="1" applyBorder="1" applyAlignment="1">
      <alignment horizontal="center"/>
    </xf>
    <xf numFmtId="170" fontId="90" fillId="0" borderId="10" xfId="33" applyNumberFormat="1" applyFont="1" applyFill="1" applyBorder="1" applyAlignment="1">
      <alignment horizontal="center"/>
    </xf>
    <xf numFmtId="0" fontId="93" fillId="0" borderId="13" xfId="33" applyNumberFormat="1" applyFont="1" applyFill="1" applyBorder="1" applyAlignment="1">
      <alignment horizontal="center"/>
    </xf>
    <xf numFmtId="170" fontId="92" fillId="0" borderId="0" xfId="33" applyNumberFormat="1" applyFont="1" applyFill="1" applyBorder="1" applyAlignment="1">
      <alignment horizontal="center"/>
    </xf>
    <xf numFmtId="172" fontId="90" fillId="0" borderId="10" xfId="33" applyNumberFormat="1" applyFont="1" applyFill="1" applyBorder="1"/>
    <xf numFmtId="172" fontId="90" fillId="0" borderId="13" xfId="33" applyNumberFormat="1" applyFont="1" applyFill="1" applyBorder="1"/>
    <xf numFmtId="9" fontId="90" fillId="0" borderId="12" xfId="6" applyFont="1" applyFill="1" applyBorder="1"/>
    <xf numFmtId="0" fontId="92" fillId="0" borderId="7" xfId="33" applyNumberFormat="1" applyFont="1" applyFill="1" applyBorder="1" applyAlignment="1">
      <alignment horizontal="center"/>
    </xf>
    <xf numFmtId="9" fontId="90" fillId="0" borderId="7" xfId="33" applyNumberFormat="1" applyFont="1" applyFill="1" applyBorder="1" applyAlignment="1">
      <alignment horizontal="center"/>
    </xf>
    <xf numFmtId="0" fontId="92" fillId="0" borderId="5" xfId="33" applyNumberFormat="1" applyFont="1" applyFill="1" applyBorder="1" applyAlignment="1">
      <alignment horizontal="center"/>
    </xf>
    <xf numFmtId="170" fontId="92" fillId="0" borderId="10" xfId="33" applyNumberFormat="1" applyFont="1" applyFill="1" applyBorder="1"/>
    <xf numFmtId="9" fontId="90" fillId="0" borderId="13" xfId="6" applyFont="1" applyFill="1" applyBorder="1"/>
    <xf numFmtId="170" fontId="90" fillId="0" borderId="13" xfId="33" applyNumberFormat="1" applyFont="1" applyFill="1" applyBorder="1" applyAlignment="1">
      <alignment horizontal="center"/>
    </xf>
    <xf numFmtId="170" fontId="92" fillId="0" borderId="7" xfId="33" applyNumberFormat="1" applyFont="1" applyFill="1" applyBorder="1"/>
    <xf numFmtId="170" fontId="90" fillId="0" borderId="90" xfId="33" applyNumberFormat="1" applyFont="1" applyFill="1" applyBorder="1" applyAlignment="1">
      <alignment horizontal="center"/>
    </xf>
    <xf numFmtId="170" fontId="92" fillId="0" borderId="13" xfId="33" applyNumberFormat="1" applyFont="1" applyFill="1" applyBorder="1" applyAlignment="1">
      <alignment horizontal="center"/>
    </xf>
    <xf numFmtId="170" fontId="90" fillId="0" borderId="10" xfId="33" applyNumberFormat="1" applyFont="1" applyFill="1" applyBorder="1"/>
    <xf numFmtId="9" fontId="90" fillId="0" borderId="13" xfId="33" applyNumberFormat="1" applyFont="1" applyFill="1" applyBorder="1" applyAlignment="1">
      <alignment horizontal="center"/>
    </xf>
    <xf numFmtId="170" fontId="90" fillId="0" borderId="12" xfId="33" quotePrefix="1" applyNumberFormat="1" applyFont="1" applyFill="1" applyBorder="1" applyAlignment="1">
      <alignment horizontal="center"/>
    </xf>
    <xf numFmtId="9" fontId="94" fillId="0" borderId="0" xfId="6" applyFont="1" applyFill="1" applyBorder="1"/>
    <xf numFmtId="9" fontId="90" fillId="0" borderId="0" xfId="6" applyFont="1" applyFill="1" applyBorder="1"/>
    <xf numFmtId="0" fontId="72" fillId="0" borderId="7" xfId="33" quotePrefix="1" applyNumberFormat="1" applyFont="1" applyFill="1" applyBorder="1" applyAlignment="1">
      <alignment horizontal="center"/>
    </xf>
    <xf numFmtId="9" fontId="72" fillId="0" borderId="19" xfId="6" applyFont="1" applyFill="1" applyBorder="1"/>
    <xf numFmtId="170" fontId="92" fillId="0" borderId="19" xfId="33" applyNumberFormat="1" applyFont="1" applyFill="1" applyBorder="1" applyAlignment="1">
      <alignment horizontal="center"/>
    </xf>
    <xf numFmtId="0" fontId="72" fillId="0" borderId="13" xfId="33" applyNumberFormat="1" applyFont="1" applyFill="1" applyBorder="1" applyAlignment="1">
      <alignment horizontal="center"/>
    </xf>
    <xf numFmtId="170" fontId="90" fillId="0" borderId="0" xfId="33" applyNumberFormat="1" applyFont="1" applyFill="1" applyBorder="1" applyAlignment="1">
      <alignment horizontal="center"/>
    </xf>
    <xf numFmtId="170" fontId="90" fillId="0" borderId="12" xfId="33" applyNumberFormat="1" applyFont="1" applyFill="1" applyBorder="1" applyAlignment="1">
      <alignment horizontal="center"/>
    </xf>
    <xf numFmtId="0" fontId="72" fillId="0" borderId="12" xfId="33" quotePrefix="1" applyNumberFormat="1" applyFont="1" applyFill="1" applyBorder="1" applyAlignment="1">
      <alignment horizontal="center"/>
    </xf>
    <xf numFmtId="170" fontId="90" fillId="0" borderId="80" xfId="33" quotePrefix="1" applyNumberFormat="1" applyFont="1" applyFill="1" applyBorder="1" applyAlignment="1">
      <alignment horizontal="center"/>
    </xf>
    <xf numFmtId="170" fontId="90" fillId="0" borderId="0" xfId="33" applyNumberFormat="1" applyFont="1" applyFill="1" applyAlignment="1">
      <alignment horizontal="left"/>
    </xf>
    <xf numFmtId="0" fontId="90" fillId="0" borderId="0" xfId="32" applyFont="1" applyAlignment="1">
      <alignment horizontal="center"/>
    </xf>
    <xf numFmtId="0" fontId="90" fillId="0" borderId="0" xfId="32" applyFont="1"/>
    <xf numFmtId="172" fontId="90" fillId="0" borderId="0" xfId="32" applyNumberFormat="1" applyFont="1"/>
    <xf numFmtId="0" fontId="72" fillId="0" borderId="5" xfId="32" applyFont="1" applyBorder="1" applyAlignment="1">
      <alignment horizontal="center"/>
    </xf>
    <xf numFmtId="0" fontId="72" fillId="0" borderId="0" xfId="32" applyFont="1" applyAlignment="1">
      <alignment horizontal="center"/>
    </xf>
    <xf numFmtId="0" fontId="90" fillId="0" borderId="10" xfId="32" applyFont="1" applyBorder="1"/>
    <xf numFmtId="168" fontId="72" fillId="0" borderId="5" xfId="34" applyNumberFormat="1" applyFont="1" applyBorder="1" applyAlignment="1">
      <alignment horizontal="center"/>
    </xf>
    <xf numFmtId="168" fontId="72" fillId="0" borderId="0" xfId="34" applyNumberFormat="1" applyFont="1" applyAlignment="1">
      <alignment horizontal="center"/>
    </xf>
    <xf numFmtId="0" fontId="90" fillId="0" borderId="5" xfId="32" applyFont="1" applyBorder="1" applyAlignment="1">
      <alignment horizontal="center"/>
    </xf>
    <xf numFmtId="0" fontId="90" fillId="0" borderId="89" xfId="32" applyFont="1" applyBorder="1"/>
    <xf numFmtId="0" fontId="90" fillId="0" borderId="13" xfId="32" applyFont="1" applyBorder="1"/>
    <xf numFmtId="0" fontId="90" fillId="0" borderId="90" xfId="32" applyFont="1" applyBorder="1"/>
    <xf numFmtId="0" fontId="72" fillId="0" borderId="7" xfId="32" applyFont="1" applyBorder="1"/>
    <xf numFmtId="170" fontId="90" fillId="0" borderId="0" xfId="32" applyNumberFormat="1" applyFont="1"/>
    <xf numFmtId="0" fontId="72" fillId="0" borderId="13" xfId="32" applyFont="1" applyBorder="1" applyAlignment="1">
      <alignment horizontal="center"/>
    </xf>
    <xf numFmtId="172" fontId="90" fillId="0" borderId="13" xfId="37" applyNumberFormat="1" applyFont="1" applyBorder="1"/>
    <xf numFmtId="170" fontId="90" fillId="0" borderId="13" xfId="37" applyNumberFormat="1" applyFont="1" applyBorder="1"/>
    <xf numFmtId="43" fontId="90" fillId="0" borderId="0" xfId="32" applyNumberFormat="1" applyFont="1"/>
    <xf numFmtId="170" fontId="72" fillId="0" borderId="0" xfId="32" applyNumberFormat="1" applyFont="1"/>
    <xf numFmtId="167" fontId="90" fillId="0" borderId="0" xfId="32" applyNumberFormat="1" applyFont="1"/>
    <xf numFmtId="0" fontId="72" fillId="0" borderId="0" xfId="32" applyFont="1"/>
    <xf numFmtId="170" fontId="90" fillId="0" borderId="0" xfId="32" applyNumberFormat="1" applyFont="1" applyAlignment="1">
      <alignment horizontal="center"/>
    </xf>
    <xf numFmtId="37" fontId="90" fillId="0" borderId="0" xfId="32" applyNumberFormat="1" applyFont="1"/>
    <xf numFmtId="9" fontId="90" fillId="0" borderId="0" xfId="32" applyNumberFormat="1" applyFont="1"/>
    <xf numFmtId="37" fontId="72" fillId="0" borderId="8" xfId="32" applyNumberFormat="1" applyFont="1" applyBorder="1"/>
    <xf numFmtId="168" fontId="95" fillId="0" borderId="5" xfId="38" applyNumberFormat="1" applyFont="1" applyBorder="1" applyAlignment="1">
      <alignment horizontal="center"/>
    </xf>
    <xf numFmtId="168" fontId="95" fillId="0" borderId="0" xfId="38" applyNumberFormat="1" applyFont="1" applyAlignment="1">
      <alignment horizontal="center"/>
    </xf>
    <xf numFmtId="170" fontId="95" fillId="0" borderId="0" xfId="39" applyNumberFormat="1" applyFont="1" applyFill="1" applyBorder="1" applyAlignment="1">
      <alignment horizontal="center"/>
    </xf>
    <xf numFmtId="168" fontId="95" fillId="0" borderId="10" xfId="38" applyNumberFormat="1" applyFont="1" applyBorder="1" applyAlignment="1">
      <alignment horizontal="center"/>
    </xf>
    <xf numFmtId="168" fontId="95" fillId="0" borderId="6" xfId="38" applyNumberFormat="1" applyFont="1" applyBorder="1" applyAlignment="1">
      <alignment horizontal="center"/>
    </xf>
    <xf numFmtId="168" fontId="95" fillId="0" borderId="90" xfId="38" applyNumberFormat="1" applyFont="1" applyBorder="1" applyAlignment="1">
      <alignment horizontal="center"/>
    </xf>
    <xf numFmtId="170" fontId="95" fillId="0" borderId="90" xfId="39" applyNumberFormat="1" applyFont="1" applyFill="1" applyBorder="1" applyAlignment="1">
      <alignment horizontal="center"/>
    </xf>
    <xf numFmtId="168" fontId="95" fillId="0" borderId="16" xfId="38" applyNumberFormat="1" applyFont="1" applyBorder="1" applyAlignment="1">
      <alignment horizontal="center"/>
    </xf>
    <xf numFmtId="9" fontId="0" fillId="0" borderId="0" xfId="0" applyNumberFormat="1"/>
    <xf numFmtId="168" fontId="95" fillId="0" borderId="80" xfId="38" applyNumberFormat="1" applyFont="1" applyBorder="1" applyAlignment="1">
      <alignment vertical="top"/>
    </xf>
    <xf numFmtId="168" fontId="95" fillId="0" borderId="81" xfId="38" applyNumberFormat="1" applyFont="1" applyBorder="1"/>
    <xf numFmtId="170" fontId="95" fillId="0" borderId="81" xfId="39" applyNumberFormat="1" applyFont="1" applyFill="1" applyBorder="1"/>
    <xf numFmtId="168" fontId="95" fillId="0" borderId="7" xfId="38" applyNumberFormat="1" applyFont="1" applyBorder="1" applyAlignment="1">
      <alignment horizontal="right" vertical="top" wrapText="1"/>
    </xf>
    <xf numFmtId="185" fontId="0" fillId="0" borderId="0" xfId="5" applyNumberFormat="1" applyFont="1"/>
    <xf numFmtId="168" fontId="95" fillId="0" borderId="4" xfId="38" applyNumberFormat="1" applyFont="1" applyBorder="1" applyAlignment="1">
      <alignment vertical="top"/>
    </xf>
    <xf numFmtId="168" fontId="95" fillId="0" borderId="89" xfId="38" applyNumberFormat="1" applyFont="1" applyBorder="1"/>
    <xf numFmtId="170" fontId="95" fillId="0" borderId="89" xfId="39" applyNumberFormat="1" applyFont="1" applyFill="1" applyBorder="1"/>
    <xf numFmtId="170" fontId="95" fillId="0" borderId="88" xfId="39" applyNumberFormat="1" applyFont="1" applyFill="1" applyBorder="1"/>
    <xf numFmtId="168" fontId="95" fillId="0" borderId="88" xfId="38" applyNumberFormat="1" applyFont="1" applyBorder="1" applyAlignment="1">
      <alignment horizontal="right" vertical="top" wrapText="1"/>
    </xf>
    <xf numFmtId="186" fontId="96" fillId="0" borderId="5" xfId="38" applyNumberFormat="1" applyFont="1" applyBorder="1" applyAlignment="1">
      <alignment horizontal="left"/>
    </xf>
    <xf numFmtId="168" fontId="97" fillId="0" borderId="0" xfId="38" applyNumberFormat="1" applyFont="1"/>
    <xf numFmtId="170" fontId="96" fillId="0" borderId="0" xfId="39" applyNumberFormat="1" applyFont="1" applyFill="1" applyBorder="1"/>
    <xf numFmtId="170" fontId="96" fillId="0" borderId="13" xfId="39" applyNumberFormat="1" applyFont="1" applyFill="1" applyBorder="1"/>
    <xf numFmtId="168" fontId="97" fillId="0" borderId="13" xfId="38" applyNumberFormat="1" applyFont="1" applyBorder="1"/>
    <xf numFmtId="168" fontId="98" fillId="0" borderId="5" xfId="38" applyNumberFormat="1" applyFont="1" applyBorder="1"/>
    <xf numFmtId="168" fontId="95" fillId="0" borderId="0" xfId="38" applyNumberFormat="1" applyFont="1"/>
    <xf numFmtId="170" fontId="95" fillId="0" borderId="0" xfId="39" applyNumberFormat="1" applyFont="1" applyFill="1" applyBorder="1"/>
    <xf numFmtId="170" fontId="95" fillId="0" borderId="13" xfId="39" applyNumberFormat="1" applyFont="1" applyFill="1" applyBorder="1"/>
    <xf numFmtId="168" fontId="98" fillId="0" borderId="13" xfId="38" applyNumberFormat="1" applyFont="1" applyBorder="1"/>
    <xf numFmtId="10" fontId="0" fillId="0" borderId="0" xfId="0" applyNumberFormat="1"/>
    <xf numFmtId="168" fontId="95" fillId="0" borderId="5" xfId="38" applyNumberFormat="1" applyFont="1" applyBorder="1"/>
    <xf numFmtId="168" fontId="98" fillId="0" borderId="0" xfId="38" applyNumberFormat="1" applyFont="1"/>
    <xf numFmtId="170" fontId="98" fillId="0" borderId="0" xfId="39" applyNumberFormat="1" applyFont="1" applyFill="1" applyBorder="1"/>
    <xf numFmtId="170" fontId="98" fillId="0" borderId="13" xfId="39" applyNumberFormat="1" applyFont="1" applyFill="1" applyBorder="1"/>
    <xf numFmtId="172" fontId="98" fillId="0" borderId="13" xfId="7" applyFont="1" applyFill="1" applyBorder="1"/>
    <xf numFmtId="170" fontId="95" fillId="0" borderId="0" xfId="39" applyNumberFormat="1" applyFont="1" applyFill="1" applyBorder="1" applyAlignment="1">
      <alignment horizontal="right"/>
    </xf>
    <xf numFmtId="170" fontId="95" fillId="0" borderId="13" xfId="39" applyNumberFormat="1" applyFont="1" applyFill="1" applyBorder="1" applyAlignment="1">
      <alignment horizontal="right"/>
    </xf>
    <xf numFmtId="170" fontId="95" fillId="0" borderId="15" xfId="39" applyNumberFormat="1" applyFont="1" applyFill="1" applyBorder="1"/>
    <xf numFmtId="170" fontId="95" fillId="0" borderId="91" xfId="39" applyNumberFormat="1" applyFont="1" applyFill="1" applyBorder="1"/>
    <xf numFmtId="167" fontId="98" fillId="0" borderId="13" xfId="38" applyFont="1" applyBorder="1"/>
    <xf numFmtId="167" fontId="95" fillId="0" borderId="15" xfId="40" applyNumberFormat="1" applyFont="1" applyFill="1" applyBorder="1"/>
    <xf numFmtId="167" fontId="98" fillId="0" borderId="13" xfId="40" applyNumberFormat="1" applyFont="1" applyFill="1" applyBorder="1"/>
    <xf numFmtId="170" fontId="98" fillId="0" borderId="0" xfId="39" applyNumberFormat="1" applyFont="1" applyFill="1" applyBorder="1" applyAlignment="1">
      <alignment horizontal="right"/>
    </xf>
    <xf numFmtId="170" fontId="98" fillId="0" borderId="13" xfId="39" applyNumberFormat="1" applyFont="1" applyFill="1" applyBorder="1" applyAlignment="1">
      <alignment horizontal="right"/>
    </xf>
    <xf numFmtId="168" fontId="98" fillId="0" borderId="20" xfId="38" applyNumberFormat="1" applyFont="1" applyBorder="1"/>
    <xf numFmtId="168" fontId="95" fillId="0" borderId="13" xfId="38" applyNumberFormat="1" applyFont="1" applyBorder="1"/>
    <xf numFmtId="168" fontId="96" fillId="0" borderId="5" xfId="38" applyNumberFormat="1" applyFont="1" applyBorder="1"/>
    <xf numFmtId="168" fontId="96" fillId="0" borderId="6" xfId="38" applyNumberFormat="1" applyFont="1" applyBorder="1"/>
    <xf numFmtId="168" fontId="95" fillId="0" borderId="90" xfId="38" applyNumberFormat="1" applyFont="1" applyBorder="1"/>
    <xf numFmtId="168" fontId="98" fillId="0" borderId="90" xfId="38" applyNumberFormat="1" applyFont="1" applyBorder="1"/>
    <xf numFmtId="170" fontId="98" fillId="0" borderId="90" xfId="39" applyNumberFormat="1" applyFont="1" applyFill="1" applyBorder="1"/>
    <xf numFmtId="170" fontId="98" fillId="0" borderId="12" xfId="39" applyNumberFormat="1" applyFont="1" applyFill="1" applyBorder="1"/>
    <xf numFmtId="170" fontId="95" fillId="0" borderId="12" xfId="39" applyNumberFormat="1" applyFont="1" applyFill="1" applyBorder="1"/>
    <xf numFmtId="168" fontId="98" fillId="0" borderId="12" xfId="38" applyNumberFormat="1" applyFont="1" applyBorder="1"/>
    <xf numFmtId="168" fontId="97" fillId="0" borderId="5" xfId="38" applyNumberFormat="1" applyFont="1" applyBorder="1"/>
    <xf numFmtId="168" fontId="97" fillId="0" borderId="89" xfId="38" applyNumberFormat="1" applyFont="1" applyBorder="1"/>
    <xf numFmtId="170" fontId="97" fillId="0" borderId="0" xfId="39" applyNumberFormat="1" applyFont="1" applyFill="1" applyBorder="1"/>
    <xf numFmtId="170" fontId="97" fillId="0" borderId="13" xfId="39" applyNumberFormat="1" applyFont="1" applyFill="1" applyBorder="1"/>
    <xf numFmtId="166" fontId="97" fillId="0" borderId="13" xfId="39" applyNumberFormat="1" applyFont="1" applyFill="1" applyBorder="1"/>
    <xf numFmtId="166" fontId="97" fillId="0" borderId="13" xfId="38" applyNumberFormat="1" applyFont="1" applyBorder="1"/>
    <xf numFmtId="168" fontId="97" fillId="0" borderId="6" xfId="38" applyNumberFormat="1" applyFont="1" applyBorder="1"/>
    <xf numFmtId="168" fontId="97" fillId="0" borderId="90" xfId="38" applyNumberFormat="1" applyFont="1" applyBorder="1"/>
    <xf numFmtId="170" fontId="97" fillId="0" borderId="90" xfId="39" applyNumberFormat="1" applyFont="1" applyFill="1" applyBorder="1"/>
    <xf numFmtId="170" fontId="97" fillId="0" borderId="12" xfId="39" applyNumberFormat="1" applyFont="1" applyFill="1" applyBorder="1"/>
    <xf numFmtId="166" fontId="97" fillId="0" borderId="12" xfId="38" applyNumberFormat="1" applyFont="1" applyBorder="1"/>
    <xf numFmtId="166" fontId="97" fillId="0" borderId="12" xfId="39" applyNumberFormat="1" applyFont="1" applyFill="1" applyBorder="1"/>
    <xf numFmtId="43" fontId="14" fillId="0" borderId="5" xfId="1" applyFont="1" applyFill="1" applyBorder="1" applyAlignment="1">
      <alignment horizontal="right"/>
    </xf>
    <xf numFmtId="9" fontId="15" fillId="0" borderId="5" xfId="6" applyFont="1" applyFill="1" applyBorder="1" applyAlignment="1">
      <alignment horizontal="left" vertical="top"/>
    </xf>
    <xf numFmtId="9" fontId="14" fillId="0" borderId="0" xfId="6" applyFont="1" applyFill="1" applyBorder="1" applyAlignment="1">
      <alignment horizontal="left" vertical="top" wrapText="1"/>
    </xf>
    <xf numFmtId="9" fontId="19" fillId="0" borderId="5" xfId="6" applyFont="1" applyFill="1" applyBorder="1" applyAlignment="1">
      <alignment horizontal="left" vertical="top"/>
    </xf>
    <xf numFmtId="9" fontId="14" fillId="0" borderId="5" xfId="6" applyFont="1" applyFill="1" applyBorder="1" applyAlignment="1">
      <alignment horizontal="left" vertical="top"/>
    </xf>
    <xf numFmtId="167" fontId="14" fillId="0" borderId="12" xfId="1" applyNumberFormat="1" applyFont="1" applyFill="1" applyBorder="1" applyAlignment="1">
      <alignment horizontal="left" vertical="top" wrapText="1"/>
    </xf>
    <xf numFmtId="167" fontId="15" fillId="0" borderId="7" xfId="1" applyNumberFormat="1" applyFont="1" applyFill="1" applyBorder="1" applyAlignment="1"/>
    <xf numFmtId="167" fontId="15" fillId="0" borderId="0" xfId="0" applyNumberFormat="1" applyFont="1"/>
    <xf numFmtId="166" fontId="21" fillId="0" borderId="0" xfId="0" applyNumberFormat="1" applyFont="1"/>
    <xf numFmtId="0" fontId="19" fillId="0" borderId="5" xfId="4" applyNumberFormat="1" applyFont="1" applyBorder="1" applyAlignment="1">
      <alignment horizontal="justify" vertical="top" wrapText="1"/>
    </xf>
    <xf numFmtId="167" fontId="15" fillId="0" borderId="5" xfId="1" applyNumberFormat="1" applyFont="1" applyFill="1" applyBorder="1" applyAlignment="1"/>
    <xf numFmtId="0" fontId="15" fillId="0" borderId="6" xfId="4" applyNumberFormat="1" applyFont="1" applyBorder="1" applyAlignment="1">
      <alignment vertical="top"/>
    </xf>
    <xf numFmtId="9" fontId="15" fillId="0" borderId="1" xfId="6" applyFont="1" applyFill="1" applyBorder="1" applyAlignment="1">
      <alignment horizontal="left"/>
    </xf>
    <xf numFmtId="167" fontId="14" fillId="0" borderId="0" xfId="6" applyNumberFormat="1" applyFont="1" applyFill="1" applyBorder="1" applyAlignment="1"/>
    <xf numFmtId="167" fontId="70" fillId="0" borderId="7" xfId="0" applyNumberFormat="1" applyFont="1" applyBorder="1"/>
    <xf numFmtId="173" fontId="21" fillId="0" borderId="7" xfId="4" applyNumberFormat="1" applyFont="1" applyBorder="1"/>
    <xf numFmtId="187" fontId="11" fillId="0" borderId="0" xfId="2" applyNumberFormat="1" applyFont="1" applyAlignment="1">
      <alignment horizontal="left"/>
    </xf>
    <xf numFmtId="167" fontId="15" fillId="0" borderId="80" xfId="1" applyNumberFormat="1" applyFont="1" applyFill="1" applyBorder="1" applyAlignment="1">
      <alignment horizontal="right"/>
    </xf>
    <xf numFmtId="167" fontId="6" fillId="0" borderId="13" xfId="1" applyNumberFormat="1" applyFont="1" applyBorder="1"/>
    <xf numFmtId="167" fontId="0" fillId="0" borderId="13" xfId="1" applyNumberFormat="1" applyFont="1" applyBorder="1"/>
    <xf numFmtId="167" fontId="6" fillId="0" borderId="7" xfId="1" applyNumberFormat="1" applyFont="1" applyBorder="1"/>
    <xf numFmtId="172" fontId="0" fillId="0" borderId="16" xfId="7" applyFont="1" applyBorder="1" applyProtection="1">
      <protection hidden="1"/>
    </xf>
    <xf numFmtId="172" fontId="70" fillId="8" borderId="41" xfId="7" applyFont="1" applyFill="1" applyBorder="1" applyProtection="1">
      <protection hidden="1"/>
    </xf>
    <xf numFmtId="172" fontId="0" fillId="0" borderId="12" xfId="7" applyFont="1" applyBorder="1" applyProtection="1">
      <protection hidden="1"/>
    </xf>
    <xf numFmtId="172" fontId="0" fillId="0" borderId="7" xfId="7" applyFont="1" applyBorder="1" applyProtection="1">
      <protection hidden="1"/>
    </xf>
    <xf numFmtId="172" fontId="0" fillId="0" borderId="11" xfId="7" applyFont="1" applyBorder="1" applyProtection="1">
      <protection hidden="1"/>
    </xf>
    <xf numFmtId="167" fontId="67" fillId="0" borderId="13" xfId="1" applyNumberFormat="1" applyFont="1" applyFill="1" applyBorder="1"/>
    <xf numFmtId="167" fontId="70" fillId="0" borderId="13" xfId="1" applyNumberFormat="1" applyFont="1" applyFill="1" applyBorder="1"/>
    <xf numFmtId="167" fontId="70" fillId="0" borderId="7" xfId="1" applyNumberFormat="1" applyFont="1" applyFill="1" applyBorder="1"/>
    <xf numFmtId="167" fontId="67" fillId="0" borderId="13" xfId="1" applyNumberFormat="1" applyFont="1" applyFill="1" applyBorder="1" applyAlignment="1">
      <alignment horizontal="right"/>
    </xf>
    <xf numFmtId="167" fontId="70" fillId="0" borderId="13" xfId="1" applyNumberFormat="1" applyFont="1" applyFill="1" applyBorder="1" applyAlignment="1">
      <alignment horizontal="right" wrapText="1"/>
    </xf>
    <xf numFmtId="167" fontId="67" fillId="0" borderId="7" xfId="1" applyNumberFormat="1" applyFont="1" applyFill="1" applyBorder="1"/>
    <xf numFmtId="49" fontId="4" fillId="0" borderId="89" xfId="0" applyNumberFormat="1" applyFont="1" applyBorder="1" applyAlignment="1">
      <alignment horizontal="left" vertical="top" indent="2"/>
    </xf>
    <xf numFmtId="49" fontId="100" fillId="0" borderId="0" xfId="0" applyNumberFormat="1" applyFont="1" applyAlignment="1">
      <alignment vertical="top"/>
    </xf>
    <xf numFmtId="49" fontId="4" fillId="0" borderId="81" xfId="0" applyNumberFormat="1" applyFont="1" applyBorder="1" applyAlignment="1">
      <alignment horizontal="left" vertical="top" indent="2"/>
    </xf>
    <xf numFmtId="164" fontId="4" fillId="0" borderId="81" xfId="0" applyNumberFormat="1" applyFont="1" applyBorder="1" applyAlignment="1">
      <alignment horizontal="right" vertical="top"/>
    </xf>
    <xf numFmtId="188" fontId="21" fillId="0" borderId="0" xfId="4" applyNumberFormat="1" applyFont="1"/>
    <xf numFmtId="189" fontId="21" fillId="0" borderId="0" xfId="4" applyNumberFormat="1" applyFont="1"/>
    <xf numFmtId="43" fontId="15" fillId="0" borderId="0" xfId="1" applyFont="1" applyFill="1" applyBorder="1" applyAlignment="1">
      <alignment horizontal="right"/>
    </xf>
    <xf numFmtId="0" fontId="101" fillId="0" borderId="0" xfId="41" applyFont="1"/>
    <xf numFmtId="0" fontId="102" fillId="0" borderId="0" xfId="41" applyFont="1"/>
    <xf numFmtId="0" fontId="102" fillId="0" borderId="51" xfId="41" applyFont="1" applyBorder="1" applyAlignment="1">
      <alignment horizontal="center" vertical="center"/>
    </xf>
    <xf numFmtId="170" fontId="102" fillId="0" borderId="51" xfId="41" applyNumberFormat="1" applyFont="1" applyBorder="1" applyAlignment="1">
      <alignment horizontal="center" vertical="center" wrapText="1"/>
    </xf>
    <xf numFmtId="0" fontId="101" fillId="0" borderId="49" xfId="41" applyFont="1" applyBorder="1"/>
    <xf numFmtId="170" fontId="102" fillId="0" borderId="49" xfId="41" applyNumberFormat="1" applyFont="1" applyBorder="1" applyAlignment="1">
      <alignment horizontal="center" vertical="center" wrapText="1"/>
    </xf>
    <xf numFmtId="0" fontId="102" fillId="0" borderId="65" xfId="41" applyFont="1" applyBorder="1" applyAlignment="1">
      <alignment horizontal="left" vertical="center"/>
    </xf>
    <xf numFmtId="0" fontId="101" fillId="0" borderId="65" xfId="41" applyFont="1" applyBorder="1"/>
    <xf numFmtId="0" fontId="101" fillId="0" borderId="0" xfId="41" applyFont="1" applyAlignment="1">
      <alignment vertical="center"/>
    </xf>
    <xf numFmtId="0" fontId="101" fillId="0" borderId="65" xfId="41" applyFont="1" applyBorder="1" applyAlignment="1">
      <alignment horizontal="left" vertical="center"/>
    </xf>
    <xf numFmtId="170" fontId="101" fillId="0" borderId="62" xfId="41" applyNumberFormat="1" applyFont="1" applyBorder="1" applyAlignment="1">
      <alignment vertical="center"/>
    </xf>
    <xf numFmtId="170" fontId="101" fillId="0" borderId="0" xfId="21" applyNumberFormat="1" applyFont="1" applyFill="1" applyBorder="1" applyAlignment="1">
      <alignment vertical="center"/>
    </xf>
    <xf numFmtId="170" fontId="102" fillId="0" borderId="62" xfId="41" applyNumberFormat="1" applyFont="1" applyBorder="1" applyAlignment="1">
      <alignment vertical="center"/>
    </xf>
    <xf numFmtId="172" fontId="101" fillId="0" borderId="0" xfId="21" applyFont="1" applyFill="1" applyBorder="1" applyAlignment="1">
      <alignment vertical="center"/>
    </xf>
    <xf numFmtId="0" fontId="103" fillId="0" borderId="65" xfId="41" applyFont="1" applyBorder="1" applyAlignment="1">
      <alignment horizontal="left" vertical="center"/>
    </xf>
    <xf numFmtId="0" fontId="101" fillId="0" borderId="62" xfId="41" applyFont="1" applyBorder="1" applyAlignment="1">
      <alignment horizontal="left" vertical="center"/>
    </xf>
    <xf numFmtId="170" fontId="101" fillId="0" borderId="62" xfId="21" applyNumberFormat="1" applyFont="1" applyFill="1" applyBorder="1" applyAlignment="1">
      <alignment vertical="center"/>
    </xf>
    <xf numFmtId="0" fontId="101" fillId="0" borderId="62" xfId="41" applyFont="1" applyBorder="1" applyAlignment="1">
      <alignment vertical="center"/>
    </xf>
    <xf numFmtId="37" fontId="101" fillId="0" borderId="0" xfId="41" applyNumberFormat="1" applyFont="1" applyAlignment="1">
      <alignment vertical="center"/>
    </xf>
    <xf numFmtId="0" fontId="102" fillId="0" borderId="65" xfId="41" applyFont="1" applyBorder="1" applyAlignment="1">
      <alignment vertical="center"/>
    </xf>
    <xf numFmtId="10" fontId="101" fillId="0" borderId="62" xfId="5" applyNumberFormat="1" applyFont="1" applyFill="1" applyBorder="1" applyAlignment="1">
      <alignment vertical="center"/>
    </xf>
    <xf numFmtId="10" fontId="101" fillId="0" borderId="62" xfId="42" applyNumberFormat="1" applyFont="1" applyFill="1" applyBorder="1" applyAlignment="1">
      <alignment vertical="center"/>
    </xf>
    <xf numFmtId="10" fontId="101" fillId="0" borderId="62" xfId="41" applyNumberFormat="1" applyFont="1" applyBorder="1" applyAlignment="1">
      <alignment vertical="center"/>
    </xf>
    <xf numFmtId="10" fontId="101" fillId="0" borderId="0" xfId="42" applyNumberFormat="1" applyFont="1" applyFill="1" applyBorder="1" applyAlignment="1">
      <alignment vertical="center"/>
    </xf>
    <xf numFmtId="9" fontId="101" fillId="0" borderId="0" xfId="42" applyFont="1" applyFill="1" applyBorder="1" applyAlignment="1">
      <alignment vertical="center"/>
    </xf>
    <xf numFmtId="9" fontId="101" fillId="0" borderId="62" xfId="5" applyFont="1" applyFill="1" applyBorder="1" applyAlignment="1">
      <alignment vertical="center"/>
    </xf>
    <xf numFmtId="172" fontId="101" fillId="0" borderId="62" xfId="21" applyFont="1" applyFill="1" applyBorder="1" applyAlignment="1">
      <alignment vertical="center"/>
    </xf>
    <xf numFmtId="170" fontId="101" fillId="0" borderId="0" xfId="41" applyNumberFormat="1" applyFont="1" applyAlignment="1">
      <alignment vertical="center"/>
    </xf>
    <xf numFmtId="0" fontId="101" fillId="0" borderId="45" xfId="41" applyFont="1" applyBorder="1" applyAlignment="1">
      <alignment vertical="center"/>
    </xf>
    <xf numFmtId="0" fontId="101" fillId="0" borderId="63" xfId="41" applyFont="1" applyBorder="1" applyAlignment="1">
      <alignment vertical="center"/>
    </xf>
    <xf numFmtId="4" fontId="101" fillId="0" borderId="63" xfId="42" applyNumberFormat="1" applyFont="1" applyFill="1" applyBorder="1" applyAlignment="1">
      <alignment vertical="center"/>
    </xf>
    <xf numFmtId="0" fontId="101" fillId="0" borderId="65" xfId="41" applyFont="1" applyBorder="1" applyAlignment="1">
      <alignment vertical="center"/>
    </xf>
    <xf numFmtId="10" fontId="101" fillId="0" borderId="65" xfId="42" applyNumberFormat="1" applyFont="1" applyFill="1" applyBorder="1" applyAlignment="1">
      <alignment vertical="center"/>
    </xf>
    <xf numFmtId="0" fontId="101" fillId="0" borderId="60" xfId="41" applyFont="1" applyBorder="1" applyAlignment="1">
      <alignment vertical="center"/>
    </xf>
    <xf numFmtId="0" fontId="102" fillId="0" borderId="62" xfId="41" applyFont="1" applyBorder="1" applyAlignment="1">
      <alignment vertical="center"/>
    </xf>
    <xf numFmtId="9" fontId="101" fillId="0" borderId="62" xfId="42" applyFont="1" applyFill="1" applyBorder="1" applyAlignment="1">
      <alignment vertical="center"/>
    </xf>
    <xf numFmtId="10" fontId="101" fillId="0" borderId="63" xfId="42" applyNumberFormat="1" applyFont="1" applyFill="1" applyBorder="1" applyAlignment="1">
      <alignment vertical="center"/>
    </xf>
    <xf numFmtId="0" fontId="101" fillId="0" borderId="33" xfId="41" applyFont="1" applyBorder="1" applyAlignment="1">
      <alignment vertical="center"/>
    </xf>
    <xf numFmtId="170" fontId="101" fillId="0" borderId="12" xfId="21" applyNumberFormat="1" applyFont="1" applyFill="1" applyBorder="1" applyAlignment="1">
      <alignment vertical="center"/>
    </xf>
    <xf numFmtId="170" fontId="101" fillId="0" borderId="6" xfId="21" applyNumberFormat="1" applyFont="1" applyFill="1" applyBorder="1" applyAlignment="1">
      <alignment vertical="center"/>
    </xf>
    <xf numFmtId="0" fontId="101" fillId="0" borderId="35" xfId="41" applyFont="1" applyBorder="1" applyAlignment="1">
      <alignment vertical="center"/>
    </xf>
    <xf numFmtId="170" fontId="101" fillId="0" borderId="7" xfId="21" applyNumberFormat="1" applyFont="1" applyFill="1" applyBorder="1" applyAlignment="1">
      <alignment vertical="center"/>
    </xf>
    <xf numFmtId="170" fontId="101" fillId="0" borderId="80" xfId="21" applyNumberFormat="1" applyFont="1" applyFill="1" applyBorder="1" applyAlignment="1">
      <alignment vertical="center"/>
    </xf>
    <xf numFmtId="0" fontId="101" fillId="0" borderId="29" xfId="41" applyFont="1" applyBorder="1" applyAlignment="1">
      <alignment vertical="center"/>
    </xf>
    <xf numFmtId="0" fontId="101" fillId="0" borderId="30" xfId="41" applyFont="1" applyBorder="1" applyAlignment="1">
      <alignment vertical="center"/>
    </xf>
    <xf numFmtId="0" fontId="101" fillId="0" borderId="32" xfId="41" applyFont="1" applyBorder="1" applyAlignment="1">
      <alignment vertical="center"/>
    </xf>
    <xf numFmtId="0" fontId="101" fillId="0" borderId="53" xfId="41" applyFont="1" applyBorder="1" applyAlignment="1">
      <alignment vertical="center"/>
    </xf>
    <xf numFmtId="170" fontId="101" fillId="0" borderId="53" xfId="41" applyNumberFormat="1" applyFont="1" applyBorder="1" applyAlignment="1">
      <alignment vertical="center"/>
    </xf>
    <xf numFmtId="170" fontId="101" fillId="3" borderId="62" xfId="41" applyNumberFormat="1" applyFont="1" applyFill="1" applyBorder="1" applyAlignment="1">
      <alignment vertical="center"/>
    </xf>
    <xf numFmtId="172" fontId="60" fillId="0" borderId="5" xfId="20" applyNumberFormat="1" applyFont="1" applyFill="1" applyBorder="1"/>
    <xf numFmtId="170" fontId="60" fillId="0" borderId="10" xfId="20" applyNumberFormat="1" applyFont="1" applyFill="1" applyBorder="1"/>
    <xf numFmtId="170" fontId="60" fillId="0" borderId="13" xfId="20" applyNumberFormat="1" applyFont="1" applyFill="1" applyBorder="1"/>
    <xf numFmtId="168" fontId="61" fillId="0" borderId="0" xfId="19" applyNumberFormat="1" applyFont="1"/>
    <xf numFmtId="167" fontId="60" fillId="0" borderId="0" xfId="7" applyNumberFormat="1" applyFont="1" applyFill="1"/>
    <xf numFmtId="43" fontId="0" fillId="0" borderId="7" xfId="0" applyNumberFormat="1" applyBorder="1"/>
    <xf numFmtId="43" fontId="6" fillId="0" borderId="7" xfId="0" applyNumberFormat="1" applyFont="1" applyBorder="1"/>
    <xf numFmtId="167" fontId="59" fillId="0" borderId="13" xfId="7" applyNumberFormat="1" applyFont="1" applyBorder="1" applyAlignment="1">
      <alignment horizontal="right"/>
    </xf>
    <xf numFmtId="167" fontId="59" fillId="0" borderId="15" xfId="20" applyNumberFormat="1" applyFont="1" applyBorder="1" applyAlignment="1">
      <alignment horizontal="right"/>
    </xf>
    <xf numFmtId="0" fontId="104" fillId="0" borderId="48" xfId="0" applyFont="1" applyBorder="1" applyAlignment="1">
      <alignment vertical="center" wrapText="1"/>
    </xf>
    <xf numFmtId="0" fontId="104" fillId="0" borderId="48" xfId="0" applyFont="1" applyBorder="1" applyAlignment="1">
      <alignment horizontal="center" vertical="center" wrapText="1"/>
    </xf>
    <xf numFmtId="0" fontId="104" fillId="0" borderId="0" xfId="0" applyFont="1" applyAlignment="1">
      <alignment vertical="center" wrapText="1"/>
    </xf>
    <xf numFmtId="37" fontId="104" fillId="0" borderId="0" xfId="0" applyNumberFormat="1" applyFont="1" applyAlignment="1">
      <alignment horizontal="right" vertical="center" wrapText="1"/>
    </xf>
    <xf numFmtId="0" fontId="104" fillId="0" borderId="0" xfId="0" applyFont="1" applyAlignment="1">
      <alignment horizontal="right" vertical="center" wrapText="1"/>
    </xf>
    <xf numFmtId="0" fontId="105" fillId="0" borderId="0" xfId="0" applyFont="1" applyAlignment="1">
      <alignment vertical="center" wrapText="1"/>
    </xf>
    <xf numFmtId="0" fontId="105" fillId="0" borderId="0" xfId="0" applyFont="1" applyAlignment="1">
      <alignment horizontal="right" vertical="center" wrapText="1"/>
    </xf>
    <xf numFmtId="0" fontId="104" fillId="0" borderId="0" xfId="0" applyFont="1"/>
    <xf numFmtId="37" fontId="105" fillId="0" borderId="0" xfId="0" applyNumberFormat="1" applyFont="1" applyAlignment="1">
      <alignment horizontal="right" vertical="center" wrapText="1"/>
    </xf>
    <xf numFmtId="167" fontId="104" fillId="0" borderId="0" xfId="1" applyNumberFormat="1" applyFont="1" applyAlignment="1">
      <alignment horizontal="right" vertical="center" wrapText="1"/>
    </xf>
    <xf numFmtId="167" fontId="105" fillId="0" borderId="0" xfId="1" applyNumberFormat="1" applyFont="1" applyAlignment="1">
      <alignment horizontal="right" vertical="center" wrapText="1"/>
    </xf>
    <xf numFmtId="0" fontId="14" fillId="0" borderId="0" xfId="4" applyNumberFormat="1" applyFont="1" applyAlignment="1">
      <alignment horizontal="left" vertical="top" wrapText="1"/>
    </xf>
    <xf numFmtId="0" fontId="15" fillId="0" borderId="0" xfId="0" applyFont="1" applyAlignment="1">
      <alignment horizontal="left" vertical="top" wrapText="1"/>
    </xf>
    <xf numFmtId="169" fontId="15" fillId="0" borderId="0" xfId="6" applyNumberFormat="1" applyFont="1" applyFill="1" applyBorder="1" applyAlignment="1">
      <alignment horizontal="center"/>
    </xf>
    <xf numFmtId="1" fontId="15" fillId="0" borderId="0" xfId="4" applyNumberFormat="1" applyFont="1" applyAlignment="1">
      <alignment horizontal="left" wrapText="1"/>
    </xf>
    <xf numFmtId="0" fontId="14" fillId="0" borderId="0" xfId="0" applyFont="1" applyAlignment="1">
      <alignment horizontal="left" vertical="top" wrapText="1"/>
    </xf>
    <xf numFmtId="168" fontId="15" fillId="0" borderId="2" xfId="4" applyNumberFormat="1" applyFont="1" applyBorder="1" applyAlignment="1">
      <alignment horizontal="center"/>
    </xf>
    <xf numFmtId="0" fontId="14" fillId="0" borderId="5" xfId="4" applyNumberFormat="1" applyFont="1" applyBorder="1" applyAlignment="1">
      <alignment horizontal="justify" vertical="top" wrapText="1"/>
    </xf>
    <xf numFmtId="0" fontId="14" fillId="0" borderId="0" xfId="4" applyNumberFormat="1" applyFont="1" applyAlignment="1">
      <alignment horizontal="justify" vertical="top" wrapText="1"/>
    </xf>
    <xf numFmtId="168" fontId="15" fillId="0" borderId="2" xfId="4" applyNumberFormat="1" applyFont="1" applyBorder="1" applyAlignment="1">
      <alignment horizontal="center" vertical="center"/>
    </xf>
    <xf numFmtId="2" fontId="14" fillId="0" borderId="0" xfId="6" applyNumberFormat="1" applyFont="1" applyFill="1" applyBorder="1" applyAlignment="1">
      <alignment horizontal="justify" vertical="top" wrapText="1"/>
    </xf>
    <xf numFmtId="0" fontId="14" fillId="0" borderId="5" xfId="4" applyNumberFormat="1" applyFont="1" applyBorder="1" applyAlignment="1">
      <alignment horizontal="left" wrapText="1"/>
    </xf>
    <xf numFmtId="0" fontId="14" fillId="0" borderId="0" xfId="4" applyNumberFormat="1" applyFont="1" applyAlignment="1">
      <alignment horizontal="left" wrapText="1"/>
    </xf>
    <xf numFmtId="2" fontId="15" fillId="0" borderId="0" xfId="6" applyNumberFormat="1" applyFont="1" applyFill="1" applyBorder="1" applyAlignment="1">
      <alignment horizontal="justify" vertical="top" wrapText="1"/>
    </xf>
    <xf numFmtId="9" fontId="15" fillId="0" borderId="0" xfId="6" applyFont="1" applyFill="1" applyBorder="1" applyAlignment="1">
      <alignment horizontal="left" vertical="top" wrapText="1"/>
    </xf>
    <xf numFmtId="9" fontId="15" fillId="0" borderId="2" xfId="6" applyFont="1" applyFill="1" applyBorder="1" applyAlignment="1">
      <alignment horizontal="center"/>
    </xf>
    <xf numFmtId="168" fontId="15" fillId="0" borderId="0" xfId="0" applyNumberFormat="1" applyFont="1" applyAlignment="1">
      <alignment horizontal="center"/>
    </xf>
    <xf numFmtId="9" fontId="14" fillId="0" borderId="89" xfId="6" applyFont="1" applyFill="1" applyBorder="1" applyAlignment="1"/>
    <xf numFmtId="1" fontId="14" fillId="0" borderId="89" xfId="4" applyNumberFormat="1" applyFont="1" applyBorder="1"/>
    <xf numFmtId="167" fontId="14" fillId="0" borderId="9" xfId="1" applyNumberFormat="1" applyFont="1" applyFill="1" applyBorder="1" applyAlignment="1"/>
    <xf numFmtId="167" fontId="15" fillId="0" borderId="10" xfId="1" applyNumberFormat="1" applyFont="1" applyFill="1" applyBorder="1" applyAlignment="1">
      <alignment horizontal="left"/>
    </xf>
    <xf numFmtId="170" fontId="14" fillId="0" borderId="19" xfId="1" applyNumberFormat="1" applyFont="1" applyFill="1" applyBorder="1" applyAlignment="1">
      <alignment horizontal="right"/>
    </xf>
    <xf numFmtId="167" fontId="14" fillId="0" borderId="19" xfId="1" applyNumberFormat="1" applyFont="1" applyFill="1" applyBorder="1" applyAlignment="1">
      <alignment horizontal="right"/>
    </xf>
    <xf numFmtId="168" fontId="14" fillId="0" borderId="89" xfId="4" applyNumberFormat="1" applyFont="1" applyBorder="1"/>
    <xf numFmtId="167" fontId="15" fillId="0" borderId="88" xfId="1" applyNumberFormat="1" applyFont="1" applyFill="1" applyBorder="1" applyAlignment="1">
      <alignment horizontal="center" vertical="center" wrapText="1"/>
    </xf>
    <xf numFmtId="167" fontId="14" fillId="0" borderId="88" xfId="1" applyNumberFormat="1" applyFont="1" applyFill="1" applyBorder="1" applyAlignment="1">
      <alignment horizontal="right"/>
    </xf>
    <xf numFmtId="43" fontId="14" fillId="0" borderId="13" xfId="1" applyFont="1" applyFill="1" applyBorder="1" applyAlignment="1">
      <alignment horizontal="right"/>
    </xf>
    <xf numFmtId="167" fontId="14" fillId="0" borderId="16" xfId="1" applyNumberFormat="1" applyFont="1" applyFill="1" applyBorder="1" applyAlignment="1">
      <alignment horizontal="left"/>
    </xf>
    <xf numFmtId="9" fontId="15" fillId="0" borderId="89" xfId="6" applyFont="1" applyFill="1" applyBorder="1" applyAlignment="1">
      <alignment horizontal="left"/>
    </xf>
    <xf numFmtId="1" fontId="15" fillId="0" borderId="89" xfId="4" applyNumberFormat="1" applyFont="1" applyBorder="1" applyAlignment="1">
      <alignment horizontal="center"/>
    </xf>
    <xf numFmtId="167" fontId="14" fillId="0" borderId="88" xfId="1" applyNumberFormat="1" applyFont="1" applyFill="1" applyBorder="1"/>
    <xf numFmtId="167" fontId="14" fillId="0" borderId="10" xfId="1" applyNumberFormat="1" applyFont="1" applyFill="1" applyBorder="1" applyAlignment="1">
      <alignment horizontal="center" vertical="center"/>
    </xf>
    <xf numFmtId="0" fontId="14" fillId="0" borderId="4" xfId="0" applyFont="1" applyBorder="1"/>
    <xf numFmtId="0" fontId="14" fillId="0" borderId="89" xfId="0" applyFont="1" applyBorder="1"/>
    <xf numFmtId="167" fontId="14" fillId="0" borderId="89" xfId="1" applyNumberFormat="1" applyFont="1" applyFill="1" applyBorder="1"/>
    <xf numFmtId="167" fontId="15" fillId="0" borderId="9" xfId="1" applyNumberFormat="1" applyFont="1" applyFill="1" applyBorder="1"/>
    <xf numFmtId="167" fontId="15" fillId="0" borderId="88" xfId="1" applyNumberFormat="1" applyFont="1" applyFill="1" applyBorder="1" applyAlignment="1">
      <alignment horizontal="right"/>
    </xf>
    <xf numFmtId="167" fontId="14" fillId="0" borderId="20" xfId="1" applyNumberFormat="1" applyFont="1" applyFill="1" applyBorder="1" applyAlignment="1">
      <alignment horizontal="right"/>
    </xf>
    <xf numFmtId="171" fontId="15" fillId="0" borderId="10" xfId="1" applyNumberFormat="1" applyFont="1" applyFill="1" applyBorder="1" applyAlignment="1">
      <alignment horizontal="center" vertical="center" wrapText="1"/>
    </xf>
    <xf numFmtId="1" fontId="15" fillId="0" borderId="10" xfId="4" applyNumberFormat="1" applyFont="1" applyBorder="1" applyAlignment="1">
      <alignment horizontal="center"/>
    </xf>
    <xf numFmtId="1" fontId="14" fillId="0" borderId="10" xfId="4" applyNumberFormat="1" applyFont="1" applyBorder="1"/>
    <xf numFmtId="170" fontId="15" fillId="0" borderId="9" xfId="1" applyNumberFormat="1" applyFont="1" applyFill="1" applyBorder="1" applyAlignment="1">
      <alignment horizontal="right"/>
    </xf>
    <xf numFmtId="170" fontId="14" fillId="0" borderId="10" xfId="1" applyNumberFormat="1" applyFont="1" applyFill="1" applyBorder="1" applyAlignment="1"/>
    <xf numFmtId="167" fontId="15" fillId="0" borderId="9" xfId="1" applyNumberFormat="1" applyFont="1" applyFill="1" applyBorder="1" applyAlignment="1">
      <alignment horizontal="right"/>
    </xf>
    <xf numFmtId="167" fontId="15" fillId="0" borderId="88" xfId="1" applyNumberFormat="1" applyFont="1" applyFill="1" applyBorder="1" applyAlignment="1">
      <alignment horizontal="center"/>
    </xf>
    <xf numFmtId="167" fontId="14" fillId="0" borderId="88" xfId="1" applyNumberFormat="1" applyFont="1" applyFill="1" applyBorder="1" applyAlignment="1">
      <alignment horizontal="left" vertical="top" wrapText="1"/>
    </xf>
    <xf numFmtId="167" fontId="14" fillId="0" borderId="88" xfId="1" applyNumberFormat="1" applyFont="1" applyFill="1" applyBorder="1" applyAlignment="1">
      <alignment vertical="top" wrapText="1"/>
    </xf>
    <xf numFmtId="1" fontId="15" fillId="0" borderId="89" xfId="4" applyNumberFormat="1" applyFont="1" applyBorder="1"/>
    <xf numFmtId="168" fontId="15" fillId="0" borderId="89" xfId="4" applyNumberFormat="1" applyFont="1" applyBorder="1" applyAlignment="1">
      <alignment wrapText="1"/>
    </xf>
    <xf numFmtId="167" fontId="14" fillId="0" borderId="16" xfId="1" applyNumberFormat="1" applyFont="1" applyFill="1" applyBorder="1" applyAlignment="1">
      <alignment horizontal="right"/>
    </xf>
    <xf numFmtId="167" fontId="15" fillId="0" borderId="16" xfId="1" applyNumberFormat="1" applyFont="1" applyFill="1" applyBorder="1" applyAlignment="1">
      <alignment horizontal="right"/>
    </xf>
    <xf numFmtId="0" fontId="14" fillId="0" borderId="0" xfId="0" applyFont="1" applyAlignment="1">
      <alignment horizontal="justify" vertical="top"/>
    </xf>
    <xf numFmtId="167" fontId="14" fillId="0" borderId="10" xfId="1" applyNumberFormat="1" applyFont="1" applyFill="1" applyBorder="1" applyAlignment="1">
      <alignment horizontal="justify" vertical="top"/>
    </xf>
    <xf numFmtId="167" fontId="15" fillId="0" borderId="88" xfId="1" applyNumberFormat="1" applyFont="1" applyFill="1" applyBorder="1"/>
    <xf numFmtId="167" fontId="14" fillId="0" borderId="10" xfId="1" applyNumberFormat="1" applyFont="1" applyFill="1" applyBorder="1" applyAlignment="1">
      <alignment vertical="center" wrapText="1"/>
    </xf>
    <xf numFmtId="0" fontId="14" fillId="0" borderId="0" xfId="0" applyFont="1" applyAlignment="1">
      <alignment vertical="center"/>
    </xf>
    <xf numFmtId="0" fontId="14" fillId="0" borderId="0" xfId="0" applyFont="1" applyAlignment="1">
      <alignment vertical="top"/>
    </xf>
    <xf numFmtId="167" fontId="14" fillId="0" borderId="5" xfId="1" applyNumberFormat="1" applyFont="1" applyFill="1" applyBorder="1" applyAlignment="1">
      <alignment horizontal="right" vertical="top" wrapText="1"/>
    </xf>
    <xf numFmtId="166" fontId="14" fillId="0" borderId="0" xfId="1" applyNumberFormat="1" applyFont="1" applyFill="1" applyBorder="1" applyAlignment="1">
      <alignment horizontal="center"/>
    </xf>
    <xf numFmtId="167" fontId="14" fillId="0" borderId="13" xfId="1" quotePrefix="1" applyNumberFormat="1" applyFont="1" applyFill="1" applyBorder="1" applyAlignment="1">
      <alignment horizontal="right"/>
    </xf>
    <xf numFmtId="167" fontId="14" fillId="0" borderId="0" xfId="1" quotePrefix="1" applyNumberFormat="1" applyFont="1" applyFill="1" applyBorder="1" applyAlignment="1">
      <alignment horizontal="right"/>
    </xf>
    <xf numFmtId="9" fontId="14" fillId="0" borderId="0" xfId="5" applyFont="1" applyFill="1" applyBorder="1" applyAlignment="1">
      <alignment horizontal="right"/>
    </xf>
    <xf numFmtId="1" fontId="14" fillId="0" borderId="9" xfId="4" applyNumberFormat="1" applyFont="1" applyBorder="1"/>
    <xf numFmtId="9" fontId="15" fillId="0" borderId="5" xfId="5" applyFont="1" applyFill="1" applyBorder="1" applyAlignment="1"/>
    <xf numFmtId="9" fontId="14" fillId="0" borderId="5" xfId="5" applyFont="1" applyFill="1" applyBorder="1" applyAlignment="1"/>
    <xf numFmtId="9" fontId="14" fillId="0" borderId="6" xfId="5" applyFont="1" applyFill="1" applyBorder="1" applyAlignment="1"/>
    <xf numFmtId="9" fontId="16" fillId="0" borderId="4" xfId="5" applyFont="1" applyFill="1" applyBorder="1" applyAlignment="1"/>
    <xf numFmtId="0" fontId="15" fillId="0" borderId="5" xfId="4" applyNumberFormat="1" applyFont="1" applyBorder="1"/>
    <xf numFmtId="0" fontId="15" fillId="0" borderId="0" xfId="0" applyFont="1" applyAlignment="1">
      <alignment horizontal="right"/>
    </xf>
    <xf numFmtId="0" fontId="15" fillId="0" borderId="10" xfId="0" applyFont="1" applyBorder="1" applyAlignment="1">
      <alignment horizontal="right"/>
    </xf>
    <xf numFmtId="9" fontId="14" fillId="0" borderId="0" xfId="6" applyFont="1" applyFill="1" applyBorder="1" applyAlignment="1">
      <alignment horizontal="right"/>
    </xf>
    <xf numFmtId="167" fontId="14" fillId="0" borderId="0" xfId="1" applyNumberFormat="1" applyFont="1" applyFill="1" applyBorder="1" applyAlignment="1">
      <alignment horizontal="right" vertical="center"/>
    </xf>
    <xf numFmtId="0" fontId="14" fillId="0" borderId="89" xfId="0" applyFont="1" applyBorder="1" applyAlignment="1">
      <alignment horizontal="center" vertical="center" wrapText="1"/>
    </xf>
    <xf numFmtId="167" fontId="14" fillId="0" borderId="9" xfId="1" applyNumberFormat="1" applyFont="1" applyFill="1" applyBorder="1" applyAlignment="1">
      <alignment horizontal="center" vertical="center" wrapText="1"/>
    </xf>
    <xf numFmtId="0" fontId="14" fillId="2" borderId="0" xfId="0" applyFont="1" applyFill="1" applyAlignment="1">
      <alignment horizontal="left" vertical="top" wrapText="1"/>
    </xf>
    <xf numFmtId="167" fontId="15" fillId="2" borderId="0" xfId="1" applyNumberFormat="1" applyFont="1" applyFill="1" applyBorder="1" applyAlignment="1">
      <alignment vertical="top" wrapText="1"/>
    </xf>
    <xf numFmtId="166" fontId="15" fillId="2" borderId="0" xfId="1" applyNumberFormat="1" applyFont="1" applyFill="1" applyBorder="1" applyAlignment="1">
      <alignment vertical="top" wrapText="1"/>
    </xf>
    <xf numFmtId="167" fontId="14" fillId="0" borderId="12" xfId="1" applyNumberFormat="1" applyFont="1" applyFill="1" applyBorder="1" applyAlignment="1">
      <alignment horizontal="left" wrapText="1"/>
    </xf>
    <xf numFmtId="43" fontId="5" fillId="0" borderId="0" xfId="1"/>
    <xf numFmtId="0" fontId="6" fillId="0" borderId="7" xfId="10" applyFont="1" applyBorder="1" applyAlignment="1">
      <alignment horizontal="center" vertical="center" wrapText="1"/>
    </xf>
    <xf numFmtId="14" fontId="6" fillId="0" borderId="7" xfId="10" applyNumberFormat="1" applyFont="1" applyBorder="1" applyAlignment="1">
      <alignment horizontal="center" vertical="center" wrapText="1"/>
    </xf>
    <xf numFmtId="1" fontId="5" fillId="0" borderId="13" xfId="10" applyNumberFormat="1" applyBorder="1" applyAlignment="1">
      <alignment horizontal="left"/>
    </xf>
    <xf numFmtId="14" fontId="0" fillId="0" borderId="10" xfId="10" applyNumberFormat="1" applyFont="1" applyBorder="1" applyAlignment="1">
      <alignment horizontal="left"/>
    </xf>
    <xf numFmtId="170" fontId="106" fillId="0" borderId="10" xfId="43" applyFont="1" applyFill="1" applyBorder="1"/>
    <xf numFmtId="10" fontId="0" fillId="0" borderId="10" xfId="43" applyNumberFormat="1" applyFont="1" applyFill="1" applyBorder="1"/>
    <xf numFmtId="172" fontId="0" fillId="0" borderId="10" xfId="43" applyNumberFormat="1" applyFont="1" applyFill="1" applyBorder="1"/>
    <xf numFmtId="170" fontId="0" fillId="0" borderId="7" xfId="43" applyFont="1" applyFill="1" applyBorder="1"/>
    <xf numFmtId="0" fontId="0" fillId="0" borderId="10" xfId="10" applyFont="1" applyBorder="1"/>
    <xf numFmtId="170" fontId="0" fillId="0" borderId="88" xfId="43" applyFont="1" applyFill="1" applyBorder="1"/>
    <xf numFmtId="14" fontId="5" fillId="0" borderId="10" xfId="10" applyNumberFormat="1" applyBorder="1" applyAlignment="1">
      <alignment horizontal="left"/>
    </xf>
    <xf numFmtId="170" fontId="0" fillId="0" borderId="10" xfId="43" applyFont="1" applyFill="1" applyBorder="1"/>
    <xf numFmtId="0" fontId="5" fillId="0" borderId="10" xfId="10" applyBorder="1"/>
    <xf numFmtId="1" fontId="5" fillId="0" borderId="88" xfId="10" applyNumberFormat="1" applyBorder="1" applyAlignment="1">
      <alignment horizontal="left"/>
    </xf>
    <xf numFmtId="14" fontId="5" fillId="0" borderId="9" xfId="10" applyNumberFormat="1" applyBorder="1" applyAlignment="1">
      <alignment horizontal="left"/>
    </xf>
    <xf numFmtId="170" fontId="0" fillId="0" borderId="9" xfId="43" applyFont="1" applyFill="1" applyBorder="1"/>
    <xf numFmtId="172" fontId="0" fillId="0" borderId="9" xfId="43" applyNumberFormat="1" applyFont="1" applyFill="1" applyBorder="1"/>
    <xf numFmtId="0" fontId="5" fillId="0" borderId="9" xfId="10" applyBorder="1"/>
    <xf numFmtId="1" fontId="6" fillId="0" borderId="7" xfId="10" applyNumberFormat="1" applyFont="1" applyBorder="1" applyAlignment="1">
      <alignment horizontal="left"/>
    </xf>
    <xf numFmtId="14" fontId="6" fillId="0" borderId="7" xfId="10" applyNumberFormat="1" applyFont="1" applyBorder="1" applyAlignment="1">
      <alignment horizontal="left"/>
    </xf>
    <xf numFmtId="170" fontId="6" fillId="0" borderId="7" xfId="43" applyFont="1" applyFill="1" applyBorder="1"/>
    <xf numFmtId="172" fontId="6" fillId="0" borderId="7" xfId="43" applyNumberFormat="1" applyFont="1" applyFill="1" applyBorder="1"/>
    <xf numFmtId="2" fontId="5" fillId="0" borderId="0" xfId="10" applyNumberFormat="1"/>
    <xf numFmtId="1" fontId="5" fillId="0" borderId="0" xfId="10" applyNumberFormat="1" applyAlignment="1">
      <alignment horizontal="left"/>
    </xf>
    <xf numFmtId="14" fontId="5" fillId="0" borderId="0" xfId="10" applyNumberFormat="1"/>
    <xf numFmtId="1" fontId="5" fillId="2" borderId="13" xfId="10" applyNumberFormat="1" applyFill="1" applyBorder="1" applyAlignment="1">
      <alignment horizontal="left"/>
    </xf>
    <xf numFmtId="14" fontId="5" fillId="2" borderId="10" xfId="10" applyNumberFormat="1" applyFill="1" applyBorder="1" applyAlignment="1">
      <alignment horizontal="left"/>
    </xf>
    <xf numFmtId="170" fontId="106" fillId="2" borderId="10" xfId="43" applyFont="1" applyFill="1" applyBorder="1"/>
    <xf numFmtId="10" fontId="0" fillId="2" borderId="10" xfId="43" applyNumberFormat="1" applyFont="1" applyFill="1" applyBorder="1"/>
    <xf numFmtId="172" fontId="0" fillId="2" borderId="10" xfId="43" applyNumberFormat="1" applyFont="1" applyFill="1" applyBorder="1"/>
    <xf numFmtId="170" fontId="0" fillId="2" borderId="12" xfId="43" applyFont="1" applyFill="1" applyBorder="1"/>
    <xf numFmtId="170" fontId="0" fillId="2" borderId="10" xfId="43" applyFont="1" applyFill="1" applyBorder="1"/>
    <xf numFmtId="0" fontId="5" fillId="2" borderId="10" xfId="10" applyFill="1" applyBorder="1"/>
    <xf numFmtId="14" fontId="0" fillId="0" borderId="7" xfId="0" applyNumberFormat="1" applyBorder="1" applyAlignment="1">
      <alignment shrinkToFit="1"/>
    </xf>
    <xf numFmtId="0" fontId="0" fillId="0" borderId="7" xfId="0" applyBorder="1" applyAlignment="1">
      <alignment shrinkToFit="1"/>
    </xf>
    <xf numFmtId="43" fontId="0" fillId="0" borderId="7" xfId="1" applyFont="1" applyFill="1" applyBorder="1" applyAlignment="1">
      <alignment shrinkToFit="1"/>
    </xf>
    <xf numFmtId="43" fontId="0" fillId="0" borderId="7" xfId="1" applyFont="1" applyBorder="1" applyAlignment="1">
      <alignment shrinkToFit="1"/>
    </xf>
    <xf numFmtId="0" fontId="6" fillId="0" borderId="7" xfId="0" applyFont="1" applyBorder="1" applyAlignment="1">
      <alignment horizontal="right"/>
    </xf>
    <xf numFmtId="43" fontId="6" fillId="0" borderId="7" xfId="1" applyFont="1" applyBorder="1" applyAlignment="1">
      <alignment horizontal="right"/>
    </xf>
    <xf numFmtId="0" fontId="0" fillId="0" borderId="0" xfId="0" applyAlignment="1">
      <alignment vertical="center" wrapText="1"/>
    </xf>
    <xf numFmtId="0" fontId="6" fillId="0" borderId="7" xfId="0" applyFont="1" applyBorder="1" applyAlignment="1">
      <alignment horizontal="center" vertical="center" wrapText="1"/>
    </xf>
    <xf numFmtId="43" fontId="6" fillId="0" borderId="7" xfId="1" applyFont="1" applyBorder="1" applyAlignment="1">
      <alignment horizontal="center" vertical="center" wrapText="1"/>
    </xf>
    <xf numFmtId="43" fontId="6" fillId="0" borderId="7" xfId="1" applyFont="1" applyBorder="1" applyAlignment="1">
      <alignment vertical="center" wrapText="1"/>
    </xf>
    <xf numFmtId="0" fontId="6" fillId="0" borderId="7" xfId="0" applyFont="1" applyBorder="1" applyAlignment="1">
      <alignment vertical="center" wrapText="1"/>
    </xf>
    <xf numFmtId="0" fontId="108" fillId="0" borderId="9" xfId="31" applyFont="1" applyBorder="1" applyAlignment="1">
      <alignment horizontal="center"/>
    </xf>
    <xf numFmtId="0" fontId="108" fillId="0" borderId="88" xfId="31" applyFont="1" applyBorder="1" applyAlignment="1">
      <alignment horizontal="center"/>
    </xf>
    <xf numFmtId="0" fontId="108" fillId="0" borderId="4" xfId="31" applyFont="1" applyBorder="1" applyAlignment="1">
      <alignment horizontal="center"/>
    </xf>
    <xf numFmtId="0" fontId="108" fillId="0" borderId="10" xfId="31" applyFont="1" applyBorder="1" applyAlignment="1">
      <alignment horizontal="center"/>
    </xf>
    <xf numFmtId="0" fontId="108" fillId="0" borderId="13" xfId="31" applyFont="1" applyBorder="1" applyAlignment="1">
      <alignment horizontal="center"/>
    </xf>
    <xf numFmtId="0" fontId="108" fillId="0" borderId="5" xfId="31" applyFont="1" applyBorder="1" applyAlignment="1">
      <alignment horizontal="center"/>
    </xf>
    <xf numFmtId="0" fontId="109" fillId="0" borderId="92" xfId="31" applyFont="1" applyBorder="1"/>
    <xf numFmtId="0" fontId="109" fillId="0" borderId="91" xfId="31" applyFont="1" applyBorder="1"/>
    <xf numFmtId="0" fontId="108" fillId="0" borderId="91" xfId="31" applyFont="1" applyBorder="1" applyAlignment="1">
      <alignment horizontal="center"/>
    </xf>
    <xf numFmtId="0" fontId="108" fillId="0" borderId="15" xfId="31" applyFont="1" applyBorder="1" applyAlignment="1">
      <alignment horizontal="center"/>
    </xf>
    <xf numFmtId="14" fontId="12" fillId="0" borderId="0" xfId="31" applyNumberFormat="1"/>
    <xf numFmtId="0" fontId="109" fillId="0" borderId="10" xfId="31" applyFont="1" applyBorder="1"/>
    <xf numFmtId="0" fontId="109" fillId="0" borderId="13" xfId="31" applyFont="1" applyBorder="1"/>
    <xf numFmtId="0" fontId="12" fillId="0" borderId="13" xfId="31" quotePrefix="1" applyBorder="1" applyAlignment="1">
      <alignment horizontal="center"/>
    </xf>
    <xf numFmtId="170" fontId="109" fillId="0" borderId="13" xfId="44" applyNumberFormat="1" applyFont="1" applyBorder="1"/>
    <xf numFmtId="0" fontId="109" fillId="0" borderId="13" xfId="31" quotePrefix="1" applyFont="1" applyBorder="1" applyAlignment="1">
      <alignment horizontal="center"/>
    </xf>
    <xf numFmtId="0" fontId="109" fillId="0" borderId="13" xfId="31" applyFont="1" applyBorder="1" applyAlignment="1">
      <alignment horizontal="center"/>
    </xf>
    <xf numFmtId="14" fontId="109" fillId="0" borderId="13" xfId="31" quotePrefix="1" applyNumberFormat="1" applyFont="1" applyBorder="1" applyAlignment="1">
      <alignment horizontal="center"/>
    </xf>
    <xf numFmtId="170" fontId="109" fillId="0" borderId="13" xfId="21" applyNumberFormat="1" applyFont="1" applyBorder="1"/>
    <xf numFmtId="0" fontId="109" fillId="0" borderId="13" xfId="45" applyFont="1" applyBorder="1"/>
    <xf numFmtId="0" fontId="110" fillId="0" borderId="13" xfId="45" applyFont="1" applyBorder="1"/>
    <xf numFmtId="172" fontId="109" fillId="0" borderId="13" xfId="44" applyFont="1" applyBorder="1"/>
    <xf numFmtId="0" fontId="110" fillId="0" borderId="13" xfId="31" applyFont="1" applyBorder="1"/>
    <xf numFmtId="3" fontId="109" fillId="0" borderId="13" xfId="31" applyNumberFormat="1" applyFont="1" applyBorder="1"/>
    <xf numFmtId="170" fontId="109" fillId="0" borderId="13" xfId="31" applyNumberFormat="1" applyFont="1" applyBorder="1"/>
    <xf numFmtId="0" fontId="109" fillId="3" borderId="10" xfId="31" applyFont="1" applyFill="1" applyBorder="1"/>
    <xf numFmtId="0" fontId="109" fillId="3" borderId="13" xfId="31" applyFont="1" applyFill="1" applyBorder="1" applyAlignment="1">
      <alignment horizontal="left"/>
    </xf>
    <xf numFmtId="0" fontId="110" fillId="3" borderId="13" xfId="31" applyFont="1" applyFill="1" applyBorder="1"/>
    <xf numFmtId="0" fontId="109" fillId="3" borderId="13" xfId="31" applyFont="1" applyFill="1" applyBorder="1"/>
    <xf numFmtId="170" fontId="109" fillId="3" borderId="13" xfId="21" applyNumberFormat="1" applyFont="1" applyFill="1" applyBorder="1"/>
    <xf numFmtId="0" fontId="109" fillId="3" borderId="13" xfId="31" quotePrefix="1" applyFont="1" applyFill="1" applyBorder="1" applyAlignment="1">
      <alignment horizontal="center"/>
    </xf>
    <xf numFmtId="0" fontId="12" fillId="3" borderId="0" xfId="31" applyFill="1"/>
    <xf numFmtId="0" fontId="109" fillId="0" borderId="13" xfId="31" applyFont="1" applyBorder="1" applyAlignment="1">
      <alignment horizontal="left"/>
    </xf>
    <xf numFmtId="0" fontId="109" fillId="0" borderId="10" xfId="45" applyFont="1" applyBorder="1"/>
    <xf numFmtId="0" fontId="109" fillId="0" borderId="14" xfId="31" applyFont="1" applyBorder="1"/>
    <xf numFmtId="0" fontId="109" fillId="0" borderId="15" xfId="31" applyFont="1" applyBorder="1"/>
    <xf numFmtId="0" fontId="108" fillId="0" borderId="15" xfId="31" applyFont="1" applyBorder="1"/>
    <xf numFmtId="0" fontId="109" fillId="0" borderId="15" xfId="31" applyFont="1" applyBorder="1" applyAlignment="1">
      <alignment horizontal="center"/>
    </xf>
    <xf numFmtId="0" fontId="109" fillId="0" borderId="93" xfId="31" applyFont="1" applyBorder="1"/>
    <xf numFmtId="0" fontId="109" fillId="0" borderId="20" xfId="31" applyFont="1" applyBorder="1"/>
    <xf numFmtId="0" fontId="109" fillId="0" borderId="0" xfId="31" applyFont="1"/>
    <xf numFmtId="0" fontId="109" fillId="0" borderId="94" xfId="31" applyFont="1" applyBorder="1"/>
    <xf numFmtId="0" fontId="109" fillId="0" borderId="0" xfId="31" applyFont="1" applyAlignment="1">
      <alignment horizontal="right"/>
    </xf>
    <xf numFmtId="0" fontId="108" fillId="0" borderId="0" xfId="31" applyFont="1"/>
    <xf numFmtId="0" fontId="113" fillId="0" borderId="0" xfId="31" applyFont="1"/>
    <xf numFmtId="0" fontId="110" fillId="0" borderId="0" xfId="31" applyFont="1"/>
    <xf numFmtId="0" fontId="108" fillId="0" borderId="8" xfId="31" applyFont="1" applyBorder="1"/>
    <xf numFmtId="0" fontId="109" fillId="0" borderId="95" xfId="31" applyFont="1" applyBorder="1"/>
    <xf numFmtId="43" fontId="14" fillId="0" borderId="13" xfId="1" applyFont="1" applyFill="1" applyBorder="1" applyAlignment="1">
      <alignment horizontal="center"/>
    </xf>
    <xf numFmtId="43" fontId="14" fillId="0" borderId="12" xfId="1" applyFont="1" applyFill="1" applyBorder="1" applyAlignment="1">
      <alignment horizontal="center"/>
    </xf>
    <xf numFmtId="167" fontId="14" fillId="0" borderId="10" xfId="4" applyFont="1" applyBorder="1"/>
    <xf numFmtId="173" fontId="14" fillId="0" borderId="13" xfId="4" applyNumberFormat="1" applyFont="1" applyBorder="1"/>
    <xf numFmtId="167" fontId="14" fillId="0" borderId="16" xfId="1" applyNumberFormat="1" applyFont="1" applyFill="1" applyBorder="1"/>
    <xf numFmtId="167" fontId="14" fillId="3" borderId="13" xfId="1" applyNumberFormat="1" applyFont="1" applyFill="1" applyBorder="1" applyAlignment="1">
      <alignment horizontal="right"/>
    </xf>
    <xf numFmtId="190" fontId="0" fillId="0" borderId="0" xfId="0" applyNumberFormat="1"/>
    <xf numFmtId="167" fontId="14" fillId="0" borderId="5" xfId="1" applyNumberFormat="1" applyFont="1" applyFill="1" applyBorder="1" applyAlignment="1">
      <alignment horizontal="center"/>
    </xf>
    <xf numFmtId="9" fontId="14" fillId="0" borderId="13" xfId="5" applyFont="1" applyFill="1" applyBorder="1" applyAlignment="1">
      <alignment horizontal="right"/>
    </xf>
    <xf numFmtId="168" fontId="16" fillId="0" borderId="5" xfId="4" applyNumberFormat="1" applyFont="1" applyBorder="1"/>
    <xf numFmtId="168" fontId="19" fillId="0" borderId="5" xfId="4" applyNumberFormat="1" applyFont="1" applyBorder="1"/>
    <xf numFmtId="168" fontId="19" fillId="0" borderId="10" xfId="4" applyNumberFormat="1" applyFont="1" applyBorder="1"/>
    <xf numFmtId="166" fontId="15" fillId="0" borderId="4" xfId="1" applyNumberFormat="1" applyFont="1" applyFill="1" applyBorder="1" applyAlignment="1">
      <alignment vertical="top" wrapText="1"/>
    </xf>
    <xf numFmtId="166" fontId="15" fillId="0" borderId="6" xfId="1" applyNumberFormat="1" applyFont="1" applyFill="1" applyBorder="1" applyAlignment="1">
      <alignment vertical="top" wrapText="1"/>
    </xf>
    <xf numFmtId="14" fontId="15" fillId="0" borderId="12" xfId="1" applyNumberFormat="1" applyFont="1" applyFill="1" applyBorder="1" applyAlignment="1"/>
    <xf numFmtId="166" fontId="14" fillId="0" borderId="5" xfId="1" applyNumberFormat="1" applyFont="1" applyFill="1" applyBorder="1" applyAlignment="1">
      <alignment horizontal="right"/>
    </xf>
    <xf numFmtId="166" fontId="14" fillId="0" borderId="6" xfId="1" applyNumberFormat="1" applyFont="1" applyFill="1" applyBorder="1" applyAlignment="1">
      <alignment horizontal="right"/>
    </xf>
    <xf numFmtId="43" fontId="54" fillId="0" borderId="0" xfId="1" applyFont="1" applyFill="1" applyBorder="1" applyAlignment="1">
      <alignment horizontal="center"/>
    </xf>
    <xf numFmtId="0" fontId="14" fillId="0" borderId="5" xfId="0" applyFont="1" applyBorder="1" applyAlignment="1">
      <alignment horizontal="left" vertical="top" wrapText="1"/>
    </xf>
    <xf numFmtId="0" fontId="14" fillId="0" borderId="10" xfId="0" applyFont="1" applyBorder="1" applyAlignment="1">
      <alignment horizontal="left" vertical="top" wrapText="1"/>
    </xf>
    <xf numFmtId="0" fontId="14" fillId="0" borderId="5" xfId="4" applyNumberFormat="1" applyFont="1" applyBorder="1" applyAlignment="1">
      <alignment horizontal="left" vertical="top" wrapText="1"/>
    </xf>
    <xf numFmtId="0" fontId="14" fillId="0" borderId="10" xfId="4" applyNumberFormat="1" applyFont="1" applyBorder="1" applyAlignment="1">
      <alignment horizontal="left" vertical="top" wrapText="1"/>
    </xf>
    <xf numFmtId="168" fontId="15" fillId="0" borderId="4" xfId="4" applyNumberFormat="1" applyFont="1" applyBorder="1" applyAlignment="1">
      <alignment horizontal="center"/>
    </xf>
    <xf numFmtId="168" fontId="15" fillId="0" borderId="5" xfId="4" applyNumberFormat="1" applyFont="1" applyBorder="1" applyAlignment="1">
      <alignment horizontal="center"/>
    </xf>
    <xf numFmtId="0" fontId="14" fillId="2" borderId="19" xfId="4" applyNumberFormat="1" applyFont="1" applyFill="1" applyBorder="1" applyAlignment="1">
      <alignment horizontal="left" vertical="top"/>
    </xf>
    <xf numFmtId="9" fontId="15" fillId="0" borderId="5" xfId="6" applyFont="1" applyFill="1" applyBorder="1" applyAlignment="1">
      <alignment horizontal="left" wrapText="1"/>
    </xf>
    <xf numFmtId="9" fontId="15" fillId="0" borderId="0" xfId="6" applyFont="1" applyFill="1" applyBorder="1" applyAlignment="1">
      <alignment horizontal="left" wrapText="1"/>
    </xf>
    <xf numFmtId="9" fontId="15" fillId="0" borderId="10" xfId="6" applyFont="1" applyFill="1" applyBorder="1" applyAlignment="1">
      <alignment horizontal="left" wrapText="1"/>
    </xf>
    <xf numFmtId="168" fontId="15" fillId="0" borderId="89" xfId="4" applyNumberFormat="1" applyFont="1" applyBorder="1" applyAlignment="1">
      <alignment horizontal="center"/>
    </xf>
    <xf numFmtId="0" fontId="14" fillId="0" borderId="10" xfId="4" applyNumberFormat="1" applyFont="1" applyBorder="1" applyAlignment="1">
      <alignment horizontal="left" wrapText="1"/>
    </xf>
    <xf numFmtId="0" fontId="14" fillId="0" borderId="1" xfId="0" applyFont="1" applyBorder="1" applyAlignment="1">
      <alignment horizontal="left" wrapText="1"/>
    </xf>
    <xf numFmtId="9" fontId="19" fillId="0" borderId="5" xfId="6" applyFont="1" applyFill="1" applyBorder="1" applyAlignment="1">
      <alignment horizontal="left"/>
    </xf>
    <xf numFmtId="167" fontId="14" fillId="0" borderId="10" xfId="1" applyNumberFormat="1" applyFont="1" applyFill="1" applyBorder="1" applyAlignment="1">
      <alignment horizontal="center" vertical="center" wrapText="1"/>
    </xf>
    <xf numFmtId="1" fontId="15" fillId="0" borderId="10" xfId="4" applyNumberFormat="1" applyFont="1" applyBorder="1" applyAlignment="1">
      <alignment horizontal="left" wrapText="1"/>
    </xf>
    <xf numFmtId="167" fontId="14" fillId="0" borderId="10" xfId="1" applyNumberFormat="1" applyFont="1" applyFill="1" applyBorder="1" applyAlignment="1">
      <alignment horizontal="left"/>
    </xf>
    <xf numFmtId="167" fontId="14" fillId="0" borderId="88" xfId="1" applyNumberFormat="1" applyFont="1" applyFill="1" applyBorder="1" applyAlignment="1"/>
    <xf numFmtId="0" fontId="14" fillId="2" borderId="80" xfId="4" applyNumberFormat="1" applyFont="1" applyFill="1" applyBorder="1" applyAlignment="1">
      <alignment horizontal="left" vertical="top"/>
    </xf>
    <xf numFmtId="0" fontId="14" fillId="2" borderId="81" xfId="4" applyNumberFormat="1" applyFont="1" applyFill="1" applyBorder="1" applyAlignment="1">
      <alignment horizontal="left" vertical="top"/>
    </xf>
    <xf numFmtId="0" fontId="15" fillId="0" borderId="6" xfId="4" applyNumberFormat="1" applyFont="1" applyBorder="1" applyAlignment="1">
      <alignment horizontal="center" wrapText="1"/>
    </xf>
    <xf numFmtId="166" fontId="14" fillId="0" borderId="1" xfId="4" applyNumberFormat="1" applyFont="1" applyBorder="1" applyAlignment="1">
      <alignment horizontal="justify" vertical="top" wrapText="1"/>
    </xf>
    <xf numFmtId="167" fontId="15" fillId="0" borderId="89" xfId="1" applyNumberFormat="1" applyFont="1" applyFill="1" applyBorder="1" applyAlignment="1">
      <alignment horizontal="center"/>
    </xf>
    <xf numFmtId="167" fontId="15" fillId="0" borderId="9" xfId="1" applyNumberFormat="1" applyFont="1" applyFill="1" applyBorder="1" applyAlignment="1">
      <alignment horizontal="center"/>
    </xf>
    <xf numFmtId="0" fontId="14" fillId="0" borderId="5" xfId="0" applyFont="1" applyBorder="1" applyAlignment="1">
      <alignment horizontal="left" wrapText="1"/>
    </xf>
    <xf numFmtId="0" fontId="14" fillId="0" borderId="0" xfId="0" applyFont="1" applyAlignment="1">
      <alignment horizontal="left" wrapText="1"/>
    </xf>
    <xf numFmtId="0" fontId="15" fillId="0" borderId="5" xfId="0" applyFont="1" applyBorder="1" applyAlignment="1">
      <alignment horizontal="left"/>
    </xf>
    <xf numFmtId="0" fontId="14" fillId="0" borderId="6" xfId="0" applyFont="1" applyBorder="1" applyAlignment="1">
      <alignment horizontal="left"/>
    </xf>
    <xf numFmtId="167" fontId="15" fillId="0" borderId="13" xfId="1" applyNumberFormat="1" applyFont="1" applyFill="1" applyBorder="1" applyAlignment="1">
      <alignment vertical="center"/>
    </xf>
    <xf numFmtId="167" fontId="14" fillId="0" borderId="13" xfId="1" applyNumberFormat="1" applyFont="1" applyFill="1" applyBorder="1" applyAlignment="1">
      <alignment horizontal="right" vertical="center"/>
    </xf>
    <xf numFmtId="0" fontId="16" fillId="0" borderId="5" xfId="4" applyNumberFormat="1" applyFont="1" applyBorder="1" applyAlignment="1">
      <alignment horizontal="left"/>
    </xf>
    <xf numFmtId="0" fontId="15" fillId="0" borderId="5" xfId="4" applyNumberFormat="1" applyFont="1" applyBorder="1" applyAlignment="1">
      <alignment horizontal="left" wrapText="1"/>
    </xf>
    <xf numFmtId="0" fontId="15" fillId="0" borderId="0" xfId="4" applyNumberFormat="1" applyFont="1" applyAlignment="1">
      <alignment horizontal="left" wrapText="1"/>
    </xf>
    <xf numFmtId="0" fontId="15" fillId="0" borderId="6" xfId="4" applyNumberFormat="1" applyFont="1" applyBorder="1" applyAlignment="1">
      <alignment horizontal="left" wrapText="1"/>
    </xf>
    <xf numFmtId="168" fontId="15" fillId="0" borderId="1" xfId="4" applyNumberFormat="1" applyFont="1" applyBorder="1"/>
    <xf numFmtId="0" fontId="15" fillId="0" borderId="1" xfId="4" applyNumberFormat="1" applyFont="1" applyBorder="1" applyAlignment="1">
      <alignment horizontal="left" wrapText="1"/>
    </xf>
    <xf numFmtId="43" fontId="15" fillId="0" borderId="1" xfId="1" applyFont="1" applyFill="1" applyBorder="1" applyAlignment="1">
      <alignment horizontal="right" wrapText="1"/>
    </xf>
    <xf numFmtId="0" fontId="15" fillId="0" borderId="4" xfId="4" applyNumberFormat="1" applyFont="1" applyBorder="1" applyAlignment="1">
      <alignment horizontal="left" wrapText="1"/>
    </xf>
    <xf numFmtId="0" fontId="15" fillId="0" borderId="89" xfId="4" applyNumberFormat="1" applyFont="1" applyBorder="1" applyAlignment="1">
      <alignment horizontal="left" wrapText="1"/>
    </xf>
    <xf numFmtId="0" fontId="15" fillId="0" borderId="80" xfId="4" applyNumberFormat="1" applyFont="1" applyBorder="1" applyAlignment="1">
      <alignment horizontal="left" wrapText="1"/>
    </xf>
    <xf numFmtId="168" fontId="15" fillId="0" borderId="81" xfId="4" applyNumberFormat="1" applyFont="1" applyBorder="1"/>
    <xf numFmtId="0" fontId="15" fillId="0" borderId="81" xfId="4" applyNumberFormat="1" applyFont="1" applyBorder="1" applyAlignment="1">
      <alignment horizontal="left" wrapText="1"/>
    </xf>
    <xf numFmtId="167" fontId="15" fillId="0" borderId="88" xfId="4" applyFont="1" applyBorder="1" applyAlignment="1">
      <alignment horizontal="center" wrapText="1"/>
    </xf>
    <xf numFmtId="167" fontId="15" fillId="0" borderId="12" xfId="4" applyFont="1" applyBorder="1" applyAlignment="1">
      <alignment horizontal="center" wrapText="1"/>
    </xf>
    <xf numFmtId="43" fontId="14" fillId="0" borderId="13" xfId="1" applyFont="1" applyFill="1" applyBorder="1" applyAlignment="1">
      <alignment horizontal="left" wrapText="1"/>
    </xf>
    <xf numFmtId="43" fontId="15" fillId="0" borderId="13" xfId="1" applyFont="1" applyFill="1" applyBorder="1" applyAlignment="1">
      <alignment horizontal="left" wrapText="1"/>
    </xf>
    <xf numFmtId="43" fontId="14" fillId="0" borderId="13" xfId="1" applyFont="1" applyFill="1" applyBorder="1" applyAlignment="1">
      <alignment horizontal="right" wrapText="1"/>
    </xf>
    <xf numFmtId="43" fontId="15" fillId="0" borderId="7" xfId="1" applyFont="1" applyFill="1" applyBorder="1" applyAlignment="1">
      <alignment horizontal="right" wrapText="1"/>
    </xf>
    <xf numFmtId="43" fontId="15" fillId="0" borderId="12" xfId="1" applyFont="1" applyFill="1" applyBorder="1" applyAlignment="1">
      <alignment horizontal="right" wrapText="1"/>
    </xf>
    <xf numFmtId="167" fontId="15" fillId="0" borderId="5" xfId="1" applyNumberFormat="1" applyFont="1" applyFill="1" applyBorder="1" applyAlignment="1">
      <alignment horizontal="right"/>
    </xf>
    <xf numFmtId="9" fontId="15" fillId="0" borderId="6" xfId="6" applyFont="1" applyFill="1" applyBorder="1" applyAlignment="1"/>
    <xf numFmtId="43" fontId="15" fillId="0" borderId="16" xfId="1" applyFont="1" applyFill="1" applyBorder="1" applyAlignment="1">
      <alignment horizontal="right" wrapText="1"/>
    </xf>
    <xf numFmtId="168" fontId="16" fillId="0" borderId="6" xfId="0" applyNumberFormat="1" applyFont="1" applyBorder="1" applyAlignment="1">
      <alignment horizontal="left" vertical="top"/>
    </xf>
    <xf numFmtId="168" fontId="16" fillId="0" borderId="1" xfId="0" applyNumberFormat="1" applyFont="1" applyBorder="1" applyAlignment="1">
      <alignment horizontal="left" vertical="top"/>
    </xf>
    <xf numFmtId="167" fontId="15" fillId="0" borderId="88" xfId="1" applyNumberFormat="1" applyFont="1" applyFill="1" applyBorder="1" applyAlignment="1">
      <alignment horizontal="left" wrapText="1"/>
    </xf>
    <xf numFmtId="167" fontId="16" fillId="0" borderId="12" xfId="1" applyNumberFormat="1" applyFont="1" applyFill="1" applyBorder="1" applyAlignment="1">
      <alignment horizontal="left" vertical="top"/>
    </xf>
    <xf numFmtId="0" fontId="14" fillId="0" borderId="6" xfId="0" applyFont="1" applyBorder="1" applyAlignment="1">
      <alignment horizontal="justify" vertical="top" wrapText="1"/>
    </xf>
    <xf numFmtId="0" fontId="14" fillId="0" borderId="1" xfId="0" applyFont="1" applyBorder="1" applyAlignment="1">
      <alignment horizontal="justify" vertical="top" wrapText="1"/>
    </xf>
    <xf numFmtId="167" fontId="14" fillId="0" borderId="1" xfId="1" applyNumberFormat="1" applyFont="1" applyFill="1" applyBorder="1" applyAlignment="1">
      <alignment horizontal="justify" vertical="top" wrapText="1"/>
    </xf>
    <xf numFmtId="167" fontId="14" fillId="0" borderId="16" xfId="1" applyNumberFormat="1" applyFont="1" applyFill="1" applyBorder="1" applyAlignment="1">
      <alignment horizontal="justify" vertical="top" wrapText="1"/>
    </xf>
    <xf numFmtId="167" fontId="14" fillId="0" borderId="10" xfId="1" applyNumberFormat="1" applyFont="1" applyFill="1" applyBorder="1" applyAlignment="1">
      <alignment horizontal="left" vertical="top" wrapText="1"/>
    </xf>
    <xf numFmtId="167" fontId="15" fillId="0" borderId="88" xfId="1" applyNumberFormat="1" applyFont="1" applyFill="1" applyBorder="1" applyAlignment="1">
      <alignment vertical="top" wrapText="1"/>
    </xf>
    <xf numFmtId="167" fontId="19" fillId="0" borderId="10" xfId="1" applyNumberFormat="1" applyFont="1" applyFill="1" applyBorder="1" applyAlignment="1">
      <alignment wrapText="1"/>
    </xf>
    <xf numFmtId="167" fontId="14" fillId="0" borderId="10" xfId="1" applyNumberFormat="1" applyFont="1" applyFill="1" applyBorder="1" applyAlignment="1">
      <alignment vertical="top"/>
    </xf>
    <xf numFmtId="9" fontId="14" fillId="0" borderId="0" xfId="6" applyFont="1" applyFill="1" applyBorder="1" applyAlignment="1">
      <alignment horizontal="left" wrapText="1"/>
    </xf>
    <xf numFmtId="9" fontId="14" fillId="0" borderId="10" xfId="6" applyFont="1" applyFill="1" applyBorder="1" applyAlignment="1">
      <alignment horizontal="left" wrapText="1"/>
    </xf>
    <xf numFmtId="0" fontId="15" fillId="0" borderId="0" xfId="4" applyNumberFormat="1" applyFont="1" applyAlignment="1">
      <alignment horizontal="center"/>
    </xf>
    <xf numFmtId="9" fontId="14" fillId="0" borderId="0" xfId="6" applyFont="1" applyFill="1" applyBorder="1" applyAlignment="1">
      <alignment horizontal="center"/>
    </xf>
    <xf numFmtId="167" fontId="15" fillId="0" borderId="19" xfId="1" applyNumberFormat="1" applyFont="1" applyFill="1" applyBorder="1" applyAlignment="1"/>
    <xf numFmtId="168" fontId="15" fillId="0" borderId="13" xfId="4" applyNumberFormat="1" applyFont="1" applyBorder="1"/>
    <xf numFmtId="0" fontId="15" fillId="0" borderId="13" xfId="4" applyNumberFormat="1" applyFont="1" applyBorder="1" applyAlignment="1">
      <alignment horizontal="center"/>
    </xf>
    <xf numFmtId="168" fontId="15" fillId="0" borderId="7" xfId="4" applyNumberFormat="1" applyFont="1" applyBorder="1" applyAlignment="1">
      <alignment horizontal="center"/>
    </xf>
    <xf numFmtId="167" fontId="15" fillId="0" borderId="19" xfId="1" applyNumberFormat="1" applyFont="1" applyFill="1" applyBorder="1" applyAlignment="1">
      <alignment horizontal="center"/>
    </xf>
    <xf numFmtId="9" fontId="15" fillId="0" borderId="4" xfId="6" applyFont="1" applyFill="1" applyBorder="1" applyAlignment="1">
      <alignment horizontal="left" wrapText="1"/>
    </xf>
    <xf numFmtId="9" fontId="14" fillId="0" borderId="2" xfId="6" applyFont="1" applyFill="1" applyBorder="1" applyAlignment="1">
      <alignment horizontal="left" wrapText="1"/>
    </xf>
    <xf numFmtId="9" fontId="14" fillId="0" borderId="9" xfId="6" applyFont="1" applyFill="1" applyBorder="1" applyAlignment="1">
      <alignment horizontal="left" wrapText="1"/>
    </xf>
    <xf numFmtId="0" fontId="15" fillId="0" borderId="16" xfId="4" applyNumberFormat="1" applyFont="1" applyBorder="1" applyAlignment="1">
      <alignment horizontal="center"/>
    </xf>
    <xf numFmtId="0" fontId="15" fillId="0" borderId="10" xfId="4" applyNumberFormat="1" applyFont="1" applyBorder="1" applyAlignment="1">
      <alignment horizontal="center"/>
    </xf>
    <xf numFmtId="9" fontId="15" fillId="0" borderId="80" xfId="6" applyFont="1" applyFill="1" applyBorder="1" applyAlignment="1"/>
    <xf numFmtId="9" fontId="14" fillId="0" borderId="81" xfId="6" applyFont="1" applyFill="1" applyBorder="1" applyAlignment="1"/>
    <xf numFmtId="9" fontId="14" fillId="0" borderId="19" xfId="6" applyFont="1" applyFill="1" applyBorder="1" applyAlignment="1"/>
    <xf numFmtId="9" fontId="14" fillId="0" borderId="4" xfId="6" applyFont="1" applyFill="1" applyBorder="1" applyAlignment="1">
      <alignment horizontal="center"/>
    </xf>
    <xf numFmtId="9" fontId="14" fillId="0" borderId="2" xfId="6" applyFont="1" applyFill="1" applyBorder="1" applyAlignment="1">
      <alignment horizontal="center"/>
    </xf>
    <xf numFmtId="167" fontId="15" fillId="0" borderId="2" xfId="1" applyNumberFormat="1" applyFont="1" applyFill="1" applyBorder="1" applyAlignment="1">
      <alignment horizontal="center"/>
    </xf>
    <xf numFmtId="168" fontId="75" fillId="0" borderId="10" xfId="26" applyNumberFormat="1" applyFont="1" applyBorder="1" applyAlignment="1">
      <alignment horizontal="center"/>
    </xf>
    <xf numFmtId="168" fontId="69" fillId="0" borderId="16" xfId="26" applyNumberFormat="1" applyFont="1" applyBorder="1" applyAlignment="1">
      <alignment horizontal="center"/>
    </xf>
    <xf numFmtId="167" fontId="0" fillId="0" borderId="0" xfId="1" applyNumberFormat="1" applyFont="1" applyBorder="1"/>
    <xf numFmtId="0" fontId="67" fillId="0" borderId="10" xfId="0" applyFont="1" applyBorder="1"/>
    <xf numFmtId="0" fontId="67" fillId="0" borderId="10" xfId="0" applyFont="1" applyBorder="1" applyAlignment="1">
      <alignment horizontal="left" wrapText="1"/>
    </xf>
    <xf numFmtId="1" fontId="14" fillId="0" borderId="10" xfId="4" applyNumberFormat="1" applyFont="1" applyBorder="1" applyAlignment="1">
      <alignment horizontal="right"/>
    </xf>
    <xf numFmtId="1" fontId="15" fillId="0" borderId="10" xfId="4" applyNumberFormat="1" applyFont="1" applyBorder="1" applyAlignment="1">
      <alignment horizontal="right"/>
    </xf>
    <xf numFmtId="168" fontId="14" fillId="0" borderId="10" xfId="4" applyNumberFormat="1" applyFont="1" applyBorder="1" applyAlignment="1">
      <alignment horizontal="right"/>
    </xf>
    <xf numFmtId="168" fontId="15" fillId="0" borderId="10" xfId="4" applyNumberFormat="1" applyFont="1" applyBorder="1" applyAlignment="1">
      <alignment horizontal="right"/>
    </xf>
    <xf numFmtId="1" fontId="14" fillId="0" borderId="16" xfId="4" applyNumberFormat="1" applyFont="1" applyBorder="1" applyAlignment="1">
      <alignment horizontal="right"/>
    </xf>
    <xf numFmtId="0" fontId="0" fillId="2" borderId="0" xfId="0" applyFill="1" applyAlignment="1">
      <alignment horizontal="left"/>
    </xf>
    <xf numFmtId="0" fontId="0" fillId="2" borderId="0" xfId="0" applyFill="1" applyAlignment="1">
      <alignment horizontal="left" indent="1"/>
    </xf>
    <xf numFmtId="168" fontId="14" fillId="4" borderId="0" xfId="4" applyNumberFormat="1" applyFont="1" applyFill="1"/>
    <xf numFmtId="0" fontId="14" fillId="4" borderId="5" xfId="4" applyNumberFormat="1" applyFont="1" applyFill="1" applyBorder="1" applyAlignment="1">
      <alignment vertical="top"/>
    </xf>
    <xf numFmtId="0" fontId="14" fillId="4" borderId="0" xfId="4" applyNumberFormat="1" applyFont="1" applyFill="1" applyAlignment="1">
      <alignment vertical="top"/>
    </xf>
    <xf numFmtId="1" fontId="14" fillId="4" borderId="0" xfId="4" applyNumberFormat="1" applyFont="1" applyFill="1"/>
    <xf numFmtId="167" fontId="14" fillId="4" borderId="13" xfId="1" applyNumberFormat="1" applyFont="1" applyFill="1" applyBorder="1" applyAlignment="1"/>
    <xf numFmtId="170" fontId="14" fillId="4" borderId="0" xfId="1" applyNumberFormat="1" applyFont="1" applyFill="1" applyBorder="1" applyAlignment="1"/>
    <xf numFmtId="168" fontId="21" fillId="4" borderId="0" xfId="4" applyNumberFormat="1" applyFont="1" applyFill="1"/>
    <xf numFmtId="167" fontId="14" fillId="4" borderId="5" xfId="1" applyNumberFormat="1" applyFont="1" applyFill="1" applyBorder="1" applyAlignment="1"/>
    <xf numFmtId="167" fontId="14" fillId="4" borderId="0" xfId="1" applyNumberFormat="1" applyFont="1" applyFill="1" applyBorder="1" applyAlignment="1">
      <alignment horizontal="right"/>
    </xf>
    <xf numFmtId="0" fontId="15" fillId="0" borderId="0" xfId="0" applyFont="1" applyAlignment="1">
      <alignment horizontal="left" vertical="center" wrapText="1"/>
    </xf>
    <xf numFmtId="0" fontId="15" fillId="0" borderId="5" xfId="0" applyFont="1" applyBorder="1" applyAlignment="1">
      <alignment horizontal="left" vertical="top"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168" fontId="69" fillId="0" borderId="5" xfId="26" applyNumberFormat="1" applyFont="1" applyBorder="1" applyAlignment="1">
      <alignment horizontal="center"/>
    </xf>
    <xf numFmtId="168" fontId="69" fillId="0" borderId="0" xfId="26" applyNumberFormat="1" applyFont="1" applyAlignment="1">
      <alignment horizontal="center"/>
    </xf>
    <xf numFmtId="168" fontId="69" fillId="0" borderId="10" xfId="26" applyNumberFormat="1" applyFont="1" applyBorder="1" applyAlignment="1">
      <alignment horizontal="center"/>
    </xf>
    <xf numFmtId="191" fontId="0" fillId="0" borderId="0" xfId="0" applyNumberFormat="1"/>
    <xf numFmtId="168" fontId="69" fillId="0" borderId="16" xfId="26" applyNumberFormat="1" applyFont="1" applyBorder="1" applyAlignment="1">
      <alignment horizontal="right"/>
    </xf>
    <xf numFmtId="169" fontId="15" fillId="0" borderId="96" xfId="6" applyNumberFormat="1" applyFont="1" applyFill="1" applyBorder="1" applyAlignment="1">
      <alignment horizontal="center"/>
    </xf>
    <xf numFmtId="168" fontId="15" fillId="0" borderId="6" xfId="26" applyNumberFormat="1" applyFont="1" applyBorder="1" applyAlignment="1">
      <alignment horizontal="center"/>
    </xf>
    <xf numFmtId="168" fontId="15" fillId="0" borderId="1" xfId="26" applyNumberFormat="1" applyFont="1" applyBorder="1" applyAlignment="1">
      <alignment horizontal="center"/>
    </xf>
    <xf numFmtId="168" fontId="15" fillId="0" borderId="16" xfId="26" applyNumberFormat="1" applyFont="1" applyBorder="1" applyAlignment="1">
      <alignment horizontal="right"/>
    </xf>
    <xf numFmtId="0" fontId="22" fillId="0" borderId="7" xfId="0" applyFont="1" applyBorder="1"/>
    <xf numFmtId="0" fontId="22" fillId="0" borderId="7" xfId="0" applyFont="1" applyBorder="1" applyAlignment="1">
      <alignment horizontal="right"/>
    </xf>
    <xf numFmtId="0" fontId="21" fillId="0" borderId="13" xfId="0" applyFont="1" applyBorder="1"/>
    <xf numFmtId="0" fontId="22" fillId="0" borderId="13" xfId="0" applyFont="1" applyBorder="1"/>
    <xf numFmtId="167" fontId="22" fillId="0" borderId="13" xfId="1" applyNumberFormat="1" applyFont="1" applyFill="1" applyBorder="1"/>
    <xf numFmtId="0" fontId="22" fillId="0" borderId="13" xfId="0" applyFont="1" applyBorder="1" applyAlignment="1">
      <alignment horizontal="left" wrapText="1"/>
    </xf>
    <xf numFmtId="0" fontId="21" fillId="0" borderId="5" xfId="0" applyFont="1" applyBorder="1"/>
    <xf numFmtId="0" fontId="21" fillId="0" borderId="10" xfId="0" applyFont="1" applyBorder="1"/>
    <xf numFmtId="43" fontId="15" fillId="0" borderId="7" xfId="1" applyFont="1" applyFill="1" applyBorder="1" applyAlignment="1">
      <alignment horizontal="right"/>
    </xf>
    <xf numFmtId="43" fontId="14" fillId="0" borderId="10" xfId="1" applyFont="1" applyFill="1" applyBorder="1" applyAlignment="1">
      <alignment horizontal="center"/>
    </xf>
    <xf numFmtId="43" fontId="15" fillId="0" borderId="14" xfId="1" applyFont="1" applyFill="1" applyBorder="1" applyAlignment="1">
      <alignment vertical="center"/>
    </xf>
    <xf numFmtId="43" fontId="14" fillId="0" borderId="13" xfId="1" applyFont="1" applyFill="1" applyBorder="1" applyAlignment="1">
      <alignment vertical="center"/>
    </xf>
    <xf numFmtId="43" fontId="15" fillId="0" borderId="7" xfId="1" applyFont="1" applyFill="1" applyBorder="1" applyAlignment="1">
      <alignment vertical="center"/>
    </xf>
    <xf numFmtId="43" fontId="15" fillId="0" borderId="9" xfId="1" applyFont="1" applyFill="1" applyBorder="1" applyAlignment="1">
      <alignment vertical="center"/>
    </xf>
    <xf numFmtId="43" fontId="15" fillId="0" borderId="15" xfId="1" applyFont="1" applyFill="1" applyBorder="1" applyAlignment="1">
      <alignment vertical="center"/>
    </xf>
    <xf numFmtId="43" fontId="14" fillId="0" borderId="12" xfId="1" applyFont="1" applyFill="1" applyBorder="1" applyAlignment="1">
      <alignment horizontal="center" vertical="center" wrapText="1"/>
    </xf>
    <xf numFmtId="43" fontId="14" fillId="0" borderId="7" xfId="1" applyFont="1" applyFill="1" applyBorder="1" applyAlignment="1">
      <alignment horizontal="center" vertical="center" wrapText="1"/>
    </xf>
    <xf numFmtId="43" fontId="14" fillId="0" borderId="88" xfId="1" applyFont="1" applyFill="1" applyBorder="1" applyAlignment="1">
      <alignment horizontal="right"/>
    </xf>
    <xf numFmtId="43" fontId="15" fillId="0" borderId="7" xfId="1" applyFont="1" applyFill="1" applyBorder="1" applyAlignment="1">
      <alignment vertical="center" wrapText="1"/>
    </xf>
    <xf numFmtId="43" fontId="15" fillId="0" borderId="12" xfId="1" applyFont="1" applyFill="1" applyBorder="1" applyAlignment="1">
      <alignment vertical="center" wrapText="1"/>
    </xf>
    <xf numFmtId="43" fontId="14" fillId="0" borderId="5" xfId="1" applyFont="1" applyFill="1" applyBorder="1" applyAlignment="1">
      <alignment horizontal="center"/>
    </xf>
    <xf numFmtId="43" fontId="15" fillId="0" borderId="80" xfId="1" applyFont="1" applyFill="1" applyBorder="1" applyAlignment="1">
      <alignment horizontal="right"/>
    </xf>
    <xf numFmtId="43" fontId="15" fillId="0" borderId="18" xfId="1" applyFont="1" applyFill="1" applyBorder="1" applyAlignment="1">
      <alignment vertical="center" wrapText="1"/>
    </xf>
    <xf numFmtId="43" fontId="15" fillId="0" borderId="15" xfId="1" applyFont="1" applyFill="1" applyBorder="1" applyAlignment="1">
      <alignment vertical="center" wrapText="1"/>
    </xf>
    <xf numFmtId="43" fontId="15" fillId="0" borderId="5" xfId="1" applyFont="1" applyFill="1" applyBorder="1" applyAlignment="1">
      <alignment horizontal="center"/>
    </xf>
    <xf numFmtId="43" fontId="14" fillId="0" borderId="12" xfId="1" applyFont="1" applyFill="1" applyBorder="1" applyAlignment="1">
      <alignment vertical="center" wrapText="1"/>
    </xf>
    <xf numFmtId="43" fontId="14" fillId="0" borderId="6" xfId="1" applyFont="1" applyFill="1" applyBorder="1" applyAlignment="1">
      <alignment horizontal="center" vertical="center" wrapText="1"/>
    </xf>
    <xf numFmtId="43" fontId="14" fillId="0" borderId="0" xfId="1" applyFont="1" applyFill="1" applyBorder="1" applyAlignment="1">
      <alignment horizontal="center" vertical="center" wrapText="1"/>
    </xf>
    <xf numFmtId="43" fontId="14" fillId="0" borderId="9" xfId="1" applyFont="1" applyFill="1" applyBorder="1" applyAlignment="1">
      <alignment horizontal="center" vertical="center" wrapText="1"/>
    </xf>
    <xf numFmtId="43" fontId="22" fillId="0" borderId="7" xfId="1" applyFont="1" applyFill="1" applyBorder="1"/>
    <xf numFmtId="43" fontId="21" fillId="0" borderId="13" xfId="1" applyFont="1" applyFill="1" applyBorder="1"/>
    <xf numFmtId="43" fontId="21" fillId="0" borderId="13" xfId="7" applyNumberFormat="1" applyFont="1" applyFill="1" applyBorder="1"/>
    <xf numFmtId="43" fontId="22" fillId="0" borderId="7" xfId="7" applyNumberFormat="1" applyFont="1" applyFill="1" applyBorder="1"/>
    <xf numFmtId="43" fontId="22" fillId="0" borderId="13" xfId="1" applyFont="1" applyFill="1" applyBorder="1"/>
    <xf numFmtId="43" fontId="22" fillId="0" borderId="13" xfId="7" applyNumberFormat="1" applyFont="1" applyFill="1" applyBorder="1"/>
    <xf numFmtId="43" fontId="21" fillId="0" borderId="13" xfId="1" applyFont="1" applyFill="1" applyBorder="1" applyAlignment="1">
      <alignment horizontal="right"/>
    </xf>
    <xf numFmtId="43" fontId="21" fillId="0" borderId="12" xfId="1" applyFont="1" applyBorder="1"/>
    <xf numFmtId="43" fontId="21" fillId="0" borderId="7" xfId="1" applyFont="1" applyFill="1" applyBorder="1"/>
    <xf numFmtId="43" fontId="21" fillId="0" borderId="7" xfId="0" applyNumberFormat="1" applyFont="1" applyBorder="1"/>
    <xf numFmtId="43" fontId="21" fillId="0" borderId="0" xfId="0" applyNumberFormat="1" applyFont="1"/>
    <xf numFmtId="43" fontId="21" fillId="0" borderId="10" xfId="0" applyNumberFormat="1" applyFont="1" applyBorder="1"/>
    <xf numFmtId="43" fontId="14" fillId="0" borderId="13" xfId="1" applyFont="1" applyFill="1" applyBorder="1" applyAlignment="1"/>
    <xf numFmtId="176" fontId="57" fillId="0" borderId="7" xfId="1" applyNumberFormat="1" applyFont="1" applyBorder="1"/>
    <xf numFmtId="0" fontId="0" fillId="0" borderId="0" xfId="0" applyAlignment="1">
      <alignment horizontal="center"/>
    </xf>
    <xf numFmtId="0" fontId="6" fillId="0" borderId="90" xfId="0" applyFont="1" applyBorder="1" applyAlignment="1">
      <alignment vertical="center"/>
    </xf>
    <xf numFmtId="0" fontId="6" fillId="0" borderId="7" xfId="0" applyFont="1" applyBorder="1" applyAlignment="1">
      <alignment horizontal="center" vertical="center"/>
    </xf>
    <xf numFmtId="0" fontId="0" fillId="0" borderId="88" xfId="0" applyBorder="1"/>
    <xf numFmtId="0" fontId="6" fillId="0" borderId="0" xfId="0" applyFont="1" applyAlignment="1">
      <alignment horizontal="center" vertical="center"/>
    </xf>
    <xf numFmtId="0" fontId="6" fillId="0" borderId="9" xfId="0" applyFont="1" applyBorder="1" applyAlignment="1">
      <alignment horizontal="center" vertical="center"/>
    </xf>
    <xf numFmtId="43" fontId="6" fillId="0" borderId="88" xfId="1" applyFont="1" applyBorder="1" applyAlignment="1">
      <alignment horizontal="center"/>
    </xf>
    <xf numFmtId="43" fontId="6" fillId="0" borderId="89" xfId="1" applyFont="1" applyBorder="1" applyAlignment="1">
      <alignment horizontal="center"/>
    </xf>
    <xf numFmtId="43" fontId="0" fillId="0" borderId="13" xfId="1" applyFont="1" applyBorder="1" applyAlignment="1">
      <alignment horizontal="center" vertical="center"/>
    </xf>
    <xf numFmtId="43" fontId="0" fillId="0" borderId="0" xfId="1" applyFont="1" applyBorder="1" applyAlignment="1">
      <alignment horizontal="center" vertical="center"/>
    </xf>
    <xf numFmtId="43" fontId="0" fillId="0" borderId="12" xfId="1" applyFont="1" applyBorder="1"/>
    <xf numFmtId="43" fontId="0" fillId="0" borderId="12" xfId="1" applyFont="1" applyFill="1" applyBorder="1"/>
    <xf numFmtId="43" fontId="0" fillId="0" borderId="90" xfId="1" applyFont="1" applyFill="1" applyBorder="1"/>
    <xf numFmtId="43" fontId="0" fillId="0" borderId="98" xfId="1" applyFont="1" applyBorder="1" applyAlignment="1">
      <alignment horizontal="center"/>
    </xf>
    <xf numFmtId="43" fontId="0" fillId="0" borderId="98" xfId="1" applyFont="1" applyFill="1" applyBorder="1" applyAlignment="1">
      <alignment horizontal="center"/>
    </xf>
    <xf numFmtId="43" fontId="0" fillId="0" borderId="99" xfId="1" applyFont="1" applyFill="1" applyBorder="1" applyAlignment="1">
      <alignment horizontal="center"/>
    </xf>
    <xf numFmtId="43" fontId="0" fillId="0" borderId="13" xfId="1" applyFont="1" applyFill="1" applyBorder="1"/>
    <xf numFmtId="43" fontId="0" fillId="0" borderId="13"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13" xfId="1" applyFont="1" applyBorder="1" applyAlignment="1">
      <alignment vertical="center"/>
    </xf>
    <xf numFmtId="43" fontId="0" fillId="0" borderId="0" xfId="1" applyFont="1" applyBorder="1" applyAlignment="1">
      <alignment vertical="center"/>
    </xf>
    <xf numFmtId="43" fontId="0" fillId="0" borderId="12" xfId="1" applyFont="1" applyBorder="1" applyAlignment="1">
      <alignment vertical="center"/>
    </xf>
    <xf numFmtId="43" fontId="0" fillId="0" borderId="90" xfId="1" applyFont="1" applyBorder="1" applyAlignment="1">
      <alignment vertical="center"/>
    </xf>
    <xf numFmtId="43" fontId="0" fillId="0" borderId="98" xfId="1" applyFont="1" applyBorder="1" applyAlignment="1">
      <alignment horizontal="center" vertical="center"/>
    </xf>
    <xf numFmtId="1" fontId="117" fillId="0" borderId="13" xfId="46" applyNumberFormat="1" applyFont="1" applyBorder="1"/>
    <xf numFmtId="0" fontId="0" fillId="0" borderId="96" xfId="0" applyBorder="1"/>
    <xf numFmtId="0" fontId="0" fillId="0" borderId="12" xfId="0" applyBorder="1"/>
    <xf numFmtId="0" fontId="0" fillId="0" borderId="90" xfId="0" applyBorder="1"/>
    <xf numFmtId="0" fontId="0" fillId="0" borderId="97" xfId="0" applyBorder="1"/>
    <xf numFmtId="0" fontId="0" fillId="0" borderId="89" xfId="0" applyBorder="1"/>
    <xf numFmtId="0" fontId="0" fillId="0" borderId="0" xfId="0" applyAlignment="1">
      <alignment horizontal="right" vertical="top"/>
    </xf>
    <xf numFmtId="0" fontId="0" fillId="0" borderId="0" xfId="0" applyAlignment="1">
      <alignment horizontal="right"/>
    </xf>
    <xf numFmtId="0" fontId="6" fillId="0" borderId="96" xfId="0" applyFont="1" applyBorder="1" applyAlignment="1">
      <alignment horizontal="center" vertical="center"/>
    </xf>
    <xf numFmtId="43" fontId="6" fillId="0" borderId="88" xfId="1" applyFont="1" applyFill="1" applyBorder="1" applyAlignment="1">
      <alignment horizontal="center"/>
    </xf>
    <xf numFmtId="43" fontId="0" fillId="0" borderId="13" xfId="1" applyFont="1" applyFill="1" applyBorder="1" applyAlignment="1">
      <alignment vertical="center"/>
    </xf>
    <xf numFmtId="43" fontId="0" fillId="0" borderId="12" xfId="1" applyFont="1" applyFill="1" applyBorder="1" applyAlignment="1">
      <alignment vertical="center"/>
    </xf>
    <xf numFmtId="43" fontId="0" fillId="0" borderId="98" xfId="1" applyFont="1" applyFill="1" applyBorder="1" applyAlignment="1">
      <alignment horizontal="center" vertical="center"/>
    </xf>
    <xf numFmtId="43" fontId="15" fillId="0" borderId="88" xfId="1" applyFont="1" applyFill="1" applyBorder="1" applyAlignment="1">
      <alignment vertical="center"/>
    </xf>
    <xf numFmtId="0" fontId="6" fillId="0" borderId="90" xfId="0" applyFont="1" applyBorder="1" applyAlignment="1">
      <alignment horizontal="right" vertical="center"/>
    </xf>
    <xf numFmtId="0" fontId="0" fillId="0" borderId="0" xfId="0" applyAlignment="1">
      <alignment horizontal="left"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88" fillId="0" borderId="0" xfId="0" applyFont="1" applyAlignment="1">
      <alignment horizontal="center"/>
    </xf>
    <xf numFmtId="0" fontId="67" fillId="0" borderId="0" xfId="0" applyFont="1" applyAlignment="1">
      <alignment horizontal="center"/>
    </xf>
    <xf numFmtId="0" fontId="116" fillId="0" borderId="0" xfId="0" applyFont="1" applyAlignment="1">
      <alignment horizontal="center" vertical="center"/>
    </xf>
    <xf numFmtId="0" fontId="6" fillId="0" borderId="8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9"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90" xfId="0" applyFont="1" applyBorder="1" applyAlignment="1">
      <alignment horizontal="center" vertical="center"/>
    </xf>
    <xf numFmtId="0" fontId="6" fillId="0" borderId="97" xfId="0" applyFont="1" applyBorder="1" applyAlignment="1">
      <alignment horizontal="center" vertical="center"/>
    </xf>
    <xf numFmtId="0" fontId="6" fillId="0" borderId="4" xfId="0" applyFont="1" applyBorder="1" applyAlignment="1">
      <alignment horizontal="center" vertical="center"/>
    </xf>
    <xf numFmtId="0" fontId="6" fillId="0" borderId="96" xfId="0" applyFont="1" applyBorder="1" applyAlignment="1">
      <alignment horizontal="center" vertical="center"/>
    </xf>
    <xf numFmtId="14" fontId="6" fillId="0" borderId="5" xfId="0" applyNumberFormat="1" applyFont="1" applyBorder="1" applyAlignment="1">
      <alignment horizontal="center" vertical="center"/>
    </xf>
    <xf numFmtId="14" fontId="6" fillId="0" borderId="4" xfId="0" applyNumberFormat="1" applyFont="1" applyBorder="1" applyAlignment="1">
      <alignment horizontal="center" vertical="center"/>
    </xf>
    <xf numFmtId="14" fontId="6" fillId="0" borderId="96" xfId="0" applyNumberFormat="1" applyFont="1" applyBorder="1" applyAlignment="1">
      <alignment horizontal="center" vertical="center"/>
    </xf>
    <xf numFmtId="14" fontId="6" fillId="0" borderId="88" xfId="0" applyNumberFormat="1" applyFont="1" applyBorder="1" applyAlignment="1">
      <alignment horizontal="center" vertical="center"/>
    </xf>
    <xf numFmtId="14" fontId="6" fillId="0" borderId="12" xfId="0" applyNumberFormat="1" applyFont="1" applyBorder="1" applyAlignment="1">
      <alignment horizontal="center" vertical="center"/>
    </xf>
    <xf numFmtId="0" fontId="0" fillId="0" borderId="5" xfId="0" applyBorder="1" applyAlignment="1">
      <alignment horizontal="left" vertical="top" wrapText="1"/>
    </xf>
    <xf numFmtId="0" fontId="0" fillId="0" borderId="10" xfId="0" applyBorder="1" applyAlignment="1">
      <alignment horizontal="left" vertical="top" wrapText="1"/>
    </xf>
    <xf numFmtId="169" fontId="15" fillId="0" borderId="4" xfId="6" applyNumberFormat="1" applyFont="1" applyFill="1" applyBorder="1" applyAlignment="1">
      <alignment horizontal="center" wrapText="1"/>
    </xf>
    <xf numFmtId="169" fontId="15" fillId="0" borderId="89" xfId="6" applyNumberFormat="1" applyFont="1" applyFill="1" applyBorder="1" applyAlignment="1">
      <alignment horizontal="center" wrapText="1"/>
    </xf>
    <xf numFmtId="169" fontId="15" fillId="0" borderId="9" xfId="6" applyNumberFormat="1" applyFont="1" applyFill="1" applyBorder="1" applyAlignment="1">
      <alignment horizontal="center" wrapText="1"/>
    </xf>
    <xf numFmtId="169" fontId="115" fillId="0" borderId="0" xfId="6" applyNumberFormat="1" applyFont="1" applyFill="1" applyBorder="1" applyAlignment="1">
      <alignment horizontal="center" vertical="center"/>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10" xfId="0" applyFont="1" applyBorder="1" applyAlignment="1">
      <alignment horizontal="left" vertical="top" wrapText="1"/>
    </xf>
    <xf numFmtId="169" fontId="15" fillId="0" borderId="4" xfId="0" applyNumberFormat="1" applyFont="1" applyBorder="1" applyAlignment="1">
      <alignment horizontal="center" vertical="center" wrapText="1"/>
    </xf>
    <xf numFmtId="169" fontId="15" fillId="0" borderId="89" xfId="0" applyNumberFormat="1" applyFont="1" applyBorder="1" applyAlignment="1">
      <alignment horizontal="center" vertical="center" wrapText="1"/>
    </xf>
    <xf numFmtId="169" fontId="15" fillId="0" borderId="9"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1" fontId="15" fillId="0" borderId="88" xfId="4" applyNumberFormat="1" applyFont="1" applyBorder="1" applyAlignment="1">
      <alignment horizontal="center" vertical="center" wrapText="1"/>
    </xf>
    <xf numFmtId="1" fontId="15" fillId="0" borderId="12" xfId="4" applyNumberFormat="1" applyFont="1" applyBorder="1" applyAlignment="1">
      <alignment horizontal="center" vertical="center" wrapText="1"/>
    </xf>
    <xf numFmtId="0" fontId="14" fillId="0" borderId="5" xfId="0" applyFont="1" applyBorder="1" applyAlignment="1">
      <alignment horizontal="left" vertical="top" wrapText="1"/>
    </xf>
    <xf numFmtId="0" fontId="14" fillId="0" borderId="0" xfId="0" applyFont="1" applyAlignment="1">
      <alignment horizontal="left" vertical="top" wrapText="1"/>
    </xf>
    <xf numFmtId="168" fontId="15" fillId="0" borderId="4" xfId="26" applyNumberFormat="1" applyFont="1" applyBorder="1" applyAlignment="1">
      <alignment horizontal="center"/>
    </xf>
    <xf numFmtId="168" fontId="15" fillId="0" borderId="89" xfId="26" applyNumberFormat="1" applyFont="1" applyBorder="1" applyAlignment="1">
      <alignment horizontal="center"/>
    </xf>
    <xf numFmtId="168" fontId="15" fillId="0" borderId="9" xfId="26" applyNumberFormat="1" applyFont="1" applyBorder="1" applyAlignment="1">
      <alignment horizontal="center"/>
    </xf>
    <xf numFmtId="168" fontId="15" fillId="0" borderId="5" xfId="26" applyNumberFormat="1" applyFont="1" applyBorder="1" applyAlignment="1">
      <alignment horizontal="center"/>
    </xf>
    <xf numFmtId="168" fontId="15" fillId="0" borderId="0" xfId="26" applyNumberFormat="1" applyFont="1" applyAlignment="1">
      <alignment horizontal="center"/>
    </xf>
    <xf numFmtId="168" fontId="15" fillId="0" borderId="10" xfId="26" applyNumberFormat="1" applyFont="1" applyBorder="1" applyAlignment="1">
      <alignment horizontal="center"/>
    </xf>
    <xf numFmtId="168" fontId="69" fillId="0" borderId="4" xfId="26" applyNumberFormat="1" applyFont="1" applyBorder="1" applyAlignment="1">
      <alignment horizontal="center"/>
    </xf>
    <xf numFmtId="168" fontId="69" fillId="0" borderId="2" xfId="26" applyNumberFormat="1" applyFont="1" applyBorder="1" applyAlignment="1">
      <alignment horizontal="center"/>
    </xf>
    <xf numFmtId="168" fontId="69" fillId="0" borderId="9" xfId="26" applyNumberFormat="1" applyFont="1" applyBorder="1" applyAlignment="1">
      <alignment horizontal="center"/>
    </xf>
    <xf numFmtId="168" fontId="69" fillId="0" borderId="5" xfId="26" applyNumberFormat="1" applyFont="1" applyBorder="1" applyAlignment="1">
      <alignment horizontal="center"/>
    </xf>
    <xf numFmtId="168" fontId="69" fillId="0" borderId="0" xfId="26" applyNumberFormat="1" applyFont="1" applyAlignment="1">
      <alignment horizontal="center"/>
    </xf>
    <xf numFmtId="168" fontId="69" fillId="0" borderId="10" xfId="26" applyNumberFormat="1" applyFont="1" applyBorder="1" applyAlignment="1">
      <alignment horizontal="center"/>
    </xf>
    <xf numFmtId="9" fontId="15" fillId="0" borderId="4" xfId="6" applyFont="1" applyFill="1" applyBorder="1" applyAlignment="1">
      <alignment horizontal="center"/>
    </xf>
    <xf numFmtId="9" fontId="15" fillId="0" borderId="89" xfId="6" applyFont="1" applyFill="1" applyBorder="1" applyAlignment="1">
      <alignment horizontal="center"/>
    </xf>
    <xf numFmtId="9" fontId="15" fillId="0" borderId="9" xfId="6" applyFont="1" applyFill="1" applyBorder="1" applyAlignment="1">
      <alignment horizontal="center"/>
    </xf>
    <xf numFmtId="9" fontId="14" fillId="0" borderId="5" xfId="6" applyFont="1" applyFill="1" applyBorder="1" applyAlignment="1">
      <alignment horizontal="left" wrapText="1"/>
    </xf>
    <xf numFmtId="9" fontId="14" fillId="0" borderId="0" xfId="6" applyFont="1" applyFill="1" applyBorder="1" applyAlignment="1">
      <alignment horizontal="left" wrapText="1"/>
    </xf>
    <xf numFmtId="9" fontId="14" fillId="0" borderId="10" xfId="6" applyFont="1" applyFill="1" applyBorder="1" applyAlignment="1">
      <alignment horizontal="left" wrapText="1"/>
    </xf>
    <xf numFmtId="9" fontId="14" fillId="0" borderId="6" xfId="6" applyFont="1" applyFill="1" applyBorder="1" applyAlignment="1">
      <alignment horizontal="left" vertical="top" wrapText="1"/>
    </xf>
    <xf numFmtId="9" fontId="14" fillId="0" borderId="1" xfId="6" applyFont="1" applyFill="1" applyBorder="1" applyAlignment="1">
      <alignment horizontal="left" vertical="top" wrapText="1"/>
    </xf>
    <xf numFmtId="9" fontId="14" fillId="0" borderId="16" xfId="6" applyFont="1" applyFill="1" applyBorder="1" applyAlignment="1">
      <alignment horizontal="left" vertical="top" wrapText="1"/>
    </xf>
    <xf numFmtId="2" fontId="14" fillId="0" borderId="5" xfId="6" applyNumberFormat="1" applyFont="1" applyFill="1" applyBorder="1" applyAlignment="1">
      <alignment horizontal="justify" vertical="top" wrapText="1"/>
    </xf>
    <xf numFmtId="2" fontId="14" fillId="0" borderId="0" xfId="6" applyNumberFormat="1" applyFont="1" applyFill="1" applyBorder="1" applyAlignment="1">
      <alignment horizontal="justify" vertical="top" wrapText="1"/>
    </xf>
    <xf numFmtId="168" fontId="15" fillId="0" borderId="4" xfId="4" applyNumberFormat="1" applyFont="1" applyBorder="1" applyAlignment="1">
      <alignment horizontal="center" vertical="center"/>
    </xf>
    <xf numFmtId="168" fontId="15" fillId="0" borderId="89" xfId="4" applyNumberFormat="1" applyFont="1" applyBorder="1" applyAlignment="1">
      <alignment horizontal="center" vertical="center"/>
    </xf>
    <xf numFmtId="168" fontId="15" fillId="0" borderId="9" xfId="4" applyNumberFormat="1" applyFont="1" applyBorder="1" applyAlignment="1">
      <alignment horizontal="center" vertical="center"/>
    </xf>
    <xf numFmtId="168" fontId="15" fillId="0" borderId="6" xfId="4" applyNumberFormat="1" applyFont="1" applyBorder="1" applyAlignment="1">
      <alignment horizontal="center"/>
    </xf>
    <xf numFmtId="168" fontId="15" fillId="0" borderId="1" xfId="4" applyNumberFormat="1" applyFont="1" applyBorder="1" applyAlignment="1">
      <alignment horizontal="center"/>
    </xf>
    <xf numFmtId="168" fontId="15" fillId="0" borderId="16" xfId="4" applyNumberFormat="1" applyFont="1" applyBorder="1" applyAlignment="1">
      <alignment horizontal="center"/>
    </xf>
    <xf numFmtId="0" fontId="14" fillId="0" borderId="5" xfId="4" applyNumberFormat="1" applyFont="1" applyBorder="1" applyAlignment="1">
      <alignment horizontal="justify" vertical="top" wrapText="1"/>
    </xf>
    <xf numFmtId="0" fontId="14" fillId="0" borderId="0" xfId="4" applyNumberFormat="1" applyFont="1" applyAlignment="1">
      <alignment horizontal="justify" vertical="top" wrapText="1"/>
    </xf>
    <xf numFmtId="9" fontId="14" fillId="0" borderId="5" xfId="4" applyNumberFormat="1" applyFont="1" applyBorder="1" applyAlignment="1">
      <alignment horizontal="left" vertical="top" wrapText="1"/>
    </xf>
    <xf numFmtId="9" fontId="14" fillId="0" borderId="0" xfId="4" applyNumberFormat="1" applyFont="1" applyAlignment="1">
      <alignment horizontal="left" vertical="top" wrapText="1"/>
    </xf>
    <xf numFmtId="0" fontId="14" fillId="0" borderId="5" xfId="4" applyNumberFormat="1" applyFont="1" applyBorder="1" applyAlignment="1">
      <alignment horizontal="left" vertical="top" wrapText="1"/>
    </xf>
    <xf numFmtId="0" fontId="14" fillId="0" borderId="0" xfId="4" applyNumberFormat="1" applyFont="1" applyAlignment="1">
      <alignment horizontal="left" vertical="top" wrapText="1"/>
    </xf>
    <xf numFmtId="0" fontId="14" fillId="0" borderId="10" xfId="4" applyNumberFormat="1" applyFont="1" applyBorder="1" applyAlignment="1">
      <alignment horizontal="left" vertical="top" wrapText="1"/>
    </xf>
    <xf numFmtId="1" fontId="14" fillId="0" borderId="0" xfId="4" applyNumberFormat="1" applyFont="1" applyAlignment="1">
      <alignment horizontal="left" wrapText="1"/>
    </xf>
    <xf numFmtId="1" fontId="14" fillId="0" borderId="10" xfId="4" applyNumberFormat="1" applyFont="1" applyBorder="1" applyAlignment="1">
      <alignment horizontal="left" wrapText="1"/>
    </xf>
    <xf numFmtId="169" fontId="15" fillId="0" borderId="4" xfId="6" applyNumberFormat="1" applyFont="1" applyFill="1" applyBorder="1" applyAlignment="1">
      <alignment horizontal="center"/>
    </xf>
    <xf numFmtId="169" fontId="15" fillId="0" borderId="89" xfId="6" applyNumberFormat="1" applyFont="1" applyFill="1" applyBorder="1" applyAlignment="1">
      <alignment horizontal="center"/>
    </xf>
    <xf numFmtId="169" fontId="15" fillId="0" borderId="9" xfId="6" applyNumberFormat="1" applyFont="1" applyFill="1" applyBorder="1" applyAlignment="1">
      <alignment horizontal="center"/>
    </xf>
    <xf numFmtId="169" fontId="15" fillId="0" borderId="5" xfId="6" applyNumberFormat="1" applyFont="1" applyFill="1" applyBorder="1" applyAlignment="1">
      <alignment horizontal="center"/>
    </xf>
    <xf numFmtId="169" fontId="15" fillId="0" borderId="0" xfId="6" applyNumberFormat="1" applyFont="1" applyFill="1" applyBorder="1" applyAlignment="1">
      <alignment horizontal="center"/>
    </xf>
    <xf numFmtId="169" fontId="15" fillId="0" borderId="10" xfId="6" applyNumberFormat="1" applyFont="1" applyFill="1" applyBorder="1" applyAlignment="1">
      <alignment horizontal="center"/>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6" xfId="0" applyFont="1" applyBorder="1" applyAlignment="1">
      <alignment horizontal="center" vertical="center" wrapText="1"/>
    </xf>
    <xf numFmtId="1" fontId="15" fillId="0" borderId="13" xfId="4" applyNumberFormat="1" applyFont="1" applyBorder="1" applyAlignment="1">
      <alignment horizontal="center" vertical="center"/>
    </xf>
    <xf numFmtId="0" fontId="14" fillId="0" borderId="5" xfId="4" applyNumberFormat="1" applyFont="1" applyBorder="1" applyAlignment="1">
      <alignment horizontal="left" wrapText="1"/>
    </xf>
    <xf numFmtId="0" fontId="14" fillId="0" borderId="0" xfId="4" applyNumberFormat="1" applyFont="1" applyAlignment="1">
      <alignment horizontal="left" wrapText="1"/>
    </xf>
    <xf numFmtId="0" fontId="15" fillId="0" borderId="5" xfId="4" applyNumberFormat="1" applyFont="1" applyBorder="1" applyAlignment="1">
      <alignment horizontal="left" vertical="top" wrapText="1"/>
    </xf>
    <xf numFmtId="0" fontId="15" fillId="0" borderId="0" xfId="4" applyNumberFormat="1" applyFont="1" applyAlignment="1">
      <alignment horizontal="left" vertical="top" wrapText="1"/>
    </xf>
    <xf numFmtId="2" fontId="15" fillId="0" borderId="5" xfId="6" applyNumberFormat="1" applyFont="1" applyFill="1" applyBorder="1" applyAlignment="1">
      <alignment horizontal="justify" vertical="top" wrapText="1"/>
    </xf>
    <xf numFmtId="2" fontId="15" fillId="0" borderId="0" xfId="6" applyNumberFormat="1" applyFont="1" applyFill="1" applyBorder="1" applyAlignment="1">
      <alignment horizontal="justify" vertical="top" wrapText="1"/>
    </xf>
    <xf numFmtId="9" fontId="15" fillId="0" borderId="5" xfId="6" applyFont="1" applyFill="1" applyBorder="1" applyAlignment="1">
      <alignment horizontal="left" vertical="top" wrapText="1"/>
    </xf>
    <xf numFmtId="9" fontId="15" fillId="0" borderId="0" xfId="6" applyFont="1" applyFill="1" applyBorder="1" applyAlignment="1">
      <alignment horizontal="left" vertical="top" wrapText="1"/>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15" fillId="0" borderId="5" xfId="4" applyNumberFormat="1" applyFont="1" applyBorder="1" applyAlignment="1">
      <alignment horizontal="justify" vertical="top" wrapText="1"/>
    </xf>
    <xf numFmtId="0" fontId="15" fillId="0" borderId="0" xfId="4" applyNumberFormat="1" applyFont="1" applyAlignment="1">
      <alignment horizontal="justify" vertical="top" wrapText="1"/>
    </xf>
    <xf numFmtId="168" fontId="15" fillId="0" borderId="4" xfId="4" applyNumberFormat="1" applyFont="1" applyBorder="1" applyAlignment="1">
      <alignment horizontal="center"/>
    </xf>
    <xf numFmtId="168" fontId="15" fillId="0" borderId="89" xfId="4" applyNumberFormat="1" applyFont="1" applyBorder="1" applyAlignment="1">
      <alignment horizontal="center"/>
    </xf>
    <xf numFmtId="168" fontId="15" fillId="0" borderId="9" xfId="4" applyNumberFormat="1" applyFont="1" applyBorder="1" applyAlignment="1">
      <alignment horizontal="center"/>
    </xf>
    <xf numFmtId="0" fontId="16" fillId="2" borderId="7" xfId="4" applyNumberFormat="1" applyFont="1" applyFill="1" applyBorder="1" applyAlignment="1">
      <alignment horizontal="left" vertical="top" wrapText="1"/>
    </xf>
    <xf numFmtId="0" fontId="14" fillId="2" borderId="80" xfId="4" applyNumberFormat="1" applyFont="1" applyFill="1" applyBorder="1" applyAlignment="1">
      <alignment horizontal="left" vertical="top"/>
    </xf>
    <xf numFmtId="0" fontId="14" fillId="2" borderId="81" xfId="4" applyNumberFormat="1" applyFont="1" applyFill="1" applyBorder="1" applyAlignment="1">
      <alignment horizontal="left" vertical="top"/>
    </xf>
    <xf numFmtId="0" fontId="14" fillId="2" borderId="19" xfId="4" applyNumberFormat="1" applyFont="1" applyFill="1" applyBorder="1" applyAlignment="1">
      <alignment horizontal="left" vertical="top"/>
    </xf>
    <xf numFmtId="0" fontId="15" fillId="2" borderId="7" xfId="4" applyNumberFormat="1" applyFont="1" applyFill="1" applyBorder="1" applyAlignment="1">
      <alignment horizontal="left" vertical="top" wrapText="1"/>
    </xf>
    <xf numFmtId="168" fontId="15" fillId="0" borderId="5" xfId="0" applyNumberFormat="1" applyFont="1" applyBorder="1" applyAlignment="1">
      <alignment horizontal="center"/>
    </xf>
    <xf numFmtId="168" fontId="15" fillId="0" borderId="0" xfId="0" applyNumberFormat="1" applyFont="1" applyAlignment="1">
      <alignment horizontal="center"/>
    </xf>
    <xf numFmtId="168" fontId="15" fillId="0" borderId="10" xfId="0" applyNumberFormat="1" applyFont="1" applyBorder="1" applyAlignment="1">
      <alignment horizontal="center"/>
    </xf>
    <xf numFmtId="9" fontId="16" fillId="0" borderId="5" xfId="6" applyFont="1" applyFill="1" applyBorder="1" applyAlignment="1">
      <alignment horizontal="left" vertical="top" wrapText="1"/>
    </xf>
    <xf numFmtId="9" fontId="16" fillId="0" borderId="0" xfId="6" applyFont="1" applyFill="1" applyBorder="1" applyAlignment="1">
      <alignment horizontal="left" vertical="top" wrapText="1"/>
    </xf>
    <xf numFmtId="168" fontId="15" fillId="0" borderId="5" xfId="4" applyNumberFormat="1" applyFont="1" applyBorder="1" applyAlignment="1">
      <alignment horizontal="center"/>
    </xf>
    <xf numFmtId="168" fontId="15" fillId="0" borderId="0" xfId="4" applyNumberFormat="1" applyFont="1" applyAlignment="1">
      <alignment horizontal="center"/>
    </xf>
    <xf numFmtId="168" fontId="15" fillId="0" borderId="10" xfId="4" applyNumberFormat="1" applyFont="1" applyBorder="1" applyAlignment="1">
      <alignment horizontal="center"/>
    </xf>
    <xf numFmtId="9" fontId="15" fillId="0" borderId="5" xfId="6" applyFont="1" applyFill="1" applyBorder="1" applyAlignment="1">
      <alignment horizontal="left" wrapText="1"/>
    </xf>
    <xf numFmtId="9" fontId="15" fillId="0" borderId="0" xfId="6" applyFont="1" applyFill="1" applyBorder="1" applyAlignment="1">
      <alignment horizontal="left" wrapText="1"/>
    </xf>
    <xf numFmtId="9" fontId="15" fillId="0" borderId="10" xfId="6" applyFont="1" applyFill="1" applyBorder="1" applyAlignment="1">
      <alignment horizontal="left" wrapText="1"/>
    </xf>
    <xf numFmtId="9" fontId="15" fillId="0" borderId="6" xfId="6" applyFont="1" applyFill="1" applyBorder="1" applyAlignment="1">
      <alignment horizontal="center"/>
    </xf>
    <xf numFmtId="9" fontId="15" fillId="0" borderId="1" xfId="6" applyFont="1" applyFill="1" applyBorder="1" applyAlignment="1">
      <alignment horizontal="center"/>
    </xf>
    <xf numFmtId="9" fontId="15" fillId="0" borderId="16" xfId="6" applyFont="1" applyFill="1" applyBorder="1" applyAlignment="1">
      <alignment horizontal="center"/>
    </xf>
    <xf numFmtId="9" fontId="14" fillId="0" borderId="80" xfId="6" applyFont="1" applyFill="1" applyBorder="1" applyAlignment="1">
      <alignment horizontal="center"/>
    </xf>
    <xf numFmtId="9" fontId="14" fillId="0" borderId="81" xfId="6" applyFont="1" applyFill="1" applyBorder="1" applyAlignment="1">
      <alignment horizontal="center"/>
    </xf>
    <xf numFmtId="9" fontId="14" fillId="0" borderId="19" xfId="6" applyFont="1" applyFill="1" applyBorder="1" applyAlignment="1">
      <alignment horizontal="center"/>
    </xf>
    <xf numFmtId="0" fontId="14" fillId="0" borderId="10" xfId="0" applyFont="1" applyBorder="1" applyAlignment="1">
      <alignment horizontal="left" vertical="top" wrapText="1"/>
    </xf>
    <xf numFmtId="0" fontId="14" fillId="0" borderId="10" xfId="4" applyNumberFormat="1" applyFont="1" applyBorder="1" applyAlignment="1">
      <alignment horizontal="left" wrapText="1"/>
    </xf>
    <xf numFmtId="168" fontId="15" fillId="0" borderId="4" xfId="0" applyNumberFormat="1" applyFont="1" applyBorder="1" applyAlignment="1">
      <alignment horizontal="center"/>
    </xf>
    <xf numFmtId="168" fontId="15" fillId="0" borderId="89" xfId="0" applyNumberFormat="1" applyFont="1" applyBorder="1" applyAlignment="1">
      <alignment horizontal="center"/>
    </xf>
    <xf numFmtId="168" fontId="15" fillId="0" borderId="9" xfId="0" applyNumberFormat="1" applyFont="1" applyBorder="1" applyAlignment="1">
      <alignment horizontal="center"/>
    </xf>
    <xf numFmtId="0" fontId="14" fillId="0" borderId="5" xfId="0" applyFont="1" applyBorder="1" applyAlignment="1">
      <alignment horizontal="left" wrapText="1"/>
    </xf>
    <xf numFmtId="0" fontId="14" fillId="0" borderId="0" xfId="0" applyFont="1" applyAlignment="1">
      <alignment horizontal="left" wrapText="1"/>
    </xf>
    <xf numFmtId="168" fontId="15" fillId="0" borderId="6" xfId="0" applyNumberFormat="1" applyFont="1" applyBorder="1" applyAlignment="1">
      <alignment horizontal="center"/>
    </xf>
    <xf numFmtId="168" fontId="15" fillId="0" borderId="1" xfId="0" applyNumberFormat="1" applyFont="1" applyBorder="1" applyAlignment="1">
      <alignment horizontal="center"/>
    </xf>
    <xf numFmtId="168" fontId="15" fillId="0" borderId="16" xfId="0" applyNumberFormat="1" applyFont="1" applyBorder="1" applyAlignment="1">
      <alignment horizontal="center"/>
    </xf>
    <xf numFmtId="0" fontId="14" fillId="0" borderId="6" xfId="0" applyFont="1" applyBorder="1" applyAlignment="1">
      <alignment horizontal="left" vertical="top" wrapText="1"/>
    </xf>
    <xf numFmtId="0" fontId="14" fillId="0" borderId="1" xfId="0" applyFont="1" applyBorder="1" applyAlignment="1">
      <alignment horizontal="left" vertical="top" wrapText="1"/>
    </xf>
    <xf numFmtId="0" fontId="14" fillId="0" borderId="16" xfId="0" applyFont="1" applyBorder="1" applyAlignment="1">
      <alignment horizontal="left" vertical="top" wrapText="1"/>
    </xf>
    <xf numFmtId="168" fontId="15" fillId="0" borderId="80" xfId="4" applyNumberFormat="1" applyFont="1" applyBorder="1" applyAlignment="1">
      <alignment horizontal="center"/>
    </xf>
    <xf numFmtId="168" fontId="15" fillId="0" borderId="81" xfId="4" applyNumberFormat="1" applyFont="1" applyBorder="1" applyAlignment="1">
      <alignment horizontal="center"/>
    </xf>
    <xf numFmtId="168" fontId="15" fillId="0" borderId="19" xfId="4" applyNumberFormat="1" applyFont="1" applyBorder="1" applyAlignment="1">
      <alignment horizontal="center"/>
    </xf>
    <xf numFmtId="0" fontId="7" fillId="0" borderId="1" xfId="0" applyFont="1" applyBorder="1" applyAlignment="1">
      <alignment horizontal="center"/>
    </xf>
    <xf numFmtId="49" fontId="1" fillId="0" borderId="0" xfId="0" applyNumberFormat="1" applyFont="1" applyAlignment="1">
      <alignment vertical="top"/>
    </xf>
    <xf numFmtId="43" fontId="4" fillId="0" borderId="4" xfId="1" applyFont="1" applyBorder="1" applyAlignment="1">
      <alignment horizontal="center" vertical="top" wrapText="1"/>
    </xf>
    <xf numFmtId="43" fontId="4" fillId="0" borderId="2" xfId="1" applyFont="1" applyBorder="1" applyAlignment="1">
      <alignment horizontal="center" vertical="top" wrapText="1"/>
    </xf>
    <xf numFmtId="43" fontId="3" fillId="0" borderId="5" xfId="1" applyFont="1" applyBorder="1" applyAlignment="1">
      <alignment horizontal="center" vertical="top" wrapText="1"/>
    </xf>
    <xf numFmtId="43" fontId="3" fillId="0" borderId="0" xfId="1" applyFont="1" applyBorder="1" applyAlignment="1">
      <alignment horizontal="center" vertical="top" wrapText="1"/>
    </xf>
    <xf numFmtId="43" fontId="4" fillId="0" borderId="4" xfId="1" applyFont="1" applyBorder="1" applyAlignment="1">
      <alignment horizontal="center" vertical="top"/>
    </xf>
    <xf numFmtId="43" fontId="4" fillId="0" borderId="2" xfId="1" applyFont="1" applyBorder="1" applyAlignment="1">
      <alignment horizontal="center" vertical="top"/>
    </xf>
    <xf numFmtId="49" fontId="2" fillId="0" borderId="0" xfId="0" applyNumberFormat="1" applyFont="1" applyAlignment="1">
      <alignment vertical="top"/>
    </xf>
    <xf numFmtId="49" fontId="1" fillId="0" borderId="1" xfId="0" applyNumberFormat="1" applyFont="1" applyBorder="1" applyAlignment="1">
      <alignment vertical="top"/>
    </xf>
    <xf numFmtId="49" fontId="2" fillId="0" borderId="2" xfId="0" applyNumberFormat="1" applyFont="1" applyBorder="1" applyAlignment="1">
      <alignment vertical="top"/>
    </xf>
    <xf numFmtId="0" fontId="34" fillId="0" borderId="17" xfId="0" applyFont="1" applyBorder="1" applyAlignment="1">
      <alignment horizontal="center"/>
    </xf>
    <xf numFmtId="0" fontId="34" fillId="0" borderId="3" xfId="0" applyFont="1" applyBorder="1" applyAlignment="1">
      <alignment horizontal="center"/>
    </xf>
    <xf numFmtId="0" fontId="34" fillId="0" borderId="19" xfId="0" applyFont="1" applyBorder="1" applyAlignment="1">
      <alignment horizontal="center"/>
    </xf>
    <xf numFmtId="172" fontId="31" fillId="0" borderId="0" xfId="14" applyFont="1" applyAlignment="1">
      <alignment horizontal="center" vertical="top"/>
    </xf>
    <xf numFmtId="172" fontId="31" fillId="0" borderId="0" xfId="14" applyFont="1" applyBorder="1" applyAlignment="1">
      <alignment horizontal="center" vertical="top"/>
    </xf>
    <xf numFmtId="172" fontId="33" fillId="0" borderId="0" xfId="14" applyFont="1" applyBorder="1" applyAlignment="1">
      <alignment horizontal="center" vertical="top"/>
    </xf>
    <xf numFmtId="172" fontId="34" fillId="0" borderId="21" xfId="14" applyFont="1" applyBorder="1" applyAlignment="1">
      <alignment horizontal="center" vertical="top" wrapText="1"/>
    </xf>
    <xf numFmtId="172" fontId="34" fillId="0" borderId="27" xfId="14" applyFont="1" applyBorder="1" applyAlignment="1">
      <alignment horizontal="center" vertical="top" wrapText="1"/>
    </xf>
    <xf numFmtId="172" fontId="34" fillId="0" borderId="22" xfId="14" applyFont="1" applyBorder="1" applyAlignment="1">
      <alignment horizontal="center" vertical="center"/>
    </xf>
    <xf numFmtId="172" fontId="34" fillId="0" borderId="28" xfId="14" applyFont="1" applyBorder="1" applyAlignment="1">
      <alignment horizontal="center" vertical="center"/>
    </xf>
    <xf numFmtId="172" fontId="34" fillId="0" borderId="23" xfId="14" applyFont="1" applyBorder="1" applyAlignment="1">
      <alignment horizontal="center"/>
    </xf>
    <xf numFmtId="172" fontId="34" fillId="0" borderId="24" xfId="14" applyFont="1" applyBorder="1" applyAlignment="1">
      <alignment horizontal="center"/>
    </xf>
    <xf numFmtId="172" fontId="34" fillId="0" borderId="25" xfId="14" applyFont="1" applyBorder="1" applyAlignment="1">
      <alignment horizontal="center"/>
    </xf>
    <xf numFmtId="172" fontId="34" fillId="0" borderId="26" xfId="14" applyFont="1" applyBorder="1" applyAlignment="1">
      <alignment horizontal="center"/>
    </xf>
    <xf numFmtId="0" fontId="69" fillId="8" borderId="51" xfId="0" applyFont="1" applyFill="1" applyBorder="1" applyAlignment="1" applyProtection="1">
      <alignment horizontal="center" vertical="center"/>
      <protection hidden="1"/>
    </xf>
    <xf numFmtId="0" fontId="69" fillId="8" borderId="54" xfId="0" applyFont="1" applyFill="1" applyBorder="1" applyAlignment="1" applyProtection="1">
      <alignment horizontal="center" vertical="center"/>
      <protection hidden="1"/>
    </xf>
    <xf numFmtId="14" fontId="70" fillId="8" borderId="57" xfId="0" applyNumberFormat="1" applyFont="1" applyFill="1" applyBorder="1" applyAlignment="1" applyProtection="1">
      <alignment horizontal="center" vertical="center"/>
      <protection hidden="1"/>
    </xf>
    <xf numFmtId="14" fontId="70" fillId="8" borderId="58" xfId="0" applyNumberFormat="1" applyFont="1" applyFill="1" applyBorder="1" applyAlignment="1" applyProtection="1">
      <alignment horizontal="center" vertical="center"/>
      <protection hidden="1"/>
    </xf>
    <xf numFmtId="14" fontId="70" fillId="8" borderId="59" xfId="0" applyNumberFormat="1" applyFont="1" applyFill="1" applyBorder="1" applyAlignment="1" applyProtection="1">
      <alignment horizontal="center" vertical="center"/>
      <protection hidden="1"/>
    </xf>
    <xf numFmtId="14" fontId="70" fillId="8" borderId="57" xfId="0" applyNumberFormat="1" applyFont="1" applyFill="1" applyBorder="1" applyAlignment="1" applyProtection="1">
      <alignment horizontal="center"/>
      <protection hidden="1"/>
    </xf>
    <xf numFmtId="0" fontId="70" fillId="8" borderId="58" xfId="0" applyFont="1" applyFill="1" applyBorder="1" applyAlignment="1" applyProtection="1">
      <alignment horizontal="center"/>
      <protection hidden="1"/>
    </xf>
    <xf numFmtId="0" fontId="70" fillId="8" borderId="50" xfId="0" applyFont="1" applyFill="1" applyBorder="1" applyAlignment="1" applyProtection="1">
      <alignment horizontal="center"/>
      <protection hidden="1"/>
    </xf>
    <xf numFmtId="0" fontId="68" fillId="8" borderId="48" xfId="0" applyFont="1" applyFill="1" applyBorder="1" applyAlignment="1">
      <alignment horizontal="center"/>
    </xf>
    <xf numFmtId="0" fontId="68" fillId="8" borderId="56" xfId="0" applyFont="1" applyFill="1" applyBorder="1" applyAlignment="1">
      <alignment horizontal="center"/>
    </xf>
    <xf numFmtId="168" fontId="95" fillId="0" borderId="4" xfId="38" applyNumberFormat="1" applyFont="1" applyBorder="1" applyAlignment="1">
      <alignment horizontal="center"/>
    </xf>
    <xf numFmtId="168" fontId="95" fillId="0" borderId="89" xfId="38" applyNumberFormat="1" applyFont="1" applyBorder="1" applyAlignment="1">
      <alignment horizontal="center"/>
    </xf>
    <xf numFmtId="168" fontId="95" fillId="0" borderId="9" xfId="38" applyNumberFormat="1" applyFont="1" applyBorder="1" applyAlignment="1">
      <alignment horizontal="center"/>
    </xf>
    <xf numFmtId="168" fontId="95" fillId="0" borderId="5" xfId="38" applyNumberFormat="1" applyFont="1" applyBorder="1" applyAlignment="1">
      <alignment horizontal="center"/>
    </xf>
    <xf numFmtId="168" fontId="95" fillId="0" borderId="0" xfId="38" applyNumberFormat="1" applyFont="1" applyAlignment="1">
      <alignment horizontal="center"/>
    </xf>
    <xf numFmtId="168" fontId="95" fillId="0" borderId="10" xfId="38" applyNumberFormat="1" applyFont="1" applyBorder="1" applyAlignment="1">
      <alignment horizontal="center"/>
    </xf>
    <xf numFmtId="184" fontId="95" fillId="0" borderId="5" xfId="38" applyNumberFormat="1" applyFont="1" applyBorder="1" applyAlignment="1">
      <alignment horizontal="center"/>
    </xf>
    <xf numFmtId="184" fontId="95" fillId="0" borderId="0" xfId="38" applyNumberFormat="1" applyFont="1" applyAlignment="1">
      <alignment horizontal="center"/>
    </xf>
    <xf numFmtId="184" fontId="95" fillId="0" borderId="10" xfId="38" applyNumberFormat="1" applyFont="1" applyBorder="1" applyAlignment="1">
      <alignment horizontal="center"/>
    </xf>
    <xf numFmtId="168" fontId="59" fillId="0" borderId="17" xfId="19" applyNumberFormat="1" applyFont="1" applyBorder="1" applyAlignment="1">
      <alignment horizontal="center" vertical="top" wrapText="1"/>
    </xf>
    <xf numFmtId="168" fontId="59" fillId="0" borderId="3" xfId="19" applyNumberFormat="1" applyFont="1" applyBorder="1" applyAlignment="1">
      <alignment horizontal="center" vertical="top" wrapText="1"/>
    </xf>
    <xf numFmtId="168" fontId="59" fillId="0" borderId="11" xfId="19" applyNumberFormat="1" applyFont="1" applyBorder="1" applyAlignment="1">
      <alignment horizontal="center" vertical="top" wrapText="1"/>
    </xf>
    <xf numFmtId="170" fontId="59" fillId="0" borderId="13" xfId="20" applyNumberFormat="1" applyFont="1" applyBorder="1" applyAlignment="1">
      <alignment horizontal="center"/>
    </xf>
    <xf numFmtId="172" fontId="59" fillId="0" borderId="5" xfId="20" applyNumberFormat="1" applyFont="1" applyBorder="1" applyAlignment="1">
      <alignment horizontal="right"/>
    </xf>
    <xf numFmtId="172" fontId="59" fillId="0" borderId="0" xfId="20" applyNumberFormat="1" applyFont="1" applyAlignment="1">
      <alignment horizontal="right"/>
    </xf>
    <xf numFmtId="172" fontId="59" fillId="0" borderId="10" xfId="20" applyNumberFormat="1" applyFont="1" applyBorder="1" applyAlignment="1">
      <alignment horizontal="right"/>
    </xf>
    <xf numFmtId="0" fontId="6" fillId="0" borderId="4" xfId="0" applyFont="1" applyBorder="1" applyAlignment="1">
      <alignment horizontal="left" vertical="center"/>
    </xf>
    <xf numFmtId="0" fontId="6" fillId="0" borderId="89" xfId="0" applyFont="1" applyBorder="1" applyAlignment="1">
      <alignment horizontal="left" vertical="center"/>
    </xf>
    <xf numFmtId="0" fontId="6" fillId="0" borderId="9"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88" xfId="0" applyFont="1" applyBorder="1" applyAlignment="1">
      <alignment horizontal="left" vertical="center"/>
    </xf>
    <xf numFmtId="0" fontId="6" fillId="0" borderId="12" xfId="0" applyFont="1" applyBorder="1" applyAlignment="1">
      <alignment horizontal="left" vertical="center"/>
    </xf>
    <xf numFmtId="0" fontId="6" fillId="0" borderId="80" xfId="0" applyFont="1" applyBorder="1" applyAlignment="1">
      <alignment horizontal="center"/>
    </xf>
    <xf numFmtId="0" fontId="6" fillId="0" borderId="19" xfId="0" applyFont="1" applyBorder="1" applyAlignment="1">
      <alignment horizontal="center"/>
    </xf>
    <xf numFmtId="0" fontId="6" fillId="0" borderId="88" xfId="0" applyFont="1" applyBorder="1" applyAlignment="1">
      <alignment horizontal="center" vertical="center"/>
    </xf>
    <xf numFmtId="0" fontId="6" fillId="0" borderId="12" xfId="0" applyFont="1" applyBorder="1" applyAlignment="1">
      <alignment horizontal="center" vertical="center"/>
    </xf>
    <xf numFmtId="0" fontId="0" fillId="0" borderId="80" xfId="0" applyBorder="1" applyAlignment="1">
      <alignment horizontal="center"/>
    </xf>
    <xf numFmtId="0" fontId="0" fillId="0" borderId="81" xfId="0" applyBorder="1" applyAlignment="1">
      <alignment horizontal="center"/>
    </xf>
    <xf numFmtId="0" fontId="0" fillId="0" borderId="19" xfId="0" applyBorder="1" applyAlignment="1">
      <alignment horizontal="center"/>
    </xf>
    <xf numFmtId="0" fontId="6" fillId="0" borderId="81" xfId="0" applyFont="1" applyBorder="1" applyAlignment="1">
      <alignment horizontal="center"/>
    </xf>
    <xf numFmtId="170" fontId="72" fillId="0" borderId="88" xfId="33" applyNumberFormat="1" applyFont="1" applyFill="1" applyBorder="1" applyAlignment="1">
      <alignment horizontal="center" wrapText="1"/>
    </xf>
    <xf numFmtId="168" fontId="90" fillId="0" borderId="13" xfId="34" applyNumberFormat="1" applyFont="1" applyBorder="1" applyAlignment="1">
      <alignment horizontal="center" wrapText="1"/>
    </xf>
    <xf numFmtId="168" fontId="90" fillId="0" borderId="12" xfId="34" applyNumberFormat="1" applyFont="1" applyBorder="1" applyAlignment="1">
      <alignment horizontal="center" wrapText="1"/>
    </xf>
    <xf numFmtId="0" fontId="72" fillId="0" borderId="4" xfId="32" applyFont="1" applyBorder="1" applyAlignment="1">
      <alignment horizontal="center"/>
    </xf>
    <xf numFmtId="0" fontId="72" fillId="0" borderId="89" xfId="32" applyFont="1" applyBorder="1" applyAlignment="1">
      <alignment horizontal="center"/>
    </xf>
    <xf numFmtId="0" fontId="72" fillId="0" borderId="9" xfId="32" applyFont="1" applyBorder="1" applyAlignment="1">
      <alignment horizontal="center"/>
    </xf>
    <xf numFmtId="168" fontId="72" fillId="0" borderId="5" xfId="34" applyNumberFormat="1" applyFont="1" applyBorder="1" applyAlignment="1">
      <alignment horizontal="center"/>
    </xf>
    <xf numFmtId="168" fontId="72" fillId="0" borderId="0" xfId="34" applyNumberFormat="1" applyFont="1" applyAlignment="1">
      <alignment horizontal="center"/>
    </xf>
    <xf numFmtId="168" fontId="72" fillId="0" borderId="10" xfId="34" applyNumberFormat="1" applyFont="1" applyBorder="1" applyAlignment="1">
      <alignment horizontal="center"/>
    </xf>
    <xf numFmtId="0" fontId="91" fillId="0" borderId="5" xfId="35" applyFont="1" applyFill="1" applyBorder="1" applyAlignment="1" applyProtection="1">
      <alignment horizontal="center"/>
    </xf>
    <xf numFmtId="0" fontId="91" fillId="0" borderId="0" xfId="35" applyFont="1" applyFill="1" applyBorder="1" applyAlignment="1" applyProtection="1">
      <alignment horizontal="center"/>
    </xf>
    <xf numFmtId="0" fontId="91" fillId="0" borderId="10" xfId="35" applyFont="1" applyFill="1" applyBorder="1" applyAlignment="1" applyProtection="1">
      <alignment horizontal="center"/>
    </xf>
    <xf numFmtId="170" fontId="72" fillId="0" borderId="5" xfId="33" applyNumberFormat="1" applyFont="1" applyFill="1" applyBorder="1" applyAlignment="1">
      <alignment horizontal="center"/>
    </xf>
    <xf numFmtId="170" fontId="72" fillId="0" borderId="0" xfId="33" applyNumberFormat="1" applyFont="1" applyFill="1" applyBorder="1" applyAlignment="1">
      <alignment horizontal="center"/>
    </xf>
    <xf numFmtId="170" fontId="72" fillId="0" borderId="10" xfId="33" applyNumberFormat="1" applyFont="1" applyFill="1" applyBorder="1" applyAlignment="1">
      <alignment horizontal="center"/>
    </xf>
    <xf numFmtId="170" fontId="72" fillId="0" borderId="80" xfId="33" applyNumberFormat="1" applyFont="1" applyFill="1" applyBorder="1" applyAlignment="1">
      <alignment horizontal="center"/>
    </xf>
    <xf numFmtId="170" fontId="72" fillId="0" borderId="19" xfId="33" applyNumberFormat="1" applyFont="1" applyFill="1" applyBorder="1" applyAlignment="1">
      <alignment horizontal="center"/>
    </xf>
    <xf numFmtId="170" fontId="72" fillId="0" borderId="80" xfId="36" applyNumberFormat="1" applyFont="1" applyFill="1" applyBorder="1" applyAlignment="1">
      <alignment horizontal="center"/>
    </xf>
    <xf numFmtId="170" fontId="72" fillId="0" borderId="19" xfId="36" applyNumberFormat="1" applyFont="1" applyFill="1" applyBorder="1" applyAlignment="1">
      <alignment horizontal="center"/>
    </xf>
    <xf numFmtId="0" fontId="107" fillId="0" borderId="0" xfId="31" applyFont="1" applyAlignment="1">
      <alignment horizontal="center"/>
    </xf>
    <xf numFmtId="0" fontId="108" fillId="0" borderId="80" xfId="31" applyFont="1" applyBorder="1" applyAlignment="1">
      <alignment horizontal="center"/>
    </xf>
    <xf numFmtId="0" fontId="108" fillId="0" borderId="81" xfId="31" applyFont="1" applyBorder="1" applyAlignment="1">
      <alignment horizontal="center"/>
    </xf>
    <xf numFmtId="0" fontId="108" fillId="0" borderId="19" xfId="31" applyFont="1" applyBorder="1" applyAlignment="1">
      <alignment horizontal="center"/>
    </xf>
    <xf numFmtId="0" fontId="113" fillId="0" borderId="0" xfId="31" applyFont="1" applyAlignment="1">
      <alignment horizontal="left"/>
    </xf>
    <xf numFmtId="0" fontId="6" fillId="0" borderId="0" xfId="0" applyFont="1" applyAlignment="1">
      <alignment horizontal="center"/>
    </xf>
    <xf numFmtId="0" fontId="6" fillId="0" borderId="7" xfId="10" applyFont="1" applyBorder="1" applyAlignment="1">
      <alignment horizontal="center"/>
    </xf>
    <xf numFmtId="168" fontId="54" fillId="0" borderId="0" xfId="16" applyNumberFormat="1" applyFont="1" applyAlignment="1">
      <alignment horizontal="center"/>
    </xf>
    <xf numFmtId="0" fontId="88" fillId="0" borderId="0" xfId="31" applyFont="1" applyAlignment="1">
      <alignment horizontal="center"/>
    </xf>
    <xf numFmtId="0" fontId="22" fillId="0" borderId="0" xfId="31" applyFont="1" applyAlignment="1">
      <alignment horizontal="center" vertical="center"/>
    </xf>
    <xf numFmtId="0" fontId="6" fillId="10" borderId="7" xfId="31" applyFont="1" applyFill="1" applyBorder="1" applyAlignment="1">
      <alignment horizontal="center" vertical="center"/>
    </xf>
    <xf numFmtId="0" fontId="6" fillId="10" borderId="88" xfId="31" applyFont="1" applyFill="1" applyBorder="1" applyAlignment="1">
      <alignment horizontal="center" vertical="center" wrapText="1" shrinkToFit="1"/>
    </xf>
    <xf numFmtId="0" fontId="6" fillId="10" borderId="12" xfId="31" applyFont="1" applyFill="1" applyBorder="1" applyAlignment="1">
      <alignment horizontal="center" vertical="center" wrapText="1" shrinkToFit="1"/>
    </xf>
    <xf numFmtId="0" fontId="6" fillId="10" borderId="7" xfId="31" applyFont="1" applyFill="1" applyBorder="1" applyAlignment="1">
      <alignment horizontal="center"/>
    </xf>
    <xf numFmtId="0" fontId="6" fillId="0" borderId="17" xfId="0" applyFont="1" applyBorder="1" applyAlignment="1">
      <alignment horizontal="center"/>
    </xf>
    <xf numFmtId="0" fontId="6" fillId="0" borderId="3" xfId="0" applyFont="1" applyBorder="1" applyAlignment="1">
      <alignment horizontal="center"/>
    </xf>
    <xf numFmtId="167" fontId="15" fillId="0" borderId="7" xfId="1" applyNumberFormat="1" applyFont="1" applyFill="1" applyBorder="1" applyAlignment="1">
      <alignment horizontal="center" vertical="center" wrapText="1"/>
    </xf>
    <xf numFmtId="0" fontId="15" fillId="0" borderId="7" xfId="0" applyFont="1" applyBorder="1" applyAlignment="1">
      <alignment horizontal="left" vertical="center" wrapText="1"/>
    </xf>
    <xf numFmtId="169" fontId="15" fillId="0" borderId="2" xfId="0" applyNumberFormat="1" applyFont="1" applyBorder="1" applyAlignment="1">
      <alignment horizontal="center" vertical="center" wrapText="1"/>
    </xf>
    <xf numFmtId="0" fontId="79" fillId="0" borderId="83" xfId="27" applyFont="1" applyBorder="1" applyAlignment="1" applyProtection="1">
      <alignment horizontal="left" shrinkToFit="1"/>
      <protection locked="0"/>
    </xf>
    <xf numFmtId="0" fontId="79" fillId="0" borderId="84" xfId="27" applyFont="1" applyBorder="1" applyAlignment="1" applyProtection="1">
      <alignment horizontal="left" shrinkToFit="1"/>
      <protection locked="0"/>
    </xf>
    <xf numFmtId="0" fontId="79" fillId="0" borderId="85" xfId="27" applyFont="1" applyBorder="1" applyAlignment="1" applyProtection="1">
      <alignment horizontal="left" shrinkToFit="1"/>
      <protection locked="0"/>
    </xf>
    <xf numFmtId="15" fontId="79" fillId="10" borderId="69" xfId="27" applyNumberFormat="1" applyFont="1" applyFill="1" applyBorder="1" applyAlignment="1" applyProtection="1">
      <alignment horizontal="center" vertical="center" wrapText="1"/>
      <protection locked="0"/>
    </xf>
    <xf numFmtId="15" fontId="79" fillId="10" borderId="73" xfId="27" applyNumberFormat="1" applyFont="1" applyFill="1" applyBorder="1" applyAlignment="1" applyProtection="1">
      <alignment horizontal="center" vertical="center" wrapText="1"/>
      <protection locked="0"/>
    </xf>
    <xf numFmtId="15" fontId="79" fillId="10" borderId="70" xfId="27" applyNumberFormat="1" applyFont="1" applyFill="1" applyBorder="1" applyAlignment="1" applyProtection="1">
      <alignment horizontal="center" vertical="center" wrapText="1"/>
      <protection locked="0"/>
    </xf>
    <xf numFmtId="15" fontId="79" fillId="10" borderId="71" xfId="27" applyNumberFormat="1" applyFont="1" applyFill="1" applyBorder="1" applyAlignment="1" applyProtection="1">
      <alignment horizontal="center" vertical="center" wrapText="1"/>
      <protection locked="0"/>
    </xf>
    <xf numFmtId="15" fontId="79" fillId="10" borderId="72" xfId="27" applyNumberFormat="1" applyFont="1" applyFill="1" applyBorder="1" applyAlignment="1" applyProtection="1">
      <alignment horizontal="center" vertical="center" wrapText="1"/>
      <protection locked="0"/>
    </xf>
    <xf numFmtId="0" fontId="87" fillId="0" borderId="82" xfId="27" applyFont="1" applyBorder="1" applyAlignment="1" applyProtection="1">
      <alignment horizontal="left" vertical="center" wrapText="1"/>
      <protection locked="0"/>
    </xf>
    <xf numFmtId="172" fontId="79" fillId="0" borderId="83" xfId="28" applyFont="1" applyFill="1" applyBorder="1" applyAlignment="1" applyProtection="1">
      <alignment horizontal="left" vertical="center" shrinkToFit="1"/>
      <protection locked="0"/>
    </xf>
    <xf numFmtId="172" fontId="79" fillId="0" borderId="84" xfId="28" applyFont="1" applyFill="1" applyBorder="1" applyAlignment="1" applyProtection="1">
      <alignment horizontal="left" vertical="center" shrinkToFit="1"/>
      <protection locked="0"/>
    </xf>
    <xf numFmtId="172" fontId="79" fillId="0" borderId="85" xfId="28" applyFont="1" applyFill="1" applyBorder="1" applyAlignment="1" applyProtection="1">
      <alignment horizontal="left" vertical="center" shrinkToFit="1"/>
      <protection locked="0"/>
    </xf>
    <xf numFmtId="0" fontId="79" fillId="9" borderId="0" xfId="27" applyFont="1" applyFill="1" applyAlignment="1" applyProtection="1">
      <alignment horizontal="center" vertical="center" shrinkToFit="1"/>
      <protection locked="0"/>
    </xf>
    <xf numFmtId="0" fontId="79" fillId="9" borderId="0" xfId="27" applyFont="1" applyFill="1" applyAlignment="1" applyProtection="1">
      <alignment horizontal="center" vertical="top" wrapText="1"/>
      <protection locked="0"/>
    </xf>
    <xf numFmtId="0" fontId="79" fillId="10" borderId="69" xfId="27" applyFont="1" applyFill="1" applyBorder="1" applyAlignment="1" applyProtection="1">
      <alignment horizontal="center" vertical="center" wrapText="1"/>
      <protection locked="0"/>
    </xf>
    <xf numFmtId="0" fontId="79" fillId="10" borderId="73" xfId="27" applyFont="1" applyFill="1" applyBorder="1" applyAlignment="1" applyProtection="1">
      <alignment horizontal="center" vertical="center" wrapText="1"/>
      <protection locked="0"/>
    </xf>
    <xf numFmtId="0" fontId="79" fillId="10" borderId="69" xfId="27" applyFont="1" applyFill="1" applyBorder="1" applyAlignment="1" applyProtection="1">
      <alignment horizontal="center" vertical="center" shrinkToFit="1"/>
      <protection locked="0"/>
    </xf>
    <xf numFmtId="0" fontId="79" fillId="10" borderId="73" xfId="27" applyFont="1" applyFill="1" applyBorder="1" applyAlignment="1" applyProtection="1">
      <alignment horizontal="center" vertical="center" shrinkToFit="1"/>
      <protection locked="0"/>
    </xf>
    <xf numFmtId="172" fontId="79" fillId="10" borderId="69" xfId="28" applyFont="1" applyFill="1" applyBorder="1" applyAlignment="1" applyProtection="1">
      <alignment horizontal="center" vertical="center" wrapText="1"/>
      <protection locked="0"/>
    </xf>
    <xf numFmtId="172" fontId="79" fillId="10" borderId="73" xfId="28" applyFont="1" applyFill="1" applyBorder="1" applyAlignment="1" applyProtection="1">
      <alignment horizontal="center" vertical="center" wrapText="1"/>
      <protection locked="0"/>
    </xf>
    <xf numFmtId="49" fontId="4" fillId="0" borderId="4" xfId="0" applyNumberFormat="1" applyFont="1" applyBorder="1" applyAlignment="1">
      <alignment horizontal="center" vertical="top"/>
    </xf>
    <xf numFmtId="49" fontId="4" fillId="0" borderId="89" xfId="0" applyNumberFormat="1" applyFont="1" applyBorder="1" applyAlignment="1">
      <alignment horizontal="center" vertical="top"/>
    </xf>
    <xf numFmtId="49" fontId="2" fillId="0" borderId="89" xfId="0" applyNumberFormat="1" applyFont="1" applyBorder="1" applyAlignment="1">
      <alignment vertical="top"/>
    </xf>
    <xf numFmtId="49" fontId="4" fillId="0" borderId="4" xfId="0" applyNumberFormat="1" applyFont="1" applyBorder="1" applyAlignment="1">
      <alignment horizontal="center" vertical="top" wrapText="1"/>
    </xf>
    <xf numFmtId="49" fontId="4" fillId="0" borderId="89" xfId="0"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49" fontId="3" fillId="0" borderId="0" xfId="0" applyNumberFormat="1" applyFont="1" applyAlignment="1">
      <alignment horizontal="center" vertical="top" wrapText="1"/>
    </xf>
    <xf numFmtId="49" fontId="4" fillId="0" borderId="2" xfId="0" applyNumberFormat="1" applyFont="1" applyBorder="1" applyAlignment="1">
      <alignment horizontal="center" vertical="top"/>
    </xf>
    <xf numFmtId="49" fontId="4" fillId="0" borderId="2" xfId="0" applyNumberFormat="1" applyFont="1" applyBorder="1" applyAlignment="1">
      <alignment horizontal="center" vertical="top" wrapText="1"/>
    </xf>
  </cellXfs>
  <cellStyles count="47">
    <cellStyle name="Comma" xfId="1" builtinId="3"/>
    <cellStyle name="Comma 10 10" xfId="21" xr:uid="{00000000-0005-0000-0000-000001000000}"/>
    <cellStyle name="Comma 11 2 2 2" xfId="28" xr:uid="{00000000-0005-0000-0000-000002000000}"/>
    <cellStyle name="Comma 13" xfId="17" xr:uid="{00000000-0005-0000-0000-000003000000}"/>
    <cellStyle name="Comma 16" xfId="33" xr:uid="{00000000-0005-0000-0000-000004000000}"/>
    <cellStyle name="Comma 2" xfId="14" xr:uid="{00000000-0005-0000-0000-000005000000}"/>
    <cellStyle name="Comma 2 2" xfId="44" xr:uid="{00000000-0005-0000-0000-000006000000}"/>
    <cellStyle name="Comma 2 8 6" xfId="24" xr:uid="{00000000-0005-0000-0000-000007000000}"/>
    <cellStyle name="Comma 20" xfId="20" xr:uid="{00000000-0005-0000-0000-000008000000}"/>
    <cellStyle name="Comma 21 6" xfId="12" xr:uid="{00000000-0005-0000-0000-000009000000}"/>
    <cellStyle name="Comma 26" xfId="39" xr:uid="{00000000-0005-0000-0000-00000A000000}"/>
    <cellStyle name="Comma 3 29" xfId="40" xr:uid="{00000000-0005-0000-0000-00000B000000}"/>
    <cellStyle name="Comma 38" xfId="7" xr:uid="{00000000-0005-0000-0000-00000C000000}"/>
    <cellStyle name="Comma 9 6" xfId="43" xr:uid="{00000000-0005-0000-0000-00000D000000}"/>
    <cellStyle name="Comma_BALANCE SHEET 240605 SUSHIL" xfId="36" xr:uid="{00000000-0005-0000-0000-00000E000000}"/>
    <cellStyle name="Hyperlink" xfId="25" builtinId="8"/>
    <cellStyle name="Hyperlink 2" xfId="35" xr:uid="{00000000-0005-0000-0000-000010000000}"/>
    <cellStyle name="Normal" xfId="0" builtinId="0"/>
    <cellStyle name="Normal 10" xfId="18" xr:uid="{00000000-0005-0000-0000-000012000000}"/>
    <cellStyle name="Normal 10 2" xfId="10" xr:uid="{00000000-0005-0000-0000-000013000000}"/>
    <cellStyle name="Normal 10 3" xfId="31" xr:uid="{00000000-0005-0000-0000-000014000000}"/>
    <cellStyle name="Normal 13" xfId="34" xr:uid="{00000000-0005-0000-0000-000015000000}"/>
    <cellStyle name="Normal 16" xfId="3" xr:uid="{00000000-0005-0000-0000-000016000000}"/>
    <cellStyle name="Normal 18" xfId="19" xr:uid="{00000000-0005-0000-0000-000017000000}"/>
    <cellStyle name="Normal 19 6" xfId="11" xr:uid="{00000000-0005-0000-0000-000018000000}"/>
    <cellStyle name="Normal 2" xfId="15" xr:uid="{00000000-0005-0000-0000-000019000000}"/>
    <cellStyle name="Normal 2 2" xfId="45" xr:uid="{00000000-0005-0000-0000-00001A000000}"/>
    <cellStyle name="Normal 22" xfId="38" xr:uid="{00000000-0005-0000-0000-00001B000000}"/>
    <cellStyle name="Normal 3" xfId="30" xr:uid="{00000000-0005-0000-0000-00001C000000}"/>
    <cellStyle name="Normal 4" xfId="26" xr:uid="{00000000-0005-0000-0000-00001D000000}"/>
    <cellStyle name="Normal 6" xfId="4" xr:uid="{00000000-0005-0000-0000-00001E000000}"/>
    <cellStyle name="Normal 6 12" xfId="46" xr:uid="{00000000-0005-0000-0000-00001F000000}"/>
    <cellStyle name="Normal 6 25" xfId="9" xr:uid="{00000000-0005-0000-0000-000020000000}"/>
    <cellStyle name="Normal 7" xfId="29" xr:uid="{00000000-0005-0000-0000-000021000000}"/>
    <cellStyle name="Normal 8 9" xfId="27" xr:uid="{00000000-0005-0000-0000-000022000000}"/>
    <cellStyle name="Normal 81" xfId="41" xr:uid="{00000000-0005-0000-0000-000023000000}"/>
    <cellStyle name="Normal_BAL30.9-1" xfId="37" xr:uid="{00000000-0005-0000-0000-000024000000}"/>
    <cellStyle name="Normal_BALANCE SHEET 240605 SUSHIL (FINAL)" xfId="16" xr:uid="{00000000-0005-0000-0000-000025000000}"/>
    <cellStyle name="Normal_BALANCESHEET 31.03.2003(FINAL)" xfId="32" xr:uid="{00000000-0005-0000-0000-000026000000}"/>
    <cellStyle name="Normal_Final Balance Sheet 25.10.04" xfId="23" xr:uid="{00000000-0005-0000-0000-000027000000}"/>
    <cellStyle name="Normal_Kaygaon revised 310307sushil-1507071" xfId="22" xr:uid="{00000000-0005-0000-0000-000028000000}"/>
    <cellStyle name="Normal_TB" xfId="2" xr:uid="{00000000-0005-0000-0000-000029000000}"/>
    <cellStyle name="Percent" xfId="5" builtinId="5"/>
    <cellStyle name="Percent 11" xfId="42" xr:uid="{00000000-0005-0000-0000-00002B000000}"/>
    <cellStyle name="Percent 2 2" xfId="6" xr:uid="{00000000-0005-0000-0000-00002C000000}"/>
    <cellStyle name="Percent 2 2 2" xfId="13" xr:uid="{00000000-0005-0000-0000-00002D000000}"/>
    <cellStyle name="Percent 3" xfId="8" xr:uid="{00000000-0005-0000-0000-00002E000000}"/>
  </cellStyles>
  <dxfs count="264">
    <dxf>
      <fill>
        <patternFill>
          <bgColor theme="5" tint="0.39994506668294322"/>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border>
        <left/>
        <right/>
        <top/>
        <bottom/>
        <vertical/>
        <horizontal/>
      </border>
    </dxf>
    <dxf>
      <border>
        <left/>
        <right/>
        <top/>
        <bottom/>
        <vertical/>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63" Type="http://schemas.openxmlformats.org/officeDocument/2006/relationships/externalLink" Target="externalLinks/externalLink31.xml"/><Relationship Id="rId68" Type="http://schemas.openxmlformats.org/officeDocument/2006/relationships/externalLink" Target="externalLinks/externalLink36.xml"/><Relationship Id="rId84" Type="http://schemas.openxmlformats.org/officeDocument/2006/relationships/externalLink" Target="externalLinks/externalLink52.xml"/><Relationship Id="rId89" Type="http://schemas.openxmlformats.org/officeDocument/2006/relationships/externalLink" Target="externalLinks/externalLink57.xml"/><Relationship Id="rId7" Type="http://schemas.openxmlformats.org/officeDocument/2006/relationships/worksheet" Target="worksheets/sheet7.xml"/><Relationship Id="rId71" Type="http://schemas.openxmlformats.org/officeDocument/2006/relationships/externalLink" Target="externalLinks/externalLink39.xml"/><Relationship Id="rId92" Type="http://schemas.openxmlformats.org/officeDocument/2006/relationships/externalLink" Target="externalLinks/externalLink6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66" Type="http://schemas.openxmlformats.org/officeDocument/2006/relationships/externalLink" Target="externalLinks/externalLink34.xml"/><Relationship Id="rId74" Type="http://schemas.openxmlformats.org/officeDocument/2006/relationships/externalLink" Target="externalLinks/externalLink42.xml"/><Relationship Id="rId79" Type="http://schemas.openxmlformats.org/officeDocument/2006/relationships/externalLink" Target="externalLinks/externalLink47.xml"/><Relationship Id="rId87" Type="http://schemas.openxmlformats.org/officeDocument/2006/relationships/externalLink" Target="externalLinks/externalLink55.xml"/><Relationship Id="rId102" Type="http://schemas.openxmlformats.org/officeDocument/2006/relationships/externalLink" Target="externalLinks/externalLink70.xml"/><Relationship Id="rId5" Type="http://schemas.openxmlformats.org/officeDocument/2006/relationships/worksheet" Target="worksheets/sheet5.xml"/><Relationship Id="rId61" Type="http://schemas.openxmlformats.org/officeDocument/2006/relationships/externalLink" Target="externalLinks/externalLink29.xml"/><Relationship Id="rId82" Type="http://schemas.openxmlformats.org/officeDocument/2006/relationships/externalLink" Target="externalLinks/externalLink50.xml"/><Relationship Id="rId90" Type="http://schemas.openxmlformats.org/officeDocument/2006/relationships/externalLink" Target="externalLinks/externalLink58.xml"/><Relationship Id="rId95" Type="http://schemas.openxmlformats.org/officeDocument/2006/relationships/externalLink" Target="externalLinks/externalLink6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externalLink" Target="externalLinks/externalLink32.xml"/><Relationship Id="rId69" Type="http://schemas.openxmlformats.org/officeDocument/2006/relationships/externalLink" Target="externalLinks/externalLink37.xml"/><Relationship Id="rId77" Type="http://schemas.openxmlformats.org/officeDocument/2006/relationships/externalLink" Target="externalLinks/externalLink45.xml"/><Relationship Id="rId100" Type="http://schemas.openxmlformats.org/officeDocument/2006/relationships/externalLink" Target="externalLinks/externalLink68.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9.xml"/><Relationship Id="rId72" Type="http://schemas.openxmlformats.org/officeDocument/2006/relationships/externalLink" Target="externalLinks/externalLink40.xml"/><Relationship Id="rId80" Type="http://schemas.openxmlformats.org/officeDocument/2006/relationships/externalLink" Target="externalLinks/externalLink48.xml"/><Relationship Id="rId85" Type="http://schemas.openxmlformats.org/officeDocument/2006/relationships/externalLink" Target="externalLinks/externalLink53.xml"/><Relationship Id="rId93" Type="http://schemas.openxmlformats.org/officeDocument/2006/relationships/externalLink" Target="externalLinks/externalLink61.xml"/><Relationship Id="rId98" Type="http://schemas.openxmlformats.org/officeDocument/2006/relationships/externalLink" Target="externalLinks/externalLink6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externalLink" Target="externalLinks/externalLink27.xml"/><Relationship Id="rId67" Type="http://schemas.openxmlformats.org/officeDocument/2006/relationships/externalLink" Target="externalLinks/externalLink35.xml"/><Relationship Id="rId103" Type="http://schemas.openxmlformats.org/officeDocument/2006/relationships/externalLink" Target="externalLinks/externalLink71.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externalLink" Target="externalLinks/externalLink30.xml"/><Relationship Id="rId70" Type="http://schemas.openxmlformats.org/officeDocument/2006/relationships/externalLink" Target="externalLinks/externalLink38.xml"/><Relationship Id="rId75" Type="http://schemas.openxmlformats.org/officeDocument/2006/relationships/externalLink" Target="externalLinks/externalLink43.xml"/><Relationship Id="rId83" Type="http://schemas.openxmlformats.org/officeDocument/2006/relationships/externalLink" Target="externalLinks/externalLink51.xml"/><Relationship Id="rId88" Type="http://schemas.openxmlformats.org/officeDocument/2006/relationships/externalLink" Target="externalLinks/externalLink56.xml"/><Relationship Id="rId91" Type="http://schemas.openxmlformats.org/officeDocument/2006/relationships/externalLink" Target="externalLinks/externalLink59.xml"/><Relationship Id="rId96" Type="http://schemas.openxmlformats.org/officeDocument/2006/relationships/externalLink" Target="externalLinks/externalLink6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externalLink" Target="externalLinks/externalLink28.xml"/><Relationship Id="rId65" Type="http://schemas.openxmlformats.org/officeDocument/2006/relationships/externalLink" Target="externalLinks/externalLink33.xml"/><Relationship Id="rId73" Type="http://schemas.openxmlformats.org/officeDocument/2006/relationships/externalLink" Target="externalLinks/externalLink41.xml"/><Relationship Id="rId78" Type="http://schemas.openxmlformats.org/officeDocument/2006/relationships/externalLink" Target="externalLinks/externalLink46.xml"/><Relationship Id="rId81" Type="http://schemas.openxmlformats.org/officeDocument/2006/relationships/externalLink" Target="externalLinks/externalLink49.xml"/><Relationship Id="rId86" Type="http://schemas.openxmlformats.org/officeDocument/2006/relationships/externalLink" Target="externalLinks/externalLink54.xml"/><Relationship Id="rId94" Type="http://schemas.openxmlformats.org/officeDocument/2006/relationships/externalLink" Target="externalLinks/externalLink62.xml"/><Relationship Id="rId99" Type="http://schemas.openxmlformats.org/officeDocument/2006/relationships/externalLink" Target="externalLinks/externalLink67.xml"/><Relationship Id="rId101" Type="http://schemas.openxmlformats.org/officeDocument/2006/relationships/externalLink" Target="externalLinks/externalLink6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7.xml"/><Relationship Id="rId34" Type="http://schemas.openxmlformats.org/officeDocument/2006/relationships/externalLink" Target="externalLinks/externalLink2.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76" Type="http://schemas.openxmlformats.org/officeDocument/2006/relationships/externalLink" Target="externalLinks/externalLink44.xml"/><Relationship Id="rId97" Type="http://schemas.openxmlformats.org/officeDocument/2006/relationships/externalLink" Target="externalLinks/externalLink65.xml"/><Relationship Id="rId10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nil\c\My%20Documents\wellknown\6YrAnly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URAV\DATA\WINDOWS\TEMP\WINDOWS\TEMP\BAL59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ernet\c\Audit-2007\Navratna-2007\Navratna%20Sushil%20Final\Navratna%20BS%20prov%20sushi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spl\c\WINDOWS\TEMP\Bal-sh-31.03.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vi\c\FIN2\RAVI\TAXAUDIT\DEPIT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rak-pc\word\Documents%20and%20Settings\administrator\Local%20Settings\Temporary%20Internet%20Files\Content.IE5\7C88GHDK\march2002-tax%20accoun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gfl\DATA1\Audit-F.Y.2003-04\24a%20&amp;%2024b%20-%20Site%20-%2014.08.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rak-pc\word\Documents%20and%20Settings\Praveen\Desktop\FINANCIALS%20-%20APR02-MAR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rak-pc\word\Backup\Balance%20Sheet%202006-07\WINDOWS\Temporary%20Internet%20Files\OLKB086\P_SEG_C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de1\c\Audit-2002\BS%20sept,%2001\Amol\AMOL%20-%20sept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uditor\D\BACKUP%20OF%20SANJAY%20SIR%20AS%20ON%2019-7-06\My%20Documents\BS%202005-2006\Lucky\Audits\Par%20Computer%20Sciences%20Ltd%20New\Par%20Computer%20Sciences%20Ltd\Capital%20Gain%20She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KSP-2006\FA2006\FAINDIAN\AUG'06\FA_INDIAN_CCCO-31.12.2005\Indian%20FA%20Books%2031-12-%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rak-pc\KSP-2006\FA2006\FAINDIAN\AUG'06\FA_INDIAN_CCCO-31.12.2005\Indian%20FA%20Books%2031-12-%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e\KSP-2006\FA2006\FAINDIAN\AUG'06\FA_INDIAN_CCCO-31.12.2005\Indian%20FA%20Books%2031-12-%20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4.71.78\c\Documents%20and%20Settings\Praveen\Desktop\FINANCIALS%20-%20APR02-MAR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rak-pc\word\Documents%20and%20Settings\deepakjain\Desktop\FSD\BGFL%20financial%20stat%20Marchr%20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finalisation07\ABNL%2007\BGFL%20financial%20stat%20March%202007-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finalisation07\ABNL%2007\BSHEETMarch%2007%20(Worl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udit%20Year%20Wise\Audit%202012\Amol%20Group\March%202012\Balance%20sheet%20(amol%20group)with%20workings\Amol\Working\Working\shyam\shyam\TDS%202006-07\eTDSRPUForm26Q_ver3.22Oct_De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rak-pc\Audit%20Year%20Wise\Audit%202012\Amol%20Group\March%202012\Balance%20sheet%20(amol%20group)with%20workings\Amol\Working\Working\shyam\shyam\TDS%202006-07\eTDSRPUForm26Q_ver3.22Oct_Dec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rchana\c\My%20Documents\archana\BKL\B2-039A%20Mann's%20Project%20Management%20Services%20Ltd\Datat%20Sent%20by%20Client\M758%20records\BRP\BRP2%2031%20MPMS%202004-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4.71.78\c\Documents%20and%20Settings\sivaguru\Local%20Settings\Temporary%20Internet%20Files\Content.IE5\OFXNYAJL\PP_Master%20Templat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enith\Malpani%20Auditor\WINDOWS\Temporary%20Internet%20Files\Content.IE5\6Y3HDB9J\Finalisation%20in%20excel_22-09-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eetu\PURU\Documents%20and%20Settings\Administrator\Desktop\Ernst%20&amp;Young\Financials\Purushothaman%20K%20.%20Gopalakrishnan\Andersen%20India%20Data\Client\Dystar\Financials\GRP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server\client%20data\Sturgess%20Hutchinson%20H2\H2-098%20E%20Taylor%20Skip%20Hire%20&amp;%20Recylcing%20Ltd\Final%20Re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Common\Users\acer\Favorites\Downloads\client%20data\Sturgess%20Hutchinson%20H2\H2-098%20E%20Taylor%20Skip%20Hire%20&amp;%20Recylcing%20Ltd\Final%20Rep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rak-pc\Common\Users\acer\Favorites\Downloads\client%20data\Sturgess%20Hutchinson%20H2\H2-098%20E%20Taylor%20Skip%20Hire%20&amp;%20Recylcing%20Ltd\Final%20Re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rchana\c\My%20Documents\archana\B2-032%20Cassel%20Consulting%20Ltd\workings%202004-05\data%20sent%20by%20client\BRP2.31%20Cassel%208.1.04%20to%2031.12.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server\client%20data\My%20Documents\archana\B2-036%20R280%20Rick%20Smith%20Associates%20Limited\Data%20sent%20by%20client\r280%20brp\BRP%201.5.04%20to%2030.4.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mmon\Users\acer\Favorites\Downloads\client%20data\My%20Documents\archana\B2-036%20R280%20Rick%20Smith%20Associates%20Limited\Data%20sent%20by%20client\r280%20brp\BRP%201.5.04%20to%2030.4.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rak-pc\Common\Users\acer\Favorites\Downloads\client%20data\My%20Documents\archana\B2-036%20R280%20Rick%20Smith%20Associates%20Limited\Data%20sent%20by%20client\r280%20brp\BRP%201.5.04%20to%2030.4.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is-ddc\c\Emails\Dipak\CarbonblackMi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nil\FORMATS\Report%20Format-0506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Vinod\C\Documents%20and%20Settings\Administrator\Desktop\ETDS\ETDS%202007\Q3\BALAN\BALAN%2026Q.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nternet\C\Audit%20Folder%2031.03.2008\Audit%20March%202008\Pradeep%20Audit\TDS%20ANNEXTURE%20FINAL\eTDS%2007-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ppl\HAT\Documents%20and%20Settings\Administrator\Desktop\Ashish%20Dec05\Exlpla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BACKUP\DEEPAK%20JAIN\FSD\BGFL%20financial%20stat%20Marchr%2020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AMLESHVIKAMSEY\Data\DATA\EXCEL\ST\ST99\GAUTA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finance\finance%20data\NA%20-%20ASKA\MIS_%20JAN%202017%20ONWARDS\MIS%20REPORT%20April%2016%20~DEC%2016.xls_%20ASD.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rak-pc\finance\finance%20data\NA%20-%20ASKA\MIS_%20JAN%202017%20ONWARDS\MIS%20REPORT%20April%2016%20~DEC%2016.xls_%20ASD.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gfl\data1\user\manish\june2003qtrly\deftax.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Z:\user\manish\December%2004\Dec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0607\canara%20bank\Loan%20amortization-c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rak-pc\0607\canara%20bank\Loan%20amortization-c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JMERA\DATA\My%20Documents\Finalisation\BS%20WORKIN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AURAV\DATA\WINDOWS\DESKTOP\HLL-FILTER-gaurav.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JMERA\DATA\DATA\Audit-2001\Ajit\AMOL\FINAL%20FOLDER\amol-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JMERA\DATA\DATA\Audit-2001\Ajit\AMOL\FINAL%20FOLDER\mai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omp1\c\WINDOWS\TEMP\prov.%20balsheet31.3.03%20uw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ct-old\d\Audit\Tax%20Audit%202006\P&amp;%20Q.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omp1\c\backup%20c\Annual%20Report\Audit\Stock\Copy%20of%20stock%20working.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spl\c\CHANVIM%20GROUP\CHANVIM%20PLASTICS\Audit%202003\Annual%20Report\prov.%20balsheet31.3.03%20uwb.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AILSERVER\Mahesh\Audit\audit_01-02\BS_PL_rep\TB_01_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Documents%20and%20Settings\mhnh\My%20Documents\2001\Asia%20Pacific\Plan\5Y_v2.1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92.168.1.4\kdocicai$\SHAILENDRA%20Dwivedi\block\Annual%20Report\2006-2007\NUVO\New%20Folder\BS%20March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achine2\d\Documents%20and%20Settings\abc\Local%20Settings\Temporary%20Internet%20Files\Content.IE5\87U5HPI7\N%20Backup\Audit-2006\Amol\AUDIT310306\AMOL\BALANCE_SHEET_3132006-FIN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rathmes\d\J%20VISH\Documents%20and%20Settings\deepali\Local%20Settings\Temporary%20Internet%20Files\Content.IE5\EFQJADAR\Documents%20and%20Settings\oprater\Local%20Settings\Temporary%20Internet%20Files\Content.IE5\A1GJI501\Documents%20"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spl\c\Audit-2003\Ramanuj\Annual%20Report\final%20balsheet%20ramanuj.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erver\data\Documents%20and%20Settings\administrator\Local%20Settings\Temporary%20Internet%20Files\Content.IE5\7C88GHDK\march2002-tax%20account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rak-pc\Audit%20Year%20Wise\Audit%202012\Annapurna\WORKINGS\audit%202012\Annual%20report\Annapurna_Final_March_2012%202209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server\Audit%20Year%20Wise\Audit%202013\Annapurna\Annapurna%20New\MARCH%202013\FINAL%20SET\Final%20Set\Annapurna%20%20BS%20Final%2016.08.13%20fin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udit%20Reports\2019-20\Hardoli%20Paper%20Mills%20Limited\Final%201920\Bsheet\BS30062020%20Final.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Users\ABC\Downloads\Draft%20Results.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udit%20Reports\2020-21\Hardoli%20Paper%20Mills%20Pvt%20Ltd\Audit%202021\Documents\STOCK%20STATEMENT%20MARCH'21\CLOSING%20STOCK%20AS%20ON%2031-03-2021.....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udit%20Reports\2020-21\Hardoli%20Paper%20Mills%20Pvt%20Ltd\Audit%202021\Documents\Fixed%20Asset%20Register%20(2)(Latest)%20(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rak-pc\Hardoli%20Paper%20Mills%20Ltd%20Final\BS\FINAL%20BAL%20SHEET%20HARDOLI.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Acer\Downloads\HPML%20BS%20new%20(2).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rak-pc\d\Audit%20Reports\2020-21\Hardoli%20Paper%20Mills%20Pvt%20Ltd\Audit%202021\FInal\Ratios09.06.21.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rak-pc\Hardoli%20Paper%20Mills%20Ltd%20Final\Final%20_HPML%20BS%20March%202017.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rak-pc\Audit%20Reports\2019-20\Hardoli%20Paper%20Mills%20Limited\Final%201920\Bsheet\BS3006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s"/>
      <sheetName val="wpl"/>
      <sheetName val="wtil"/>
      <sheetName val="combined"/>
      <sheetName val="Bal Sht &amp; P&amp;L"/>
      <sheetName val="Challan"/>
      <sheetName val="Bal_Sht_&amp;_P&amp;L1"/>
      <sheetName val="Bal_Sht_&amp;_P&amp;L"/>
      <sheetName val="Bal_Sht_&amp;_P&amp;L2"/>
    </sheetNames>
    <sheetDataSet>
      <sheetData sheetId="0" refreshError="1"/>
      <sheetData sheetId="1">
        <row r="2">
          <cell r="B2" t="str">
            <v>WELLKNOWN  POLYESTERS LTD.</v>
          </cell>
        </row>
        <row r="3">
          <cell r="B3" t="str">
            <v>-</v>
          </cell>
          <cell r="C3" t="str">
            <v>-</v>
          </cell>
          <cell r="D3" t="str">
            <v>-</v>
          </cell>
          <cell r="E3">
            <v>0</v>
          </cell>
          <cell r="F3">
            <v>0</v>
          </cell>
          <cell r="G3">
            <v>0</v>
          </cell>
          <cell r="H3">
            <v>0</v>
          </cell>
        </row>
        <row r="4">
          <cell r="B4" t="str">
            <v>BALANCE    SHEET     FOR    LAST    SIX  YEARS</v>
          </cell>
        </row>
        <row r="6">
          <cell r="B6" t="str">
            <v>-</v>
          </cell>
          <cell r="C6" t="str">
            <v>-</v>
          </cell>
          <cell r="D6" t="str">
            <v>-</v>
          </cell>
          <cell r="E6" t="str">
            <v>-</v>
          </cell>
          <cell r="F6" t="str">
            <v>-</v>
          </cell>
          <cell r="G6" t="str">
            <v>-</v>
          </cell>
          <cell r="H6" t="str">
            <v>-</v>
          </cell>
        </row>
        <row r="7">
          <cell r="B7" t="str">
            <v>PARTICULARS</v>
          </cell>
          <cell r="C7" t="str">
            <v>1997-98</v>
          </cell>
          <cell r="D7" t="str">
            <v>1998-99</v>
          </cell>
          <cell r="E7" t="str">
            <v>1999-00</v>
          </cell>
          <cell r="F7" t="str">
            <v>2000-01</v>
          </cell>
          <cell r="G7" t="str">
            <v>2001-02</v>
          </cell>
          <cell r="H7" t="str">
            <v>2002-03</v>
          </cell>
        </row>
        <row r="8">
          <cell r="B8" t="str">
            <v>-</v>
          </cell>
          <cell r="C8" t="str">
            <v>-</v>
          </cell>
          <cell r="D8" t="str">
            <v>-</v>
          </cell>
          <cell r="E8" t="str">
            <v>-</v>
          </cell>
          <cell r="F8" t="str">
            <v>-</v>
          </cell>
          <cell r="G8" t="str">
            <v>-</v>
          </cell>
          <cell r="H8" t="str">
            <v>-</v>
          </cell>
        </row>
        <row r="9">
          <cell r="B9" t="str">
            <v>SOURCES OF  FUNDS</v>
          </cell>
        </row>
        <row r="11">
          <cell r="B11" t="str">
            <v>Shareholders' Funds</v>
          </cell>
        </row>
        <row r="13">
          <cell r="B13" t="str">
            <v>a. Share  Capital</v>
          </cell>
          <cell r="C13">
            <v>32.729999999999997</v>
          </cell>
          <cell r="D13">
            <v>35.229999999999997</v>
          </cell>
          <cell r="E13">
            <v>35.229999999999997</v>
          </cell>
          <cell r="F13">
            <v>32.729999999999997</v>
          </cell>
          <cell r="G13">
            <v>32.729999999999997</v>
          </cell>
          <cell r="H13">
            <v>50.73</v>
          </cell>
        </row>
        <row r="14">
          <cell r="B14" t="str">
            <v xml:space="preserve">    Growth  %</v>
          </cell>
          <cell r="D14">
            <v>7.6382523678582351E-2</v>
          </cell>
          <cell r="E14">
            <v>0</v>
          </cell>
          <cell r="F14">
            <v>-7.0962248084019311E-2</v>
          </cell>
          <cell r="G14">
            <v>0</v>
          </cell>
          <cell r="H14">
            <v>0.54995417048579287</v>
          </cell>
        </row>
        <row r="16">
          <cell r="B16" t="str">
            <v>b. Share Application  Money</v>
          </cell>
          <cell r="C16">
            <v>0</v>
          </cell>
          <cell r="D16">
            <v>0</v>
          </cell>
          <cell r="E16">
            <v>0</v>
          </cell>
          <cell r="F16">
            <v>0</v>
          </cell>
          <cell r="G16">
            <v>0</v>
          </cell>
          <cell r="H16">
            <v>0</v>
          </cell>
        </row>
        <row r="17">
          <cell r="C17">
            <v>0</v>
          </cell>
          <cell r="D17">
            <v>0</v>
          </cell>
          <cell r="E17">
            <v>0</v>
          </cell>
          <cell r="F17">
            <v>0</v>
          </cell>
          <cell r="G17">
            <v>0</v>
          </cell>
          <cell r="H17">
            <v>0</v>
          </cell>
        </row>
        <row r="18">
          <cell r="B18" t="str">
            <v>c. Reserves and Surplus</v>
          </cell>
          <cell r="C18">
            <v>138.5</v>
          </cell>
          <cell r="D18">
            <v>219.18</v>
          </cell>
          <cell r="E18">
            <v>282.08999999999997</v>
          </cell>
          <cell r="F18">
            <v>258.01</v>
          </cell>
          <cell r="G18">
            <v>367.36700000000002</v>
          </cell>
          <cell r="H18">
            <v>868.21699999999998</v>
          </cell>
        </row>
        <row r="19">
          <cell r="B19" t="str">
            <v xml:space="preserve">    Growth  %</v>
          </cell>
          <cell r="D19">
            <v>0.58252707581227436</v>
          </cell>
          <cell r="E19">
            <v>0.28702436353681887</v>
          </cell>
          <cell r="F19">
            <v>-8.5362827466411384E-2</v>
          </cell>
          <cell r="G19">
            <v>0.42384791287159423</v>
          </cell>
          <cell r="H19">
            <v>1.3633505459118536</v>
          </cell>
        </row>
        <row r="21">
          <cell r="C21" t="str">
            <v>-</v>
          </cell>
          <cell r="D21" t="str">
            <v>-</v>
          </cell>
          <cell r="E21" t="str">
            <v>-</v>
          </cell>
          <cell r="F21" t="str">
            <v>-</v>
          </cell>
          <cell r="G21" t="str">
            <v>-</v>
          </cell>
          <cell r="H21" t="str">
            <v>-</v>
          </cell>
        </row>
        <row r="22">
          <cell r="C22">
            <v>171.23</v>
          </cell>
          <cell r="D22">
            <v>254.41</v>
          </cell>
          <cell r="E22">
            <v>317.32</v>
          </cell>
          <cell r="F22">
            <v>290.74</v>
          </cell>
          <cell r="G22">
            <v>400.09700000000004</v>
          </cell>
          <cell r="H22">
            <v>918.947</v>
          </cell>
        </row>
        <row r="23">
          <cell r="C23" t="str">
            <v>-</v>
          </cell>
          <cell r="D23" t="str">
            <v>-</v>
          </cell>
          <cell r="E23" t="str">
            <v>-</v>
          </cell>
          <cell r="F23" t="str">
            <v>-</v>
          </cell>
          <cell r="G23" t="str">
            <v>-</v>
          </cell>
          <cell r="H23" t="str">
            <v>-</v>
          </cell>
        </row>
        <row r="24">
          <cell r="B24" t="str">
            <v>Loan  Funds</v>
          </cell>
          <cell r="C24">
            <v>0</v>
          </cell>
          <cell r="D24">
            <v>0</v>
          </cell>
          <cell r="E24">
            <v>0</v>
          </cell>
          <cell r="F24">
            <v>0</v>
          </cell>
          <cell r="G24">
            <v>0</v>
          </cell>
          <cell r="H24">
            <v>0</v>
          </cell>
        </row>
        <row r="26">
          <cell r="B26" t="str">
            <v>a. Secured  Loans</v>
          </cell>
          <cell r="C26">
            <v>312.99</v>
          </cell>
          <cell r="D26">
            <v>373.2</v>
          </cell>
          <cell r="E26">
            <v>445.56</v>
          </cell>
          <cell r="F26">
            <v>184.79</v>
          </cell>
          <cell r="G26">
            <v>395.6</v>
          </cell>
          <cell r="H26">
            <v>852.10500000000002</v>
          </cell>
        </row>
        <row r="27">
          <cell r="B27" t="str">
            <v xml:space="preserve">    Growth  %</v>
          </cell>
          <cell r="D27">
            <v>0.19237036327039195</v>
          </cell>
          <cell r="E27">
            <v>0.19389067524115761</v>
          </cell>
          <cell r="F27">
            <v>-0.58526348864350475</v>
          </cell>
          <cell r="G27">
            <v>1.1408084853076468</v>
          </cell>
          <cell r="H27">
            <v>1.1539560161779574</v>
          </cell>
        </row>
        <row r="29">
          <cell r="B29" t="str">
            <v>b.  Unsecured  Loans</v>
          </cell>
          <cell r="C29">
            <v>18.25</v>
          </cell>
          <cell r="D29">
            <v>115.25</v>
          </cell>
          <cell r="E29">
            <v>30.5</v>
          </cell>
          <cell r="F29">
            <v>0</v>
          </cell>
          <cell r="G29">
            <v>0</v>
          </cell>
          <cell r="H29">
            <v>13.885</v>
          </cell>
        </row>
        <row r="30">
          <cell r="C30" t="str">
            <v>-</v>
          </cell>
          <cell r="D30" t="str">
            <v>-</v>
          </cell>
          <cell r="E30" t="str">
            <v>-</v>
          </cell>
          <cell r="F30" t="str">
            <v>-</v>
          </cell>
          <cell r="G30" t="str">
            <v>-</v>
          </cell>
          <cell r="H30" t="str">
            <v>-</v>
          </cell>
        </row>
        <row r="31">
          <cell r="C31">
            <v>331.24</v>
          </cell>
          <cell r="D31">
            <v>488.45</v>
          </cell>
          <cell r="E31">
            <v>476.06</v>
          </cell>
          <cell r="F31">
            <v>184.79</v>
          </cell>
          <cell r="G31">
            <v>395.6</v>
          </cell>
          <cell r="H31">
            <v>865.99</v>
          </cell>
        </row>
        <row r="32">
          <cell r="C32" t="str">
            <v>-</v>
          </cell>
          <cell r="D32" t="str">
            <v>-</v>
          </cell>
          <cell r="E32" t="str">
            <v>-</v>
          </cell>
          <cell r="F32" t="str">
            <v>-</v>
          </cell>
          <cell r="G32" t="str">
            <v>-</v>
          </cell>
          <cell r="H32" t="str">
            <v>-</v>
          </cell>
        </row>
        <row r="34">
          <cell r="C34" t="str">
            <v>-</v>
          </cell>
          <cell r="D34" t="str">
            <v>-</v>
          </cell>
          <cell r="E34" t="str">
            <v>-</v>
          </cell>
          <cell r="F34" t="str">
            <v>-</v>
          </cell>
          <cell r="G34" t="str">
            <v>-</v>
          </cell>
          <cell r="H34" t="str">
            <v>-</v>
          </cell>
        </row>
        <row r="35">
          <cell r="B35" t="str">
            <v>TOTAL</v>
          </cell>
          <cell r="C35">
            <v>502.47</v>
          </cell>
          <cell r="D35">
            <v>742.86</v>
          </cell>
          <cell r="E35">
            <v>793.38</v>
          </cell>
          <cell r="F35">
            <v>475.53</v>
          </cell>
          <cell r="G35">
            <v>795.69700000000012</v>
          </cell>
          <cell r="H35">
            <v>1784.9369999999999</v>
          </cell>
        </row>
        <row r="36">
          <cell r="C36" t="str">
            <v>=</v>
          </cell>
          <cell r="D36" t="str">
            <v>=</v>
          </cell>
          <cell r="E36" t="str">
            <v>=</v>
          </cell>
          <cell r="F36" t="str">
            <v>=</v>
          </cell>
          <cell r="G36" t="str">
            <v>=</v>
          </cell>
          <cell r="H36" t="str">
            <v>=</v>
          </cell>
        </row>
        <row r="38">
          <cell r="B38" t="str">
            <v>APPLICATION  OF  FUNDS</v>
          </cell>
        </row>
        <row r="40">
          <cell r="B40" t="str">
            <v>Fixed  Assets</v>
          </cell>
        </row>
        <row r="42">
          <cell r="B42" t="str">
            <v>Gross  Block</v>
          </cell>
          <cell r="C42">
            <v>314.74</v>
          </cell>
          <cell r="D42">
            <v>452.29</v>
          </cell>
          <cell r="E42">
            <v>453.95</v>
          </cell>
          <cell r="F42">
            <v>460.74</v>
          </cell>
          <cell r="G42">
            <v>813.14</v>
          </cell>
          <cell r="H42">
            <v>1436.258</v>
          </cell>
        </row>
        <row r="43">
          <cell r="B43" t="str">
            <v>Growth  %</v>
          </cell>
          <cell r="D43">
            <v>0.43702738768507343</v>
          </cell>
          <cell r="E43">
            <v>3.6702115899090587E-3</v>
          </cell>
          <cell r="F43">
            <v>1.4957594448727879E-2</v>
          </cell>
          <cell r="G43">
            <v>0.76485653513912399</v>
          </cell>
          <cell r="H43">
            <v>0.76631084438104147</v>
          </cell>
        </row>
        <row r="44">
          <cell r="B44">
            <v>0</v>
          </cell>
        </row>
        <row r="45">
          <cell r="B45" t="str">
            <v>Less: Depreciation</v>
          </cell>
          <cell r="C45">
            <v>15.99</v>
          </cell>
          <cell r="D45">
            <v>33.44</v>
          </cell>
          <cell r="E45">
            <v>57.4</v>
          </cell>
          <cell r="F45">
            <v>190.97</v>
          </cell>
          <cell r="G45">
            <v>265.17</v>
          </cell>
          <cell r="H45">
            <v>325.17399999999998</v>
          </cell>
        </row>
        <row r="46">
          <cell r="C46" t="str">
            <v>-</v>
          </cell>
          <cell r="D46" t="str">
            <v>-</v>
          </cell>
          <cell r="E46" t="str">
            <v>-</v>
          </cell>
          <cell r="F46" t="str">
            <v>-</v>
          </cell>
          <cell r="G46" t="str">
            <v>-</v>
          </cell>
          <cell r="H46" t="str">
            <v>-</v>
          </cell>
        </row>
        <row r="47">
          <cell r="B47" t="str">
            <v>Net  Block</v>
          </cell>
          <cell r="C47">
            <v>298.75</v>
          </cell>
          <cell r="D47">
            <v>418.85</v>
          </cell>
          <cell r="E47">
            <v>396.55</v>
          </cell>
          <cell r="F47">
            <v>269.77</v>
          </cell>
          <cell r="G47">
            <v>547.97</v>
          </cell>
          <cell r="H47">
            <v>1111.0840000000001</v>
          </cell>
        </row>
        <row r="49">
          <cell r="B49" t="str">
            <v>Investments</v>
          </cell>
          <cell r="C49">
            <v>44.5</v>
          </cell>
          <cell r="D49">
            <v>56.4</v>
          </cell>
          <cell r="E49">
            <v>0.4</v>
          </cell>
          <cell r="F49">
            <v>0.4</v>
          </cell>
          <cell r="G49">
            <v>0.4</v>
          </cell>
          <cell r="H49">
            <v>173</v>
          </cell>
        </row>
        <row r="50">
          <cell r="B50" t="str">
            <v>Growth  %</v>
          </cell>
          <cell r="D50">
            <v>0.26741573033707861</v>
          </cell>
          <cell r="E50">
            <v>-0.99290780141843971</v>
          </cell>
          <cell r="F50">
            <v>0</v>
          </cell>
          <cell r="G50">
            <v>0</v>
          </cell>
          <cell r="H50">
            <v>431.49999999999994</v>
          </cell>
        </row>
        <row r="52">
          <cell r="B52" t="str">
            <v>Current Assets, Loans &amp; Advances</v>
          </cell>
        </row>
        <row r="54">
          <cell r="B54" t="str">
            <v>a. Inventories</v>
          </cell>
          <cell r="C54">
            <v>45.33</v>
          </cell>
          <cell r="D54">
            <v>53.25</v>
          </cell>
          <cell r="E54">
            <v>41.57</v>
          </cell>
          <cell r="F54">
            <v>58.55</v>
          </cell>
          <cell r="G54">
            <v>130.61000000000001</v>
          </cell>
          <cell r="H54">
            <v>288.3</v>
          </cell>
        </row>
        <row r="56">
          <cell r="B56" t="str">
            <v>b. Sundry  Debtors</v>
          </cell>
          <cell r="C56">
            <v>52.62</v>
          </cell>
          <cell r="D56">
            <v>41.46</v>
          </cell>
          <cell r="E56">
            <v>105.17</v>
          </cell>
          <cell r="F56">
            <v>100.47</v>
          </cell>
          <cell r="G56">
            <v>87.53</v>
          </cell>
          <cell r="H56">
            <v>95.6</v>
          </cell>
        </row>
        <row r="58">
          <cell r="B58" t="str">
            <v>c.  Cash &amp; Bank Balances</v>
          </cell>
          <cell r="C58">
            <v>25.15</v>
          </cell>
          <cell r="D58">
            <v>37.33</v>
          </cell>
          <cell r="E58">
            <v>23.84</v>
          </cell>
          <cell r="F58">
            <v>11.56</v>
          </cell>
          <cell r="G58">
            <v>1.54</v>
          </cell>
          <cell r="H58">
            <v>2.4700000000000002</v>
          </cell>
        </row>
        <row r="60">
          <cell r="B60" t="str">
            <v>d.  Loans &amp;  Advances</v>
          </cell>
          <cell r="C60">
            <v>40.089999999999996</v>
          </cell>
          <cell r="D60">
            <v>135.42000000000002</v>
          </cell>
          <cell r="E60">
            <v>257.35000000000002</v>
          </cell>
          <cell r="F60">
            <v>61.674999999999997</v>
          </cell>
          <cell r="G60">
            <v>112.2</v>
          </cell>
          <cell r="H60">
            <v>75.19</v>
          </cell>
        </row>
        <row r="62">
          <cell r="B62" t="str">
            <v>e.  Deposits</v>
          </cell>
          <cell r="C62">
            <v>31.54</v>
          </cell>
          <cell r="D62">
            <v>31.63</v>
          </cell>
          <cell r="E62">
            <v>1.63</v>
          </cell>
          <cell r="F62">
            <v>1.645</v>
          </cell>
          <cell r="G62">
            <v>1.81</v>
          </cell>
          <cell r="H62">
            <v>106.12</v>
          </cell>
        </row>
        <row r="64">
          <cell r="B64" t="str">
            <v>f. Trade  Investments</v>
          </cell>
          <cell r="C64">
            <v>0</v>
          </cell>
          <cell r="D64">
            <v>0</v>
          </cell>
          <cell r="E64">
            <v>0</v>
          </cell>
          <cell r="F64">
            <v>0</v>
          </cell>
          <cell r="G64">
            <v>0</v>
          </cell>
          <cell r="H64">
            <v>0</v>
          </cell>
        </row>
        <row r="65">
          <cell r="C65" t="str">
            <v>-</v>
          </cell>
          <cell r="D65" t="str">
            <v>-</v>
          </cell>
          <cell r="E65" t="str">
            <v>-</v>
          </cell>
          <cell r="F65" t="str">
            <v>-</v>
          </cell>
          <cell r="G65" t="str">
            <v>-</v>
          </cell>
          <cell r="H65" t="str">
            <v>-</v>
          </cell>
        </row>
        <row r="66">
          <cell r="C66">
            <v>194.73</v>
          </cell>
          <cell r="D66">
            <v>299.09000000000003</v>
          </cell>
          <cell r="E66">
            <v>429.56000000000006</v>
          </cell>
          <cell r="F66">
            <v>233.9</v>
          </cell>
          <cell r="G66">
            <v>333.69</v>
          </cell>
          <cell r="H66">
            <v>567.68000000000006</v>
          </cell>
        </row>
        <row r="68">
          <cell r="B68" t="str">
            <v>Less: Current  Liabilities</v>
          </cell>
          <cell r="C68">
            <v>35.5</v>
          </cell>
          <cell r="D68">
            <v>31.48</v>
          </cell>
          <cell r="E68">
            <v>33.119999999999997</v>
          </cell>
          <cell r="F68">
            <v>28.53</v>
          </cell>
          <cell r="G68">
            <v>86.375</v>
          </cell>
          <cell r="H68">
            <v>66.83</v>
          </cell>
        </row>
        <row r="69">
          <cell r="C69" t="str">
            <v>-</v>
          </cell>
          <cell r="D69" t="str">
            <v>-</v>
          </cell>
          <cell r="E69" t="str">
            <v>-</v>
          </cell>
          <cell r="F69" t="str">
            <v>-</v>
          </cell>
          <cell r="G69" t="str">
            <v>-</v>
          </cell>
          <cell r="H69" t="str">
            <v>-</v>
          </cell>
        </row>
        <row r="70">
          <cell r="B70" t="str">
            <v>Net  Current  Assets</v>
          </cell>
          <cell r="C70">
            <v>159.22999999999999</v>
          </cell>
          <cell r="D70">
            <v>267.61</v>
          </cell>
          <cell r="E70">
            <v>396.44000000000005</v>
          </cell>
          <cell r="F70">
            <v>205.37</v>
          </cell>
          <cell r="G70">
            <v>247.315</v>
          </cell>
          <cell r="H70">
            <v>500.85000000000008</v>
          </cell>
        </row>
        <row r="72">
          <cell r="B72" t="str">
            <v>Miscellaneous Expenditure</v>
          </cell>
          <cell r="C72">
            <v>0</v>
          </cell>
          <cell r="D72">
            <v>0</v>
          </cell>
          <cell r="E72">
            <v>0</v>
          </cell>
          <cell r="F72">
            <v>0</v>
          </cell>
          <cell r="G72">
            <v>0</v>
          </cell>
          <cell r="H72">
            <v>0</v>
          </cell>
        </row>
        <row r="74">
          <cell r="B74" t="str">
            <v>(to the extent not written off or adjusted)</v>
          </cell>
        </row>
        <row r="76">
          <cell r="B76" t="str">
            <v>Preliminary  Expenses</v>
          </cell>
          <cell r="C76">
            <v>0</v>
          </cell>
          <cell r="D76">
            <v>0</v>
          </cell>
          <cell r="E76">
            <v>0</v>
          </cell>
          <cell r="F76">
            <v>0</v>
          </cell>
          <cell r="G76">
            <v>0</v>
          </cell>
          <cell r="H76">
            <v>0</v>
          </cell>
        </row>
        <row r="78">
          <cell r="B78" t="str">
            <v>Deferred  Revenue  Expenditure</v>
          </cell>
          <cell r="C78">
            <v>0</v>
          </cell>
          <cell r="D78">
            <v>0</v>
          </cell>
          <cell r="E78">
            <v>0</v>
          </cell>
          <cell r="F78">
            <v>0</v>
          </cell>
          <cell r="G78">
            <v>0</v>
          </cell>
          <cell r="H78">
            <v>0</v>
          </cell>
        </row>
        <row r="80">
          <cell r="C80" t="str">
            <v>-</v>
          </cell>
          <cell r="D80" t="str">
            <v>-</v>
          </cell>
          <cell r="E80" t="str">
            <v>-</v>
          </cell>
          <cell r="F80" t="str">
            <v>-</v>
          </cell>
          <cell r="G80" t="str">
            <v>-</v>
          </cell>
          <cell r="H80" t="str">
            <v>-</v>
          </cell>
        </row>
        <row r="81">
          <cell r="B81" t="str">
            <v>TOTAL….</v>
          </cell>
          <cell r="C81">
            <v>502.48</v>
          </cell>
          <cell r="D81">
            <v>742.86</v>
          </cell>
          <cell r="E81">
            <v>793.3900000000001</v>
          </cell>
          <cell r="F81">
            <v>475.53999999999996</v>
          </cell>
          <cell r="G81">
            <v>795.68499999999995</v>
          </cell>
          <cell r="H81">
            <v>1784.9340000000002</v>
          </cell>
        </row>
        <row r="82">
          <cell r="C82" t="str">
            <v>=</v>
          </cell>
          <cell r="D82" t="str">
            <v>=</v>
          </cell>
          <cell r="E82" t="str">
            <v>=</v>
          </cell>
          <cell r="F82" t="str">
            <v>=</v>
          </cell>
          <cell r="G82" t="str">
            <v>=</v>
          </cell>
          <cell r="H82" t="str">
            <v>=</v>
          </cell>
        </row>
        <row r="87">
          <cell r="B87" t="str">
            <v>PROFIT  AND  LOSS  ACCOUNT  FOR  LAST SIX YEARS</v>
          </cell>
        </row>
        <row r="89">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row>
        <row r="90">
          <cell r="B90" t="str">
            <v>PARTICULARS</v>
          </cell>
          <cell r="C90" t="str">
            <v>%</v>
          </cell>
          <cell r="D90" t="str">
            <v>1997-98</v>
          </cell>
          <cell r="E90" t="str">
            <v>%</v>
          </cell>
          <cell r="F90" t="str">
            <v>1998-99</v>
          </cell>
          <cell r="G90" t="str">
            <v>%</v>
          </cell>
          <cell r="H90" t="str">
            <v>1999-00</v>
          </cell>
          <cell r="I90" t="str">
            <v>%</v>
          </cell>
          <cell r="J90" t="str">
            <v>2000-01</v>
          </cell>
          <cell r="K90" t="str">
            <v>%</v>
          </cell>
          <cell r="L90" t="str">
            <v>2001-02</v>
          </cell>
          <cell r="M90" t="str">
            <v>%</v>
          </cell>
          <cell r="N90" t="str">
            <v>2002-03</v>
          </cell>
        </row>
        <row r="91">
          <cell r="B91" t="str">
            <v>-</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row>
        <row r="92">
          <cell r="B92" t="str">
            <v>INCOME</v>
          </cell>
        </row>
        <row r="94">
          <cell r="B94" t="str">
            <v>Sales</v>
          </cell>
          <cell r="D94">
            <v>1364.28</v>
          </cell>
          <cell r="F94">
            <v>1093.98</v>
          </cell>
          <cell r="H94">
            <v>2217.7800000000002</v>
          </cell>
          <cell r="J94">
            <v>2628.58</v>
          </cell>
          <cell r="L94">
            <v>3089.9</v>
          </cell>
          <cell r="N94">
            <v>4555.9579999999996</v>
          </cell>
        </row>
        <row r="96">
          <cell r="B96" t="str">
            <v xml:space="preserve">Other  Income </v>
          </cell>
          <cell r="D96">
            <v>0</v>
          </cell>
          <cell r="F96">
            <v>0.04</v>
          </cell>
          <cell r="H96">
            <v>3.14</v>
          </cell>
          <cell r="J96">
            <v>0.33</v>
          </cell>
          <cell r="L96">
            <v>0.09</v>
          </cell>
          <cell r="N96">
            <v>0.09</v>
          </cell>
        </row>
        <row r="98">
          <cell r="B98" t="str">
            <v>Increase/(Decrease)  in Stocks</v>
          </cell>
          <cell r="D98">
            <v>15.22</v>
          </cell>
          <cell r="F98">
            <v>12.21</v>
          </cell>
          <cell r="H98">
            <v>1.32</v>
          </cell>
          <cell r="J98">
            <v>8.74</v>
          </cell>
          <cell r="L98">
            <v>21.32</v>
          </cell>
          <cell r="N98">
            <v>210.63900000000001</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row>
        <row r="100">
          <cell r="B100" t="str">
            <v>TOTAL  INCOME</v>
          </cell>
          <cell r="C100">
            <v>1</v>
          </cell>
          <cell r="D100">
            <v>1379.5</v>
          </cell>
          <cell r="E100">
            <v>1</v>
          </cell>
          <cell r="F100">
            <v>1106.23</v>
          </cell>
          <cell r="G100">
            <v>1</v>
          </cell>
          <cell r="H100">
            <v>2222.2400000000002</v>
          </cell>
          <cell r="I100">
            <v>1</v>
          </cell>
          <cell r="J100">
            <v>2637.6499999999996</v>
          </cell>
          <cell r="K100">
            <v>1</v>
          </cell>
          <cell r="L100">
            <v>3111.3100000000004</v>
          </cell>
          <cell r="M100">
            <v>1</v>
          </cell>
          <cell r="N100">
            <v>4766.6869999999999</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row>
        <row r="103">
          <cell r="B103" t="str">
            <v>EXPENDITURE</v>
          </cell>
        </row>
        <row r="105">
          <cell r="B105" t="str">
            <v>Raw  Material  Consumed   Including</v>
          </cell>
          <cell r="C105">
            <v>0.7819479159115621</v>
          </cell>
          <cell r="D105">
            <v>1078.69715</v>
          </cell>
          <cell r="E105">
            <v>0.75757842401670539</v>
          </cell>
          <cell r="F105">
            <v>838.05597999999998</v>
          </cell>
          <cell r="G105">
            <v>0.81363849089207274</v>
          </cell>
          <cell r="H105">
            <v>1808.1</v>
          </cell>
          <cell r="I105">
            <v>0.81777339677364336</v>
          </cell>
          <cell r="J105">
            <v>2157</v>
          </cell>
          <cell r="K105">
            <v>0.81512610443832323</v>
          </cell>
          <cell r="L105">
            <v>2536.1099999999997</v>
          </cell>
          <cell r="M105">
            <v>0.81766371486107647</v>
          </cell>
          <cell r="N105">
            <v>3897.547</v>
          </cell>
        </row>
        <row r="106">
          <cell r="B106" t="str">
            <v>Excise  Duty</v>
          </cell>
        </row>
        <row r="107">
          <cell r="C107">
            <v>0</v>
          </cell>
          <cell r="E107">
            <v>0</v>
          </cell>
          <cell r="G107">
            <v>0</v>
          </cell>
          <cell r="I107">
            <v>0</v>
          </cell>
          <cell r="K107">
            <v>0</v>
          </cell>
          <cell r="M107">
            <v>0</v>
          </cell>
        </row>
        <row r="108">
          <cell r="B108" t="str">
            <v>Power &amp; Fuel</v>
          </cell>
          <cell r="C108">
            <v>4.4102935846321134E-2</v>
          </cell>
          <cell r="D108">
            <v>60.84</v>
          </cell>
          <cell r="E108">
            <v>5.2819034016434195E-2</v>
          </cell>
          <cell r="F108">
            <v>58.43</v>
          </cell>
          <cell r="G108">
            <v>5.3342573259413925E-2</v>
          </cell>
          <cell r="H108">
            <v>118.54</v>
          </cell>
          <cell r="I108">
            <v>4.1286751464371704E-2</v>
          </cell>
          <cell r="J108">
            <v>108.9</v>
          </cell>
          <cell r="K108">
            <v>5.245378956131018E-2</v>
          </cell>
          <cell r="L108">
            <v>163.19999999999999</v>
          </cell>
          <cell r="M108">
            <v>4.1888632503036177E-2</v>
          </cell>
          <cell r="N108">
            <v>199.67</v>
          </cell>
        </row>
        <row r="109">
          <cell r="G109">
            <v>0</v>
          </cell>
          <cell r="I109">
            <v>0</v>
          </cell>
          <cell r="K109">
            <v>0</v>
          </cell>
          <cell r="M109">
            <v>0</v>
          </cell>
        </row>
        <row r="110">
          <cell r="B110" t="str">
            <v>Other  Manufacturing   Expenses</v>
          </cell>
          <cell r="C110">
            <v>2.0674157303370782E-2</v>
          </cell>
          <cell r="D110">
            <v>28.519999999999996</v>
          </cell>
          <cell r="E110">
            <v>3.52458349529483E-2</v>
          </cell>
          <cell r="F110">
            <v>38.99</v>
          </cell>
          <cell r="G110">
            <v>4.5868133054935555E-2</v>
          </cell>
          <cell r="H110">
            <v>101.92999999999999</v>
          </cell>
          <cell r="I110">
            <v>5.6815726119841529E-2</v>
          </cell>
          <cell r="J110">
            <v>149.85999999999999</v>
          </cell>
          <cell r="K110">
            <v>3.9562113707730835E-2</v>
          </cell>
          <cell r="L110">
            <v>123.09000000000003</v>
          </cell>
          <cell r="M110">
            <v>5.1957680460244196E-2</v>
          </cell>
          <cell r="N110">
            <v>247.66600000000003</v>
          </cell>
        </row>
        <row r="111">
          <cell r="C111">
            <v>0</v>
          </cell>
          <cell r="E111">
            <v>0</v>
          </cell>
          <cell r="G111">
            <v>0</v>
          </cell>
          <cell r="I111">
            <v>0</v>
          </cell>
          <cell r="K111">
            <v>0</v>
          </cell>
          <cell r="M111">
            <v>0</v>
          </cell>
        </row>
        <row r="112">
          <cell r="B112" t="str">
            <v>Payment  To  Employees</v>
          </cell>
          <cell r="C112">
            <v>1.1888365349764406E-2</v>
          </cell>
          <cell r="D112">
            <v>16.399999999999999</v>
          </cell>
          <cell r="E112">
            <v>1.317085958616201E-2</v>
          </cell>
          <cell r="F112">
            <v>14.57</v>
          </cell>
          <cell r="G112">
            <v>5.1524587803297569E-3</v>
          </cell>
          <cell r="H112">
            <v>11.45</v>
          </cell>
          <cell r="I112">
            <v>5.5124827024055512E-3</v>
          </cell>
          <cell r="J112">
            <v>14.54</v>
          </cell>
          <cell r="K112">
            <v>6.6885009851155933E-3</v>
          </cell>
          <cell r="L112">
            <v>20.81</v>
          </cell>
          <cell r="M112">
            <v>1.1678971159633516E-2</v>
          </cell>
          <cell r="N112">
            <v>55.67</v>
          </cell>
        </row>
        <row r="113">
          <cell r="C113">
            <v>0</v>
          </cell>
          <cell r="E113">
            <v>0</v>
          </cell>
          <cell r="G113">
            <v>0</v>
          </cell>
          <cell r="I113">
            <v>0</v>
          </cell>
          <cell r="K113">
            <v>0</v>
          </cell>
          <cell r="M113">
            <v>0</v>
          </cell>
        </row>
        <row r="114">
          <cell r="B114" t="str">
            <v xml:space="preserve"> Administration   Exp.</v>
          </cell>
          <cell r="C114">
            <v>8.4475824574121051E-3</v>
          </cell>
          <cell r="D114">
            <v>11.65344</v>
          </cell>
          <cell r="E114">
            <v>8.2442168445983188E-3</v>
          </cell>
          <cell r="F114">
            <v>9.1199999999999992</v>
          </cell>
          <cell r="G114">
            <v>3.3344733242134062E-3</v>
          </cell>
          <cell r="H114">
            <v>7.410000000000001</v>
          </cell>
          <cell r="I114">
            <v>7.0289841336037768E-3</v>
          </cell>
          <cell r="J114">
            <v>18.54</v>
          </cell>
          <cell r="K114">
            <v>8.7165856182765452E-3</v>
          </cell>
          <cell r="L114">
            <v>27.12</v>
          </cell>
          <cell r="M114">
            <v>5.0683000583004508E-3</v>
          </cell>
          <cell r="N114">
            <v>24.158999999999999</v>
          </cell>
        </row>
        <row r="115">
          <cell r="G115">
            <v>0</v>
          </cell>
          <cell r="I115">
            <v>0</v>
          </cell>
          <cell r="K115">
            <v>0</v>
          </cell>
          <cell r="M115">
            <v>0</v>
          </cell>
        </row>
        <row r="116">
          <cell r="B116" t="str">
            <v>Selling  &amp;  Distribution   Exp.</v>
          </cell>
          <cell r="C116">
            <v>6.1664081188836537E-3</v>
          </cell>
          <cell r="D116">
            <v>8.5065600000000003</v>
          </cell>
          <cell r="E116">
            <v>7.1775308932138879E-3</v>
          </cell>
          <cell r="F116">
            <v>7.9399999999999995</v>
          </cell>
          <cell r="G116">
            <v>5.1749586003311968E-4</v>
          </cell>
          <cell r="H116">
            <v>1.1499999999999999</v>
          </cell>
          <cell r="I116">
            <v>0</v>
          </cell>
          <cell r="J116">
            <v>0</v>
          </cell>
          <cell r="K116">
            <v>0</v>
          </cell>
          <cell r="L116">
            <v>0</v>
          </cell>
          <cell r="M116">
            <v>0</v>
          </cell>
          <cell r="N116">
            <v>0</v>
          </cell>
        </row>
        <row r="117">
          <cell r="C117">
            <v>0</v>
          </cell>
          <cell r="E117">
            <v>0</v>
          </cell>
          <cell r="G117">
            <v>0</v>
          </cell>
          <cell r="I117">
            <v>0</v>
          </cell>
          <cell r="K117">
            <v>0</v>
          </cell>
          <cell r="M117">
            <v>0</v>
          </cell>
        </row>
        <row r="118">
          <cell r="B118" t="str">
            <v>Interest &amp; Finance Expenses</v>
          </cell>
          <cell r="C118">
            <v>4.29720913374411E-2</v>
          </cell>
          <cell r="D118">
            <v>59.28</v>
          </cell>
          <cell r="E118">
            <v>4.2757835169901372E-2</v>
          </cell>
          <cell r="F118">
            <v>47.3</v>
          </cell>
          <cell r="G118">
            <v>3.2512239902080776E-2</v>
          </cell>
          <cell r="H118">
            <v>72.25</v>
          </cell>
          <cell r="I118">
            <v>1.9987488863192616E-2</v>
          </cell>
          <cell r="J118">
            <v>52.72</v>
          </cell>
          <cell r="K118">
            <v>1.4428006209603028E-2</v>
          </cell>
          <cell r="L118">
            <v>44.89</v>
          </cell>
          <cell r="M118">
            <v>1.3872528236068365E-2</v>
          </cell>
          <cell r="N118">
            <v>66.126000000000005</v>
          </cell>
        </row>
        <row r="119">
          <cell r="C119">
            <v>0</v>
          </cell>
          <cell r="E119">
            <v>0</v>
          </cell>
          <cell r="G119">
            <v>0</v>
          </cell>
          <cell r="I119">
            <v>0</v>
          </cell>
          <cell r="K119">
            <v>0</v>
          </cell>
          <cell r="M119">
            <v>0</v>
          </cell>
        </row>
        <row r="120">
          <cell r="B120" t="str">
            <v>Depreciation</v>
          </cell>
          <cell r="C120">
            <v>1.1591156216020297E-2</v>
          </cell>
          <cell r="D120">
            <v>15.99</v>
          </cell>
          <cell r="E120">
            <v>1.5774296484456215E-2</v>
          </cell>
          <cell r="F120">
            <v>17.45</v>
          </cell>
          <cell r="G120">
            <v>1.0781913744690041E-2</v>
          </cell>
          <cell r="H120">
            <v>23.96</v>
          </cell>
          <cell r="I120">
            <v>1.7832161204102137E-2</v>
          </cell>
          <cell r="J120">
            <v>47.034999999999997</v>
          </cell>
          <cell r="K120">
            <v>2.3851368073255316E-2</v>
          </cell>
          <cell r="L120">
            <v>74.209000000000003</v>
          </cell>
          <cell r="M120">
            <v>1.2587358893084443E-2</v>
          </cell>
          <cell r="N120">
            <v>60</v>
          </cell>
        </row>
        <row r="121">
          <cell r="C121">
            <v>0</v>
          </cell>
          <cell r="E121">
            <v>0</v>
          </cell>
          <cell r="G121">
            <v>0</v>
          </cell>
          <cell r="I121">
            <v>0</v>
          </cell>
          <cell r="K121">
            <v>0</v>
          </cell>
          <cell r="M121">
            <v>0</v>
          </cell>
        </row>
        <row r="122">
          <cell r="B122" t="str">
            <v>Preliminary Expenses w/off</v>
          </cell>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E123">
            <v>0</v>
          </cell>
          <cell r="G123">
            <v>0</v>
          </cell>
          <cell r="I123">
            <v>0</v>
          </cell>
          <cell r="K123">
            <v>0</v>
          </cell>
          <cell r="M123">
            <v>0</v>
          </cell>
        </row>
        <row r="124">
          <cell r="C124">
            <v>0</v>
          </cell>
          <cell r="D124" t="str">
            <v>-</v>
          </cell>
          <cell r="E124">
            <v>0</v>
          </cell>
          <cell r="F124" t="str">
            <v>-</v>
          </cell>
          <cell r="G124">
            <v>0</v>
          </cell>
          <cell r="H124" t="str">
            <v>-</v>
          </cell>
          <cell r="I124">
            <v>0</v>
          </cell>
          <cell r="J124" t="str">
            <v>-</v>
          </cell>
          <cell r="K124">
            <v>0</v>
          </cell>
          <cell r="L124" t="str">
            <v>-</v>
          </cell>
          <cell r="M124">
            <v>0</v>
          </cell>
          <cell r="N124" t="str">
            <v>-</v>
          </cell>
        </row>
        <row r="125">
          <cell r="B125" t="str">
            <v>TOTAL  EXPENDITURE</v>
          </cell>
          <cell r="C125">
            <v>0.92779061254077566</v>
          </cell>
          <cell r="D125">
            <v>1279.88715</v>
          </cell>
          <cell r="E125">
            <v>0.93276803196441971</v>
          </cell>
          <cell r="F125">
            <v>1031.85598</v>
          </cell>
          <cell r="G125">
            <v>0.96514777881776936</v>
          </cell>
          <cell r="H125">
            <v>2144.79</v>
          </cell>
          <cell r="I125">
            <v>0.96623699126116058</v>
          </cell>
          <cell r="J125">
            <v>2548.5949999999998</v>
          </cell>
          <cell r="K125">
            <v>0.96082646859361454</v>
          </cell>
          <cell r="L125">
            <v>2989.4289999999992</v>
          </cell>
          <cell r="M125">
            <v>0.95471718617144352</v>
          </cell>
          <cell r="N125">
            <v>4550.8379999999997</v>
          </cell>
        </row>
        <row r="126">
          <cell r="C126">
            <v>0</v>
          </cell>
          <cell r="D126" t="str">
            <v>-</v>
          </cell>
          <cell r="E126">
            <v>0</v>
          </cell>
          <cell r="F126" t="str">
            <v>-</v>
          </cell>
          <cell r="G126">
            <v>0</v>
          </cell>
          <cell r="H126" t="str">
            <v>-</v>
          </cell>
          <cell r="I126">
            <v>0</v>
          </cell>
          <cell r="J126" t="str">
            <v>-</v>
          </cell>
          <cell r="K126">
            <v>0</v>
          </cell>
          <cell r="L126" t="str">
            <v>-</v>
          </cell>
          <cell r="M126">
            <v>0</v>
          </cell>
          <cell r="N126" t="str">
            <v>-</v>
          </cell>
        </row>
        <row r="127">
          <cell r="B127" t="str">
            <v>Profit/ Loss Before Tax</v>
          </cell>
          <cell r="C127">
            <v>7.2209387459224339E-2</v>
          </cell>
          <cell r="D127">
            <v>99.61284999999998</v>
          </cell>
          <cell r="E127">
            <v>6.7231968035580278E-2</v>
          </cell>
          <cell r="F127">
            <v>74.374019999999973</v>
          </cell>
          <cell r="G127">
            <v>3.4852221182230664E-2</v>
          </cell>
          <cell r="H127">
            <v>77.450000000000273</v>
          </cell>
          <cell r="I127">
            <v>3.3763008738839438E-2</v>
          </cell>
          <cell r="J127">
            <v>89.054999999999836</v>
          </cell>
          <cell r="K127">
            <v>3.9173531406385478E-2</v>
          </cell>
          <cell r="L127">
            <v>121.88100000000122</v>
          </cell>
          <cell r="M127">
            <v>4.528281382855643E-2</v>
          </cell>
          <cell r="N127">
            <v>215.84900000000016</v>
          </cell>
        </row>
        <row r="128">
          <cell r="C128">
            <v>0</v>
          </cell>
          <cell r="E128">
            <v>0</v>
          </cell>
          <cell r="G128">
            <v>0</v>
          </cell>
          <cell r="I128">
            <v>0</v>
          </cell>
          <cell r="K128">
            <v>0</v>
          </cell>
          <cell r="M128">
            <v>0</v>
          </cell>
        </row>
        <row r="129">
          <cell r="B129" t="str">
            <v>Less: Provision For  Taxation</v>
          </cell>
          <cell r="C129">
            <v>0</v>
          </cell>
          <cell r="D129">
            <v>0</v>
          </cell>
          <cell r="E129">
            <v>0</v>
          </cell>
          <cell r="F129">
            <v>0</v>
          </cell>
          <cell r="G129">
            <v>0</v>
          </cell>
          <cell r="H129">
            <v>0</v>
          </cell>
          <cell r="I129">
            <v>8.3407578715902425E-5</v>
          </cell>
          <cell r="J129">
            <v>0.22</v>
          </cell>
          <cell r="K129">
            <v>2.9730242245227891E-3</v>
          </cell>
          <cell r="L129">
            <v>9.25</v>
          </cell>
          <cell r="M129">
            <v>0</v>
          </cell>
          <cell r="N129">
            <v>0</v>
          </cell>
        </row>
        <row r="130">
          <cell r="C130">
            <v>0</v>
          </cell>
          <cell r="E130">
            <v>0</v>
          </cell>
          <cell r="G130">
            <v>0</v>
          </cell>
          <cell r="I130">
            <v>0</v>
          </cell>
          <cell r="K130">
            <v>0</v>
          </cell>
          <cell r="M130">
            <v>0</v>
          </cell>
        </row>
        <row r="131">
          <cell r="B131" t="str">
            <v xml:space="preserve"> Add: ( Depreciation written  back) / written off </v>
          </cell>
          <cell r="C131">
            <v>0</v>
          </cell>
          <cell r="D131">
            <v>0</v>
          </cell>
          <cell r="E131">
            <v>0</v>
          </cell>
          <cell r="F131">
            <v>0</v>
          </cell>
          <cell r="G131">
            <v>0</v>
          </cell>
          <cell r="H131">
            <v>0</v>
          </cell>
          <cell r="I131">
            <v>-3.2801925956817628E-2</v>
          </cell>
          <cell r="J131">
            <v>-86.52</v>
          </cell>
          <cell r="K131">
            <v>0</v>
          </cell>
          <cell r="L131">
            <v>0</v>
          </cell>
          <cell r="M131">
            <v>-3.566418353040592E-3</v>
          </cell>
          <cell r="N131">
            <v>-17</v>
          </cell>
        </row>
        <row r="132">
          <cell r="C132">
            <v>0</v>
          </cell>
          <cell r="D132" t="str">
            <v>-</v>
          </cell>
          <cell r="E132">
            <v>0</v>
          </cell>
          <cell r="F132" t="str">
            <v>-</v>
          </cell>
          <cell r="G132">
            <v>0</v>
          </cell>
          <cell r="H132" t="str">
            <v>-</v>
          </cell>
          <cell r="I132">
            <v>0</v>
          </cell>
          <cell r="J132" t="str">
            <v>-</v>
          </cell>
          <cell r="K132">
            <v>0</v>
          </cell>
          <cell r="L132" t="str">
            <v>-</v>
          </cell>
          <cell r="M132">
            <v>0</v>
          </cell>
          <cell r="N132" t="str">
            <v>-</v>
          </cell>
        </row>
        <row r="133">
          <cell r="B133" t="str">
            <v>Profit/Loss After  Taxation</v>
          </cell>
          <cell r="C133">
            <v>7.2209387459224339E-2</v>
          </cell>
          <cell r="D133">
            <v>99.61284999999998</v>
          </cell>
          <cell r="E133">
            <v>6.7231968035580278E-2</v>
          </cell>
          <cell r="F133">
            <v>74.374019999999973</v>
          </cell>
          <cell r="G133">
            <v>3.4852221182230664E-2</v>
          </cell>
          <cell r="H133">
            <v>77.450000000000273</v>
          </cell>
          <cell r="I133">
            <v>8.7767520330591308E-4</v>
          </cell>
          <cell r="J133">
            <v>2.3149999999998414</v>
          </cell>
          <cell r="K133">
            <v>3.6200507181862691E-2</v>
          </cell>
          <cell r="L133">
            <v>112.63100000000122</v>
          </cell>
          <cell r="M133">
            <v>4.1716395475515838E-2</v>
          </cell>
          <cell r="N133">
            <v>198.84900000000016</v>
          </cell>
        </row>
        <row r="134">
          <cell r="I134">
            <v>0</v>
          </cell>
        </row>
        <row r="135">
          <cell r="B135" t="str">
            <v xml:space="preserve">Balance  b/f from Previous Year </v>
          </cell>
          <cell r="D135">
            <v>0</v>
          </cell>
          <cell r="F135">
            <v>71.61284999999998</v>
          </cell>
          <cell r="H135">
            <v>119.78686999999996</v>
          </cell>
          <cell r="J135">
            <v>170.70687000000024</v>
          </cell>
          <cell r="L135">
            <v>168.6078700000001</v>
          </cell>
          <cell r="N135">
            <v>267.96887000000135</v>
          </cell>
        </row>
        <row r="136">
          <cell r="C136">
            <v>0</v>
          </cell>
          <cell r="D136" t="str">
            <v>-</v>
          </cell>
          <cell r="E136">
            <v>0</v>
          </cell>
          <cell r="F136" t="str">
            <v>-</v>
          </cell>
          <cell r="G136">
            <v>0</v>
          </cell>
          <cell r="H136" t="str">
            <v>-</v>
          </cell>
          <cell r="I136">
            <v>0</v>
          </cell>
          <cell r="J136" t="str">
            <v>-</v>
          </cell>
          <cell r="K136">
            <v>0</v>
          </cell>
          <cell r="L136" t="str">
            <v>-</v>
          </cell>
          <cell r="M136">
            <v>0</v>
          </cell>
          <cell r="N136" t="str">
            <v>-</v>
          </cell>
        </row>
        <row r="137">
          <cell r="B137" t="str">
            <v>BALANCE AVAILABLE FOR APPROPRIATION</v>
          </cell>
          <cell r="D137">
            <v>99.61284999999998</v>
          </cell>
          <cell r="F137">
            <v>145.98686999999995</v>
          </cell>
          <cell r="H137">
            <v>197.23687000000024</v>
          </cell>
          <cell r="J137">
            <v>173.02187000000009</v>
          </cell>
          <cell r="L137">
            <v>281.23887000000133</v>
          </cell>
          <cell r="N137">
            <v>466.81787000000151</v>
          </cell>
        </row>
        <row r="138">
          <cell r="C138">
            <v>0</v>
          </cell>
          <cell r="D138" t="str">
            <v>=</v>
          </cell>
          <cell r="E138">
            <v>0</v>
          </cell>
          <cell r="F138" t="str">
            <v>=</v>
          </cell>
          <cell r="G138">
            <v>0</v>
          </cell>
          <cell r="H138" t="str">
            <v>=</v>
          </cell>
          <cell r="I138">
            <v>0</v>
          </cell>
          <cell r="J138" t="str">
            <v>=</v>
          </cell>
          <cell r="K138">
            <v>0</v>
          </cell>
          <cell r="L138" t="str">
            <v>=</v>
          </cell>
          <cell r="M138">
            <v>0</v>
          </cell>
          <cell r="N138" t="str">
            <v>=</v>
          </cell>
        </row>
        <row r="139">
          <cell r="B139" t="str">
            <v>APPROPRIATIONS</v>
          </cell>
        </row>
        <row r="141">
          <cell r="B141" t="str">
            <v>Total  Dividend</v>
          </cell>
          <cell r="C141">
            <v>0.54995417048579287</v>
          </cell>
          <cell r="D141">
            <v>18</v>
          </cell>
          <cell r="E141">
            <v>0.4598353675844451</v>
          </cell>
          <cell r="F141">
            <v>16.2</v>
          </cell>
          <cell r="G141">
            <v>0.41243258586432019</v>
          </cell>
          <cell r="H141">
            <v>14.53</v>
          </cell>
          <cell r="I141">
            <v>0</v>
          </cell>
          <cell r="J141">
            <v>0</v>
          </cell>
          <cell r="K141">
            <v>9.9908340971585713E-2</v>
          </cell>
          <cell r="L141">
            <v>3.27</v>
          </cell>
          <cell r="M141">
            <v>0</v>
          </cell>
          <cell r="N141">
            <v>0</v>
          </cell>
        </row>
        <row r="142">
          <cell r="B142" t="str">
            <v>Interim  Dividend</v>
          </cell>
          <cell r="D142">
            <v>8.18</v>
          </cell>
          <cell r="F142">
            <v>14.73</v>
          </cell>
          <cell r="H142">
            <v>13.09</v>
          </cell>
          <cell r="J142">
            <v>0</v>
          </cell>
          <cell r="L142">
            <v>3.27</v>
          </cell>
          <cell r="N142">
            <v>0</v>
          </cell>
        </row>
        <row r="144">
          <cell r="B144" t="str">
            <v xml:space="preserve">Proposed Dividend </v>
          </cell>
          <cell r="C144">
            <v>0</v>
          </cell>
          <cell r="D144">
            <v>8.18</v>
          </cell>
          <cell r="F144">
            <v>0</v>
          </cell>
          <cell r="H144">
            <v>0</v>
          </cell>
          <cell r="J144">
            <v>0</v>
          </cell>
          <cell r="L144">
            <v>0</v>
          </cell>
          <cell r="N144">
            <v>0</v>
          </cell>
        </row>
        <row r="146">
          <cell r="B146" t="str">
            <v xml:space="preserve"> Tax  on Dividends</v>
          </cell>
          <cell r="D146">
            <v>1.64</v>
          </cell>
          <cell r="F146">
            <v>1.47</v>
          </cell>
          <cell r="H146">
            <v>1.44</v>
          </cell>
          <cell r="J146">
            <v>0</v>
          </cell>
          <cell r="L146">
            <v>0</v>
          </cell>
          <cell r="N146">
            <v>0</v>
          </cell>
        </row>
        <row r="148">
          <cell r="B148" t="str">
            <v>Transfer to  Reserves</v>
          </cell>
          <cell r="D148">
            <v>10</v>
          </cell>
          <cell r="F148">
            <v>10</v>
          </cell>
          <cell r="H148">
            <v>12</v>
          </cell>
          <cell r="J148">
            <v>4.4139999999999997</v>
          </cell>
          <cell r="L148">
            <v>10</v>
          </cell>
          <cell r="N148">
            <v>0</v>
          </cell>
        </row>
        <row r="150">
          <cell r="B150" t="str">
            <v>Balance Carried  to Balance Sheet</v>
          </cell>
          <cell r="D150">
            <v>71.61284999999998</v>
          </cell>
          <cell r="F150">
            <v>119.78686999999996</v>
          </cell>
          <cell r="H150">
            <v>170.70687000000024</v>
          </cell>
          <cell r="J150">
            <v>168.6078700000001</v>
          </cell>
          <cell r="L150">
            <v>267.96887000000135</v>
          </cell>
          <cell r="N150">
            <v>466.81787000000151</v>
          </cell>
        </row>
        <row r="151">
          <cell r="C151">
            <v>0</v>
          </cell>
          <cell r="D151" t="str">
            <v>-</v>
          </cell>
          <cell r="E151">
            <v>0</v>
          </cell>
          <cell r="F151" t="str">
            <v>-</v>
          </cell>
          <cell r="G151">
            <v>0</v>
          </cell>
          <cell r="H151" t="str">
            <v>-</v>
          </cell>
          <cell r="I151">
            <v>0</v>
          </cell>
          <cell r="J151" t="str">
            <v>-</v>
          </cell>
          <cell r="K151">
            <v>0</v>
          </cell>
          <cell r="L151" t="str">
            <v>-</v>
          </cell>
          <cell r="M151">
            <v>0</v>
          </cell>
          <cell r="N151" t="str">
            <v>-</v>
          </cell>
        </row>
        <row r="152">
          <cell r="D152">
            <v>99.61284999999998</v>
          </cell>
          <cell r="F152">
            <v>145.98686999999995</v>
          </cell>
          <cell r="H152">
            <v>197.23687000000024</v>
          </cell>
          <cell r="J152">
            <v>173.02187000000009</v>
          </cell>
          <cell r="L152">
            <v>281.23887000000133</v>
          </cell>
          <cell r="N152">
            <v>466.81787000000151</v>
          </cell>
        </row>
        <row r="153">
          <cell r="C153">
            <v>0</v>
          </cell>
          <cell r="D153" t="str">
            <v>=</v>
          </cell>
          <cell r="E153">
            <v>0</v>
          </cell>
          <cell r="F153" t="str">
            <v>=</v>
          </cell>
          <cell r="G153">
            <v>0</v>
          </cell>
          <cell r="H153" t="str">
            <v>=</v>
          </cell>
          <cell r="I153">
            <v>0</v>
          </cell>
          <cell r="J153" t="str">
            <v>=</v>
          </cell>
          <cell r="K153">
            <v>0</v>
          </cell>
          <cell r="L153" t="str">
            <v>=</v>
          </cell>
          <cell r="M153">
            <v>0</v>
          </cell>
          <cell r="N153" t="str">
            <v>=</v>
          </cell>
        </row>
        <row r="176">
          <cell r="B176" t="str">
            <v>DETAILS  FOR  CALCULATING RATIOS</v>
          </cell>
        </row>
        <row r="178">
          <cell r="B178" t="str">
            <v>-</v>
          </cell>
          <cell r="C178" t="str">
            <v>-</v>
          </cell>
          <cell r="D178" t="str">
            <v>-</v>
          </cell>
          <cell r="E178" t="str">
            <v>-</v>
          </cell>
          <cell r="F178" t="str">
            <v>-</v>
          </cell>
          <cell r="G178" t="str">
            <v>-</v>
          </cell>
          <cell r="H178" t="str">
            <v>-</v>
          </cell>
        </row>
        <row r="179">
          <cell r="B179" t="str">
            <v>PARTICULARS</v>
          </cell>
          <cell r="C179" t="str">
            <v>1997-98</v>
          </cell>
          <cell r="D179" t="str">
            <v>1998-99</v>
          </cell>
          <cell r="E179" t="str">
            <v>1999-00</v>
          </cell>
          <cell r="F179" t="str">
            <v>2000-01</v>
          </cell>
          <cell r="G179" t="str">
            <v>2001-02</v>
          </cell>
          <cell r="H179" t="str">
            <v>2002-03</v>
          </cell>
        </row>
        <row r="180">
          <cell r="B180" t="str">
            <v>-</v>
          </cell>
          <cell r="C180" t="str">
            <v>-</v>
          </cell>
          <cell r="D180" t="str">
            <v>-</v>
          </cell>
          <cell r="E180" t="str">
            <v>-</v>
          </cell>
          <cell r="F180" t="str">
            <v>-</v>
          </cell>
          <cell r="G180" t="str">
            <v>-</v>
          </cell>
          <cell r="H180" t="str">
            <v>-</v>
          </cell>
        </row>
        <row r="181">
          <cell r="B181" t="str">
            <v>Total  Share  Capital</v>
          </cell>
          <cell r="C181">
            <v>32.729999999999997</v>
          </cell>
          <cell r="D181">
            <v>35.229999999999997</v>
          </cell>
          <cell r="E181">
            <v>35.229999999999997</v>
          </cell>
          <cell r="F181">
            <v>32.729999999999997</v>
          </cell>
          <cell r="G181">
            <v>32.729999999999997</v>
          </cell>
          <cell r="H181">
            <v>50.73</v>
          </cell>
        </row>
        <row r="183">
          <cell r="B183" t="str">
            <v>Total  Dividend</v>
          </cell>
          <cell r="C183">
            <v>18</v>
          </cell>
          <cell r="D183">
            <v>16.2</v>
          </cell>
          <cell r="E183">
            <v>14.53</v>
          </cell>
          <cell r="F183">
            <v>0</v>
          </cell>
          <cell r="G183">
            <v>3.27</v>
          </cell>
          <cell r="H183">
            <v>0</v>
          </cell>
        </row>
        <row r="185">
          <cell r="B185" t="str">
            <v>Loan  Funds</v>
          </cell>
          <cell r="C185">
            <v>331.24</v>
          </cell>
          <cell r="D185">
            <v>488.45</v>
          </cell>
          <cell r="E185">
            <v>476.06</v>
          </cell>
          <cell r="F185">
            <v>184.79</v>
          </cell>
          <cell r="G185">
            <v>395.6</v>
          </cell>
          <cell r="H185">
            <v>865.99</v>
          </cell>
        </row>
        <row r="187">
          <cell r="B187" t="str">
            <v>Term  Loans</v>
          </cell>
          <cell r="C187">
            <v>199.57999999999998</v>
          </cell>
          <cell r="D187">
            <v>237.06</v>
          </cell>
          <cell r="E187">
            <v>273.65999999999997</v>
          </cell>
          <cell r="F187">
            <v>133.68</v>
          </cell>
          <cell r="G187">
            <v>349.63</v>
          </cell>
          <cell r="H187">
            <v>754.39699999999993</v>
          </cell>
        </row>
        <row r="189">
          <cell r="B189" t="str">
            <v>Unsecured  Loan</v>
          </cell>
          <cell r="C189">
            <v>18.25</v>
          </cell>
          <cell r="D189">
            <v>115.25</v>
          </cell>
          <cell r="E189">
            <v>30.5</v>
          </cell>
          <cell r="F189">
            <v>0</v>
          </cell>
          <cell r="G189">
            <v>0</v>
          </cell>
          <cell r="H189">
            <v>13.885</v>
          </cell>
        </row>
        <row r="191">
          <cell r="B191" t="str">
            <v>Working  Capital  Loan</v>
          </cell>
          <cell r="C191">
            <v>113.41</v>
          </cell>
          <cell r="D191">
            <v>136.13999999999999</v>
          </cell>
          <cell r="E191">
            <v>171.9</v>
          </cell>
          <cell r="F191">
            <v>51.11</v>
          </cell>
          <cell r="G191">
            <v>45.97</v>
          </cell>
          <cell r="H191">
            <v>95.296999999999997</v>
          </cell>
        </row>
        <row r="193">
          <cell r="B193" t="str">
            <v>Debt</v>
          </cell>
          <cell r="C193">
            <v>199.58</v>
          </cell>
          <cell r="D193">
            <v>237.06</v>
          </cell>
          <cell r="E193">
            <v>273.65999999999997</v>
          </cell>
          <cell r="F193">
            <v>133.68</v>
          </cell>
          <cell r="G193">
            <v>349.63</v>
          </cell>
          <cell r="H193">
            <v>756.80799999999999</v>
          </cell>
        </row>
        <row r="195">
          <cell r="B195" t="str">
            <v>Current  Assets:</v>
          </cell>
        </row>
        <row r="197">
          <cell r="B197" t="str">
            <v>a. Inventories</v>
          </cell>
          <cell r="C197">
            <v>45.33</v>
          </cell>
          <cell r="D197">
            <v>53.25</v>
          </cell>
          <cell r="E197">
            <v>41.57</v>
          </cell>
          <cell r="F197">
            <v>58.55</v>
          </cell>
          <cell r="G197">
            <v>130.61000000000001</v>
          </cell>
          <cell r="H197">
            <v>288.3</v>
          </cell>
        </row>
        <row r="199">
          <cell r="B199" t="str">
            <v>b. Sundry  Debtors</v>
          </cell>
          <cell r="C199">
            <v>52.62</v>
          </cell>
          <cell r="D199">
            <v>41.46</v>
          </cell>
          <cell r="E199">
            <v>105.17</v>
          </cell>
          <cell r="F199">
            <v>100.47</v>
          </cell>
          <cell r="G199">
            <v>87.53</v>
          </cell>
          <cell r="H199">
            <v>95.6</v>
          </cell>
        </row>
        <row r="201">
          <cell r="B201" t="str">
            <v>c.  Cash &amp; Bank Balances</v>
          </cell>
          <cell r="C201">
            <v>25.15</v>
          </cell>
          <cell r="D201">
            <v>37.33</v>
          </cell>
          <cell r="E201">
            <v>23.84</v>
          </cell>
          <cell r="F201">
            <v>11.56</v>
          </cell>
          <cell r="G201">
            <v>1.54</v>
          </cell>
          <cell r="H201">
            <v>2.4700000000000002</v>
          </cell>
        </row>
        <row r="203">
          <cell r="B203" t="str">
            <v>d.  Loans &amp;  Advances</v>
          </cell>
          <cell r="C203">
            <v>40.089999999999996</v>
          </cell>
          <cell r="D203">
            <v>135.42000000000002</v>
          </cell>
          <cell r="E203">
            <v>257.35000000000002</v>
          </cell>
          <cell r="F203">
            <v>61.674999999999997</v>
          </cell>
          <cell r="G203">
            <v>112.2</v>
          </cell>
          <cell r="H203">
            <v>75.19</v>
          </cell>
        </row>
        <row r="205">
          <cell r="B205" t="str">
            <v>e.  Deposits</v>
          </cell>
          <cell r="C205">
            <v>31.54</v>
          </cell>
          <cell r="D205">
            <v>31.63</v>
          </cell>
          <cell r="E205">
            <v>1.63</v>
          </cell>
          <cell r="F205">
            <v>1.645</v>
          </cell>
          <cell r="G205">
            <v>1.81</v>
          </cell>
          <cell r="H205">
            <v>106.12</v>
          </cell>
        </row>
        <row r="207">
          <cell r="B207" t="str">
            <v>f. Trade  Investments</v>
          </cell>
          <cell r="C207">
            <v>0</v>
          </cell>
          <cell r="D207">
            <v>0</v>
          </cell>
          <cell r="E207">
            <v>0</v>
          </cell>
          <cell r="F207">
            <v>0</v>
          </cell>
          <cell r="G207">
            <v>0</v>
          </cell>
          <cell r="H207">
            <v>0</v>
          </cell>
        </row>
        <row r="208">
          <cell r="C208" t="str">
            <v>-</v>
          </cell>
          <cell r="D208" t="str">
            <v>-</v>
          </cell>
          <cell r="E208" t="str">
            <v>-</v>
          </cell>
          <cell r="F208" t="str">
            <v>-</v>
          </cell>
          <cell r="G208" t="str">
            <v>-</v>
          </cell>
          <cell r="H208" t="str">
            <v>-</v>
          </cell>
        </row>
        <row r="209">
          <cell r="B209" t="str">
            <v xml:space="preserve">         Total Current  Assets</v>
          </cell>
          <cell r="C209">
            <v>194.73</v>
          </cell>
          <cell r="D209">
            <v>299.09000000000003</v>
          </cell>
          <cell r="E209">
            <v>429.56000000000006</v>
          </cell>
          <cell r="F209">
            <v>233.9</v>
          </cell>
          <cell r="G209">
            <v>333.69</v>
          </cell>
          <cell r="H209">
            <v>567.68000000000006</v>
          </cell>
        </row>
        <row r="211">
          <cell r="B211" t="str">
            <v>Current Liabilities</v>
          </cell>
          <cell r="C211">
            <v>35.5</v>
          </cell>
          <cell r="D211">
            <v>31.48</v>
          </cell>
          <cell r="E211">
            <v>33.119999999999997</v>
          </cell>
          <cell r="F211">
            <v>28.53</v>
          </cell>
          <cell r="G211">
            <v>86.375</v>
          </cell>
          <cell r="H211">
            <v>66.83</v>
          </cell>
        </row>
        <row r="212">
          <cell r="C212" t="str">
            <v>-</v>
          </cell>
          <cell r="D212" t="str">
            <v>-</v>
          </cell>
          <cell r="E212" t="str">
            <v>-</v>
          </cell>
          <cell r="F212" t="str">
            <v>-</v>
          </cell>
          <cell r="G212" t="str">
            <v>-</v>
          </cell>
          <cell r="H212" t="str">
            <v>-</v>
          </cell>
        </row>
        <row r="213">
          <cell r="B213" t="str">
            <v xml:space="preserve">         Total  Current Liabilities</v>
          </cell>
          <cell r="C213">
            <v>140.72999999999999</v>
          </cell>
          <cell r="D213">
            <v>167.61999999999998</v>
          </cell>
          <cell r="E213">
            <v>205.02</v>
          </cell>
          <cell r="F213">
            <v>79.64</v>
          </cell>
          <cell r="G213">
            <v>132.345</v>
          </cell>
          <cell r="H213">
            <v>162.12700000000001</v>
          </cell>
        </row>
        <row r="214">
          <cell r="C214" t="str">
            <v>-</v>
          </cell>
          <cell r="D214" t="str">
            <v>-</v>
          </cell>
          <cell r="E214" t="str">
            <v>-</v>
          </cell>
          <cell r="F214" t="str">
            <v>-</v>
          </cell>
          <cell r="G214" t="str">
            <v>-</v>
          </cell>
          <cell r="H214" t="str">
            <v>-</v>
          </cell>
        </row>
        <row r="215">
          <cell r="B215" t="str">
            <v xml:space="preserve">Working  Capital  </v>
          </cell>
          <cell r="C215">
            <v>54</v>
          </cell>
          <cell r="D215">
            <v>131.47000000000006</v>
          </cell>
          <cell r="E215">
            <v>224.54000000000005</v>
          </cell>
          <cell r="F215">
            <v>154.26</v>
          </cell>
          <cell r="G215">
            <v>201.345</v>
          </cell>
          <cell r="H215">
            <v>405.55300000000005</v>
          </cell>
        </row>
        <row r="217">
          <cell r="B217" t="str">
            <v>L.T. Funds</v>
          </cell>
          <cell r="C217">
            <v>389.06000000000006</v>
          </cell>
          <cell r="D217">
            <v>606.72</v>
          </cell>
          <cell r="E217">
            <v>621.48</v>
          </cell>
          <cell r="F217">
            <v>424.41999999999996</v>
          </cell>
          <cell r="G217">
            <v>749.72700000000009</v>
          </cell>
          <cell r="H217">
            <v>1689.6399999999999</v>
          </cell>
        </row>
        <row r="219">
          <cell r="B219" t="str">
            <v>Turnover</v>
          </cell>
          <cell r="C219">
            <v>1364.28</v>
          </cell>
          <cell r="D219">
            <v>1093.98</v>
          </cell>
          <cell r="E219">
            <v>2217.7800000000002</v>
          </cell>
          <cell r="F219">
            <v>2628.58</v>
          </cell>
          <cell r="G219">
            <v>3089.9</v>
          </cell>
          <cell r="H219">
            <v>4555.9579999999996</v>
          </cell>
        </row>
        <row r="221">
          <cell r="B221" t="str">
            <v>Gross  Profit</v>
          </cell>
          <cell r="C221">
            <v>255.88285000000005</v>
          </cell>
          <cell r="D221">
            <v>214.57402000000008</v>
          </cell>
          <cell r="E221">
            <v>297.62000000000046</v>
          </cell>
          <cell r="F221">
            <v>315.91999999999967</v>
          </cell>
          <cell r="G221">
            <v>431.21000000000055</v>
          </cell>
          <cell r="H221">
            <v>565.71399999999971</v>
          </cell>
        </row>
        <row r="223">
          <cell r="B223" t="str">
            <v>Net Profit for the Year</v>
          </cell>
          <cell r="C223">
            <v>99.61284999999998</v>
          </cell>
          <cell r="D223">
            <v>74.374019999999973</v>
          </cell>
          <cell r="E223">
            <v>77.450000000000273</v>
          </cell>
          <cell r="F223">
            <v>89.054999999999836</v>
          </cell>
          <cell r="G223">
            <v>121.88100000000122</v>
          </cell>
          <cell r="H223">
            <v>215.84900000000016</v>
          </cell>
        </row>
        <row r="225">
          <cell r="B225" t="str">
            <v>Interest  &amp;  Finance  Charges</v>
          </cell>
          <cell r="C225">
            <v>59.28</v>
          </cell>
          <cell r="D225">
            <v>47.3</v>
          </cell>
          <cell r="E225">
            <v>72.25</v>
          </cell>
          <cell r="F225">
            <v>52.72</v>
          </cell>
          <cell r="G225">
            <v>44.89</v>
          </cell>
          <cell r="H225">
            <v>66.126000000000005</v>
          </cell>
        </row>
        <row r="227">
          <cell r="B227" t="str">
            <v>PBIT</v>
          </cell>
          <cell r="C227">
            <v>158.89284999999998</v>
          </cell>
          <cell r="D227">
            <v>121.67401999999997</v>
          </cell>
          <cell r="E227">
            <v>149.70000000000027</v>
          </cell>
          <cell r="F227">
            <v>141.77499999999984</v>
          </cell>
          <cell r="G227">
            <v>166.77100000000121</v>
          </cell>
          <cell r="H227">
            <v>281.97500000000014</v>
          </cell>
        </row>
        <row r="229">
          <cell r="B229" t="str">
            <v xml:space="preserve">F.G.Inventory </v>
          </cell>
          <cell r="C229">
            <v>0</v>
          </cell>
          <cell r="D229">
            <v>0</v>
          </cell>
          <cell r="E229">
            <v>0</v>
          </cell>
          <cell r="F229">
            <v>0</v>
          </cell>
          <cell r="G229">
            <v>0</v>
          </cell>
          <cell r="H229">
            <v>0</v>
          </cell>
        </row>
        <row r="231">
          <cell r="B231" t="str">
            <v>R.M.Inventory</v>
          </cell>
          <cell r="C231">
            <v>0</v>
          </cell>
          <cell r="D231">
            <v>0</v>
          </cell>
          <cell r="E231">
            <v>0</v>
          </cell>
          <cell r="F231">
            <v>0</v>
          </cell>
          <cell r="G231">
            <v>0</v>
          </cell>
          <cell r="H231">
            <v>0</v>
          </cell>
        </row>
        <row r="232">
          <cell r="B232" t="str">
            <v>=</v>
          </cell>
          <cell r="C232" t="str">
            <v>=</v>
          </cell>
          <cell r="D232" t="str">
            <v>=</v>
          </cell>
          <cell r="E232" t="str">
            <v>=</v>
          </cell>
          <cell r="F232" t="str">
            <v>=</v>
          </cell>
          <cell r="G232" t="str">
            <v>=</v>
          </cell>
          <cell r="H232" t="str">
            <v>=</v>
          </cell>
        </row>
        <row r="236">
          <cell r="B236" t="str">
            <v>CALCULATION  OF  VARIOUS  RATIOS</v>
          </cell>
        </row>
        <row r="237">
          <cell r="H237" t="str">
            <v>(RS.IN LACS)</v>
          </cell>
        </row>
        <row r="238">
          <cell r="B238" t="str">
            <v>-</v>
          </cell>
          <cell r="C238" t="str">
            <v>-</v>
          </cell>
          <cell r="D238" t="str">
            <v>-</v>
          </cell>
          <cell r="E238" t="str">
            <v>-</v>
          </cell>
          <cell r="F238" t="str">
            <v>-</v>
          </cell>
          <cell r="G238" t="str">
            <v>-</v>
          </cell>
          <cell r="H238" t="str">
            <v>-</v>
          </cell>
        </row>
        <row r="239">
          <cell r="B239" t="str">
            <v>PARTICULARS</v>
          </cell>
          <cell r="C239" t="str">
            <v>1997-98</v>
          </cell>
          <cell r="D239" t="str">
            <v>1998-99</v>
          </cell>
          <cell r="E239" t="str">
            <v>1999-00</v>
          </cell>
          <cell r="F239" t="str">
            <v>2000-01</v>
          </cell>
          <cell r="G239" t="str">
            <v>2001-02</v>
          </cell>
          <cell r="H239" t="str">
            <v>2002-03</v>
          </cell>
        </row>
        <row r="240">
          <cell r="B240" t="str">
            <v>-</v>
          </cell>
          <cell r="C240" t="str">
            <v>-</v>
          </cell>
          <cell r="D240" t="str">
            <v>-</v>
          </cell>
          <cell r="E240" t="str">
            <v>-</v>
          </cell>
          <cell r="F240" t="str">
            <v>-</v>
          </cell>
          <cell r="G240" t="str">
            <v>-</v>
          </cell>
          <cell r="H240" t="str">
            <v>-</v>
          </cell>
        </row>
        <row r="241">
          <cell r="B241" t="str">
            <v>NET PROFIT AFTER TAX</v>
          </cell>
          <cell r="C241">
            <v>99.61284999999998</v>
          </cell>
          <cell r="D241">
            <v>74.374019999999973</v>
          </cell>
          <cell r="E241">
            <v>77.450000000000273</v>
          </cell>
          <cell r="F241">
            <v>2.3149999999998414</v>
          </cell>
          <cell r="G241">
            <v>112.63100000000122</v>
          </cell>
          <cell r="H241">
            <v>198.84900000000016</v>
          </cell>
        </row>
        <row r="243">
          <cell r="B243" t="str">
            <v>CASH PROFIT</v>
          </cell>
          <cell r="C243">
            <v>115.60284999999998</v>
          </cell>
          <cell r="D243">
            <v>91.824019999999976</v>
          </cell>
          <cell r="E243">
            <v>101.41000000000028</v>
          </cell>
          <cell r="F243">
            <v>49.349999999999838</v>
          </cell>
          <cell r="G243">
            <v>186.84000000000123</v>
          </cell>
          <cell r="H243">
            <v>258.84900000000016</v>
          </cell>
        </row>
        <row r="245">
          <cell r="B245" t="str">
            <v>CASH PROFIT RATIO</v>
          </cell>
          <cell r="C245">
            <v>8.3800543675244636</v>
          </cell>
          <cell r="D245">
            <v>8.3006264520036499</v>
          </cell>
          <cell r="E245">
            <v>4.56341349269207</v>
          </cell>
          <cell r="F245">
            <v>1.8709836407408049</v>
          </cell>
          <cell r="G245">
            <v>6.0051875255118006</v>
          </cell>
          <cell r="H245">
            <v>5.4303754368600279</v>
          </cell>
        </row>
        <row r="247">
          <cell r="B247" t="str">
            <v>EQUITY SHARE CAPITAL</v>
          </cell>
          <cell r="C247">
            <v>32.729999999999997</v>
          </cell>
          <cell r="D247">
            <v>32.729999999999997</v>
          </cell>
          <cell r="E247">
            <v>32.729999999999997</v>
          </cell>
          <cell r="F247">
            <v>32.729999999999997</v>
          </cell>
          <cell r="G247">
            <v>32.729999999999997</v>
          </cell>
          <cell r="H247">
            <v>32.729999999999997</v>
          </cell>
        </row>
        <row r="249">
          <cell r="B249" t="str">
            <v>PREFERENCE SHARE CAPITAL</v>
          </cell>
          <cell r="C249">
            <v>0</v>
          </cell>
          <cell r="D249">
            <v>2.5</v>
          </cell>
          <cell r="E249">
            <v>2.5</v>
          </cell>
          <cell r="H249">
            <v>18</v>
          </cell>
        </row>
        <row r="251">
          <cell r="B251" t="str">
            <v>RESERVES &amp; SURPLUS</v>
          </cell>
          <cell r="C251">
            <v>138.5</v>
          </cell>
          <cell r="D251">
            <v>219.18</v>
          </cell>
          <cell r="E251">
            <v>282.08999999999997</v>
          </cell>
          <cell r="F251">
            <v>258.01</v>
          </cell>
          <cell r="G251">
            <v>367.36700000000002</v>
          </cell>
          <cell r="H251">
            <v>868.21699999999998</v>
          </cell>
        </row>
        <row r="253">
          <cell r="B253" t="str">
            <v>NET  WORTH</v>
          </cell>
          <cell r="C253">
            <v>171.23</v>
          </cell>
          <cell r="D253">
            <v>254.41</v>
          </cell>
          <cell r="E253">
            <v>317.32</v>
          </cell>
          <cell r="F253">
            <v>290.74</v>
          </cell>
          <cell r="G253">
            <v>400.09700000000004</v>
          </cell>
          <cell r="H253">
            <v>918.947</v>
          </cell>
        </row>
        <row r="255">
          <cell r="B255" t="str">
            <v>UNSECURED  LOAN</v>
          </cell>
          <cell r="C255">
            <v>18.25</v>
          </cell>
          <cell r="D255">
            <v>115.25</v>
          </cell>
          <cell r="E255">
            <v>30.5</v>
          </cell>
          <cell r="F255">
            <v>0</v>
          </cell>
          <cell r="G255">
            <v>0</v>
          </cell>
          <cell r="H255">
            <v>13.885</v>
          </cell>
        </row>
        <row r="257">
          <cell r="B257" t="str">
            <v>TERM LOANS</v>
          </cell>
          <cell r="C257">
            <v>199.57999999999998</v>
          </cell>
          <cell r="D257">
            <v>237.06</v>
          </cell>
          <cell r="E257">
            <v>273.65999999999997</v>
          </cell>
          <cell r="F257">
            <v>133.68</v>
          </cell>
          <cell r="G257">
            <v>349.63</v>
          </cell>
          <cell r="H257">
            <v>754.39699999999993</v>
          </cell>
        </row>
        <row r="259">
          <cell r="B259" t="str">
            <v>EQUITY SHARES OF Rs.10 EACH</v>
          </cell>
          <cell r="C259">
            <v>327299.99999999994</v>
          </cell>
          <cell r="D259">
            <v>327299.99999999994</v>
          </cell>
          <cell r="E259">
            <v>327299.99999999994</v>
          </cell>
          <cell r="F259">
            <v>327299.99999999994</v>
          </cell>
          <cell r="G259">
            <v>327299.99999999994</v>
          </cell>
          <cell r="H259">
            <v>327299.99999999994</v>
          </cell>
        </row>
        <row r="261">
          <cell r="B261" t="str">
            <v>EPS</v>
          </cell>
          <cell r="C261">
            <v>30.434723495264286</v>
          </cell>
          <cell r="D261">
            <v>22.723501374885423</v>
          </cell>
          <cell r="E261">
            <v>23.663305835624897</v>
          </cell>
          <cell r="F261">
            <v>0.7073021692636241</v>
          </cell>
          <cell r="G261">
            <v>34.412160097770006</v>
          </cell>
          <cell r="H261">
            <v>60.754353803849746</v>
          </cell>
        </row>
        <row r="263">
          <cell r="B263" t="str">
            <v>CASH  EPS</v>
          </cell>
          <cell r="C263">
            <v>35.32014970974641</v>
          </cell>
          <cell r="D263">
            <v>28.055001527650468</v>
          </cell>
          <cell r="E263">
            <v>30.983806904980234</v>
          </cell>
          <cell r="F263">
            <v>15.077910174152107</v>
          </cell>
          <cell r="G263">
            <v>57.085242896425683</v>
          </cell>
          <cell r="H263">
            <v>79.086159486709505</v>
          </cell>
        </row>
        <row r="265">
          <cell r="B265" t="str">
            <v>DIVIDEND %</v>
          </cell>
          <cell r="C265">
            <v>0.54995417048579287</v>
          </cell>
          <cell r="D265">
            <v>0.4598353675844451</v>
          </cell>
          <cell r="E265">
            <v>0.41243258586432019</v>
          </cell>
          <cell r="F265">
            <v>0</v>
          </cell>
          <cell r="G265">
            <v>9.9908340971585713E-2</v>
          </cell>
          <cell r="H265">
            <v>0</v>
          </cell>
        </row>
        <row r="267">
          <cell r="B267" t="str">
            <v>NET  WORTH</v>
          </cell>
          <cell r="C267">
            <v>171.23</v>
          </cell>
          <cell r="D267">
            <v>254.41</v>
          </cell>
          <cell r="E267">
            <v>317.32</v>
          </cell>
          <cell r="F267">
            <v>290.74</v>
          </cell>
          <cell r="G267">
            <v>400.09700000000004</v>
          </cell>
          <cell r="H267">
            <v>918.947</v>
          </cell>
        </row>
        <row r="269">
          <cell r="B269" t="str">
            <v>BOOK VALUE PER SHARE</v>
          </cell>
          <cell r="C269">
            <v>52.315918117934622</v>
          </cell>
          <cell r="D269">
            <v>77.729911396272556</v>
          </cell>
          <cell r="E269">
            <v>96.950809654751012</v>
          </cell>
          <cell r="F269">
            <v>88.829819737244136</v>
          </cell>
          <cell r="G269">
            <v>122.24167430491906</v>
          </cell>
          <cell r="H269">
            <v>280.76596394744888</v>
          </cell>
        </row>
        <row r="271">
          <cell r="B271" t="str">
            <v>DEBT -EQUITY RATIO</v>
          </cell>
          <cell r="C271">
            <v>1.0533037787629302</v>
          </cell>
          <cell r="D271">
            <v>0.64129199805226433</v>
          </cell>
          <cell r="E271">
            <v>0.78678626875970326</v>
          </cell>
          <cell r="F271">
            <v>0.45979225424778153</v>
          </cell>
          <cell r="G271">
            <v>0.87386308820111114</v>
          </cell>
          <cell r="H271">
            <v>0.81130149909094029</v>
          </cell>
        </row>
        <row r="273">
          <cell r="B273" t="str">
            <v>CURRENT  RATIO</v>
          </cell>
          <cell r="C273">
            <v>1.3837134939245364</v>
          </cell>
          <cell r="D273">
            <v>1.7843336117408428</v>
          </cell>
          <cell r="E273">
            <v>2.09521022339284</v>
          </cell>
          <cell r="F273">
            <v>2.9369663485685584</v>
          </cell>
          <cell r="G273">
            <v>2.521364615210246</v>
          </cell>
          <cell r="H273">
            <v>3.5014525649645032</v>
          </cell>
        </row>
        <row r="275">
          <cell r="B275" t="str">
            <v>LIQUID  RATIO</v>
          </cell>
          <cell r="C275">
            <v>1.0616073331912173</v>
          </cell>
          <cell r="D275">
            <v>1.4666507576661501</v>
          </cell>
          <cell r="E275">
            <v>1.8924495171202811</v>
          </cell>
          <cell r="F275">
            <v>2.2017830236062284</v>
          </cell>
          <cell r="G275">
            <v>1.5344742906796629</v>
          </cell>
          <cell r="H275">
            <v>1.7232169842160778</v>
          </cell>
        </row>
        <row r="276">
          <cell r="B276" t="str">
            <v>=</v>
          </cell>
          <cell r="C276" t="str">
            <v>=</v>
          </cell>
          <cell r="D276" t="str">
            <v>=</v>
          </cell>
          <cell r="E276" t="str">
            <v>=</v>
          </cell>
          <cell r="F276" t="str">
            <v>=</v>
          </cell>
          <cell r="G276" t="str">
            <v>=</v>
          </cell>
          <cell r="H276" t="str">
            <v>=</v>
          </cell>
        </row>
        <row r="278">
          <cell r="H278" t="str">
            <v>(RS.IN LACS)</v>
          </cell>
        </row>
        <row r="279">
          <cell r="B279" t="str">
            <v>-</v>
          </cell>
          <cell r="C279" t="str">
            <v>-</v>
          </cell>
          <cell r="D279" t="str">
            <v>-</v>
          </cell>
          <cell r="E279" t="str">
            <v>-</v>
          </cell>
          <cell r="F279" t="str">
            <v>-</v>
          </cell>
          <cell r="G279" t="str">
            <v>-</v>
          </cell>
          <cell r="H279" t="str">
            <v>-</v>
          </cell>
        </row>
        <row r="280">
          <cell r="B280" t="str">
            <v>PARTICULARS</v>
          </cell>
          <cell r="C280" t="str">
            <v>1997-98</v>
          </cell>
          <cell r="D280" t="str">
            <v>1998-99</v>
          </cell>
          <cell r="E280" t="str">
            <v>1999-00</v>
          </cell>
          <cell r="F280" t="str">
            <v>2000-01</v>
          </cell>
          <cell r="G280" t="str">
            <v>2001-02</v>
          </cell>
          <cell r="H280" t="str">
            <v>2002-03</v>
          </cell>
        </row>
        <row r="281">
          <cell r="B281" t="str">
            <v>-</v>
          </cell>
          <cell r="C281" t="str">
            <v>-</v>
          </cell>
          <cell r="D281" t="str">
            <v>-</v>
          </cell>
          <cell r="E281" t="str">
            <v>-</v>
          </cell>
          <cell r="F281" t="str">
            <v>-</v>
          </cell>
          <cell r="G281" t="str">
            <v>-</v>
          </cell>
          <cell r="H281" t="str">
            <v>-</v>
          </cell>
        </row>
        <row r="282">
          <cell r="B282" t="str">
            <v>FIXED  ASSETS/ L.T.FUNDS</v>
          </cell>
          <cell r="C282">
            <v>0.76787642008944623</v>
          </cell>
          <cell r="D282">
            <v>0.69035139767932485</v>
          </cell>
          <cell r="E282">
            <v>0.63807363068803502</v>
          </cell>
          <cell r="F282">
            <v>0.63562037604259936</v>
          </cell>
          <cell r="G282">
            <v>0.73089271161369396</v>
          </cell>
          <cell r="H282">
            <v>0.65758623138656769</v>
          </cell>
        </row>
        <row r="284">
          <cell r="B284" t="str">
            <v>RETURN  ON NET  WORTH</v>
          </cell>
          <cell r="D284">
            <v>0.34946912884127418</v>
          </cell>
          <cell r="E284">
            <v>0.27093208332604646</v>
          </cell>
          <cell r="F284">
            <v>7.614380159852125E-3</v>
          </cell>
          <cell r="G284">
            <v>0.32607112821114453</v>
          </cell>
          <cell r="H284">
            <v>0.30150472615015139</v>
          </cell>
        </row>
        <row r="286">
          <cell r="B286" t="str">
            <v>RETURN ON  CAPITAL</v>
          </cell>
          <cell r="C286">
            <v>3.0434723495264282</v>
          </cell>
          <cell r="D286">
            <v>2.1110990632983246</v>
          </cell>
          <cell r="E286">
            <v>2.1984104456429261</v>
          </cell>
          <cell r="F286">
            <v>7.0730216926362402E-2</v>
          </cell>
          <cell r="G286">
            <v>3.4412160097770008</v>
          </cell>
          <cell r="H286">
            <v>3.9197516262566561</v>
          </cell>
        </row>
        <row r="288">
          <cell r="B288" t="str">
            <v>GROSS  PROFIT  RATIO</v>
          </cell>
          <cell r="C288">
            <v>0.18755889553464103</v>
          </cell>
          <cell r="D288">
            <v>0.19614071555238677</v>
          </cell>
          <cell r="E288">
            <v>0.13419726032338664</v>
          </cell>
          <cell r="F288">
            <v>0.12018656460902832</v>
          </cell>
          <cell r="G288">
            <v>0.13955467814492395</v>
          </cell>
          <cell r="H288">
            <v>0.12417015257822828</v>
          </cell>
        </row>
        <row r="290">
          <cell r="B290" t="str">
            <v>NET  PROFIT  RATIO</v>
          </cell>
          <cell r="C290">
            <v>7.30149602720849E-2</v>
          </cell>
          <cell r="D290">
            <v>6.79848077661383E-2</v>
          </cell>
          <cell r="E290">
            <v>3.492230969708459E-2</v>
          </cell>
          <cell r="F290">
            <v>8.8070364987934222E-4</v>
          </cell>
          <cell r="G290">
            <v>3.64513414673618E-2</v>
          </cell>
          <cell r="H290">
            <v>4.3645924742941038E-2</v>
          </cell>
        </row>
        <row r="292">
          <cell r="B292" t="str">
            <v>CAPITAL  TURNOVER RATIO</v>
          </cell>
          <cell r="C292">
            <v>41.68285976168653</v>
          </cell>
          <cell r="D292">
            <v>31.052512063582178</v>
          </cell>
          <cell r="E292">
            <v>62.951461822310542</v>
          </cell>
          <cell r="F292">
            <v>80.311029636419192</v>
          </cell>
          <cell r="G292">
            <v>94.405743965780644</v>
          </cell>
          <cell r="H292">
            <v>89.80796372954859</v>
          </cell>
        </row>
        <row r="294">
          <cell r="B294" t="str">
            <v>WORKING  CAP.  TURNOVER</v>
          </cell>
          <cell r="C294">
            <v>25.264444444444443</v>
          </cell>
          <cell r="D294">
            <v>8.3211379021830041</v>
          </cell>
          <cell r="E294">
            <v>9.8769929633918228</v>
          </cell>
          <cell r="F294">
            <v>17.039932581356151</v>
          </cell>
          <cell r="G294">
            <v>15.346296158335196</v>
          </cell>
          <cell r="H294">
            <v>11.233939830305777</v>
          </cell>
        </row>
        <row r="296">
          <cell r="B296" t="str">
            <v>ASSET COVERAGE RATIO</v>
          </cell>
          <cell r="C296">
            <v>1.4968934763002306</v>
          </cell>
          <cell r="D296">
            <v>1.7668522736859869</v>
          </cell>
          <cell r="E296">
            <v>1.4490608784623258</v>
          </cell>
          <cell r="F296">
            <v>2.0180281268701372</v>
          </cell>
          <cell r="G296">
            <v>1.567285416011212</v>
          </cell>
          <cell r="H296">
            <v>1.4728107349313426</v>
          </cell>
        </row>
        <row r="298">
          <cell r="B298" t="str">
            <v>RAW  MATERIAL  TURNOVER</v>
          </cell>
          <cell r="C298" t="e">
            <v>#DIV/0!</v>
          </cell>
          <cell r="D298" t="e">
            <v>#DIV/0!</v>
          </cell>
          <cell r="E298" t="e">
            <v>#DIV/0!</v>
          </cell>
          <cell r="F298" t="e">
            <v>#DIV/0!</v>
          </cell>
          <cell r="G298" t="e">
            <v>#DIV/0!</v>
          </cell>
          <cell r="H298" t="e">
            <v>#DIV/0!</v>
          </cell>
        </row>
        <row r="300">
          <cell r="B300" t="str">
            <v>INT./PBIT (%)</v>
          </cell>
          <cell r="C300">
            <v>0.37308160814032859</v>
          </cell>
          <cell r="D300">
            <v>0.3887436282618098</v>
          </cell>
          <cell r="E300">
            <v>0.48263193052772124</v>
          </cell>
          <cell r="F300">
            <v>0.37185681537647725</v>
          </cell>
          <cell r="G300">
            <v>0.26917149864184825</v>
          </cell>
          <cell r="H300">
            <v>0.23451015160918512</v>
          </cell>
        </row>
        <row r="301">
          <cell r="B301" t="str">
            <v>=</v>
          </cell>
          <cell r="C301" t="str">
            <v>=</v>
          </cell>
          <cell r="D301" t="str">
            <v>=</v>
          </cell>
          <cell r="E301" t="str">
            <v>=</v>
          </cell>
          <cell r="F301" t="str">
            <v>=</v>
          </cell>
          <cell r="G301" t="str">
            <v>=</v>
          </cell>
          <cell r="H301" t="str">
            <v>=</v>
          </cell>
        </row>
        <row r="332">
          <cell r="B332" t="str">
            <v>-</v>
          </cell>
          <cell r="C332" t="str">
            <v>-</v>
          </cell>
          <cell r="D332" t="str">
            <v>-</v>
          </cell>
          <cell r="E332" t="str">
            <v>-</v>
          </cell>
          <cell r="F332" t="str">
            <v>-</v>
          </cell>
          <cell r="G332" t="str">
            <v>-</v>
          </cell>
          <cell r="H332" t="str">
            <v>-</v>
          </cell>
        </row>
        <row r="333">
          <cell r="B333" t="str">
            <v>PARTICULARS</v>
          </cell>
          <cell r="C333" t="str">
            <v>1997-98</v>
          </cell>
          <cell r="D333" t="str">
            <v>1998-99</v>
          </cell>
          <cell r="E333" t="str">
            <v>1999-00</v>
          </cell>
          <cell r="F333" t="str">
            <v>2000-01</v>
          </cell>
          <cell r="G333" t="str">
            <v>2001-02</v>
          </cell>
          <cell r="H333" t="str">
            <v>2002-03</v>
          </cell>
        </row>
        <row r="334">
          <cell r="B334" t="str">
            <v>-</v>
          </cell>
          <cell r="C334" t="str">
            <v>-</v>
          </cell>
          <cell r="D334" t="str">
            <v>-</v>
          </cell>
          <cell r="E334" t="str">
            <v>-</v>
          </cell>
          <cell r="F334" t="str">
            <v>-</v>
          </cell>
          <cell r="G334" t="str">
            <v>-</v>
          </cell>
          <cell r="H334" t="str">
            <v>-</v>
          </cell>
        </row>
        <row r="335">
          <cell r="B335" t="str">
            <v>GROSS REVENUE</v>
          </cell>
          <cell r="C335">
            <v>1379.5</v>
          </cell>
          <cell r="D335">
            <v>1106.23</v>
          </cell>
          <cell r="E335">
            <v>2222.2400000000002</v>
          </cell>
          <cell r="F335">
            <v>2637.6499999999996</v>
          </cell>
          <cell r="G335">
            <v>3111.3100000000004</v>
          </cell>
          <cell r="H335">
            <v>4766.6869999999999</v>
          </cell>
        </row>
        <row r="337">
          <cell r="B337" t="str">
            <v>GROWTH IN QUANTITY</v>
          </cell>
        </row>
        <row r="338">
          <cell r="B338" t="str">
            <v>GROWTH   IN  %</v>
          </cell>
          <cell r="C338" t="e">
            <v>#REF!</v>
          </cell>
          <cell r="D338">
            <v>-0.19809351214208046</v>
          </cell>
          <cell r="E338">
            <v>1.0088408378004576</v>
          </cell>
          <cell r="F338">
            <v>0.18693300453596343</v>
          </cell>
          <cell r="G338">
            <v>0.17957651697533822</v>
          </cell>
          <cell r="H338">
            <v>0.5320514509965254</v>
          </cell>
        </row>
        <row r="340">
          <cell r="B340" t="str">
            <v>PROFIT BEFORE TAX</v>
          </cell>
          <cell r="C340">
            <v>99.61284999999998</v>
          </cell>
          <cell r="D340">
            <v>74.374019999999973</v>
          </cell>
          <cell r="E340">
            <v>77.450000000000273</v>
          </cell>
          <cell r="F340">
            <v>89.054999999999836</v>
          </cell>
          <cell r="G340">
            <v>121.88100000000122</v>
          </cell>
          <cell r="H340">
            <v>215.84900000000016</v>
          </cell>
        </row>
        <row r="342">
          <cell r="B342" t="str">
            <v>GROWTH   IN  %</v>
          </cell>
          <cell r="D342">
            <v>-0.25336921893109182</v>
          </cell>
          <cell r="E342">
            <v>4.1358259241604807E-2</v>
          </cell>
          <cell r="F342">
            <v>0.14983860555196285</v>
          </cell>
          <cell r="G342">
            <v>0.36860367188817522</v>
          </cell>
          <cell r="H342">
            <v>0.77098153116562873</v>
          </cell>
        </row>
        <row r="344">
          <cell r="B344" t="str">
            <v>PROFIT AFTER TAX</v>
          </cell>
          <cell r="C344">
            <v>99.61284999999998</v>
          </cell>
          <cell r="D344">
            <v>74.374019999999973</v>
          </cell>
          <cell r="E344">
            <v>77.450000000000273</v>
          </cell>
          <cell r="F344">
            <v>2.3149999999998414</v>
          </cell>
          <cell r="G344">
            <v>112.63100000000122</v>
          </cell>
          <cell r="H344">
            <v>198.84900000000016</v>
          </cell>
        </row>
        <row r="346">
          <cell r="B346" t="str">
            <v>DIVIDEND (%)</v>
          </cell>
          <cell r="C346">
            <v>0.54995417048579287</v>
          </cell>
          <cell r="D346">
            <v>0.4598353675844451</v>
          </cell>
          <cell r="E346">
            <v>0.41243258586432019</v>
          </cell>
          <cell r="F346">
            <v>0</v>
          </cell>
          <cell r="G346">
            <v>9.9908340971585713E-2</v>
          </cell>
          <cell r="H346">
            <v>0</v>
          </cell>
        </row>
        <row r="348">
          <cell r="B348" t="str">
            <v>SHARE CAPITAL</v>
          </cell>
          <cell r="C348">
            <v>32.729999999999997</v>
          </cell>
          <cell r="D348">
            <v>35.229999999999997</v>
          </cell>
          <cell r="E348">
            <v>35.229999999999997</v>
          </cell>
          <cell r="F348">
            <v>32.729999999999997</v>
          </cell>
          <cell r="G348">
            <v>32.729999999999997</v>
          </cell>
          <cell r="H348">
            <v>50.73</v>
          </cell>
        </row>
        <row r="350">
          <cell r="B350" t="str">
            <v>RESERVES</v>
          </cell>
          <cell r="C350">
            <v>138.5</v>
          </cell>
          <cell r="D350">
            <v>219.18</v>
          </cell>
          <cell r="E350">
            <v>282.08999999999997</v>
          </cell>
          <cell r="F350">
            <v>258.01</v>
          </cell>
          <cell r="G350">
            <v>367.36700000000002</v>
          </cell>
          <cell r="H350">
            <v>868.21699999999998</v>
          </cell>
        </row>
        <row r="352">
          <cell r="B352" t="str">
            <v>BORROWINGS</v>
          </cell>
          <cell r="C352">
            <v>312.99</v>
          </cell>
          <cell r="D352">
            <v>373.2</v>
          </cell>
          <cell r="E352">
            <v>445.56</v>
          </cell>
          <cell r="F352">
            <v>184.79</v>
          </cell>
          <cell r="G352">
            <v>395.6</v>
          </cell>
          <cell r="H352">
            <v>852.10500000000002</v>
          </cell>
        </row>
        <row r="354">
          <cell r="B354" t="str">
            <v>CAPITAL EMPLOYED</v>
          </cell>
          <cell r="C354">
            <v>502.47</v>
          </cell>
          <cell r="D354">
            <v>742.86</v>
          </cell>
          <cell r="E354">
            <v>793.38</v>
          </cell>
          <cell r="F354">
            <v>475.53</v>
          </cell>
          <cell r="G354">
            <v>795.69700000000012</v>
          </cell>
          <cell r="H354">
            <v>1784.9369999999999</v>
          </cell>
        </row>
        <row r="356">
          <cell r="B356" t="str">
            <v>NET WORTH</v>
          </cell>
          <cell r="C356">
            <v>171.23</v>
          </cell>
          <cell r="D356">
            <v>254.41</v>
          </cell>
          <cell r="E356">
            <v>317.32</v>
          </cell>
          <cell r="F356">
            <v>290.74</v>
          </cell>
          <cell r="G356">
            <v>400.09700000000004</v>
          </cell>
          <cell r="H356">
            <v>918.947</v>
          </cell>
        </row>
        <row r="358">
          <cell r="B358" t="str">
            <v>GROSS BLOCK</v>
          </cell>
          <cell r="C358">
            <v>314.74</v>
          </cell>
          <cell r="D358">
            <v>452.29</v>
          </cell>
          <cell r="E358">
            <v>453.95</v>
          </cell>
          <cell r="F358">
            <v>460.74</v>
          </cell>
          <cell r="G358">
            <v>813.14</v>
          </cell>
          <cell r="H358">
            <v>1436.258</v>
          </cell>
        </row>
        <row r="360">
          <cell r="B360" t="str">
            <v>NET BLOCK</v>
          </cell>
          <cell r="C360">
            <v>298.75</v>
          </cell>
          <cell r="D360">
            <v>418.85</v>
          </cell>
          <cell r="E360">
            <v>396.55</v>
          </cell>
          <cell r="F360">
            <v>269.77</v>
          </cell>
          <cell r="G360">
            <v>547.97</v>
          </cell>
          <cell r="H360">
            <v>1111.0840000000001</v>
          </cell>
        </row>
        <row r="361">
          <cell r="B361">
            <v>0</v>
          </cell>
        </row>
        <row r="362">
          <cell r="B362" t="str">
            <v>DEBT-EQUITY RATIO</v>
          </cell>
          <cell r="C362">
            <v>1.1655667815219297</v>
          </cell>
          <cell r="D362">
            <v>0.93180299516528442</v>
          </cell>
          <cell r="E362">
            <v>0.86241018530190339</v>
          </cell>
          <cell r="F362">
            <v>0.45979225424778153</v>
          </cell>
          <cell r="G362">
            <v>0.87386308820111114</v>
          </cell>
          <cell r="H362">
            <v>0.82356000944559371</v>
          </cell>
        </row>
        <row r="364">
          <cell r="B364" t="str">
            <v>NUMBER OF SHARES</v>
          </cell>
          <cell r="C364">
            <v>327299.99999999994</v>
          </cell>
          <cell r="D364">
            <v>327299.99999999994</v>
          </cell>
          <cell r="E364">
            <v>327299.99999999994</v>
          </cell>
          <cell r="F364">
            <v>327299.99999999994</v>
          </cell>
          <cell r="G364">
            <v>327299.99999999994</v>
          </cell>
          <cell r="H364">
            <v>327299.99999999994</v>
          </cell>
        </row>
        <row r="366">
          <cell r="B366" t="str">
            <v>BOOK VALUE PER SHARE AT YEAR END</v>
          </cell>
          <cell r="C366">
            <v>52.315918117934622</v>
          </cell>
          <cell r="D366">
            <v>77.729911396272556</v>
          </cell>
          <cell r="E366">
            <v>96.950809654751012</v>
          </cell>
          <cell r="F366">
            <v>88.829819737244136</v>
          </cell>
          <cell r="G366">
            <v>122.24167430491906</v>
          </cell>
          <cell r="H366">
            <v>280.76596394744888</v>
          </cell>
        </row>
        <row r="368">
          <cell r="B368" t="str">
            <v>EARNINGS PER SHARE</v>
          </cell>
          <cell r="C368">
            <v>30.434723495264286</v>
          </cell>
          <cell r="D368">
            <v>22.723501374885423</v>
          </cell>
          <cell r="E368">
            <v>23.663305835624897</v>
          </cell>
          <cell r="F368">
            <v>0.7073021692636241</v>
          </cell>
          <cell r="G368">
            <v>34.412160097770006</v>
          </cell>
          <cell r="H368">
            <v>60.754353803849746</v>
          </cell>
        </row>
        <row r="370">
          <cell r="B370" t="str">
            <v>NET SALES PER SHARE</v>
          </cell>
          <cell r="C370">
            <v>416.82859761686535</v>
          </cell>
          <cell r="D370">
            <v>0</v>
          </cell>
          <cell r="E370">
            <v>334.24381301558213</v>
          </cell>
          <cell r="F370">
            <v>0</v>
          </cell>
          <cell r="G370">
            <v>677.59853345554552</v>
          </cell>
          <cell r="H370">
            <v>0</v>
          </cell>
        </row>
        <row r="372">
          <cell r="B372" t="str">
            <v>DIVIDEND PER SHARE</v>
          </cell>
          <cell r="C372">
            <v>5.49954170485793</v>
          </cell>
          <cell r="D372">
            <v>0.14049354341107398</v>
          </cell>
          <cell r="E372">
            <v>4.9495875343721361</v>
          </cell>
          <cell r="F372">
            <v>0.12601056702240154</v>
          </cell>
          <cell r="G372">
            <v>4.4393522761992061</v>
          </cell>
          <cell r="H372">
            <v>0</v>
          </cell>
        </row>
        <row r="374">
          <cell r="B374" t="str">
            <v>PAY-OUT RATIO</v>
          </cell>
          <cell r="C374">
            <v>0.18069957841784473</v>
          </cell>
          <cell r="D374">
            <v>0.21781799612283972</v>
          </cell>
          <cell r="E374">
            <v>0.18760490639121946</v>
          </cell>
          <cell r="F374">
            <v>0</v>
          </cell>
          <cell r="G374">
            <v>2.9032859514698126E-2</v>
          </cell>
          <cell r="H374">
            <v>0</v>
          </cell>
        </row>
        <row r="376">
          <cell r="B376" t="str">
            <v>CURRENT RATIO</v>
          </cell>
          <cell r="C376">
            <v>1.3837134939245364</v>
          </cell>
          <cell r="D376">
            <v>1.7843336117408428</v>
          </cell>
          <cell r="E376">
            <v>2.09521022339284</v>
          </cell>
          <cell r="F376">
            <v>2.9369663485685584</v>
          </cell>
          <cell r="G376">
            <v>2.521364615210246</v>
          </cell>
          <cell r="H376">
            <v>3.5014525649645032</v>
          </cell>
        </row>
        <row r="378">
          <cell r="B378" t="str">
            <v>LIQUID RATIO</v>
          </cell>
          <cell r="C378">
            <v>1.0616073331912173</v>
          </cell>
          <cell r="D378">
            <v>1.4666507576661501</v>
          </cell>
          <cell r="E378">
            <v>1.8924495171202811</v>
          </cell>
          <cell r="F378">
            <v>2.2017830236062284</v>
          </cell>
          <cell r="G378">
            <v>1.5344742906796629</v>
          </cell>
          <cell r="H378">
            <v>1.7232169842160778</v>
          </cell>
        </row>
        <row r="379">
          <cell r="B379" t="str">
            <v>EVA (ECONOMIC VALUE ADDITION)</v>
          </cell>
          <cell r="C379" t="e">
            <v>#REF!</v>
          </cell>
          <cell r="D379" t="e">
            <v>#REF!</v>
          </cell>
          <cell r="E379" t="e">
            <v>#REF!</v>
          </cell>
          <cell r="F379" t="e">
            <v>#REF!</v>
          </cell>
          <cell r="G379" t="e">
            <v>#REF!</v>
          </cell>
          <cell r="H379" t="e">
            <v>#REF!</v>
          </cell>
        </row>
        <row r="381">
          <cell r="B381" t="str">
            <v>EVA (% OF CAPITAL EMPLOYED)</v>
          </cell>
          <cell r="C381" t="e">
            <v>#REF!</v>
          </cell>
          <cell r="D381" t="e">
            <v>#REF!</v>
          </cell>
          <cell r="E381" t="e">
            <v>#REF!</v>
          </cell>
          <cell r="F381" t="e">
            <v>#REF!</v>
          </cell>
          <cell r="G381" t="e">
            <v>#REF!</v>
          </cell>
          <cell r="H381" t="e">
            <v>#REF!</v>
          </cell>
        </row>
        <row r="383">
          <cell r="B383" t="str">
            <v>RETURN ON NET WORTH</v>
          </cell>
          <cell r="C383">
            <v>0.58174881738013196</v>
          </cell>
          <cell r="D383">
            <v>0.29233921622577719</v>
          </cell>
          <cell r="E383">
            <v>0.24407538131854367</v>
          </cell>
          <cell r="F383">
            <v>7.9624406686381009E-3</v>
          </cell>
          <cell r="G383">
            <v>0.28150923401075545</v>
          </cell>
          <cell r="H383">
            <v>0.21638788744073398</v>
          </cell>
        </row>
        <row r="385">
          <cell r="B385" t="str">
            <v>FIXED ASSETS  PER SHARE</v>
          </cell>
          <cell r="C385">
            <v>91.277115795905914</v>
          </cell>
          <cell r="D385">
            <v>127.97128017109688</v>
          </cell>
          <cell r="E385">
            <v>121.15795905896734</v>
          </cell>
          <cell r="F385">
            <v>82.422853651084651</v>
          </cell>
          <cell r="G385">
            <v>167.42132600061109</v>
          </cell>
          <cell r="H385">
            <v>339.46959975557598</v>
          </cell>
        </row>
        <row r="388">
          <cell r="B388" t="str">
            <v>=</v>
          </cell>
          <cell r="C388" t="str">
            <v>=</v>
          </cell>
          <cell r="D388" t="str">
            <v>=</v>
          </cell>
          <cell r="E388" t="str">
            <v>=</v>
          </cell>
          <cell r="F388" t="str">
            <v>=</v>
          </cell>
          <cell r="G388" t="str">
            <v>=</v>
          </cell>
          <cell r="H388" t="str">
            <v>=</v>
          </cell>
        </row>
      </sheetData>
      <sheetData sheetId="2">
        <row r="2">
          <cell r="B2" t="str">
            <v>WELLKNOWN  TEXTILE  INDUSTRIES  LIMITED</v>
          </cell>
        </row>
        <row r="3">
          <cell r="B3" t="str">
            <v>-</v>
          </cell>
          <cell r="C3" t="str">
            <v>-</v>
          </cell>
          <cell r="D3" t="str">
            <v>-</v>
          </cell>
          <cell r="E3">
            <v>0</v>
          </cell>
          <cell r="F3">
            <v>0</v>
          </cell>
          <cell r="G3">
            <v>0</v>
          </cell>
          <cell r="H3">
            <v>0</v>
          </cell>
        </row>
        <row r="4">
          <cell r="B4" t="str">
            <v>BALANCE    SHEET     FOR    LAST    SIX     YEARS</v>
          </cell>
        </row>
        <row r="5">
          <cell r="G5" t="str">
            <v>(RS.IN LACS)</v>
          </cell>
        </row>
        <row r="6">
          <cell r="B6" t="str">
            <v>-</v>
          </cell>
          <cell r="C6" t="str">
            <v>-</v>
          </cell>
          <cell r="D6" t="str">
            <v>-</v>
          </cell>
          <cell r="E6" t="str">
            <v>-</v>
          </cell>
          <cell r="F6" t="str">
            <v>-</v>
          </cell>
          <cell r="G6" t="str">
            <v>-</v>
          </cell>
          <cell r="H6" t="str">
            <v>-</v>
          </cell>
        </row>
        <row r="7">
          <cell r="B7" t="str">
            <v>PARTICULARS</v>
          </cell>
          <cell r="C7" t="str">
            <v>1997-98</v>
          </cell>
          <cell r="D7" t="str">
            <v>1998-99</v>
          </cell>
          <cell r="E7" t="str">
            <v>1999-00</v>
          </cell>
          <cell r="F7" t="str">
            <v>2000-01</v>
          </cell>
          <cell r="G7" t="str">
            <v>2001-02</v>
          </cell>
          <cell r="H7" t="str">
            <v>2002-03</v>
          </cell>
        </row>
        <row r="8">
          <cell r="B8" t="str">
            <v>-</v>
          </cell>
          <cell r="C8" t="str">
            <v>-</v>
          </cell>
          <cell r="D8" t="str">
            <v>-</v>
          </cell>
          <cell r="E8" t="str">
            <v>-</v>
          </cell>
          <cell r="F8" t="str">
            <v>-</v>
          </cell>
          <cell r="G8" t="str">
            <v>-</v>
          </cell>
          <cell r="H8" t="str">
            <v>-</v>
          </cell>
        </row>
        <row r="9">
          <cell r="B9" t="str">
            <v>SOURCES OF  FUNDS</v>
          </cell>
        </row>
        <row r="11">
          <cell r="B11" t="str">
            <v>Shareholders' Funds</v>
          </cell>
        </row>
        <row r="13">
          <cell r="B13" t="str">
            <v>a. Share  Capital</v>
          </cell>
          <cell r="C13">
            <v>265.87599999999998</v>
          </cell>
          <cell r="D13">
            <v>268.02600000000001</v>
          </cell>
          <cell r="E13">
            <v>248.03</v>
          </cell>
          <cell r="F13">
            <v>235.80600000000001</v>
          </cell>
          <cell r="G13">
            <v>220.01</v>
          </cell>
          <cell r="H13">
            <v>229.01</v>
          </cell>
        </row>
        <row r="14">
          <cell r="B14" t="str">
            <v xml:space="preserve">    Growth  %</v>
          </cell>
          <cell r="C14">
            <v>0</v>
          </cell>
          <cell r="D14">
            <v>8.0864764025336405E-3</v>
          </cell>
          <cell r="E14">
            <v>-7.4604702528859174E-2</v>
          </cell>
          <cell r="F14">
            <v>-4.9284360762810911E-2</v>
          </cell>
          <cell r="G14">
            <v>-6.6987269195864479E-2</v>
          </cell>
          <cell r="H14">
            <v>4.0907231489477752E-2</v>
          </cell>
        </row>
        <row r="16">
          <cell r="B16" t="str">
            <v>b. Share Application  Money</v>
          </cell>
          <cell r="C16">
            <v>0</v>
          </cell>
          <cell r="D16">
            <v>69.95</v>
          </cell>
          <cell r="E16">
            <v>119.49</v>
          </cell>
          <cell r="F16">
            <v>25.75</v>
          </cell>
          <cell r="G16">
            <v>91.35</v>
          </cell>
          <cell r="H16">
            <v>3.2</v>
          </cell>
        </row>
        <row r="17">
          <cell r="C17">
            <v>0</v>
          </cell>
          <cell r="D17">
            <v>0</v>
          </cell>
          <cell r="E17">
            <v>0</v>
          </cell>
          <cell r="F17">
            <v>0</v>
          </cell>
          <cell r="G17">
            <v>0</v>
          </cell>
          <cell r="H17">
            <v>0</v>
          </cell>
        </row>
        <row r="18">
          <cell r="B18" t="str">
            <v>c. Reserves and Surplus</v>
          </cell>
          <cell r="C18">
            <v>101.946</v>
          </cell>
          <cell r="D18">
            <v>226.69499999999999</v>
          </cell>
          <cell r="E18">
            <v>250.63</v>
          </cell>
          <cell r="F18">
            <v>189.11</v>
          </cell>
          <cell r="G18">
            <v>223.72</v>
          </cell>
          <cell r="H18">
            <v>446.13900000000001</v>
          </cell>
        </row>
        <row r="19">
          <cell r="B19" t="str">
            <v xml:space="preserve">    Growth  %</v>
          </cell>
          <cell r="C19">
            <v>0</v>
          </cell>
          <cell r="D19">
            <v>1.223677240892237</v>
          </cell>
          <cell r="E19">
            <v>0.10558239043648956</v>
          </cell>
          <cell r="F19">
            <v>-0.24546143717831059</v>
          </cell>
          <cell r="G19">
            <v>0.1830151763523874</v>
          </cell>
          <cell r="H19">
            <v>0.99418469515465768</v>
          </cell>
        </row>
        <row r="21">
          <cell r="C21" t="str">
            <v>-</v>
          </cell>
          <cell r="D21" t="str">
            <v>-</v>
          </cell>
          <cell r="E21" t="str">
            <v>-</v>
          </cell>
          <cell r="F21" t="str">
            <v>-</v>
          </cell>
          <cell r="G21" t="str">
            <v>-</v>
          </cell>
          <cell r="H21" t="str">
            <v>-</v>
          </cell>
        </row>
        <row r="22">
          <cell r="C22">
            <v>367.822</v>
          </cell>
          <cell r="D22">
            <v>564.67100000000005</v>
          </cell>
          <cell r="E22">
            <v>618.15</v>
          </cell>
          <cell r="F22">
            <v>450.66600000000005</v>
          </cell>
          <cell r="G22">
            <v>535.08000000000004</v>
          </cell>
          <cell r="H22">
            <v>678.34899999999993</v>
          </cell>
        </row>
        <row r="23">
          <cell r="C23" t="str">
            <v>-</v>
          </cell>
          <cell r="D23" t="str">
            <v>-</v>
          </cell>
          <cell r="E23" t="str">
            <v>-</v>
          </cell>
          <cell r="F23" t="str">
            <v>-</v>
          </cell>
          <cell r="G23" t="str">
            <v>-</v>
          </cell>
          <cell r="H23" t="str">
            <v>-</v>
          </cell>
        </row>
        <row r="24">
          <cell r="B24" t="str">
            <v>Loan  Funds</v>
          </cell>
          <cell r="C24">
            <v>0</v>
          </cell>
          <cell r="D24">
            <v>0</v>
          </cell>
          <cell r="E24">
            <v>0</v>
          </cell>
          <cell r="F24">
            <v>0</v>
          </cell>
          <cell r="G24">
            <v>0</v>
          </cell>
          <cell r="H24">
            <v>0</v>
          </cell>
        </row>
        <row r="26">
          <cell r="B26" t="str">
            <v>a. Secured  Loans</v>
          </cell>
          <cell r="C26">
            <v>384.58</v>
          </cell>
          <cell r="D26">
            <v>449.11799999999999</v>
          </cell>
          <cell r="E26">
            <v>755.16</v>
          </cell>
          <cell r="F26">
            <v>655.49</v>
          </cell>
          <cell r="G26">
            <v>382.80700000000002</v>
          </cell>
          <cell r="H26">
            <v>364.95400000000001</v>
          </cell>
        </row>
        <row r="27">
          <cell r="B27" t="str">
            <v xml:space="preserve">    Growth  %</v>
          </cell>
          <cell r="C27">
            <v>0</v>
          </cell>
          <cell r="D27">
            <v>0.16781423890997976</v>
          </cell>
          <cell r="E27">
            <v>0.68142893404405969</v>
          </cell>
          <cell r="F27">
            <v>-0.13198527464378404</v>
          </cell>
          <cell r="G27">
            <v>-0.41599871851591935</v>
          </cell>
          <cell r="H27">
            <v>-4.6637078214348246E-2</v>
          </cell>
        </row>
        <row r="29">
          <cell r="B29" t="str">
            <v>b.  Unsecured  Loans</v>
          </cell>
          <cell r="C29">
            <v>71.117000000000004</v>
          </cell>
          <cell r="D29">
            <v>194.89</v>
          </cell>
          <cell r="E29">
            <v>86.25</v>
          </cell>
          <cell r="F29">
            <v>13.775</v>
          </cell>
          <cell r="G29">
            <v>17.29</v>
          </cell>
          <cell r="H29">
            <v>84.9</v>
          </cell>
        </row>
        <row r="30">
          <cell r="C30" t="str">
            <v>-</v>
          </cell>
          <cell r="D30" t="str">
            <v>-</v>
          </cell>
          <cell r="E30" t="str">
            <v>-</v>
          </cell>
          <cell r="F30" t="str">
            <v>-</v>
          </cell>
          <cell r="G30" t="str">
            <v>-</v>
          </cell>
          <cell r="H30" t="str">
            <v>-</v>
          </cell>
        </row>
        <row r="31">
          <cell r="C31">
            <v>455.697</v>
          </cell>
          <cell r="D31">
            <v>644.00800000000004</v>
          </cell>
          <cell r="E31">
            <v>841.41</v>
          </cell>
          <cell r="F31">
            <v>669.26499999999999</v>
          </cell>
          <cell r="G31">
            <v>400.09700000000004</v>
          </cell>
          <cell r="H31">
            <v>449.85400000000004</v>
          </cell>
        </row>
        <row r="32">
          <cell r="C32" t="str">
            <v>-</v>
          </cell>
          <cell r="D32" t="str">
            <v>-</v>
          </cell>
          <cell r="E32" t="str">
            <v>-</v>
          </cell>
          <cell r="F32" t="str">
            <v>-</v>
          </cell>
          <cell r="G32" t="str">
            <v>-</v>
          </cell>
          <cell r="H32" t="str">
            <v>-</v>
          </cell>
        </row>
        <row r="34">
          <cell r="C34" t="str">
            <v>-</v>
          </cell>
          <cell r="D34" t="str">
            <v>-</v>
          </cell>
          <cell r="E34" t="str">
            <v>-</v>
          </cell>
          <cell r="F34" t="str">
            <v>-</v>
          </cell>
          <cell r="G34" t="str">
            <v>-</v>
          </cell>
          <cell r="H34" t="str">
            <v>-</v>
          </cell>
        </row>
        <row r="35">
          <cell r="B35" t="str">
            <v>TOTAL</v>
          </cell>
          <cell r="C35">
            <v>823.51900000000001</v>
          </cell>
          <cell r="D35">
            <v>1208.6790000000001</v>
          </cell>
          <cell r="E35">
            <v>1459.56</v>
          </cell>
          <cell r="F35">
            <v>1119.931</v>
          </cell>
          <cell r="G35">
            <v>935.17700000000013</v>
          </cell>
          <cell r="H35">
            <v>1128.203</v>
          </cell>
        </row>
        <row r="36">
          <cell r="C36" t="str">
            <v>=</v>
          </cell>
          <cell r="D36" t="str">
            <v>=</v>
          </cell>
          <cell r="E36" t="str">
            <v>=</v>
          </cell>
          <cell r="F36" t="str">
            <v>=</v>
          </cell>
          <cell r="G36" t="str">
            <v>=</v>
          </cell>
          <cell r="H36" t="str">
            <v>=</v>
          </cell>
        </row>
        <row r="38">
          <cell r="B38" t="str">
            <v>APPLICATION  OF  FUNDS</v>
          </cell>
        </row>
        <row r="40">
          <cell r="B40" t="str">
            <v>Fixed  Assets</v>
          </cell>
        </row>
        <row r="42">
          <cell r="B42" t="str">
            <v>Gross  Block</v>
          </cell>
          <cell r="C42">
            <v>692.09</v>
          </cell>
          <cell r="D42">
            <v>1022.12</v>
          </cell>
          <cell r="E42">
            <v>1194.46</v>
          </cell>
          <cell r="F42">
            <v>1227.2090000000001</v>
          </cell>
          <cell r="G42">
            <v>1191.136</v>
          </cell>
          <cell r="H42">
            <v>1191.6199999999999</v>
          </cell>
        </row>
        <row r="43">
          <cell r="B43" t="str">
            <v>Growth  %</v>
          </cell>
          <cell r="C43">
            <v>0</v>
          </cell>
          <cell r="D43">
            <v>0.4768599459607854</v>
          </cell>
          <cell r="E43">
            <v>0.16861033929479907</v>
          </cell>
          <cell r="F43">
            <v>2.7417410377911376E-2</v>
          </cell>
          <cell r="G43">
            <v>-2.939434114319573E-2</v>
          </cell>
          <cell r="H43">
            <v>4.0633479300426116E-4</v>
          </cell>
        </row>
        <row r="44">
          <cell r="B44">
            <v>0</v>
          </cell>
        </row>
        <row r="45">
          <cell r="B45" t="str">
            <v>Less: Depreciation</v>
          </cell>
          <cell r="C45">
            <v>114.96</v>
          </cell>
          <cell r="D45">
            <v>151.69999999999999</v>
          </cell>
          <cell r="E45">
            <v>199.53</v>
          </cell>
          <cell r="F45">
            <v>459.92</v>
          </cell>
          <cell r="G45">
            <v>602.54999999999995</v>
          </cell>
          <cell r="H45">
            <v>677.55</v>
          </cell>
        </row>
        <row r="46">
          <cell r="C46" t="str">
            <v>-</v>
          </cell>
          <cell r="D46" t="str">
            <v>-</v>
          </cell>
          <cell r="E46" t="str">
            <v>-</v>
          </cell>
          <cell r="F46" t="str">
            <v>-</v>
          </cell>
          <cell r="G46" t="str">
            <v>-</v>
          </cell>
          <cell r="H46" t="str">
            <v>-</v>
          </cell>
        </row>
        <row r="47">
          <cell r="B47" t="str">
            <v>Net  Block</v>
          </cell>
          <cell r="C47">
            <v>577.13</v>
          </cell>
          <cell r="D47">
            <v>870.42000000000007</v>
          </cell>
          <cell r="E47">
            <v>994.93000000000006</v>
          </cell>
          <cell r="F47">
            <v>767.28899999999999</v>
          </cell>
          <cell r="G47">
            <v>588.58600000000001</v>
          </cell>
          <cell r="H47">
            <v>514.06999999999994</v>
          </cell>
        </row>
        <row r="49">
          <cell r="B49" t="str">
            <v>Investments</v>
          </cell>
          <cell r="C49">
            <v>21.13</v>
          </cell>
          <cell r="D49">
            <v>56.418999999999997</v>
          </cell>
          <cell r="E49">
            <v>56.41</v>
          </cell>
          <cell r="F49">
            <v>49.79</v>
          </cell>
          <cell r="G49">
            <v>49.79</v>
          </cell>
          <cell r="H49">
            <v>249.79</v>
          </cell>
        </row>
        <row r="50">
          <cell r="B50" t="str">
            <v>Growth  %</v>
          </cell>
          <cell r="C50">
            <v>0</v>
          </cell>
          <cell r="D50">
            <v>1.6700899195456698</v>
          </cell>
          <cell r="E50">
            <v>-1.5952072883249156E-4</v>
          </cell>
          <cell r="F50">
            <v>-0.11735507888672217</v>
          </cell>
          <cell r="G50">
            <v>0</v>
          </cell>
          <cell r="H50">
            <v>4.0168708576019281</v>
          </cell>
        </row>
        <row r="52">
          <cell r="B52" t="str">
            <v>Current Assets, Loans &amp; Advances</v>
          </cell>
        </row>
        <row r="54">
          <cell r="B54" t="str">
            <v>a. Inventories</v>
          </cell>
          <cell r="C54">
            <v>59.53</v>
          </cell>
          <cell r="D54">
            <v>75.837000000000003</v>
          </cell>
          <cell r="E54">
            <v>114.19</v>
          </cell>
          <cell r="F54">
            <v>169.51</v>
          </cell>
          <cell r="G54">
            <v>144.63300000000001</v>
          </cell>
          <cell r="H54">
            <v>117.34699999999999</v>
          </cell>
        </row>
        <row r="56">
          <cell r="B56" t="str">
            <v>b. Sundry  Debtors</v>
          </cell>
          <cell r="C56">
            <v>52.31</v>
          </cell>
          <cell r="D56">
            <v>38.17</v>
          </cell>
          <cell r="E56">
            <v>84.45</v>
          </cell>
          <cell r="F56">
            <v>97.71</v>
          </cell>
          <cell r="G56">
            <v>126.718</v>
          </cell>
          <cell r="H56">
            <v>50.72</v>
          </cell>
        </row>
        <row r="58">
          <cell r="B58" t="str">
            <v>c.  Cash &amp; Bank Balances</v>
          </cell>
          <cell r="C58">
            <v>0.48</v>
          </cell>
          <cell r="D58">
            <v>0.54800000000000004</v>
          </cell>
          <cell r="E58">
            <v>5.32</v>
          </cell>
          <cell r="F58">
            <v>27.18</v>
          </cell>
          <cell r="G58">
            <v>1.7090000000000001</v>
          </cell>
          <cell r="H58">
            <v>1.8939999999999999</v>
          </cell>
        </row>
        <row r="60">
          <cell r="B60" t="str">
            <v>d.  Loans &amp;  Advances</v>
          </cell>
          <cell r="C60">
            <v>85.944000000000003</v>
          </cell>
          <cell r="D60">
            <v>200.56800000000001</v>
          </cell>
          <cell r="E60">
            <v>228.04</v>
          </cell>
          <cell r="F60">
            <v>12.129999999999999</v>
          </cell>
          <cell r="G60">
            <v>33.356999999999999</v>
          </cell>
          <cell r="H60">
            <v>61.322999999999993</v>
          </cell>
        </row>
        <row r="62">
          <cell r="B62" t="str">
            <v>e.  Deposits</v>
          </cell>
          <cell r="C62">
            <v>26.745999999999999</v>
          </cell>
          <cell r="D62">
            <v>2.82</v>
          </cell>
          <cell r="E62">
            <v>6.84</v>
          </cell>
          <cell r="F62">
            <v>6.84</v>
          </cell>
          <cell r="G62">
            <v>6.88</v>
          </cell>
          <cell r="H62">
            <v>8.1999999999999993</v>
          </cell>
        </row>
        <row r="64">
          <cell r="B64" t="str">
            <v>f. Trade  Investments</v>
          </cell>
          <cell r="C64">
            <v>29.998999999999999</v>
          </cell>
          <cell r="D64">
            <v>58.198999999999998</v>
          </cell>
          <cell r="E64">
            <v>58.198999999999998</v>
          </cell>
          <cell r="F64">
            <v>58.198999999999998</v>
          </cell>
          <cell r="G64">
            <v>58.198999999999998</v>
          </cell>
          <cell r="H64">
            <v>178.19900000000001</v>
          </cell>
        </row>
        <row r="65">
          <cell r="C65" t="str">
            <v>-</v>
          </cell>
          <cell r="D65" t="str">
            <v>-</v>
          </cell>
          <cell r="E65" t="str">
            <v>-</v>
          </cell>
          <cell r="F65" t="str">
            <v>-</v>
          </cell>
          <cell r="G65" t="str">
            <v>-</v>
          </cell>
          <cell r="H65" t="str">
            <v>-</v>
          </cell>
        </row>
        <row r="66">
          <cell r="C66">
            <v>255.00900000000001</v>
          </cell>
          <cell r="D66">
            <v>376.14200000000005</v>
          </cell>
          <cell r="E66">
            <v>497.03899999999999</v>
          </cell>
          <cell r="F66">
            <v>371.56899999999996</v>
          </cell>
          <cell r="G66">
            <v>371.49600000000004</v>
          </cell>
          <cell r="H66">
            <v>417.68299999999999</v>
          </cell>
        </row>
        <row r="68">
          <cell r="B68" t="str">
            <v>Less: Current  Liabilities</v>
          </cell>
          <cell r="C68">
            <v>35.774999999999999</v>
          </cell>
          <cell r="D68">
            <v>99.53</v>
          </cell>
          <cell r="E68">
            <v>93.27</v>
          </cell>
          <cell r="F68">
            <v>72.38</v>
          </cell>
          <cell r="G68">
            <v>77.563999999999993</v>
          </cell>
          <cell r="H68">
            <v>56.210999999999999</v>
          </cell>
        </row>
        <row r="69">
          <cell r="C69" t="str">
            <v>-</v>
          </cell>
          <cell r="D69" t="str">
            <v>-</v>
          </cell>
          <cell r="E69" t="str">
            <v>-</v>
          </cell>
          <cell r="F69" t="str">
            <v>-</v>
          </cell>
          <cell r="G69" t="str">
            <v>-</v>
          </cell>
          <cell r="H69" t="str">
            <v>-</v>
          </cell>
        </row>
        <row r="70">
          <cell r="B70" t="str">
            <v>Net  Current  Assets</v>
          </cell>
          <cell r="C70">
            <v>219.23400000000001</v>
          </cell>
          <cell r="D70">
            <v>276.61200000000008</v>
          </cell>
          <cell r="E70">
            <v>403.76900000000001</v>
          </cell>
          <cell r="F70">
            <v>299.18899999999996</v>
          </cell>
          <cell r="G70">
            <v>293.93200000000002</v>
          </cell>
          <cell r="H70">
            <v>361.47199999999998</v>
          </cell>
        </row>
        <row r="72">
          <cell r="B72" t="str">
            <v>Miscellaneous Expenditure</v>
          </cell>
          <cell r="C72">
            <v>6.0209999999999999</v>
          </cell>
          <cell r="D72">
            <v>5.23</v>
          </cell>
          <cell r="E72">
            <v>4.4405000000000001</v>
          </cell>
          <cell r="F72">
            <v>3.6559999999999997</v>
          </cell>
          <cell r="G72">
            <v>2.8719999999999999</v>
          </cell>
          <cell r="H72">
            <v>2.8719999999999999</v>
          </cell>
        </row>
        <row r="74">
          <cell r="B74" t="str">
            <v>(to the extent not written off or adjusted)</v>
          </cell>
        </row>
        <row r="76">
          <cell r="B76" t="str">
            <v>Preliminary  Expenses</v>
          </cell>
          <cell r="C76">
            <v>4</v>
          </cell>
          <cell r="D76">
            <v>3.44</v>
          </cell>
          <cell r="E76">
            <v>2.8759999999999999</v>
          </cell>
          <cell r="F76">
            <v>2.3159999999999998</v>
          </cell>
          <cell r="G76">
            <v>1.7549999999999999</v>
          </cell>
          <cell r="H76">
            <v>1.7549999999999999</v>
          </cell>
        </row>
        <row r="78">
          <cell r="B78" t="str">
            <v>Deferred  Revenue  Expenditure</v>
          </cell>
          <cell r="C78">
            <v>2.0209999999999999</v>
          </cell>
          <cell r="D78">
            <v>1.79</v>
          </cell>
          <cell r="E78">
            <v>1.5645</v>
          </cell>
          <cell r="F78">
            <v>1.34</v>
          </cell>
          <cell r="G78">
            <v>1.117</v>
          </cell>
          <cell r="H78">
            <v>1.117</v>
          </cell>
        </row>
        <row r="80">
          <cell r="C80" t="str">
            <v>-</v>
          </cell>
          <cell r="D80" t="str">
            <v>-</v>
          </cell>
          <cell r="E80" t="str">
            <v>-</v>
          </cell>
          <cell r="F80" t="str">
            <v>-</v>
          </cell>
          <cell r="G80" t="str">
            <v>-</v>
          </cell>
          <cell r="H80" t="str">
            <v>-</v>
          </cell>
        </row>
        <row r="81">
          <cell r="B81" t="str">
            <v>TOTAL….</v>
          </cell>
          <cell r="C81">
            <v>823.51499999999999</v>
          </cell>
          <cell r="D81">
            <v>1208.681</v>
          </cell>
          <cell r="E81">
            <v>1459.5495000000001</v>
          </cell>
          <cell r="F81">
            <v>1119.924</v>
          </cell>
          <cell r="G81">
            <v>935.18</v>
          </cell>
          <cell r="H81">
            <v>1128.204</v>
          </cell>
        </row>
        <row r="82">
          <cell r="C82" t="str">
            <v>=</v>
          </cell>
          <cell r="D82" t="str">
            <v>=</v>
          </cell>
          <cell r="E82" t="str">
            <v>=</v>
          </cell>
          <cell r="F82" t="str">
            <v>=</v>
          </cell>
          <cell r="G82" t="str">
            <v>=</v>
          </cell>
          <cell r="H82" t="str">
            <v>=</v>
          </cell>
        </row>
        <row r="86">
          <cell r="B86" t="str">
            <v>PROFIT  AND  LOSS  ACCOUNT  FOR  LAST SIX  YEARS</v>
          </cell>
        </row>
        <row r="87">
          <cell r="L87" t="str">
            <v>(RS.IN LACS)</v>
          </cell>
        </row>
        <row r="88">
          <cell r="B88" t="str">
            <v>-</v>
          </cell>
          <cell r="C88" t="str">
            <v>-</v>
          </cell>
          <cell r="D88" t="str">
            <v>-</v>
          </cell>
          <cell r="E88" t="str">
            <v>-</v>
          </cell>
          <cell r="F88" t="str">
            <v>-</v>
          </cell>
          <cell r="G88" t="str">
            <v>-</v>
          </cell>
          <cell r="H88" t="str">
            <v>-</v>
          </cell>
          <cell r="I88" t="str">
            <v>-</v>
          </cell>
          <cell r="J88" t="str">
            <v>-</v>
          </cell>
          <cell r="K88" t="str">
            <v>-</v>
          </cell>
          <cell r="L88" t="str">
            <v>-</v>
          </cell>
          <cell r="M88" t="str">
            <v>-</v>
          </cell>
          <cell r="N88" t="str">
            <v>-</v>
          </cell>
        </row>
        <row r="89">
          <cell r="B89" t="str">
            <v>PARTICULARS</v>
          </cell>
          <cell r="C89" t="str">
            <v>%</v>
          </cell>
          <cell r="D89" t="str">
            <v>1997-98</v>
          </cell>
          <cell r="E89" t="str">
            <v>%</v>
          </cell>
          <cell r="F89" t="str">
            <v>1998-99</v>
          </cell>
          <cell r="G89" t="str">
            <v>%</v>
          </cell>
          <cell r="H89" t="str">
            <v>1999-00</v>
          </cell>
          <cell r="I89" t="str">
            <v>%</v>
          </cell>
          <cell r="J89" t="str">
            <v>2000-01</v>
          </cell>
          <cell r="K89" t="str">
            <v>%</v>
          </cell>
          <cell r="L89" t="str">
            <v>2001-02</v>
          </cell>
          <cell r="M89" t="str">
            <v>%</v>
          </cell>
          <cell r="N89" t="str">
            <v>2002-03</v>
          </cell>
        </row>
        <row r="90">
          <cell r="B90" t="str">
            <v>-</v>
          </cell>
          <cell r="C90" t="str">
            <v>-</v>
          </cell>
          <cell r="D90" t="str">
            <v>-</v>
          </cell>
          <cell r="E90" t="str">
            <v>-</v>
          </cell>
          <cell r="F90" t="str">
            <v>-</v>
          </cell>
          <cell r="G90" t="str">
            <v>-</v>
          </cell>
          <cell r="H90" t="str">
            <v>-</v>
          </cell>
          <cell r="I90" t="str">
            <v>-</v>
          </cell>
          <cell r="J90" t="str">
            <v>-</v>
          </cell>
          <cell r="K90" t="str">
            <v>-</v>
          </cell>
          <cell r="L90" t="str">
            <v>-</v>
          </cell>
          <cell r="M90" t="str">
            <v>-</v>
          </cell>
          <cell r="N90" t="str">
            <v>-</v>
          </cell>
        </row>
        <row r="91">
          <cell r="B91" t="str">
            <v>INCOME</v>
          </cell>
        </row>
        <row r="93">
          <cell r="B93" t="str">
            <v>Sales</v>
          </cell>
          <cell r="D93">
            <v>1485.4159999999999</v>
          </cell>
          <cell r="F93">
            <v>1881.23</v>
          </cell>
          <cell r="H93">
            <v>2279.5500000000002</v>
          </cell>
          <cell r="J93">
            <v>3320.87</v>
          </cell>
          <cell r="L93">
            <v>3040.25</v>
          </cell>
          <cell r="N93">
            <v>2565.75</v>
          </cell>
        </row>
        <row r="95">
          <cell r="B95" t="str">
            <v xml:space="preserve">Other  Income </v>
          </cell>
          <cell r="D95">
            <v>3.6259999999999999</v>
          </cell>
          <cell r="F95">
            <v>9.74</v>
          </cell>
          <cell r="H95">
            <v>5.09</v>
          </cell>
          <cell r="J95">
            <v>12.201000000000001</v>
          </cell>
          <cell r="L95">
            <v>1.774</v>
          </cell>
          <cell r="N95">
            <v>0.71</v>
          </cell>
        </row>
        <row r="97">
          <cell r="B97" t="str">
            <v>Increase/(Decrease)  in Stocks</v>
          </cell>
          <cell r="D97">
            <v>-9.4079999999999995</v>
          </cell>
          <cell r="F97">
            <v>10.08</v>
          </cell>
          <cell r="H97">
            <v>46.665999999999997</v>
          </cell>
          <cell r="J97">
            <v>28.847999999999999</v>
          </cell>
          <cell r="L97">
            <v>-57.044800000000002</v>
          </cell>
          <cell r="N97">
            <v>31.184000000000001</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row>
        <row r="99">
          <cell r="B99" t="str">
            <v>TOTAL  INCOME</v>
          </cell>
          <cell r="C99">
            <v>1</v>
          </cell>
          <cell r="D99">
            <v>1479.634</v>
          </cell>
          <cell r="E99">
            <v>1</v>
          </cell>
          <cell r="F99">
            <v>1901.05</v>
          </cell>
          <cell r="G99">
            <v>1</v>
          </cell>
          <cell r="H99">
            <v>2331.3060000000005</v>
          </cell>
          <cell r="I99">
            <v>1</v>
          </cell>
          <cell r="J99">
            <v>3361.9189999999999</v>
          </cell>
          <cell r="K99">
            <v>1</v>
          </cell>
          <cell r="L99">
            <v>2984.9791999999998</v>
          </cell>
          <cell r="M99">
            <v>1</v>
          </cell>
          <cell r="N99">
            <v>2597.6440000000002</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row>
        <row r="102">
          <cell r="B102" t="str">
            <v>EXPENDITURE</v>
          </cell>
        </row>
        <row r="104">
          <cell r="B104" t="str">
            <v>Raw  Material  Consumed   Including</v>
          </cell>
          <cell r="C104">
            <v>0.79153831285304344</v>
          </cell>
          <cell r="D104">
            <v>1171.1870000000001</v>
          </cell>
          <cell r="E104">
            <v>0.95888375098166168</v>
          </cell>
          <cell r="F104">
            <v>1418.797</v>
          </cell>
          <cell r="G104">
            <v>1.2344039134002056</v>
          </cell>
          <cell r="H104">
            <v>1826.4659999999999</v>
          </cell>
          <cell r="I104">
            <v>1.7425687703851087</v>
          </cell>
          <cell r="J104">
            <v>2578.364</v>
          </cell>
          <cell r="K104">
            <v>1.514670519871806</v>
          </cell>
          <cell r="L104">
            <v>2241.1579999999999</v>
          </cell>
          <cell r="M104">
            <v>1.3701428866868428</v>
          </cell>
          <cell r="N104">
            <v>2027.31</v>
          </cell>
        </row>
        <row r="105">
          <cell r="B105" t="str">
            <v>Excise  Duty</v>
          </cell>
        </row>
        <row r="106">
          <cell r="C106">
            <v>0</v>
          </cell>
          <cell r="E106">
            <v>0</v>
          </cell>
          <cell r="G106">
            <v>0</v>
          </cell>
          <cell r="I106">
            <v>0</v>
          </cell>
          <cell r="K106">
            <v>0</v>
          </cell>
          <cell r="M106">
            <v>0</v>
          </cell>
        </row>
        <row r="107">
          <cell r="B107" t="str">
            <v>Power &amp; Fuel</v>
          </cell>
          <cell r="C107">
            <v>4.054989274374609E-2</v>
          </cell>
          <cell r="D107">
            <v>59.999000000000002</v>
          </cell>
          <cell r="E107">
            <v>0.10227529240339166</v>
          </cell>
          <cell r="F107">
            <v>151.33000000000001</v>
          </cell>
          <cell r="G107">
            <v>9.7365970233179291E-2</v>
          </cell>
          <cell r="H107">
            <v>144.066</v>
          </cell>
          <cell r="I107">
            <v>0.11339155493858616</v>
          </cell>
          <cell r="J107">
            <v>167.77799999999999</v>
          </cell>
          <cell r="K107">
            <v>0.10498542207059314</v>
          </cell>
          <cell r="L107">
            <v>155.34</v>
          </cell>
          <cell r="M107">
            <v>8.5830009313113922E-2</v>
          </cell>
          <cell r="N107">
            <v>126.997</v>
          </cell>
        </row>
        <row r="109">
          <cell r="B109" t="str">
            <v>Other  Manufacturing   Expenses</v>
          </cell>
          <cell r="C109">
            <v>3.8521688471608515E-2</v>
          </cell>
          <cell r="D109">
            <v>56.997999999999998</v>
          </cell>
          <cell r="E109">
            <v>5.6162537492379865E-2</v>
          </cell>
          <cell r="F109">
            <v>83.1</v>
          </cell>
          <cell r="G109">
            <v>7.3072800435783444E-2</v>
          </cell>
          <cell r="H109">
            <v>108.12100000000001</v>
          </cell>
          <cell r="I109">
            <v>0.11925787052744125</v>
          </cell>
          <cell r="J109">
            <v>176.458</v>
          </cell>
          <cell r="K109">
            <v>0.10323904425013213</v>
          </cell>
          <cell r="L109">
            <v>152.756</v>
          </cell>
          <cell r="M109">
            <v>7.973120379769591E-2</v>
          </cell>
          <cell r="N109">
            <v>117.973</v>
          </cell>
        </row>
        <row r="110">
          <cell r="C110">
            <v>0</v>
          </cell>
          <cell r="E110">
            <v>0</v>
          </cell>
          <cell r="G110">
            <v>0</v>
          </cell>
          <cell r="I110">
            <v>0</v>
          </cell>
          <cell r="K110">
            <v>0</v>
          </cell>
          <cell r="M110">
            <v>0</v>
          </cell>
        </row>
        <row r="111">
          <cell r="B111" t="str">
            <v>Payment  To  Employees</v>
          </cell>
          <cell r="C111">
            <v>1.094595014713098E-2</v>
          </cell>
          <cell r="D111">
            <v>16.196000000000002</v>
          </cell>
          <cell r="E111">
            <v>2.0376660714744321E-2</v>
          </cell>
          <cell r="F111">
            <v>30.15</v>
          </cell>
          <cell r="G111">
            <v>1.8149758656532629E-2</v>
          </cell>
          <cell r="H111">
            <v>26.855</v>
          </cell>
          <cell r="I111">
            <v>2.1387721558169114E-2</v>
          </cell>
          <cell r="J111">
            <v>31.646000000000001</v>
          </cell>
          <cell r="K111">
            <v>2.3781556790395463E-2</v>
          </cell>
          <cell r="L111">
            <v>35.188000000000002</v>
          </cell>
          <cell r="M111">
            <v>2.5146759266142842E-2</v>
          </cell>
          <cell r="N111">
            <v>37.207999999999998</v>
          </cell>
        </row>
        <row r="112">
          <cell r="C112">
            <v>0</v>
          </cell>
          <cell r="E112">
            <v>0</v>
          </cell>
          <cell r="G112">
            <v>0</v>
          </cell>
          <cell r="I112">
            <v>0</v>
          </cell>
          <cell r="K112">
            <v>0</v>
          </cell>
          <cell r="M112">
            <v>0</v>
          </cell>
        </row>
        <row r="113">
          <cell r="B113" t="str">
            <v xml:space="preserve"> Administration   Exp.</v>
          </cell>
          <cell r="C113">
            <v>2.0258388223033535E-2</v>
          </cell>
          <cell r="D113">
            <v>29.975000000000001</v>
          </cell>
          <cell r="E113">
            <v>2.8574633997326366E-2</v>
          </cell>
          <cell r="F113">
            <v>42.28</v>
          </cell>
          <cell r="G113">
            <v>1.0943246775891875E-2</v>
          </cell>
          <cell r="H113">
            <v>16.192</v>
          </cell>
          <cell r="I113">
            <v>1.3677030941435516E-2</v>
          </cell>
          <cell r="J113">
            <v>20.236999999999998</v>
          </cell>
          <cell r="K113">
            <v>2.9901989275726293E-2</v>
          </cell>
          <cell r="L113">
            <v>44.244</v>
          </cell>
          <cell r="M113">
            <v>1.4313674868244445E-2</v>
          </cell>
          <cell r="N113">
            <v>21.179000000000002</v>
          </cell>
        </row>
        <row r="115">
          <cell r="B115" t="str">
            <v>Selling  &amp;  Distribution   Exp.</v>
          </cell>
          <cell r="C115">
            <v>1.3719609038451402E-4</v>
          </cell>
          <cell r="D115">
            <v>0.20300000000000001</v>
          </cell>
          <cell r="E115">
            <v>8.6169958246431208E-4</v>
          </cell>
          <cell r="F115">
            <v>1.2749999999999999</v>
          </cell>
          <cell r="G115">
            <v>9.7726870293599619E-4</v>
          </cell>
          <cell r="H115">
            <v>1.446</v>
          </cell>
          <cell r="I115">
            <v>7.7944951251458141E-3</v>
          </cell>
          <cell r="J115">
            <v>11.533000000000001</v>
          </cell>
          <cell r="K115">
            <v>6.8327708068346626E-3</v>
          </cell>
          <cell r="L115">
            <v>10.11</v>
          </cell>
          <cell r="M115">
            <v>1.3516856195518623E-4</v>
          </cell>
          <cell r="N115">
            <v>0.2</v>
          </cell>
        </row>
        <row r="116">
          <cell r="C116">
            <v>0</v>
          </cell>
          <cell r="E116">
            <v>0</v>
          </cell>
          <cell r="G116">
            <v>0</v>
          </cell>
          <cell r="I116">
            <v>0</v>
          </cell>
          <cell r="K116">
            <v>0</v>
          </cell>
          <cell r="M116">
            <v>0</v>
          </cell>
        </row>
        <row r="117">
          <cell r="B117" t="str">
            <v>Interest &amp; Finance Expenses</v>
          </cell>
          <cell r="C117">
            <v>3.3738073064014482E-2</v>
          </cell>
          <cell r="D117">
            <v>49.92</v>
          </cell>
          <cell r="E117">
            <v>4.8403862036152184E-2</v>
          </cell>
          <cell r="F117">
            <v>71.62</v>
          </cell>
          <cell r="G117">
            <v>6.6931416823349563E-2</v>
          </cell>
          <cell r="H117">
            <v>99.034000000000006</v>
          </cell>
          <cell r="I117">
            <v>7.4020332055089302E-2</v>
          </cell>
          <cell r="J117">
            <v>109.523</v>
          </cell>
          <cell r="K117">
            <v>4.1868462065618929E-2</v>
          </cell>
          <cell r="L117">
            <v>61.95</v>
          </cell>
          <cell r="M117">
            <v>2.5919923440526505E-2</v>
          </cell>
          <cell r="N117">
            <v>38.351999999999997</v>
          </cell>
        </row>
        <row r="118">
          <cell r="C118">
            <v>0</v>
          </cell>
          <cell r="E118">
            <v>0</v>
          </cell>
          <cell r="G118">
            <v>0</v>
          </cell>
          <cell r="I118">
            <v>0</v>
          </cell>
          <cell r="K118">
            <v>0</v>
          </cell>
          <cell r="M118">
            <v>0</v>
          </cell>
        </row>
        <row r="119">
          <cell r="B119" t="str">
            <v>Depreciation</v>
          </cell>
          <cell r="C119">
            <v>1.8428205894160311E-2</v>
          </cell>
          <cell r="D119">
            <v>27.266999999999999</v>
          </cell>
          <cell r="E119">
            <v>2.4833844045216585E-2</v>
          </cell>
          <cell r="F119">
            <v>36.744999999999997</v>
          </cell>
          <cell r="G119">
            <v>3.2323534063153456E-2</v>
          </cell>
          <cell r="H119">
            <v>47.826999999999998</v>
          </cell>
          <cell r="I119">
            <v>6.7954642837350324E-2</v>
          </cell>
          <cell r="J119">
            <v>100.548</v>
          </cell>
          <cell r="K119">
            <v>0.12006753021355282</v>
          </cell>
          <cell r="L119">
            <v>177.65600000000001</v>
          </cell>
          <cell r="M119">
            <v>5.0688210733194829E-2</v>
          </cell>
          <cell r="N119">
            <v>75</v>
          </cell>
        </row>
        <row r="120">
          <cell r="C120">
            <v>0</v>
          </cell>
          <cell r="E120">
            <v>0</v>
          </cell>
          <cell r="G120">
            <v>0</v>
          </cell>
          <cell r="I120">
            <v>0</v>
          </cell>
          <cell r="K120">
            <v>0</v>
          </cell>
          <cell r="M120">
            <v>0</v>
          </cell>
        </row>
        <row r="121">
          <cell r="B121" t="str">
            <v>Preliminary Expenses w/off</v>
          </cell>
          <cell r="C121">
            <v>5.2715739162522627E-4</v>
          </cell>
          <cell r="D121">
            <v>0.78</v>
          </cell>
          <cell r="E121">
            <v>5.2715739162522627E-4</v>
          </cell>
          <cell r="F121">
            <v>0.78</v>
          </cell>
          <cell r="G121">
            <v>5.2715739162522627E-4</v>
          </cell>
          <cell r="H121">
            <v>0.78</v>
          </cell>
          <cell r="I121">
            <v>5.2715739162522627E-4</v>
          </cell>
          <cell r="J121">
            <v>0.78</v>
          </cell>
          <cell r="K121">
            <v>5.2715739162522627E-4</v>
          </cell>
          <cell r="L121">
            <v>0.78</v>
          </cell>
          <cell r="M121">
            <v>0</v>
          </cell>
          <cell r="N121">
            <v>0</v>
          </cell>
        </row>
        <row r="122">
          <cell r="C122">
            <v>0</v>
          </cell>
          <cell r="E122">
            <v>0</v>
          </cell>
          <cell r="G122">
            <v>0</v>
          </cell>
          <cell r="I122">
            <v>0</v>
          </cell>
          <cell r="K122">
            <v>0</v>
          </cell>
          <cell r="M122">
            <v>0</v>
          </cell>
        </row>
        <row r="123">
          <cell r="C123">
            <v>0</v>
          </cell>
          <cell r="D123" t="str">
            <v>-</v>
          </cell>
          <cell r="E123">
            <v>0</v>
          </cell>
          <cell r="F123" t="str">
            <v>-</v>
          </cell>
          <cell r="G123">
            <v>0</v>
          </cell>
          <cell r="H123" t="str">
            <v>-</v>
          </cell>
          <cell r="I123">
            <v>0</v>
          </cell>
          <cell r="J123" t="str">
            <v>-</v>
          </cell>
          <cell r="K123">
            <v>0</v>
          </cell>
          <cell r="L123" t="str">
            <v>-</v>
          </cell>
          <cell r="M123">
            <v>0</v>
          </cell>
          <cell r="N123" t="str">
            <v>-</v>
          </cell>
        </row>
        <row r="124">
          <cell r="B124" t="str">
            <v>TOTAL  EXPENDITURE</v>
          </cell>
          <cell r="C124">
            <v>0.95464486487874711</v>
          </cell>
          <cell r="D124">
            <v>1412.5250000000001</v>
          </cell>
          <cell r="E124">
            <v>1.2408994386449621</v>
          </cell>
          <cell r="F124">
            <v>1836.077</v>
          </cell>
          <cell r="G124">
            <v>1.5346950664826571</v>
          </cell>
          <cell r="H124">
            <v>2270.7869999999998</v>
          </cell>
          <cell r="I124">
            <v>2.160579575759952</v>
          </cell>
          <cell r="J124">
            <v>3196.8670000000006</v>
          </cell>
          <cell r="K124">
            <v>1.945874452736285</v>
          </cell>
          <cell r="L124">
            <v>2879.1820000000002</v>
          </cell>
          <cell r="M124">
            <v>1.6519078366677162</v>
          </cell>
          <cell r="N124">
            <v>2444.2189999999996</v>
          </cell>
        </row>
        <row r="125">
          <cell r="C125">
            <v>0</v>
          </cell>
          <cell r="D125" t="str">
            <v>-</v>
          </cell>
          <cell r="E125">
            <v>0</v>
          </cell>
          <cell r="F125" t="str">
            <v>-</v>
          </cell>
          <cell r="G125">
            <v>0</v>
          </cell>
          <cell r="H125" t="str">
            <v>-</v>
          </cell>
          <cell r="I125">
            <v>0</v>
          </cell>
          <cell r="J125" t="str">
            <v>-</v>
          </cell>
          <cell r="K125">
            <v>0</v>
          </cell>
          <cell r="L125" t="str">
            <v>-</v>
          </cell>
          <cell r="M125">
            <v>0</v>
          </cell>
          <cell r="N125" t="str">
            <v>-</v>
          </cell>
        </row>
        <row r="126">
          <cell r="B126" t="str">
            <v>Profit/ Loss Before Tax</v>
          </cell>
          <cell r="C126">
            <v>4.5344997479106267E-2</v>
          </cell>
          <cell r="D126">
            <v>67.093999999999923</v>
          </cell>
          <cell r="E126">
            <v>4.3911534879571543E-2</v>
          </cell>
          <cell r="F126">
            <v>64.972999999999956</v>
          </cell>
          <cell r="G126">
            <v>4.0901331004830038E-2</v>
          </cell>
          <cell r="H126">
            <v>60.519000000000688</v>
          </cell>
          <cell r="I126">
            <v>0.11154920743913645</v>
          </cell>
          <cell r="J126">
            <v>165.05199999999923</v>
          </cell>
          <cell r="K126">
            <v>7.1502276914425816E-2</v>
          </cell>
          <cell r="L126">
            <v>105.79719999999952</v>
          </cell>
          <cell r="M126">
            <v>0.10369118308987266</v>
          </cell>
          <cell r="N126">
            <v>153.42500000000064</v>
          </cell>
        </row>
        <row r="127">
          <cell r="C127">
            <v>0</v>
          </cell>
          <cell r="E127">
            <v>0</v>
          </cell>
          <cell r="G127">
            <v>0</v>
          </cell>
          <cell r="I127">
            <v>0</v>
          </cell>
          <cell r="K127">
            <v>0</v>
          </cell>
          <cell r="M127">
            <v>0</v>
          </cell>
        </row>
        <row r="128">
          <cell r="B128" t="str">
            <v>Less: Provision For  Taxation</v>
          </cell>
          <cell r="C128">
            <v>0</v>
          </cell>
          <cell r="D128">
            <v>0</v>
          </cell>
          <cell r="E128">
            <v>0</v>
          </cell>
          <cell r="F128">
            <v>0</v>
          </cell>
          <cell r="G128">
            <v>3.3994893331729331E-4</v>
          </cell>
          <cell r="H128">
            <v>0.503</v>
          </cell>
          <cell r="I128">
            <v>3.04129264399169E-4</v>
          </cell>
          <cell r="J128">
            <v>0.45</v>
          </cell>
          <cell r="K128">
            <v>5.4067424782074484E-3</v>
          </cell>
          <cell r="L128">
            <v>8</v>
          </cell>
          <cell r="M128">
            <v>0</v>
          </cell>
          <cell r="N128">
            <v>0</v>
          </cell>
        </row>
        <row r="129">
          <cell r="C129">
            <v>0</v>
          </cell>
          <cell r="E129">
            <v>0</v>
          </cell>
          <cell r="G129">
            <v>0</v>
          </cell>
          <cell r="I129">
            <v>0</v>
          </cell>
          <cell r="K129">
            <v>0</v>
          </cell>
          <cell r="M129">
            <v>0</v>
          </cell>
        </row>
        <row r="130">
          <cell r="B130" t="str">
            <v xml:space="preserve"> Add: ( Depreciation written  back) / written off </v>
          </cell>
          <cell r="C130">
            <v>0</v>
          </cell>
          <cell r="D130">
            <v>0</v>
          </cell>
          <cell r="E130">
            <v>0</v>
          </cell>
          <cell r="F130">
            <v>0</v>
          </cell>
          <cell r="G130">
            <v>0</v>
          </cell>
          <cell r="H130">
            <v>0</v>
          </cell>
          <cell r="I130">
            <v>-0.10802671471458482</v>
          </cell>
          <cell r="J130">
            <v>-159.84</v>
          </cell>
          <cell r="K130">
            <v>0</v>
          </cell>
          <cell r="L130">
            <v>0</v>
          </cell>
          <cell r="M130">
            <v>-8.1101137173111727E-3</v>
          </cell>
          <cell r="N130">
            <v>-12</v>
          </cell>
        </row>
        <row r="131">
          <cell r="C131">
            <v>0</v>
          </cell>
          <cell r="D131" t="str">
            <v>-</v>
          </cell>
          <cell r="E131">
            <v>0</v>
          </cell>
          <cell r="F131" t="str">
            <v>-</v>
          </cell>
          <cell r="G131">
            <v>0</v>
          </cell>
          <cell r="H131" t="str">
            <v>-</v>
          </cell>
          <cell r="I131">
            <v>0</v>
          </cell>
          <cell r="J131" t="str">
            <v>-</v>
          </cell>
          <cell r="K131">
            <v>0</v>
          </cell>
          <cell r="L131" t="str">
            <v>-</v>
          </cell>
          <cell r="M131">
            <v>0</v>
          </cell>
          <cell r="N131" t="str">
            <v>-</v>
          </cell>
        </row>
        <row r="132">
          <cell r="B132" t="str">
            <v>Profit/Loss After  Taxation</v>
          </cell>
          <cell r="C132">
            <v>4.5344997479106267E-2</v>
          </cell>
          <cell r="D132">
            <v>67.093999999999923</v>
          </cell>
          <cell r="E132">
            <v>4.3911534879571543E-2</v>
          </cell>
          <cell r="F132">
            <v>64.972999999999956</v>
          </cell>
          <cell r="G132">
            <v>4.056138207151274E-2</v>
          </cell>
          <cell r="H132">
            <v>60.016000000000687</v>
          </cell>
          <cell r="I132">
            <v>3.2183634601524653E-3</v>
          </cell>
          <cell r="J132">
            <v>4.7619999999992331</v>
          </cell>
          <cell r="K132">
            <v>6.6095534436218364E-2</v>
          </cell>
          <cell r="L132">
            <v>97.797199999999521</v>
          </cell>
          <cell r="M132">
            <v>9.5581069372561486E-2</v>
          </cell>
          <cell r="N132">
            <v>141.42500000000064</v>
          </cell>
        </row>
        <row r="134">
          <cell r="B134" t="str">
            <v xml:space="preserve">Balance  b/f from Previous Year </v>
          </cell>
          <cell r="D134">
            <v>94.43</v>
          </cell>
          <cell r="F134">
            <v>62.023999999999944</v>
          </cell>
          <cell r="H134">
            <v>98.301999999999907</v>
          </cell>
          <cell r="J134">
            <v>133.31800000000061</v>
          </cell>
          <cell r="L134">
            <v>117.35999999999984</v>
          </cell>
          <cell r="N134">
            <v>196.61719999999937</v>
          </cell>
        </row>
        <row r="135">
          <cell r="C135">
            <v>0</v>
          </cell>
          <cell r="D135" t="str">
            <v>-</v>
          </cell>
          <cell r="E135">
            <v>0</v>
          </cell>
          <cell r="F135" t="str">
            <v>-</v>
          </cell>
          <cell r="G135">
            <v>0</v>
          </cell>
          <cell r="H135" t="str">
            <v>-</v>
          </cell>
          <cell r="I135">
            <v>0</v>
          </cell>
          <cell r="J135" t="str">
            <v>-</v>
          </cell>
          <cell r="K135">
            <v>0</v>
          </cell>
          <cell r="L135" t="str">
            <v>-</v>
          </cell>
          <cell r="M135">
            <v>0</v>
          </cell>
          <cell r="N135" t="str">
            <v>-</v>
          </cell>
        </row>
        <row r="136">
          <cell r="B136" t="str">
            <v>BALANCE AVAILABLE FOR APPROPRIATION</v>
          </cell>
          <cell r="D136">
            <v>161.52399999999994</v>
          </cell>
          <cell r="F136">
            <v>126.9969999999999</v>
          </cell>
          <cell r="H136">
            <v>158.31800000000061</v>
          </cell>
          <cell r="J136">
            <v>138.07999999999984</v>
          </cell>
          <cell r="L136">
            <v>215.15719999999936</v>
          </cell>
          <cell r="N136">
            <v>338.04219999999998</v>
          </cell>
        </row>
        <row r="137">
          <cell r="C137">
            <v>0</v>
          </cell>
          <cell r="D137" t="str">
            <v>=</v>
          </cell>
          <cell r="E137">
            <v>0</v>
          </cell>
          <cell r="F137" t="str">
            <v>=</v>
          </cell>
          <cell r="G137">
            <v>0</v>
          </cell>
          <cell r="H137" t="str">
            <v>=</v>
          </cell>
          <cell r="I137">
            <v>0</v>
          </cell>
          <cell r="J137" t="str">
            <v>=</v>
          </cell>
          <cell r="K137">
            <v>0</v>
          </cell>
          <cell r="L137" t="str">
            <v>=</v>
          </cell>
          <cell r="M137">
            <v>0</v>
          </cell>
          <cell r="N137" t="str">
            <v>=</v>
          </cell>
        </row>
        <row r="138">
          <cell r="B138" t="str">
            <v>APPROPRIATIONS</v>
          </cell>
        </row>
        <row r="140">
          <cell r="B140" t="str">
            <v>Total  Dividend</v>
          </cell>
          <cell r="C140">
            <v>9.6473544058132368E-2</v>
          </cell>
          <cell r="D140">
            <v>25.65</v>
          </cell>
          <cell r="E140">
            <v>9.4002074425615423E-2</v>
          </cell>
          <cell r="F140">
            <v>25.195</v>
          </cell>
          <cell r="G140">
            <v>0</v>
          </cell>
          <cell r="H140">
            <v>0</v>
          </cell>
          <cell r="I140">
            <v>0</v>
          </cell>
          <cell r="J140">
            <v>0</v>
          </cell>
          <cell r="K140" t="e">
            <v>#DIV/0!</v>
          </cell>
          <cell r="L140">
            <v>0</v>
          </cell>
          <cell r="M140" t="e">
            <v>#DIV/0!</v>
          </cell>
          <cell r="N140">
            <v>0</v>
          </cell>
        </row>
        <row r="141">
          <cell r="B141" t="str">
            <v>Interim  Dividend</v>
          </cell>
          <cell r="D141">
            <v>15.27</v>
          </cell>
          <cell r="F141">
            <v>22.905000000000001</v>
          </cell>
          <cell r="H141">
            <v>0</v>
          </cell>
          <cell r="J141">
            <v>0</v>
          </cell>
          <cell r="L141">
            <v>0</v>
          </cell>
          <cell r="N141">
            <v>0</v>
          </cell>
        </row>
        <row r="143">
          <cell r="B143" t="str">
            <v xml:space="preserve">Proposed Dividend </v>
          </cell>
          <cell r="C143">
            <v>0</v>
          </cell>
          <cell r="D143">
            <v>8.0500000000000007</v>
          </cell>
          <cell r="F143">
            <v>0</v>
          </cell>
          <cell r="H143">
            <v>0</v>
          </cell>
          <cell r="J143">
            <v>0</v>
          </cell>
          <cell r="L143">
            <v>0</v>
          </cell>
          <cell r="N143">
            <v>0</v>
          </cell>
        </row>
        <row r="145">
          <cell r="B145" t="str">
            <v xml:space="preserve"> Tax  on Dividends</v>
          </cell>
          <cell r="D145">
            <v>2.33</v>
          </cell>
          <cell r="F145">
            <v>2.29</v>
          </cell>
          <cell r="H145">
            <v>0</v>
          </cell>
          <cell r="J145">
            <v>0</v>
          </cell>
          <cell r="L145">
            <v>0</v>
          </cell>
          <cell r="N145">
            <v>0</v>
          </cell>
        </row>
        <row r="147">
          <cell r="B147" t="str">
            <v>Transfer to  Reserves</v>
          </cell>
          <cell r="D147">
            <v>73.849999999999994</v>
          </cell>
          <cell r="F147">
            <v>3.5</v>
          </cell>
          <cell r="H147">
            <v>25</v>
          </cell>
          <cell r="J147">
            <v>20.72</v>
          </cell>
          <cell r="L147">
            <v>18.54</v>
          </cell>
          <cell r="N147">
            <v>0</v>
          </cell>
        </row>
        <row r="149">
          <cell r="B149" t="str">
            <v>Balance Carried  to Balance Sheet</v>
          </cell>
          <cell r="D149">
            <v>62.023999999999944</v>
          </cell>
          <cell r="F149">
            <v>98.301999999999907</v>
          </cell>
          <cell r="H149">
            <v>133.31800000000061</v>
          </cell>
          <cell r="J149">
            <v>117.35999999999984</v>
          </cell>
          <cell r="L149">
            <v>196.61719999999937</v>
          </cell>
          <cell r="N149">
            <v>338.04219999999998</v>
          </cell>
        </row>
        <row r="150">
          <cell r="C150">
            <v>0</v>
          </cell>
          <cell r="D150" t="str">
            <v>-</v>
          </cell>
          <cell r="E150">
            <v>0</v>
          </cell>
          <cell r="F150" t="str">
            <v>-</v>
          </cell>
          <cell r="G150">
            <v>0</v>
          </cell>
          <cell r="H150" t="str">
            <v>-</v>
          </cell>
          <cell r="I150">
            <v>0</v>
          </cell>
          <cell r="J150" t="str">
            <v>-</v>
          </cell>
          <cell r="K150">
            <v>0</v>
          </cell>
          <cell r="L150" t="str">
            <v>-</v>
          </cell>
          <cell r="M150">
            <v>0</v>
          </cell>
          <cell r="N150" t="str">
            <v>-</v>
          </cell>
        </row>
        <row r="151">
          <cell r="D151">
            <v>161.52399999999994</v>
          </cell>
          <cell r="F151">
            <v>126.9969999999999</v>
          </cell>
          <cell r="H151">
            <v>158.31800000000061</v>
          </cell>
          <cell r="J151">
            <v>138.07999999999984</v>
          </cell>
          <cell r="L151">
            <v>215.15719999999936</v>
          </cell>
          <cell r="N151">
            <v>338.04219999999998</v>
          </cell>
        </row>
        <row r="152">
          <cell r="C152">
            <v>0</v>
          </cell>
          <cell r="D152" t="str">
            <v>=</v>
          </cell>
          <cell r="E152">
            <v>0</v>
          </cell>
          <cell r="F152" t="str">
            <v>=</v>
          </cell>
          <cell r="G152">
            <v>0</v>
          </cell>
          <cell r="H152" t="str">
            <v>=</v>
          </cell>
          <cell r="I152">
            <v>0</v>
          </cell>
          <cell r="J152" t="str">
            <v>=</v>
          </cell>
          <cell r="K152">
            <v>0</v>
          </cell>
          <cell r="L152" t="str">
            <v>=</v>
          </cell>
          <cell r="M152">
            <v>0</v>
          </cell>
          <cell r="N152" t="str">
            <v>=</v>
          </cell>
        </row>
        <row r="174">
          <cell r="B174" t="str">
            <v>DETAILS  FOR  CALCULATING RATIOS</v>
          </cell>
        </row>
        <row r="175">
          <cell r="G175" t="str">
            <v>(RS.IN LACS)</v>
          </cell>
        </row>
        <row r="176">
          <cell r="B176" t="str">
            <v>-</v>
          </cell>
          <cell r="C176" t="str">
            <v>-</v>
          </cell>
          <cell r="D176" t="str">
            <v>-</v>
          </cell>
          <cell r="E176" t="str">
            <v>-</v>
          </cell>
          <cell r="F176" t="str">
            <v>-</v>
          </cell>
          <cell r="G176" t="str">
            <v>-</v>
          </cell>
          <cell r="H176" t="str">
            <v>-</v>
          </cell>
        </row>
        <row r="177">
          <cell r="B177" t="str">
            <v>PARTICULARS</v>
          </cell>
          <cell r="C177" t="str">
            <v>1997-98</v>
          </cell>
          <cell r="D177" t="str">
            <v>1998-99</v>
          </cell>
          <cell r="E177" t="str">
            <v>1999-00</v>
          </cell>
          <cell r="F177" t="str">
            <v>2000-01</v>
          </cell>
          <cell r="G177" t="str">
            <v>2001-02</v>
          </cell>
          <cell r="H177" t="str">
            <v>2002-03</v>
          </cell>
        </row>
        <row r="178">
          <cell r="B178" t="str">
            <v>-</v>
          </cell>
          <cell r="C178" t="str">
            <v>-</v>
          </cell>
          <cell r="D178" t="str">
            <v>-</v>
          </cell>
          <cell r="E178" t="str">
            <v>-</v>
          </cell>
          <cell r="F178" t="str">
            <v>-</v>
          </cell>
          <cell r="G178" t="str">
            <v>-</v>
          </cell>
          <cell r="H178" t="str">
            <v>-</v>
          </cell>
        </row>
        <row r="179">
          <cell r="B179" t="str">
            <v>Total  Share  Capital</v>
          </cell>
          <cell r="C179">
            <v>265.87599999999998</v>
          </cell>
          <cell r="D179">
            <v>268.02600000000001</v>
          </cell>
          <cell r="E179">
            <v>248.03</v>
          </cell>
          <cell r="F179">
            <v>235.80600000000001</v>
          </cell>
          <cell r="G179">
            <v>220.01</v>
          </cell>
          <cell r="H179">
            <v>229.01</v>
          </cell>
        </row>
        <row r="181">
          <cell r="B181" t="str">
            <v>Total  Dividend</v>
          </cell>
          <cell r="C181">
            <v>25.65</v>
          </cell>
          <cell r="D181">
            <v>25.195</v>
          </cell>
          <cell r="E181">
            <v>0</v>
          </cell>
          <cell r="F181">
            <v>0</v>
          </cell>
          <cell r="G181">
            <v>0</v>
          </cell>
          <cell r="H181">
            <v>0</v>
          </cell>
        </row>
        <row r="183">
          <cell r="B183" t="str">
            <v>Loan  Funds</v>
          </cell>
          <cell r="C183">
            <v>455.697</v>
          </cell>
          <cell r="D183">
            <v>644.00800000000004</v>
          </cell>
          <cell r="E183">
            <v>841.41</v>
          </cell>
          <cell r="F183">
            <v>669.26499999999999</v>
          </cell>
          <cell r="G183">
            <v>400.09700000000004</v>
          </cell>
          <cell r="H183">
            <v>449.85400000000004</v>
          </cell>
        </row>
        <row r="185">
          <cell r="B185" t="str">
            <v>Term  Loans</v>
          </cell>
          <cell r="C185">
            <v>233.88</v>
          </cell>
          <cell r="D185">
            <v>292.82</v>
          </cell>
          <cell r="E185">
            <v>504.47999999999996</v>
          </cell>
          <cell r="F185">
            <v>544.1</v>
          </cell>
          <cell r="G185">
            <v>322.64</v>
          </cell>
          <cell r="H185">
            <v>263.04000000000002</v>
          </cell>
        </row>
        <row r="187">
          <cell r="B187" t="str">
            <v>Unsecured  Loan</v>
          </cell>
          <cell r="C187">
            <v>71.117000000000004</v>
          </cell>
          <cell r="D187">
            <v>194.89</v>
          </cell>
          <cell r="E187">
            <v>86.25</v>
          </cell>
          <cell r="F187">
            <v>13.775</v>
          </cell>
          <cell r="G187">
            <v>17.29</v>
          </cell>
          <cell r="H187">
            <v>84.9</v>
          </cell>
        </row>
        <row r="189">
          <cell r="B189" t="str">
            <v>Working  Capital  Loan</v>
          </cell>
          <cell r="C189">
            <v>150.69999999999999</v>
          </cell>
          <cell r="D189">
            <v>156.30000000000001</v>
          </cell>
          <cell r="E189">
            <v>250.68</v>
          </cell>
          <cell r="F189">
            <v>111.39</v>
          </cell>
          <cell r="G189">
            <v>60.167000000000002</v>
          </cell>
          <cell r="H189">
            <v>101.91</v>
          </cell>
        </row>
        <row r="191">
          <cell r="B191" t="str">
            <v>Debt</v>
          </cell>
          <cell r="C191">
            <v>233.88</v>
          </cell>
          <cell r="D191">
            <v>292.81800000000004</v>
          </cell>
          <cell r="E191">
            <v>504.47999999999996</v>
          </cell>
          <cell r="F191">
            <v>544.1</v>
          </cell>
          <cell r="G191">
            <v>322.64</v>
          </cell>
          <cell r="H191">
            <v>263.0440000000001</v>
          </cell>
        </row>
        <row r="193">
          <cell r="B193" t="str">
            <v>Current  Assets:</v>
          </cell>
        </row>
        <row r="195">
          <cell r="B195" t="str">
            <v>a. Inventories</v>
          </cell>
          <cell r="C195">
            <v>59.53</v>
          </cell>
          <cell r="D195">
            <v>75.837000000000003</v>
          </cell>
          <cell r="E195">
            <v>114.19</v>
          </cell>
          <cell r="F195">
            <v>169.51</v>
          </cell>
          <cell r="G195">
            <v>144.63300000000001</v>
          </cell>
          <cell r="H195">
            <v>117.34699999999999</v>
          </cell>
        </row>
        <row r="197">
          <cell r="B197" t="str">
            <v>b. Sundry  Debtors</v>
          </cell>
          <cell r="C197">
            <v>52.31</v>
          </cell>
          <cell r="D197">
            <v>38.17</v>
          </cell>
          <cell r="E197">
            <v>84.45</v>
          </cell>
          <cell r="F197">
            <v>97.71</v>
          </cell>
          <cell r="G197">
            <v>126.718</v>
          </cell>
          <cell r="H197">
            <v>50.72</v>
          </cell>
        </row>
        <row r="199">
          <cell r="B199" t="str">
            <v>c.  Cash &amp; Bank Balances</v>
          </cell>
          <cell r="C199">
            <v>0.48</v>
          </cell>
          <cell r="D199">
            <v>0.54800000000000004</v>
          </cell>
          <cell r="E199">
            <v>5.32</v>
          </cell>
          <cell r="F199">
            <v>27.18</v>
          </cell>
          <cell r="G199">
            <v>1.7090000000000001</v>
          </cell>
          <cell r="H199">
            <v>1.8939999999999999</v>
          </cell>
        </row>
        <row r="201">
          <cell r="B201" t="str">
            <v>d.  Loans &amp;  Advances</v>
          </cell>
          <cell r="C201">
            <v>85.944000000000003</v>
          </cell>
          <cell r="D201">
            <v>200.56800000000001</v>
          </cell>
          <cell r="E201">
            <v>228.04</v>
          </cell>
          <cell r="F201">
            <v>12.129999999999999</v>
          </cell>
          <cell r="G201">
            <v>33.356999999999999</v>
          </cell>
          <cell r="H201">
            <v>61.322999999999993</v>
          </cell>
        </row>
        <row r="203">
          <cell r="B203" t="str">
            <v>e.  Deposits</v>
          </cell>
          <cell r="C203">
            <v>26.745999999999999</v>
          </cell>
          <cell r="D203">
            <v>2.82</v>
          </cell>
          <cell r="E203">
            <v>6.84</v>
          </cell>
          <cell r="F203">
            <v>6.84</v>
          </cell>
          <cell r="G203">
            <v>6.88</v>
          </cell>
          <cell r="H203">
            <v>8.1999999999999993</v>
          </cell>
        </row>
        <row r="205">
          <cell r="B205" t="str">
            <v>f. Trade  Investments</v>
          </cell>
          <cell r="C205">
            <v>29.998999999999999</v>
          </cell>
          <cell r="D205">
            <v>58.198999999999998</v>
          </cell>
          <cell r="E205">
            <v>58.198999999999998</v>
          </cell>
          <cell r="F205">
            <v>58.198999999999998</v>
          </cell>
          <cell r="G205">
            <v>58.198999999999998</v>
          </cell>
          <cell r="H205">
            <v>178.19900000000001</v>
          </cell>
        </row>
        <row r="206">
          <cell r="C206" t="str">
            <v>-</v>
          </cell>
          <cell r="D206" t="str">
            <v>-</v>
          </cell>
          <cell r="E206" t="str">
            <v>-</v>
          </cell>
          <cell r="F206" t="str">
            <v>-</v>
          </cell>
          <cell r="G206" t="str">
            <v>-</v>
          </cell>
          <cell r="H206" t="str">
            <v>-</v>
          </cell>
        </row>
        <row r="207">
          <cell r="B207" t="str">
            <v xml:space="preserve">         Total Current  Assets</v>
          </cell>
          <cell r="C207">
            <v>255.00900000000001</v>
          </cell>
          <cell r="D207">
            <v>376.14200000000005</v>
          </cell>
          <cell r="E207">
            <v>497.03899999999999</v>
          </cell>
          <cell r="F207">
            <v>371.56899999999996</v>
          </cell>
          <cell r="G207">
            <v>371.49600000000004</v>
          </cell>
          <cell r="H207">
            <v>417.68299999999999</v>
          </cell>
        </row>
        <row r="209">
          <cell r="B209" t="str">
            <v>Current Liabilities</v>
          </cell>
          <cell r="C209">
            <v>35.774999999999999</v>
          </cell>
          <cell r="D209">
            <v>99.53</v>
          </cell>
          <cell r="E209">
            <v>93.27</v>
          </cell>
          <cell r="F209">
            <v>72.38</v>
          </cell>
          <cell r="G209">
            <v>77.563999999999993</v>
          </cell>
          <cell r="H209">
            <v>56.210999999999999</v>
          </cell>
        </row>
        <row r="210">
          <cell r="C210" t="str">
            <v>-</v>
          </cell>
          <cell r="D210" t="str">
            <v>-</v>
          </cell>
          <cell r="E210" t="str">
            <v>-</v>
          </cell>
          <cell r="F210" t="str">
            <v>-</v>
          </cell>
          <cell r="G210" t="str">
            <v>-</v>
          </cell>
          <cell r="H210" t="str">
            <v>-</v>
          </cell>
        </row>
        <row r="211">
          <cell r="B211" t="str">
            <v xml:space="preserve">         Total  Current Liabilities</v>
          </cell>
          <cell r="C211">
            <v>178.42499999999998</v>
          </cell>
          <cell r="D211">
            <v>255.83</v>
          </cell>
          <cell r="E211">
            <v>343.95</v>
          </cell>
          <cell r="F211">
            <v>183.76999999999998</v>
          </cell>
          <cell r="G211">
            <v>137.73099999999999</v>
          </cell>
          <cell r="H211">
            <v>158.12099999999998</v>
          </cell>
        </row>
        <row r="212">
          <cell r="C212" t="str">
            <v>-</v>
          </cell>
          <cell r="D212" t="str">
            <v>-</v>
          </cell>
          <cell r="E212" t="str">
            <v>-</v>
          </cell>
          <cell r="F212" t="str">
            <v>-</v>
          </cell>
          <cell r="G212" t="str">
            <v>-</v>
          </cell>
          <cell r="H212" t="str">
            <v>-</v>
          </cell>
        </row>
        <row r="213">
          <cell r="B213" t="str">
            <v xml:space="preserve">Working  Capital  </v>
          </cell>
          <cell r="C213">
            <v>76.584000000000032</v>
          </cell>
          <cell r="D213">
            <v>120.31200000000004</v>
          </cell>
          <cell r="E213">
            <v>153.089</v>
          </cell>
          <cell r="F213">
            <v>187.79899999999998</v>
          </cell>
          <cell r="G213">
            <v>233.76500000000004</v>
          </cell>
          <cell r="H213">
            <v>259.56200000000001</v>
          </cell>
        </row>
        <row r="215">
          <cell r="B215" t="str">
            <v>L.T. Funds</v>
          </cell>
          <cell r="C215">
            <v>668.81899999999996</v>
          </cell>
          <cell r="D215">
            <v>978.98900000000003</v>
          </cell>
          <cell r="E215">
            <v>1086.5139999999999</v>
          </cell>
          <cell r="F215">
            <v>980.47500000000002</v>
          </cell>
          <cell r="G215">
            <v>781.90500000000009</v>
          </cell>
          <cell r="H215">
            <v>1021.3380000000001</v>
          </cell>
        </row>
        <row r="217">
          <cell r="B217" t="str">
            <v>Turnover</v>
          </cell>
          <cell r="C217">
            <v>1485.4159999999999</v>
          </cell>
          <cell r="D217">
            <v>1881.23</v>
          </cell>
          <cell r="E217">
            <v>2279.5500000000002</v>
          </cell>
          <cell r="F217">
            <v>3320.87</v>
          </cell>
          <cell r="G217">
            <v>3040.25</v>
          </cell>
          <cell r="H217">
            <v>2565.75</v>
          </cell>
        </row>
        <row r="219">
          <cell r="B219" t="str">
            <v>Gross  Profit</v>
          </cell>
          <cell r="C219">
            <v>231.62699999999992</v>
          </cell>
          <cell r="D219">
            <v>359.26299999999992</v>
          </cell>
          <cell r="E219">
            <v>364.77400000000046</v>
          </cell>
          <cell r="F219">
            <v>563.24999999999989</v>
          </cell>
          <cell r="G219">
            <v>554.10320000000002</v>
          </cell>
          <cell r="H219">
            <v>414.44300000000021</v>
          </cell>
        </row>
        <row r="221">
          <cell r="B221" t="str">
            <v>Net Profit for the Year</v>
          </cell>
          <cell r="C221">
            <v>67.093999999999923</v>
          </cell>
          <cell r="D221">
            <v>64.972999999999956</v>
          </cell>
          <cell r="E221">
            <v>60.519000000000688</v>
          </cell>
          <cell r="F221">
            <v>165.05199999999923</v>
          </cell>
          <cell r="G221">
            <v>105.79719999999952</v>
          </cell>
          <cell r="H221">
            <v>153.42500000000064</v>
          </cell>
        </row>
        <row r="223">
          <cell r="B223" t="str">
            <v>Interest  &amp;  Finance  Charges</v>
          </cell>
          <cell r="C223">
            <v>49.92</v>
          </cell>
          <cell r="D223">
            <v>71.62</v>
          </cell>
          <cell r="E223">
            <v>99.034000000000006</v>
          </cell>
          <cell r="F223">
            <v>109.523</v>
          </cell>
          <cell r="G223">
            <v>61.95</v>
          </cell>
          <cell r="H223">
            <v>38.351999999999997</v>
          </cell>
        </row>
        <row r="225">
          <cell r="B225" t="str">
            <v>PBIT</v>
          </cell>
          <cell r="C225">
            <v>117.01399999999992</v>
          </cell>
          <cell r="D225">
            <v>136.59299999999996</v>
          </cell>
          <cell r="E225">
            <v>159.55300000000068</v>
          </cell>
          <cell r="F225">
            <v>274.57499999999925</v>
          </cell>
          <cell r="G225">
            <v>167.74719999999951</v>
          </cell>
          <cell r="H225">
            <v>191.77700000000064</v>
          </cell>
        </row>
        <row r="227">
          <cell r="B227" t="str">
            <v>=</v>
          </cell>
          <cell r="C227" t="str">
            <v>=</v>
          </cell>
          <cell r="D227" t="str">
            <v>=</v>
          </cell>
          <cell r="E227" t="str">
            <v>=</v>
          </cell>
          <cell r="F227" t="str">
            <v>=</v>
          </cell>
          <cell r="G227" t="str">
            <v>=</v>
          </cell>
          <cell r="H227" t="str">
            <v>=</v>
          </cell>
        </row>
        <row r="229">
          <cell r="B229" t="str">
            <v>CALCULATION  OF  VARIOUS  RATIOS</v>
          </cell>
        </row>
        <row r="231">
          <cell r="B231" t="str">
            <v>-</v>
          </cell>
          <cell r="C231" t="str">
            <v>-</v>
          </cell>
          <cell r="D231" t="str">
            <v>-</v>
          </cell>
          <cell r="E231" t="str">
            <v>-</v>
          </cell>
          <cell r="F231" t="str">
            <v>-</v>
          </cell>
          <cell r="G231" t="str">
            <v>-</v>
          </cell>
          <cell r="H231" t="str">
            <v>-</v>
          </cell>
        </row>
        <row r="232">
          <cell r="B232" t="str">
            <v>PARTICULARS</v>
          </cell>
          <cell r="C232" t="str">
            <v>1997-98</v>
          </cell>
          <cell r="D232" t="str">
            <v>1998-99</v>
          </cell>
          <cell r="E232" t="str">
            <v>1999-00</v>
          </cell>
          <cell r="F232" t="str">
            <v>2000-01</v>
          </cell>
          <cell r="G232" t="str">
            <v>2001-02</v>
          </cell>
          <cell r="H232" t="str">
            <v>2002-03</v>
          </cell>
        </row>
        <row r="233">
          <cell r="B233" t="str">
            <v>-</v>
          </cell>
          <cell r="C233" t="str">
            <v>-</v>
          </cell>
          <cell r="D233" t="str">
            <v>-</v>
          </cell>
          <cell r="E233" t="str">
            <v>-</v>
          </cell>
          <cell r="F233" t="str">
            <v>-</v>
          </cell>
          <cell r="G233" t="str">
            <v>-</v>
          </cell>
          <cell r="H233" t="str">
            <v>-</v>
          </cell>
        </row>
        <row r="234">
          <cell r="B234" t="str">
            <v>NET PROFIT AFTER TAX</v>
          </cell>
          <cell r="C234">
            <v>67.093999999999923</v>
          </cell>
          <cell r="D234">
            <v>64.972999999999956</v>
          </cell>
          <cell r="E234">
            <v>60.016000000000687</v>
          </cell>
          <cell r="F234">
            <v>4.7619999999992331</v>
          </cell>
          <cell r="G234">
            <v>97.797199999999521</v>
          </cell>
          <cell r="H234">
            <v>141.42500000000064</v>
          </cell>
        </row>
        <row r="236">
          <cell r="B236" t="str">
            <v>CASH PROFIT</v>
          </cell>
          <cell r="C236">
            <v>95.14099999999992</v>
          </cell>
          <cell r="D236">
            <v>102.49799999999996</v>
          </cell>
          <cell r="E236">
            <v>108.62300000000069</v>
          </cell>
          <cell r="F236">
            <v>106.08999999999924</v>
          </cell>
          <cell r="G236">
            <v>276.2331999999995</v>
          </cell>
          <cell r="H236">
            <v>216.42500000000064</v>
          </cell>
        </row>
        <row r="238">
          <cell r="B238" t="str">
            <v>EQUITY SHARE CAPITAL</v>
          </cell>
          <cell r="C238">
            <v>229.04599999999999</v>
          </cell>
          <cell r="D238">
            <v>229.04600000000002</v>
          </cell>
          <cell r="E238">
            <v>229.05</v>
          </cell>
          <cell r="F238">
            <v>216.82600000000002</v>
          </cell>
          <cell r="G238">
            <v>213.25399999999999</v>
          </cell>
          <cell r="H238">
            <v>213.25399999999999</v>
          </cell>
        </row>
        <row r="240">
          <cell r="B240" t="str">
            <v>PREFERENCE SHARE CAPITAL</v>
          </cell>
          <cell r="C240">
            <v>36.83</v>
          </cell>
          <cell r="D240">
            <v>38.979999999999997</v>
          </cell>
          <cell r="E240">
            <v>18.98</v>
          </cell>
          <cell r="F240">
            <v>18.98</v>
          </cell>
          <cell r="G240">
            <v>6.7560000000000002</v>
          </cell>
          <cell r="H240">
            <v>15.756</v>
          </cell>
        </row>
        <row r="242">
          <cell r="B242" t="str">
            <v>RESERVES &amp; SURPLUS</v>
          </cell>
          <cell r="C242">
            <v>101.946</v>
          </cell>
          <cell r="D242">
            <v>226.69499999999999</v>
          </cell>
          <cell r="E242">
            <v>250.63</v>
          </cell>
          <cell r="F242">
            <v>189.11</v>
          </cell>
          <cell r="G242">
            <v>223.72</v>
          </cell>
          <cell r="H242">
            <v>446.13900000000001</v>
          </cell>
        </row>
        <row r="244">
          <cell r="B244" t="str">
            <v>UNSECURED  LOAN</v>
          </cell>
          <cell r="C244">
            <v>71.117000000000004</v>
          </cell>
          <cell r="D244">
            <v>194.89</v>
          </cell>
          <cell r="E244">
            <v>86.25</v>
          </cell>
          <cell r="F244">
            <v>13.775</v>
          </cell>
          <cell r="G244">
            <v>17.29</v>
          </cell>
          <cell r="H244">
            <v>84.9</v>
          </cell>
        </row>
        <row r="246">
          <cell r="B246" t="str">
            <v>TERM LOANS</v>
          </cell>
          <cell r="C246">
            <v>233.88</v>
          </cell>
          <cell r="D246">
            <v>292.82</v>
          </cell>
          <cell r="E246">
            <v>504.47999999999996</v>
          </cell>
          <cell r="F246">
            <v>544.1</v>
          </cell>
          <cell r="G246">
            <v>322.64</v>
          </cell>
          <cell r="H246">
            <v>263.04000000000002</v>
          </cell>
        </row>
        <row r="248">
          <cell r="B248" t="str">
            <v>EQUITY SHARES OF Rs.10 EACH</v>
          </cell>
          <cell r="C248">
            <v>2290460</v>
          </cell>
          <cell r="D248">
            <v>2290460.0000000005</v>
          </cell>
          <cell r="E248">
            <v>2290500</v>
          </cell>
          <cell r="F248">
            <v>2168260.0000000005</v>
          </cell>
          <cell r="G248">
            <v>2132540</v>
          </cell>
          <cell r="H248">
            <v>2132540</v>
          </cell>
        </row>
        <row r="250">
          <cell r="B250" t="str">
            <v>EPS</v>
          </cell>
          <cell r="C250">
            <v>2.9292805811932943</v>
          </cell>
          <cell r="D250">
            <v>2.8366790950289436</v>
          </cell>
          <cell r="E250">
            <v>2.6202139270901847</v>
          </cell>
          <cell r="F250">
            <v>0.2196231079298254</v>
          </cell>
          <cell r="G250">
            <v>4.5859491498400748</v>
          </cell>
          <cell r="H250">
            <v>6.6317630618886696</v>
          </cell>
        </row>
        <row r="252">
          <cell r="B252" t="str">
            <v>CASH  EPS</v>
          </cell>
          <cell r="C252">
            <v>4.1537944343057687</v>
          </cell>
          <cell r="D252">
            <v>4.4749962889550545</v>
          </cell>
          <cell r="E252">
            <v>4.7423270028378388</v>
          </cell>
          <cell r="F252">
            <v>4.8928634019904997</v>
          </cell>
          <cell r="G252">
            <v>12.953248239188925</v>
          </cell>
          <cell r="H252">
            <v>10.148695921295761</v>
          </cell>
        </row>
        <row r="254">
          <cell r="B254" t="str">
            <v>DIVIDEND %</v>
          </cell>
          <cell r="C254">
            <v>9.6473544058132368E-2</v>
          </cell>
          <cell r="D254">
            <v>9.4002074425615423E-2</v>
          </cell>
          <cell r="E254">
            <v>0</v>
          </cell>
          <cell r="F254">
            <v>0</v>
          </cell>
          <cell r="G254">
            <v>0</v>
          </cell>
          <cell r="H254">
            <v>0</v>
          </cell>
        </row>
        <row r="256">
          <cell r="B256" t="str">
            <v>NET  WORTH</v>
          </cell>
          <cell r="C256">
            <v>363.822</v>
          </cell>
          <cell r="D256">
            <v>491.28100000000001</v>
          </cell>
          <cell r="E256">
            <v>495.78399999999999</v>
          </cell>
          <cell r="F256">
            <v>422.60000000000008</v>
          </cell>
          <cell r="G256">
            <v>441.97500000000002</v>
          </cell>
          <cell r="H256">
            <v>673.39400000000001</v>
          </cell>
        </row>
        <row r="258">
          <cell r="B258" t="str">
            <v>BOOK VALUE PER SHARE</v>
          </cell>
          <cell r="C258">
            <v>15.884232861521268</v>
          </cell>
          <cell r="D258">
            <v>21.449010242484039</v>
          </cell>
          <cell r="E258">
            <v>21.645230299061339</v>
          </cell>
          <cell r="F258">
            <v>19.490282530692813</v>
          </cell>
          <cell r="G258">
            <v>20.725285340485993</v>
          </cell>
          <cell r="H258">
            <v>31.577086479034392</v>
          </cell>
        </row>
        <row r="260">
          <cell r="B260" t="str">
            <v>DEBT -EQUITY RATIO</v>
          </cell>
          <cell r="C260">
            <v>0.53773057831098148</v>
          </cell>
          <cell r="D260">
            <v>0.42674202203240885</v>
          </cell>
          <cell r="E260">
            <v>0.8667534886278121</v>
          </cell>
          <cell r="F260">
            <v>1.2468633629332568</v>
          </cell>
          <cell r="G260">
            <v>0.70251379922267088</v>
          </cell>
          <cell r="H260">
            <v>0.34688920128604483</v>
          </cell>
        </row>
        <row r="262">
          <cell r="B262" t="str">
            <v>CURRENT  RATIO</v>
          </cell>
          <cell r="C262">
            <v>1.4292223623371167</v>
          </cell>
          <cell r="D262">
            <v>1.4702810460071143</v>
          </cell>
          <cell r="E262">
            <v>1.4450908562291032</v>
          </cell>
          <cell r="F262">
            <v>2.0219241443108231</v>
          </cell>
          <cell r="G262">
            <v>2.6972576979764908</v>
          </cell>
          <cell r="H262">
            <v>2.6415403393603634</v>
          </cell>
        </row>
        <row r="264">
          <cell r="B264" t="str">
            <v>LIQUID  RATIO</v>
          </cell>
          <cell r="C264">
            <v>1.0955807762365142</v>
          </cell>
          <cell r="D264">
            <v>1.1738459133018022</v>
          </cell>
          <cell r="E264">
            <v>1.1130949265881669</v>
          </cell>
          <cell r="F264">
            <v>1.0995211405561298</v>
          </cell>
          <cell r="G264">
            <v>1.6471455227944329</v>
          </cell>
          <cell r="H264">
            <v>1.8994061509856379</v>
          </cell>
        </row>
        <row r="265">
          <cell r="B265" t="str">
            <v>=</v>
          </cell>
          <cell r="C265" t="str">
            <v>=</v>
          </cell>
          <cell r="D265" t="str">
            <v>=</v>
          </cell>
          <cell r="E265" t="str">
            <v>=</v>
          </cell>
          <cell r="F265" t="str">
            <v>=</v>
          </cell>
          <cell r="G265" t="str">
            <v>=</v>
          </cell>
          <cell r="H265" t="str">
            <v>=</v>
          </cell>
        </row>
        <row r="267">
          <cell r="C267" t="str">
            <v>(RS.IN LACS)</v>
          </cell>
        </row>
        <row r="268">
          <cell r="B268" t="str">
            <v>-</v>
          </cell>
          <cell r="C268" t="str">
            <v>-</v>
          </cell>
          <cell r="D268" t="str">
            <v>-</v>
          </cell>
          <cell r="E268" t="str">
            <v>-</v>
          </cell>
          <cell r="F268" t="str">
            <v>-</v>
          </cell>
          <cell r="G268" t="str">
            <v>-</v>
          </cell>
          <cell r="H268" t="str">
            <v>-</v>
          </cell>
        </row>
        <row r="269">
          <cell r="B269" t="str">
            <v>PARTICULARS</v>
          </cell>
          <cell r="C269" t="str">
            <v>1997-98</v>
          </cell>
          <cell r="D269" t="str">
            <v>1998-99</v>
          </cell>
          <cell r="E269" t="str">
            <v>1999-00</v>
          </cell>
          <cell r="F269" t="str">
            <v>2000-01</v>
          </cell>
          <cell r="G269" t="str">
            <v>2001-02</v>
          </cell>
          <cell r="H269" t="str">
            <v>2002-03</v>
          </cell>
        </row>
        <row r="270">
          <cell r="B270" t="str">
            <v>-</v>
          </cell>
          <cell r="C270" t="str">
            <v>-</v>
          </cell>
          <cell r="D270" t="str">
            <v>-</v>
          </cell>
          <cell r="E270" t="str">
            <v>-</v>
          </cell>
          <cell r="F270" t="str">
            <v>-</v>
          </cell>
          <cell r="G270" t="str">
            <v>-</v>
          </cell>
          <cell r="H270" t="str">
            <v>-</v>
          </cell>
        </row>
        <row r="271">
          <cell r="B271" t="str">
            <v>FIXED  ASSETS/ L.T.FUNDS</v>
          </cell>
          <cell r="C271">
            <v>0.86290909797718074</v>
          </cell>
          <cell r="D271">
            <v>0.88910089898865063</v>
          </cell>
          <cell r="E271">
            <v>0.91570840320511304</v>
          </cell>
          <cell r="F271">
            <v>0.78256865294882583</v>
          </cell>
          <cell r="G271">
            <v>0.75275896688216593</v>
          </cell>
          <cell r="H271">
            <v>0.50332994562035283</v>
          </cell>
        </row>
        <row r="273">
          <cell r="B273" t="str">
            <v>RETURN  ON NET  WORTH</v>
          </cell>
          <cell r="D273">
            <v>0.1519653187978523</v>
          </cell>
          <cell r="E273">
            <v>0.12160496015966665</v>
          </cell>
          <cell r="F273">
            <v>1.0370389728042372E-2</v>
          </cell>
          <cell r="G273">
            <v>0.2262318480178111</v>
          </cell>
          <cell r="H273">
            <v>0.25359320547729158</v>
          </cell>
        </row>
        <row r="275">
          <cell r="B275" t="str">
            <v>RETURN ON  CAPITAL</v>
          </cell>
          <cell r="C275">
            <v>0.25235071988445718</v>
          </cell>
          <cell r="D275">
            <v>0.24241304948027412</v>
          </cell>
          <cell r="E275">
            <v>0.24197072934725916</v>
          </cell>
          <cell r="F275">
            <v>2.0194566720097167E-2</v>
          </cell>
          <cell r="G275">
            <v>0.44451252215808157</v>
          </cell>
          <cell r="H275">
            <v>0.61754945198899891</v>
          </cell>
        </row>
        <row r="277">
          <cell r="B277" t="str">
            <v>GROSS  PROFIT  RATIO</v>
          </cell>
          <cell r="C277">
            <v>0.15593409522988841</v>
          </cell>
          <cell r="D277">
            <v>0.19097239571982155</v>
          </cell>
          <cell r="E277">
            <v>0.16002017942137722</v>
          </cell>
          <cell r="F277">
            <v>0.16960916868170084</v>
          </cell>
          <cell r="G277">
            <v>0.18225580133212729</v>
          </cell>
          <cell r="H277">
            <v>0.16152898762545073</v>
          </cell>
        </row>
        <row r="279">
          <cell r="B279" t="str">
            <v>NET  PROFIT  RATIO</v>
          </cell>
          <cell r="C279">
            <v>4.5168491520220545E-2</v>
          </cell>
          <cell r="D279">
            <v>3.4537510033329236E-2</v>
          </cell>
          <cell r="E279">
            <v>2.6328003333991656E-2</v>
          </cell>
          <cell r="F279">
            <v>1.4339615823561998E-3</v>
          </cell>
          <cell r="G279">
            <v>3.2167486226461484E-2</v>
          </cell>
          <cell r="H279">
            <v>5.5120335184644112E-2</v>
          </cell>
        </row>
        <row r="281">
          <cell r="B281" t="str">
            <v>CAPITAL  TURNOVER RATIO</v>
          </cell>
          <cell r="C281">
            <v>5.5868750846259161</v>
          </cell>
          <cell r="D281">
            <v>7.0188339937170277</v>
          </cell>
          <cell r="E281">
            <v>9.1906221021650616</v>
          </cell>
          <cell r="F281">
            <v>14.083059803397708</v>
          </cell>
          <cell r="G281">
            <v>13.818690059542748</v>
          </cell>
          <cell r="H281">
            <v>11.203659228854635</v>
          </cell>
        </row>
        <row r="283">
          <cell r="B283" t="str">
            <v>WORKING  CAP.  TURNOVER</v>
          </cell>
          <cell r="C283">
            <v>19.395905149900752</v>
          </cell>
          <cell r="D283">
            <v>15.636262384467047</v>
          </cell>
          <cell r="E283">
            <v>14.890357896387071</v>
          </cell>
          <cell r="F283">
            <v>17.683108003769991</v>
          </cell>
          <cell r="G283">
            <v>13.005582529463348</v>
          </cell>
          <cell r="H283">
            <v>9.884921521640301</v>
          </cell>
        </row>
        <row r="285">
          <cell r="B285" t="str">
            <v>INT./PBIT (%)</v>
          </cell>
          <cell r="C285">
            <v>0.42661561864392322</v>
          </cell>
          <cell r="D285">
            <v>0.52433140790523691</v>
          </cell>
          <cell r="E285">
            <v>0.62069657104535536</v>
          </cell>
          <cell r="F285">
            <v>0.39888190840389803</v>
          </cell>
          <cell r="G285">
            <v>0.3693057171744159</v>
          </cell>
          <cell r="H285">
            <v>0.19998227107525859</v>
          </cell>
        </row>
        <row r="286">
          <cell r="B286" t="str">
            <v>=</v>
          </cell>
          <cell r="C286" t="str">
            <v>=</v>
          </cell>
          <cell r="D286" t="str">
            <v>=</v>
          </cell>
          <cell r="E286" t="str">
            <v>=</v>
          </cell>
          <cell r="F286" t="str">
            <v>=</v>
          </cell>
          <cell r="G286" t="str">
            <v>=</v>
          </cell>
          <cell r="H286" t="str">
            <v>=</v>
          </cell>
        </row>
        <row r="292">
          <cell r="B292" t="str">
            <v>-</v>
          </cell>
          <cell r="C292" t="str">
            <v>-</v>
          </cell>
          <cell r="D292" t="str">
            <v>-</v>
          </cell>
          <cell r="E292" t="str">
            <v>-</v>
          </cell>
          <cell r="F292" t="str">
            <v>-</v>
          </cell>
          <cell r="G292" t="str">
            <v>-</v>
          </cell>
          <cell r="H292" t="str">
            <v>-</v>
          </cell>
        </row>
        <row r="293">
          <cell r="B293" t="str">
            <v>PARTICULARS</v>
          </cell>
          <cell r="C293" t="str">
            <v>1997-98</v>
          </cell>
          <cell r="D293" t="str">
            <v>1998-99</v>
          </cell>
          <cell r="E293" t="str">
            <v>1999-00</v>
          </cell>
          <cell r="F293" t="str">
            <v>2000-01</v>
          </cell>
          <cell r="G293" t="str">
            <v>2001-02</v>
          </cell>
          <cell r="H293" t="str">
            <v>2002-03</v>
          </cell>
        </row>
        <row r="294">
          <cell r="B294" t="str">
            <v>-</v>
          </cell>
          <cell r="C294" t="str">
            <v>-</v>
          </cell>
          <cell r="D294" t="str">
            <v>-</v>
          </cell>
          <cell r="E294" t="str">
            <v>-</v>
          </cell>
          <cell r="F294" t="str">
            <v>-</v>
          </cell>
          <cell r="G294" t="str">
            <v>-</v>
          </cell>
          <cell r="H294" t="str">
            <v>-</v>
          </cell>
        </row>
        <row r="295">
          <cell r="B295" t="str">
            <v>GROSS REVENUE</v>
          </cell>
          <cell r="C295">
            <v>1479.634</v>
          </cell>
          <cell r="D295">
            <v>1901.05</v>
          </cell>
          <cell r="E295">
            <v>2331.3060000000005</v>
          </cell>
          <cell r="F295">
            <v>3361.9189999999999</v>
          </cell>
          <cell r="G295">
            <v>2984.9791999999998</v>
          </cell>
          <cell r="H295">
            <v>2597.6440000000002</v>
          </cell>
        </row>
        <row r="297">
          <cell r="B297" t="str">
            <v>GROWTH IN QUANTITY</v>
          </cell>
        </row>
        <row r="298">
          <cell r="B298" t="str">
            <v>GROWTH   IN  %</v>
          </cell>
          <cell r="C298" t="e">
            <v>#REF!</v>
          </cell>
          <cell r="D298">
            <v>0.28481097352453372</v>
          </cell>
          <cell r="E298">
            <v>0.22632545172404753</v>
          </cell>
          <cell r="F298">
            <v>0.4420753860711546</v>
          </cell>
          <cell r="G298">
            <v>-0.11212042883841047</v>
          </cell>
          <cell r="H298">
            <v>-0.1297614402137206</v>
          </cell>
        </row>
        <row r="300">
          <cell r="B300" t="str">
            <v>PROFIT BEFORE TAX</v>
          </cell>
          <cell r="C300">
            <v>67.093999999999923</v>
          </cell>
          <cell r="D300">
            <v>64.972999999999956</v>
          </cell>
          <cell r="E300">
            <v>60.519000000000688</v>
          </cell>
          <cell r="F300">
            <v>165.05199999999923</v>
          </cell>
          <cell r="G300">
            <v>105.79719999999952</v>
          </cell>
          <cell r="H300">
            <v>153.42500000000064</v>
          </cell>
        </row>
        <row r="302">
          <cell r="B302" t="str">
            <v>GROWTH   IN  %</v>
          </cell>
          <cell r="D302">
            <v>-3.1612364742003296E-2</v>
          </cell>
          <cell r="E302">
            <v>-6.8551552183203357E-2</v>
          </cell>
          <cell r="F302">
            <v>1.7272757315883829</v>
          </cell>
          <cell r="G302">
            <v>-0.35900685844461128</v>
          </cell>
          <cell r="H302">
            <v>0.45018015599657962</v>
          </cell>
        </row>
        <row r="304">
          <cell r="B304" t="str">
            <v>PROFIT AFTER TAX</v>
          </cell>
          <cell r="C304">
            <v>67.093999999999923</v>
          </cell>
          <cell r="D304">
            <v>64.972999999999956</v>
          </cell>
          <cell r="E304">
            <v>60.016000000000687</v>
          </cell>
          <cell r="F304">
            <v>3.2183634601524653E-3</v>
          </cell>
          <cell r="G304">
            <v>4.7619999999992331</v>
          </cell>
          <cell r="H304">
            <v>6.6095534436218364E-2</v>
          </cell>
        </row>
        <row r="306">
          <cell r="B306" t="str">
            <v>DIVIDEND (%)</v>
          </cell>
          <cell r="C306">
            <v>9.6473544058132368E-2</v>
          </cell>
          <cell r="D306">
            <v>9.4002074425615423E-2</v>
          </cell>
          <cell r="E306">
            <v>0</v>
          </cell>
          <cell r="F306">
            <v>0</v>
          </cell>
          <cell r="G306">
            <v>0</v>
          </cell>
          <cell r="H306">
            <v>0</v>
          </cell>
        </row>
        <row r="308">
          <cell r="B308" t="str">
            <v>SHARE CAPITAL</v>
          </cell>
          <cell r="C308">
            <v>265.87599999999998</v>
          </cell>
          <cell r="D308">
            <v>268.02600000000001</v>
          </cell>
          <cell r="E308">
            <v>248.03</v>
          </cell>
          <cell r="F308">
            <v>235.80600000000001</v>
          </cell>
          <cell r="G308">
            <v>220.01</v>
          </cell>
          <cell r="H308">
            <v>229.01</v>
          </cell>
        </row>
        <row r="310">
          <cell r="B310" t="str">
            <v>RESERVES</v>
          </cell>
          <cell r="C310">
            <v>101.946</v>
          </cell>
          <cell r="D310">
            <v>226.69499999999999</v>
          </cell>
          <cell r="E310">
            <v>250.63</v>
          </cell>
          <cell r="F310">
            <v>189.11</v>
          </cell>
          <cell r="G310">
            <v>223.72</v>
          </cell>
          <cell r="H310">
            <v>446.13900000000001</v>
          </cell>
        </row>
        <row r="312">
          <cell r="B312" t="str">
            <v>BORROWINGS</v>
          </cell>
          <cell r="C312">
            <v>384.58</v>
          </cell>
          <cell r="D312">
            <v>449.11799999999999</v>
          </cell>
          <cell r="E312">
            <v>755.16</v>
          </cell>
          <cell r="F312">
            <v>655.49</v>
          </cell>
          <cell r="G312">
            <v>382.80700000000002</v>
          </cell>
          <cell r="H312">
            <v>364.95400000000001</v>
          </cell>
        </row>
        <row r="314">
          <cell r="B314" t="str">
            <v>CAPITAL EMPLOYED</v>
          </cell>
          <cell r="C314">
            <v>823.51900000000001</v>
          </cell>
          <cell r="D314">
            <v>1208.6790000000001</v>
          </cell>
          <cell r="E314">
            <v>1459.56</v>
          </cell>
          <cell r="F314">
            <v>1119.931</v>
          </cell>
          <cell r="G314">
            <v>935.17700000000013</v>
          </cell>
          <cell r="H314">
            <v>1128.203</v>
          </cell>
        </row>
        <row r="316">
          <cell r="B316" t="str">
            <v>NET WORTH</v>
          </cell>
          <cell r="C316">
            <v>363.822</v>
          </cell>
          <cell r="D316">
            <v>491.28100000000001</v>
          </cell>
          <cell r="E316">
            <v>495.78399999999999</v>
          </cell>
          <cell r="F316">
            <v>422.60000000000008</v>
          </cell>
          <cell r="G316">
            <v>441.97500000000002</v>
          </cell>
          <cell r="H316">
            <v>673.39400000000001</v>
          </cell>
        </row>
        <row r="318">
          <cell r="B318" t="str">
            <v>GROSS BLOCK</v>
          </cell>
          <cell r="C318">
            <v>692.09</v>
          </cell>
          <cell r="D318">
            <v>1022.12</v>
          </cell>
          <cell r="E318">
            <v>1194.46</v>
          </cell>
          <cell r="F318">
            <v>1227.2090000000001</v>
          </cell>
          <cell r="G318">
            <v>1191.136</v>
          </cell>
          <cell r="H318">
            <v>1191.6199999999999</v>
          </cell>
        </row>
        <row r="320">
          <cell r="B320" t="str">
            <v>NET BLOCK</v>
          </cell>
          <cell r="C320">
            <v>577.13</v>
          </cell>
          <cell r="D320">
            <v>870.42000000000007</v>
          </cell>
          <cell r="E320">
            <v>994.93000000000006</v>
          </cell>
          <cell r="F320">
            <v>767.28899999999999</v>
          </cell>
          <cell r="G320">
            <v>588.58600000000001</v>
          </cell>
          <cell r="H320">
            <v>514.06999999999994</v>
          </cell>
        </row>
        <row r="321">
          <cell r="B321">
            <v>0</v>
          </cell>
        </row>
        <row r="322">
          <cell r="B322" t="str">
            <v>DEBT-EQUITY RATIO</v>
          </cell>
          <cell r="C322">
            <v>0.64284182924616984</v>
          </cell>
          <cell r="D322">
            <v>0.59602956352881553</v>
          </cell>
          <cell r="E322">
            <v>1.0175398964064994</v>
          </cell>
          <cell r="F322">
            <v>1.2875059157595834</v>
          </cell>
          <cell r="G322">
            <v>0.7299960405000282</v>
          </cell>
          <cell r="H322">
            <v>0.39062421108593198</v>
          </cell>
        </row>
        <row r="324">
          <cell r="B324" t="str">
            <v>NUMBER OF SHARES</v>
          </cell>
          <cell r="C324">
            <v>2290460</v>
          </cell>
          <cell r="D324">
            <v>2290460.0000000005</v>
          </cell>
          <cell r="E324">
            <v>2290500</v>
          </cell>
          <cell r="F324">
            <v>2168260.0000000005</v>
          </cell>
          <cell r="G324">
            <v>2132540</v>
          </cell>
          <cell r="H324">
            <v>2132540</v>
          </cell>
        </row>
        <row r="326">
          <cell r="B326" t="str">
            <v>BOOK VALUE PER SHARE AT YEAR END</v>
          </cell>
          <cell r="C326">
            <v>15.884232861521268</v>
          </cell>
          <cell r="D326">
            <v>21.449010242484039</v>
          </cell>
          <cell r="E326">
            <v>21.645230299061339</v>
          </cell>
          <cell r="F326">
            <v>19.490282530692813</v>
          </cell>
          <cell r="G326">
            <v>20.725285340485993</v>
          </cell>
          <cell r="H326">
            <v>31.577086479034392</v>
          </cell>
        </row>
        <row r="328">
          <cell r="B328" t="str">
            <v>EARNINGS PER SHARE</v>
          </cell>
          <cell r="C328">
            <v>2.9292805811932943</v>
          </cell>
          <cell r="D328">
            <v>2.8366790950289436</v>
          </cell>
          <cell r="E328">
            <v>2.6202139270901847</v>
          </cell>
          <cell r="F328">
            <v>0.2196231079298254</v>
          </cell>
          <cell r="G328">
            <v>4.5859491498400748</v>
          </cell>
          <cell r="H328">
            <v>6.6317630618886696</v>
          </cell>
        </row>
        <row r="330">
          <cell r="B330" t="str">
            <v>NET SALES PER SHARE</v>
          </cell>
          <cell r="C330">
            <v>64.852300411271102</v>
          </cell>
          <cell r="D330">
            <v>0</v>
          </cell>
          <cell r="E330">
            <v>82.131848941279202</v>
          </cell>
          <cell r="F330">
            <v>0</v>
          </cell>
          <cell r="G330">
            <v>106.89365732881916</v>
          </cell>
          <cell r="H330">
            <v>0</v>
          </cell>
        </row>
        <row r="332">
          <cell r="B332" t="str">
            <v>DIVIDEND PER SHARE</v>
          </cell>
          <cell r="C332">
            <v>1.1198623857216454</v>
          </cell>
          <cell r="D332">
            <v>4.1040696814445745E-3</v>
          </cell>
          <cell r="E332">
            <v>1.0999781707050862</v>
          </cell>
          <cell r="F332">
            <v>0</v>
          </cell>
          <cell r="G332">
            <v>0</v>
          </cell>
          <cell r="H332">
            <v>0</v>
          </cell>
        </row>
        <row r="334">
          <cell r="B334" t="str">
            <v>PAY-OUT RATIO</v>
          </cell>
          <cell r="C334">
            <v>0.38229946045846169</v>
          </cell>
          <cell r="D334">
            <v>0.38777646099148905</v>
          </cell>
          <cell r="E334">
            <v>0</v>
          </cell>
          <cell r="F334">
            <v>0</v>
          </cell>
          <cell r="G334">
            <v>0</v>
          </cell>
          <cell r="H334">
            <v>0</v>
          </cell>
        </row>
        <row r="336">
          <cell r="B336" t="str">
            <v>CURRENT RATIO</v>
          </cell>
          <cell r="C336">
            <v>1.4292223623371167</v>
          </cell>
          <cell r="D336">
            <v>1.4702810460071143</v>
          </cell>
          <cell r="E336">
            <v>1.4450908562291032</v>
          </cell>
          <cell r="F336">
            <v>2.0219241443108231</v>
          </cell>
          <cell r="G336">
            <v>2.6972576979764908</v>
          </cell>
          <cell r="H336">
            <v>2.6415403393603634</v>
          </cell>
        </row>
        <row r="338">
          <cell r="B338" t="str">
            <v>LIQUID RATIO</v>
          </cell>
          <cell r="C338">
            <v>1.0955807762365142</v>
          </cell>
          <cell r="D338">
            <v>1.1738459133018022</v>
          </cell>
          <cell r="E338">
            <v>1.1130949265881669</v>
          </cell>
          <cell r="F338">
            <v>1.0995211405561298</v>
          </cell>
          <cell r="G338">
            <v>1.6471455227944329</v>
          </cell>
          <cell r="H338">
            <v>1.8994061509856379</v>
          </cell>
        </row>
        <row r="339">
          <cell r="B339" t="str">
            <v>EVA (ECONOMIC VALUE ADDITION)</v>
          </cell>
          <cell r="C339" t="e">
            <v>#REF!</v>
          </cell>
          <cell r="D339" t="e">
            <v>#REF!</v>
          </cell>
          <cell r="E339" t="e">
            <v>#REF!</v>
          </cell>
          <cell r="F339" t="e">
            <v>#REF!</v>
          </cell>
          <cell r="G339" t="e">
            <v>#REF!</v>
          </cell>
          <cell r="H339" t="e">
            <v>#REF!</v>
          </cell>
        </row>
        <row r="341">
          <cell r="B341" t="str">
            <v>EVA (% OF CAPITAL EMPLOYED)</v>
          </cell>
          <cell r="C341" t="e">
            <v>#REF!</v>
          </cell>
          <cell r="D341" t="e">
            <v>#REF!</v>
          </cell>
          <cell r="E341" t="e">
            <v>#REF!</v>
          </cell>
          <cell r="F341" t="e">
            <v>#REF!</v>
          </cell>
          <cell r="G341" t="e">
            <v>#REF!</v>
          </cell>
          <cell r="H341" t="e">
            <v>#REF!</v>
          </cell>
        </row>
        <row r="343">
          <cell r="B343" t="str">
            <v>SOLVENCY RATIO</v>
          </cell>
          <cell r="C343">
            <v>2.6400735302966414</v>
          </cell>
          <cell r="D343">
            <v>2.2234587162502883</v>
          </cell>
          <cell r="E343">
            <v>2.2371533127645913</v>
          </cell>
          <cell r="F343">
            <v>3.9468833547162023</v>
          </cell>
          <cell r="G343">
            <v>4.2496658045333788</v>
          </cell>
          <cell r="H343">
            <v>3.3046907048016805</v>
          </cell>
        </row>
        <row r="345">
          <cell r="B345" t="str">
            <v>RETURN ON NET WORTH</v>
          </cell>
          <cell r="C345">
            <v>0.18441435647102133</v>
          </cell>
          <cell r="D345">
            <v>0.13225221410964388</v>
          </cell>
          <cell r="E345">
            <v>0.12105271650557639</v>
          </cell>
          <cell r="F345">
            <v>7.6156257930725622E-6</v>
          </cell>
          <cell r="G345">
            <v>1.0774365065895656E-2</v>
          </cell>
          <cell r="H345">
            <v>9.815284133244187E-5</v>
          </cell>
        </row>
        <row r="347">
          <cell r="B347" t="str">
            <v>FIXED ASSETS  PER SHARE</v>
          </cell>
          <cell r="C347">
            <v>25.197121975498373</v>
          </cell>
          <cell r="D347">
            <v>38.001973402722591</v>
          </cell>
          <cell r="E347">
            <v>43.437240777122902</v>
          </cell>
          <cell r="F347">
            <v>35.387315174379452</v>
          </cell>
          <cell r="G347">
            <v>27.600232586493103</v>
          </cell>
          <cell r="H347">
            <v>24.105995667138714</v>
          </cell>
        </row>
        <row r="350">
          <cell r="B350" t="str">
            <v>=</v>
          </cell>
          <cell r="C350" t="str">
            <v>=</v>
          </cell>
          <cell r="D350" t="str">
            <v>=</v>
          </cell>
          <cell r="E350" t="str">
            <v>=</v>
          </cell>
          <cell r="F350" t="str">
            <v>=</v>
          </cell>
          <cell r="G350" t="str">
            <v>=</v>
          </cell>
          <cell r="H350" t="str">
            <v>=</v>
          </cell>
        </row>
      </sheetData>
      <sheetData sheetId="3">
        <row r="2">
          <cell r="B2" t="str">
            <v>COMBINED</v>
          </cell>
        </row>
        <row r="3">
          <cell r="B3">
            <v>0</v>
          </cell>
          <cell r="C3">
            <v>0</v>
          </cell>
          <cell r="D3">
            <v>0</v>
          </cell>
          <cell r="E3">
            <v>0</v>
          </cell>
          <cell r="F3">
            <v>0</v>
          </cell>
          <cell r="G3">
            <v>0</v>
          </cell>
          <cell r="H3">
            <v>0</v>
          </cell>
        </row>
        <row r="4">
          <cell r="B4" t="str">
            <v>BALANCE    SHEET     FOR    LAST    SIX  YEARS</v>
          </cell>
        </row>
        <row r="6">
          <cell r="B6" t="str">
            <v>-</v>
          </cell>
          <cell r="C6" t="str">
            <v>-</v>
          </cell>
          <cell r="D6" t="str">
            <v>-</v>
          </cell>
          <cell r="E6" t="str">
            <v>-</v>
          </cell>
          <cell r="F6" t="str">
            <v>-</v>
          </cell>
          <cell r="G6" t="str">
            <v>-</v>
          </cell>
          <cell r="H6" t="str">
            <v>-</v>
          </cell>
        </row>
        <row r="7">
          <cell r="B7" t="str">
            <v>PARTICULARS</v>
          </cell>
          <cell r="C7" t="str">
            <v>1997-98</v>
          </cell>
          <cell r="D7" t="str">
            <v>1998-99</v>
          </cell>
          <cell r="E7" t="str">
            <v>1999-00</v>
          </cell>
          <cell r="F7" t="str">
            <v>2000-01</v>
          </cell>
          <cell r="G7" t="str">
            <v>2001-02</v>
          </cell>
          <cell r="H7" t="str">
            <v>2002-03</v>
          </cell>
        </row>
        <row r="8">
          <cell r="B8" t="str">
            <v>-</v>
          </cell>
          <cell r="C8" t="str">
            <v>-</v>
          </cell>
          <cell r="D8" t="str">
            <v>-</v>
          </cell>
          <cell r="E8" t="str">
            <v>-</v>
          </cell>
          <cell r="F8" t="str">
            <v>-</v>
          </cell>
          <cell r="G8" t="str">
            <v>-</v>
          </cell>
          <cell r="H8" t="str">
            <v>-</v>
          </cell>
        </row>
        <row r="9">
          <cell r="B9" t="str">
            <v>SOURCES OF  FUNDS</v>
          </cell>
        </row>
        <row r="11">
          <cell r="B11" t="str">
            <v>Shareholders' Funds</v>
          </cell>
        </row>
        <row r="13">
          <cell r="B13" t="str">
            <v>a. Share  Capital</v>
          </cell>
          <cell r="C13">
            <v>298.60599999999999</v>
          </cell>
          <cell r="D13">
            <v>303.25600000000003</v>
          </cell>
          <cell r="E13">
            <v>283.26</v>
          </cell>
          <cell r="F13">
            <v>268.536</v>
          </cell>
          <cell r="G13">
            <v>252.73999999999998</v>
          </cell>
          <cell r="H13">
            <v>279.74</v>
          </cell>
        </row>
        <row r="14">
          <cell r="B14" t="str">
            <v xml:space="preserve">    Growth  %</v>
          </cell>
          <cell r="D14">
            <v>1.5572359564108003E-2</v>
          </cell>
          <cell r="E14">
            <v>-6.5937689608779493E-2</v>
          </cell>
          <cell r="F14">
            <v>-5.1980512603261989E-2</v>
          </cell>
          <cell r="G14">
            <v>-5.8822653201060643E-2</v>
          </cell>
          <cell r="H14">
            <v>0.10682915248872371</v>
          </cell>
        </row>
        <row r="16">
          <cell r="B16" t="str">
            <v>b. Share Application  Money</v>
          </cell>
          <cell r="C16">
            <v>0</v>
          </cell>
          <cell r="D16">
            <v>69.95</v>
          </cell>
          <cell r="E16">
            <v>119.49</v>
          </cell>
          <cell r="F16">
            <v>25.75</v>
          </cell>
          <cell r="G16">
            <v>91.35</v>
          </cell>
          <cell r="H16">
            <v>3.2</v>
          </cell>
        </row>
        <row r="17">
          <cell r="C17">
            <v>0</v>
          </cell>
          <cell r="D17">
            <v>0</v>
          </cell>
          <cell r="E17">
            <v>0</v>
          </cell>
          <cell r="F17">
            <v>0</v>
          </cell>
          <cell r="G17">
            <v>0</v>
          </cell>
          <cell r="H17">
            <v>0</v>
          </cell>
        </row>
        <row r="18">
          <cell r="B18" t="str">
            <v>c. Reserves and Surplus</v>
          </cell>
          <cell r="C18">
            <v>240.446</v>
          </cell>
          <cell r="D18">
            <v>445.875</v>
          </cell>
          <cell r="E18">
            <v>532.72</v>
          </cell>
          <cell r="F18">
            <v>447.12</v>
          </cell>
          <cell r="G18">
            <v>591.08699999999999</v>
          </cell>
          <cell r="H18">
            <v>1314.356</v>
          </cell>
        </row>
        <row r="19">
          <cell r="B19" t="str">
            <v xml:space="preserve">    Growth  %</v>
          </cell>
          <cell r="D19">
            <v>0.85436646897848167</v>
          </cell>
          <cell r="E19">
            <v>0.19477432015699472</v>
          </cell>
          <cell r="F19">
            <v>-0.1606847875056315</v>
          </cell>
          <cell r="G19">
            <v>0.32198738593666126</v>
          </cell>
          <cell r="H19">
            <v>1.2236252869712918</v>
          </cell>
        </row>
        <row r="21">
          <cell r="C21" t="str">
            <v>-</v>
          </cell>
          <cell r="D21" t="str">
            <v>-</v>
          </cell>
          <cell r="E21" t="str">
            <v>-</v>
          </cell>
          <cell r="F21" t="str">
            <v>-</v>
          </cell>
          <cell r="G21" t="str">
            <v>-</v>
          </cell>
          <cell r="H21" t="str">
            <v>-</v>
          </cell>
        </row>
        <row r="22">
          <cell r="C22">
            <v>539.05200000000002</v>
          </cell>
          <cell r="D22">
            <v>819.08100000000002</v>
          </cell>
          <cell r="E22">
            <v>935.47</v>
          </cell>
          <cell r="F22">
            <v>741.40599999999995</v>
          </cell>
          <cell r="G22">
            <v>935.17699999999991</v>
          </cell>
          <cell r="H22">
            <v>1597.296</v>
          </cell>
        </row>
        <row r="23">
          <cell r="C23" t="str">
            <v>-</v>
          </cell>
          <cell r="D23" t="str">
            <v>-</v>
          </cell>
          <cell r="E23" t="str">
            <v>-</v>
          </cell>
          <cell r="F23" t="str">
            <v>-</v>
          </cell>
          <cell r="G23" t="str">
            <v>-</v>
          </cell>
          <cell r="H23" t="str">
            <v>-</v>
          </cell>
        </row>
        <row r="24">
          <cell r="B24" t="str">
            <v>Loan  Funds</v>
          </cell>
          <cell r="C24">
            <v>0</v>
          </cell>
          <cell r="D24">
            <v>0</v>
          </cell>
          <cell r="E24">
            <v>0</v>
          </cell>
          <cell r="F24">
            <v>0</v>
          </cell>
          <cell r="G24">
            <v>0</v>
          </cell>
          <cell r="H24">
            <v>0</v>
          </cell>
        </row>
        <row r="26">
          <cell r="B26" t="str">
            <v>a. Secured  Loans</v>
          </cell>
          <cell r="C26">
            <v>697.56999999999994</v>
          </cell>
          <cell r="D26">
            <v>822.31799999999998</v>
          </cell>
          <cell r="E26">
            <v>1200.72</v>
          </cell>
          <cell r="F26">
            <v>840.28</v>
          </cell>
          <cell r="G26">
            <v>778.40700000000004</v>
          </cell>
          <cell r="H26">
            <v>1217.059</v>
          </cell>
        </row>
        <row r="27">
          <cell r="B27" t="str">
            <v xml:space="preserve">    Growth  %</v>
          </cell>
          <cell r="D27">
            <v>0.17883223189070641</v>
          </cell>
          <cell r="E27">
            <v>0.46016504563927829</v>
          </cell>
          <cell r="F27">
            <v>-0.30018655473382638</v>
          </cell>
          <cell r="G27">
            <v>-7.3633788737087563E-2</v>
          </cell>
          <cell r="H27">
            <v>0.56352525092914107</v>
          </cell>
        </row>
        <row r="29">
          <cell r="B29" t="str">
            <v>b.  Unsecured  Loans</v>
          </cell>
          <cell r="C29">
            <v>89.367000000000004</v>
          </cell>
          <cell r="D29">
            <v>310.14</v>
          </cell>
          <cell r="E29">
            <v>116.75</v>
          </cell>
          <cell r="F29">
            <v>13.775</v>
          </cell>
          <cell r="G29">
            <v>17.29</v>
          </cell>
          <cell r="H29">
            <v>98.785000000000011</v>
          </cell>
        </row>
        <row r="30">
          <cell r="C30" t="str">
            <v>-</v>
          </cell>
          <cell r="D30" t="str">
            <v>-</v>
          </cell>
          <cell r="E30" t="str">
            <v>-</v>
          </cell>
          <cell r="F30" t="str">
            <v>-</v>
          </cell>
          <cell r="G30" t="str">
            <v>-</v>
          </cell>
          <cell r="H30" t="str">
            <v>-</v>
          </cell>
        </row>
        <row r="31">
          <cell r="C31">
            <v>786.9369999999999</v>
          </cell>
          <cell r="D31">
            <v>1132.4580000000001</v>
          </cell>
          <cell r="E31">
            <v>1317.47</v>
          </cell>
          <cell r="F31">
            <v>854.05499999999995</v>
          </cell>
          <cell r="G31">
            <v>795.697</v>
          </cell>
          <cell r="H31">
            <v>1315.8440000000001</v>
          </cell>
        </row>
        <row r="32">
          <cell r="C32" t="str">
            <v>-</v>
          </cell>
          <cell r="D32" t="str">
            <v>-</v>
          </cell>
          <cell r="E32" t="str">
            <v>-</v>
          </cell>
          <cell r="F32" t="str">
            <v>-</v>
          </cell>
          <cell r="G32" t="str">
            <v>-</v>
          </cell>
          <cell r="H32" t="str">
            <v>-</v>
          </cell>
        </row>
        <row r="34">
          <cell r="C34" t="str">
            <v>-</v>
          </cell>
          <cell r="D34" t="str">
            <v>-</v>
          </cell>
          <cell r="E34" t="str">
            <v>-</v>
          </cell>
          <cell r="F34" t="str">
            <v>-</v>
          </cell>
          <cell r="G34" t="str">
            <v>-</v>
          </cell>
          <cell r="H34" t="str">
            <v>-</v>
          </cell>
        </row>
        <row r="35">
          <cell r="B35" t="str">
            <v>TOTAL</v>
          </cell>
          <cell r="C35">
            <v>1325.989</v>
          </cell>
          <cell r="D35">
            <v>1951.5390000000002</v>
          </cell>
          <cell r="E35">
            <v>2252.94</v>
          </cell>
          <cell r="F35">
            <v>1595.4609999999998</v>
          </cell>
          <cell r="G35">
            <v>1730.8739999999998</v>
          </cell>
          <cell r="H35">
            <v>2913.1400000000003</v>
          </cell>
        </row>
        <row r="36">
          <cell r="C36" t="str">
            <v>=</v>
          </cell>
          <cell r="D36" t="str">
            <v>=</v>
          </cell>
          <cell r="E36" t="str">
            <v>=</v>
          </cell>
          <cell r="F36" t="str">
            <v>=</v>
          </cell>
          <cell r="G36" t="str">
            <v>=</v>
          </cell>
          <cell r="H36" t="str">
            <v>=</v>
          </cell>
        </row>
        <row r="38">
          <cell r="B38" t="str">
            <v>APPLICATION  OF  FUNDS</v>
          </cell>
        </row>
        <row r="40">
          <cell r="B40" t="str">
            <v>Fixed  Assets</v>
          </cell>
        </row>
        <row r="42">
          <cell r="B42" t="str">
            <v>Gross  Block</v>
          </cell>
          <cell r="C42">
            <v>1006.83</v>
          </cell>
          <cell r="D42">
            <v>1474.41</v>
          </cell>
          <cell r="E42">
            <v>1648.41</v>
          </cell>
          <cell r="F42">
            <v>1687.9490000000001</v>
          </cell>
          <cell r="G42">
            <v>2004.2759999999998</v>
          </cell>
          <cell r="H42">
            <v>2627.8779999999997</v>
          </cell>
        </row>
        <row r="43">
          <cell r="B43" t="str">
            <v>Growth  %</v>
          </cell>
          <cell r="D43">
            <v>0.46440809272667682</v>
          </cell>
          <cell r="E43">
            <v>0.11801330701772234</v>
          </cell>
          <cell r="F43">
            <v>2.3986144223827801E-2</v>
          </cell>
          <cell r="G43">
            <v>0.18740317391105996</v>
          </cell>
          <cell r="H43">
            <v>0.31113579167739369</v>
          </cell>
        </row>
        <row r="44">
          <cell r="B44">
            <v>0</v>
          </cell>
        </row>
        <row r="45">
          <cell r="B45" t="str">
            <v>Less: Depreciation</v>
          </cell>
          <cell r="C45">
            <v>130.94999999999999</v>
          </cell>
          <cell r="D45">
            <v>185.14</v>
          </cell>
          <cell r="E45">
            <v>256.93</v>
          </cell>
          <cell r="F45">
            <v>650.89</v>
          </cell>
          <cell r="G45">
            <v>867.72</v>
          </cell>
          <cell r="H45">
            <v>1002.7239999999999</v>
          </cell>
        </row>
        <row r="46">
          <cell r="C46" t="str">
            <v>-</v>
          </cell>
          <cell r="D46" t="str">
            <v>-</v>
          </cell>
          <cell r="E46" t="str">
            <v>-</v>
          </cell>
          <cell r="F46" t="str">
            <v>-</v>
          </cell>
          <cell r="G46" t="str">
            <v>-</v>
          </cell>
          <cell r="H46" t="str">
            <v>-</v>
          </cell>
        </row>
        <row r="47">
          <cell r="B47" t="str">
            <v>Net  Block</v>
          </cell>
          <cell r="C47">
            <v>875.88000000000011</v>
          </cell>
          <cell r="D47">
            <v>1289.27</v>
          </cell>
          <cell r="E47">
            <v>1391.48</v>
          </cell>
          <cell r="F47">
            <v>1037.0590000000002</v>
          </cell>
          <cell r="G47">
            <v>1136.5559999999998</v>
          </cell>
          <cell r="H47">
            <v>1625.1539999999998</v>
          </cell>
        </row>
        <row r="49">
          <cell r="B49" t="str">
            <v>Investments</v>
          </cell>
          <cell r="C49">
            <v>65.63</v>
          </cell>
          <cell r="D49">
            <v>112.81899999999999</v>
          </cell>
          <cell r="E49">
            <v>56.809999999999995</v>
          </cell>
          <cell r="F49">
            <v>50.19</v>
          </cell>
          <cell r="G49">
            <v>50.19</v>
          </cell>
          <cell r="H49">
            <v>422.78999999999996</v>
          </cell>
        </row>
        <row r="50">
          <cell r="B50" t="str">
            <v>Growth  %</v>
          </cell>
          <cell r="D50">
            <v>0.71901569404235866</v>
          </cell>
          <cell r="E50">
            <v>-0.49645006603497638</v>
          </cell>
          <cell r="F50">
            <v>-0.11652878014434075</v>
          </cell>
          <cell r="G50">
            <v>0</v>
          </cell>
          <cell r="H50">
            <v>7.4237895995218164</v>
          </cell>
        </row>
        <row r="52">
          <cell r="B52" t="str">
            <v>Current Assets, Loans &amp; Advances</v>
          </cell>
        </row>
        <row r="54">
          <cell r="B54" t="str">
            <v>a. Inventories</v>
          </cell>
          <cell r="C54">
            <v>104.86</v>
          </cell>
          <cell r="D54">
            <v>129.08699999999999</v>
          </cell>
          <cell r="E54">
            <v>155.76</v>
          </cell>
          <cell r="F54">
            <v>228.06</v>
          </cell>
          <cell r="G54">
            <v>275.24300000000005</v>
          </cell>
          <cell r="H54">
            <v>405.64699999999999</v>
          </cell>
        </row>
        <row r="56">
          <cell r="B56" t="str">
            <v>b. Sundry  Debtors</v>
          </cell>
          <cell r="C56">
            <v>104.93</v>
          </cell>
          <cell r="D56">
            <v>79.63</v>
          </cell>
          <cell r="E56">
            <v>189.62</v>
          </cell>
          <cell r="F56">
            <v>198.18</v>
          </cell>
          <cell r="G56">
            <v>214.24799999999999</v>
          </cell>
          <cell r="H56">
            <v>146.32</v>
          </cell>
        </row>
        <row r="58">
          <cell r="B58" t="str">
            <v>c.  Cash &amp; Bank Balances</v>
          </cell>
          <cell r="C58">
            <v>25.63</v>
          </cell>
          <cell r="D58">
            <v>37.878</v>
          </cell>
          <cell r="E58">
            <v>29.16</v>
          </cell>
          <cell r="F58">
            <v>38.74</v>
          </cell>
          <cell r="G58">
            <v>3.2490000000000001</v>
          </cell>
          <cell r="H58">
            <v>4.3639999999999999</v>
          </cell>
        </row>
        <row r="60">
          <cell r="B60" t="str">
            <v>d.  Loans &amp;  Advances</v>
          </cell>
          <cell r="C60">
            <v>126.03399999999999</v>
          </cell>
          <cell r="D60">
            <v>335.98800000000006</v>
          </cell>
          <cell r="E60">
            <v>485.39</v>
          </cell>
          <cell r="F60">
            <v>73.804999999999993</v>
          </cell>
          <cell r="G60">
            <v>145.55700000000002</v>
          </cell>
          <cell r="H60">
            <v>136.51299999999998</v>
          </cell>
        </row>
        <row r="62">
          <cell r="B62" t="str">
            <v>e.  Deposits</v>
          </cell>
          <cell r="C62">
            <v>58.286000000000001</v>
          </cell>
          <cell r="D62">
            <v>34.449999999999996</v>
          </cell>
          <cell r="E62">
            <v>8.4699999999999989</v>
          </cell>
          <cell r="F62">
            <v>8.4849999999999994</v>
          </cell>
          <cell r="G62">
            <v>8.69</v>
          </cell>
          <cell r="H62">
            <v>114.32000000000001</v>
          </cell>
        </row>
        <row r="64">
          <cell r="B64" t="str">
            <v>f. Trade  Investments</v>
          </cell>
          <cell r="C64">
            <v>29.998999999999999</v>
          </cell>
          <cell r="D64">
            <v>58.198999999999998</v>
          </cell>
          <cell r="E64">
            <v>58.198999999999998</v>
          </cell>
          <cell r="F64">
            <v>58.198999999999998</v>
          </cell>
          <cell r="G64">
            <v>58.198999999999998</v>
          </cell>
          <cell r="H64">
            <v>178.19900000000001</v>
          </cell>
        </row>
        <row r="65">
          <cell r="C65" t="str">
            <v>-</v>
          </cell>
          <cell r="D65" t="str">
            <v>-</v>
          </cell>
          <cell r="E65" t="str">
            <v>-</v>
          </cell>
          <cell r="F65" t="str">
            <v>-</v>
          </cell>
          <cell r="G65" t="str">
            <v>-</v>
          </cell>
          <cell r="H65" t="str">
            <v>-</v>
          </cell>
        </row>
        <row r="66">
          <cell r="C66">
            <v>449.73900000000003</v>
          </cell>
          <cell r="D66">
            <v>675.23200000000008</v>
          </cell>
          <cell r="E66">
            <v>926.59900000000005</v>
          </cell>
          <cell r="F66">
            <v>605.46899999999994</v>
          </cell>
          <cell r="G66">
            <v>705.18600000000004</v>
          </cell>
          <cell r="H66">
            <v>985.36300000000006</v>
          </cell>
        </row>
        <row r="68">
          <cell r="B68" t="str">
            <v>Less: Current  Liabilities</v>
          </cell>
          <cell r="C68">
            <v>71.275000000000006</v>
          </cell>
          <cell r="D68">
            <v>131.01</v>
          </cell>
          <cell r="E68">
            <v>126.38999999999999</v>
          </cell>
          <cell r="F68">
            <v>100.91</v>
          </cell>
          <cell r="G68">
            <v>163.93899999999999</v>
          </cell>
          <cell r="H68">
            <v>123.041</v>
          </cell>
        </row>
        <row r="69">
          <cell r="C69" t="str">
            <v>-</v>
          </cell>
          <cell r="D69" t="str">
            <v>-</v>
          </cell>
          <cell r="E69" t="str">
            <v>-</v>
          </cell>
          <cell r="F69" t="str">
            <v>-</v>
          </cell>
          <cell r="G69" t="str">
            <v>-</v>
          </cell>
          <cell r="H69" t="str">
            <v>-</v>
          </cell>
        </row>
        <row r="70">
          <cell r="B70" t="str">
            <v>Net  Current  Assets</v>
          </cell>
          <cell r="C70">
            <v>378.46400000000006</v>
          </cell>
          <cell r="D70">
            <v>544.22200000000009</v>
          </cell>
          <cell r="E70">
            <v>800.20900000000006</v>
          </cell>
          <cell r="F70">
            <v>504.55899999999997</v>
          </cell>
          <cell r="G70">
            <v>541.24700000000007</v>
          </cell>
          <cell r="H70">
            <v>862.32200000000012</v>
          </cell>
        </row>
        <row r="72">
          <cell r="B72" t="str">
            <v>Miscellaneous Expenditure</v>
          </cell>
          <cell r="C72">
            <v>6.0209999999999999</v>
          </cell>
          <cell r="D72">
            <v>5.23</v>
          </cell>
          <cell r="E72">
            <v>4.4405000000000001</v>
          </cell>
          <cell r="F72">
            <v>3.6559999999999997</v>
          </cell>
          <cell r="G72">
            <v>2.8719999999999999</v>
          </cell>
          <cell r="H72">
            <v>2.8719999999999999</v>
          </cell>
        </row>
        <row r="74">
          <cell r="B74" t="str">
            <v>(to the extent not written off or adjusted)</v>
          </cell>
        </row>
        <row r="76">
          <cell r="B76" t="str">
            <v>Preliminary  Expenses</v>
          </cell>
          <cell r="C76">
            <v>4</v>
          </cell>
          <cell r="D76">
            <v>3.44</v>
          </cell>
          <cell r="E76">
            <v>2.8759999999999999</v>
          </cell>
          <cell r="F76">
            <v>2.3159999999999998</v>
          </cell>
          <cell r="G76">
            <v>1.7549999999999999</v>
          </cell>
          <cell r="H76">
            <v>1.7549999999999999</v>
          </cell>
        </row>
        <row r="78">
          <cell r="B78" t="str">
            <v>Deferred  Revenue  Expenditure</v>
          </cell>
          <cell r="C78">
            <v>2.0209999999999999</v>
          </cell>
          <cell r="D78">
            <v>1.79</v>
          </cell>
          <cell r="E78">
            <v>1.5645</v>
          </cell>
          <cell r="F78">
            <v>1.34</v>
          </cell>
          <cell r="G78">
            <v>1.117</v>
          </cell>
          <cell r="H78">
            <v>1.117</v>
          </cell>
        </row>
        <row r="80">
          <cell r="C80" t="str">
            <v>-</v>
          </cell>
          <cell r="D80" t="str">
            <v>-</v>
          </cell>
          <cell r="E80" t="str">
            <v>-</v>
          </cell>
          <cell r="F80" t="str">
            <v>-</v>
          </cell>
          <cell r="G80" t="str">
            <v>-</v>
          </cell>
          <cell r="H80" t="str">
            <v>-</v>
          </cell>
        </row>
        <row r="81">
          <cell r="B81" t="str">
            <v>TOTAL….</v>
          </cell>
          <cell r="C81">
            <v>1325.9950000000001</v>
          </cell>
          <cell r="D81">
            <v>1951.5410000000002</v>
          </cell>
          <cell r="E81">
            <v>2252.9395</v>
          </cell>
          <cell r="F81">
            <v>1595.4640000000002</v>
          </cell>
          <cell r="G81">
            <v>1730.865</v>
          </cell>
          <cell r="H81">
            <v>2913.1379999999995</v>
          </cell>
        </row>
        <row r="82">
          <cell r="C82" t="str">
            <v>=</v>
          </cell>
          <cell r="D82" t="str">
            <v>=</v>
          </cell>
          <cell r="E82" t="str">
            <v>=</v>
          </cell>
          <cell r="F82" t="str">
            <v>=</v>
          </cell>
          <cell r="G82" t="str">
            <v>=</v>
          </cell>
          <cell r="H82" t="str">
            <v>=</v>
          </cell>
        </row>
        <row r="87">
          <cell r="B87" t="str">
            <v>PROFIT  AND  LOSS  ACCOUNT  FOR  LAST SIX YEARS</v>
          </cell>
        </row>
        <row r="89">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row>
        <row r="90">
          <cell r="B90" t="str">
            <v>PARTICULARS</v>
          </cell>
          <cell r="C90" t="str">
            <v>%</v>
          </cell>
          <cell r="D90" t="str">
            <v>1997-98</v>
          </cell>
          <cell r="E90" t="str">
            <v>%</v>
          </cell>
          <cell r="F90" t="str">
            <v>1998-99</v>
          </cell>
          <cell r="G90" t="str">
            <v>%</v>
          </cell>
          <cell r="H90" t="str">
            <v>1999-00</v>
          </cell>
          <cell r="I90" t="str">
            <v>%</v>
          </cell>
          <cell r="J90" t="str">
            <v>2000-01</v>
          </cell>
          <cell r="K90" t="str">
            <v>%</v>
          </cell>
          <cell r="L90" t="str">
            <v>2001-02</v>
          </cell>
          <cell r="M90" t="str">
            <v>%</v>
          </cell>
          <cell r="N90" t="str">
            <v>2002-03</v>
          </cell>
        </row>
        <row r="91">
          <cell r="B91" t="str">
            <v>-</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row>
        <row r="92">
          <cell r="B92" t="str">
            <v>INCOME</v>
          </cell>
        </row>
        <row r="94">
          <cell r="B94" t="str">
            <v>Sales</v>
          </cell>
          <cell r="D94">
            <v>2849.6959999999999</v>
          </cell>
          <cell r="F94">
            <v>2975.21</v>
          </cell>
          <cell r="H94">
            <v>4497.33</v>
          </cell>
          <cell r="J94">
            <v>5949.45</v>
          </cell>
          <cell r="L94">
            <v>6130.15</v>
          </cell>
          <cell r="N94">
            <v>7121.7079999999996</v>
          </cell>
        </row>
        <row r="96">
          <cell r="B96" t="str">
            <v xml:space="preserve">Other  Income </v>
          </cell>
          <cell r="D96">
            <v>3.6259999999999999</v>
          </cell>
          <cell r="F96">
            <v>9.7799999999999994</v>
          </cell>
          <cell r="H96">
            <v>8.23</v>
          </cell>
          <cell r="J96">
            <v>12.531000000000001</v>
          </cell>
          <cell r="L96">
            <v>1.8640000000000001</v>
          </cell>
          <cell r="N96">
            <v>0.79999999999999993</v>
          </cell>
        </row>
        <row r="98">
          <cell r="B98" t="str">
            <v>Increase/(Decrease)  in Stocks</v>
          </cell>
          <cell r="D98">
            <v>5.8120000000000012</v>
          </cell>
          <cell r="F98">
            <v>22.29</v>
          </cell>
          <cell r="H98">
            <v>47.985999999999997</v>
          </cell>
          <cell r="J98">
            <v>37.588000000000001</v>
          </cell>
          <cell r="L98">
            <v>-35.724800000000002</v>
          </cell>
          <cell r="N98">
            <v>241.82300000000001</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row>
        <row r="100">
          <cell r="B100" t="str">
            <v>TOTAL  INCOME</v>
          </cell>
          <cell r="C100">
            <v>1</v>
          </cell>
          <cell r="D100">
            <v>2859.134</v>
          </cell>
          <cell r="E100">
            <v>1</v>
          </cell>
          <cell r="F100">
            <v>3007.28</v>
          </cell>
          <cell r="G100">
            <v>1</v>
          </cell>
          <cell r="H100">
            <v>4553.5459999999994</v>
          </cell>
          <cell r="I100">
            <v>1</v>
          </cell>
          <cell r="J100">
            <v>5999.5689999999995</v>
          </cell>
          <cell r="K100">
            <v>1</v>
          </cell>
          <cell r="L100">
            <v>6096.2891999999993</v>
          </cell>
          <cell r="M100">
            <v>1</v>
          </cell>
          <cell r="N100">
            <v>7364.3310000000001</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row>
        <row r="103">
          <cell r="B103" t="str">
            <v>EXPENDITURE</v>
          </cell>
        </row>
        <row r="105">
          <cell r="B105" t="str">
            <v>Raw  Material  Consumed   Including</v>
          </cell>
          <cell r="C105">
            <v>0.78691105418633744</v>
          </cell>
          <cell r="D105">
            <v>2249.8841499999999</v>
          </cell>
          <cell r="E105">
            <v>0.75046320262828869</v>
          </cell>
          <cell r="F105">
            <v>2256.8529800000001</v>
          </cell>
          <cell r="G105">
            <v>0.79818365730795304</v>
          </cell>
          <cell r="H105">
            <v>3634.5659999999998</v>
          </cell>
          <cell r="I105">
            <v>0.789284030236172</v>
          </cell>
          <cell r="J105">
            <v>4735.3639999999996</v>
          </cell>
          <cell r="K105">
            <v>0.7836353957748593</v>
          </cell>
          <cell r="L105">
            <v>4777.268</v>
          </cell>
          <cell r="M105">
            <v>0.80453431547278365</v>
          </cell>
          <cell r="N105">
            <v>5924.857</v>
          </cell>
        </row>
        <row r="106">
          <cell r="B106" t="str">
            <v>Excise  Duty</v>
          </cell>
        </row>
        <row r="107">
          <cell r="C107">
            <v>0</v>
          </cell>
          <cell r="E107">
            <v>0</v>
          </cell>
          <cell r="G107">
            <v>0</v>
          </cell>
          <cell r="I107">
            <v>0</v>
          </cell>
          <cell r="K107">
            <v>0</v>
          </cell>
          <cell r="M107">
            <v>0</v>
          </cell>
        </row>
        <row r="108">
          <cell r="B108" t="str">
            <v>Power &amp; Fuel</v>
          </cell>
          <cell r="C108">
            <v>4.2264196081750624E-2</v>
          </cell>
          <cell r="D108">
            <v>120.839</v>
          </cell>
          <cell r="E108">
            <v>6.9750738208613772E-2</v>
          </cell>
          <cell r="F108">
            <v>209.76000000000002</v>
          </cell>
          <cell r="G108">
            <v>5.7670659305956287E-2</v>
          </cell>
          <cell r="H108">
            <v>262.60599999999999</v>
          </cell>
          <cell r="I108">
            <v>4.6116312688461461E-2</v>
          </cell>
          <cell r="J108">
            <v>276.678</v>
          </cell>
          <cell r="K108">
            <v>5.2251458149327953E-2</v>
          </cell>
          <cell r="L108">
            <v>318.53999999999996</v>
          </cell>
          <cell r="M108">
            <v>4.4358000747114705E-2</v>
          </cell>
          <cell r="N108">
            <v>326.66699999999997</v>
          </cell>
        </row>
        <row r="109">
          <cell r="G109">
            <v>0</v>
          </cell>
          <cell r="I109">
            <v>0</v>
          </cell>
          <cell r="K109">
            <v>0</v>
          </cell>
          <cell r="M109">
            <v>0</v>
          </cell>
        </row>
        <row r="110">
          <cell r="B110" t="str">
            <v>Other  Manufacturing   Expenses</v>
          </cell>
          <cell r="C110">
            <v>2.9910455403629212E-2</v>
          </cell>
          <cell r="D110">
            <v>85.518000000000001</v>
          </cell>
          <cell r="E110">
            <v>4.0598148492990344E-2</v>
          </cell>
          <cell r="F110">
            <v>122.09</v>
          </cell>
          <cell r="G110">
            <v>4.6129104658215819E-2</v>
          </cell>
          <cell r="H110">
            <v>210.05099999999999</v>
          </cell>
          <cell r="I110">
            <v>5.4390240365599599E-2</v>
          </cell>
          <cell r="J110">
            <v>326.31799999999998</v>
          </cell>
          <cell r="K110">
            <v>4.5248181467506504E-2</v>
          </cell>
          <cell r="L110">
            <v>275.846</v>
          </cell>
          <cell r="M110">
            <v>4.9649995362783125E-2</v>
          </cell>
          <cell r="N110">
            <v>365.63900000000001</v>
          </cell>
        </row>
        <row r="111">
          <cell r="C111">
            <v>0</v>
          </cell>
          <cell r="E111">
            <v>0</v>
          </cell>
          <cell r="G111">
            <v>0</v>
          </cell>
          <cell r="I111">
            <v>0</v>
          </cell>
          <cell r="K111">
            <v>0</v>
          </cell>
          <cell r="M111">
            <v>0</v>
          </cell>
        </row>
        <row r="112">
          <cell r="B112" t="str">
            <v>Payment  To  Employees</v>
          </cell>
          <cell r="C112">
            <v>1.1400654883611612E-2</v>
          </cell>
          <cell r="D112">
            <v>32.596000000000004</v>
          </cell>
          <cell r="E112">
            <v>1.4870580724109492E-2</v>
          </cell>
          <cell r="F112">
            <v>44.72</v>
          </cell>
          <cell r="G112">
            <v>8.412125407319922E-3</v>
          </cell>
          <cell r="H112">
            <v>38.305</v>
          </cell>
          <cell r="I112">
            <v>7.6982196554452502E-3</v>
          </cell>
          <cell r="J112">
            <v>46.186</v>
          </cell>
          <cell r="K112">
            <v>9.1855878490803896E-3</v>
          </cell>
          <cell r="L112">
            <v>55.998000000000005</v>
          </cell>
          <cell r="M112">
            <v>1.261187200846893E-2</v>
          </cell>
          <cell r="N112">
            <v>92.878</v>
          </cell>
        </row>
        <row r="113">
          <cell r="C113">
            <v>0</v>
          </cell>
          <cell r="E113">
            <v>0</v>
          </cell>
          <cell r="G113">
            <v>0</v>
          </cell>
          <cell r="I113">
            <v>0</v>
          </cell>
          <cell r="K113">
            <v>0</v>
          </cell>
          <cell r="M113">
            <v>0</v>
          </cell>
        </row>
        <row r="114">
          <cell r="B114" t="str">
            <v xml:space="preserve"> Administration   Exp.</v>
          </cell>
          <cell r="C114">
            <v>1.4559807270313318E-2</v>
          </cell>
          <cell r="D114">
            <v>41.628439999999998</v>
          </cell>
          <cell r="E114">
            <v>1.7091857093453219E-2</v>
          </cell>
          <cell r="F114">
            <v>51.4</v>
          </cell>
          <cell r="G114">
            <v>5.1832132584144321E-3</v>
          </cell>
          <cell r="H114">
            <v>23.602</v>
          </cell>
          <cell r="I114">
            <v>6.4632976135452404E-3</v>
          </cell>
          <cell r="J114">
            <v>38.777000000000001</v>
          </cell>
          <cell r="K114">
            <v>1.1706137563158915E-2</v>
          </cell>
          <cell r="L114">
            <v>71.364000000000004</v>
          </cell>
          <cell r="M114">
            <v>6.1564315889657863E-3</v>
          </cell>
          <cell r="N114">
            <v>45.338000000000001</v>
          </cell>
        </row>
        <row r="115">
          <cell r="G115">
            <v>0</v>
          </cell>
          <cell r="I115">
            <v>0</v>
          </cell>
          <cell r="K115">
            <v>0</v>
          </cell>
          <cell r="M115">
            <v>0</v>
          </cell>
        </row>
        <row r="116">
          <cell r="B116" t="str">
            <v>Selling  &amp;  Distribution   Exp.</v>
          </cell>
          <cell r="C116">
            <v>3.0462230871305786E-3</v>
          </cell>
          <cell r="D116">
            <v>8.7095599999999997</v>
          </cell>
          <cell r="E116">
            <v>3.0642307999255137E-3</v>
          </cell>
          <cell r="F116">
            <v>9.2149999999999999</v>
          </cell>
          <cell r="G116">
            <v>5.7010514443029683E-4</v>
          </cell>
          <cell r="H116">
            <v>2.5960000000000001</v>
          </cell>
          <cell r="I116">
            <v>1.9223047522247019E-3</v>
          </cell>
          <cell r="J116">
            <v>11.533000000000001</v>
          </cell>
          <cell r="K116">
            <v>1.6583858915354608E-3</v>
          </cell>
          <cell r="L116">
            <v>10.11</v>
          </cell>
          <cell r="M116">
            <v>2.71579319289152E-5</v>
          </cell>
          <cell r="N116">
            <v>0.2</v>
          </cell>
        </row>
        <row r="117">
          <cell r="C117">
            <v>0</v>
          </cell>
          <cell r="E117">
            <v>0</v>
          </cell>
          <cell r="G117">
            <v>0</v>
          </cell>
          <cell r="I117">
            <v>0</v>
          </cell>
          <cell r="K117">
            <v>0</v>
          </cell>
          <cell r="M117">
            <v>0</v>
          </cell>
        </row>
        <row r="118">
          <cell r="B118" t="str">
            <v>Interest &amp; Finance Expenses</v>
          </cell>
          <cell r="C118">
            <v>3.8193383031365442E-2</v>
          </cell>
          <cell r="D118">
            <v>109.2</v>
          </cell>
          <cell r="E118">
            <v>3.9544039796759863E-2</v>
          </cell>
          <cell r="F118">
            <v>118.92</v>
          </cell>
          <cell r="G118">
            <v>3.7615519860785422E-2</v>
          </cell>
          <cell r="H118">
            <v>171.28399999999999</v>
          </cell>
          <cell r="I118">
            <v>2.7042442548789757E-2</v>
          </cell>
          <cell r="J118">
            <v>162.24299999999999</v>
          </cell>
          <cell r="K118">
            <v>1.7525415296898977E-2</v>
          </cell>
          <cell r="L118">
            <v>106.84</v>
          </cell>
          <cell r="M118">
            <v>1.4187032060346012E-2</v>
          </cell>
          <cell r="N118">
            <v>104.47800000000001</v>
          </cell>
        </row>
        <row r="119">
          <cell r="C119">
            <v>0</v>
          </cell>
          <cell r="E119">
            <v>0</v>
          </cell>
          <cell r="G119">
            <v>0</v>
          </cell>
          <cell r="I119">
            <v>0</v>
          </cell>
          <cell r="K119">
            <v>0</v>
          </cell>
          <cell r="M119">
            <v>0</v>
          </cell>
        </row>
        <row r="120">
          <cell r="B120" t="str">
            <v>Depreciation</v>
          </cell>
          <cell r="C120">
            <v>1.5129406316737865E-2</v>
          </cell>
          <cell r="D120">
            <v>43.256999999999998</v>
          </cell>
          <cell r="E120">
            <v>1.8021268388710061E-2</v>
          </cell>
          <cell r="F120">
            <v>54.194999999999993</v>
          </cell>
          <cell r="G120">
            <v>1.5765076272425932E-2</v>
          </cell>
          <cell r="H120">
            <v>71.787000000000006</v>
          </cell>
          <cell r="I120">
            <v>2.459893369007007E-2</v>
          </cell>
          <cell r="J120">
            <v>147.583</v>
          </cell>
          <cell r="K120">
            <v>4.1314477010047368E-2</v>
          </cell>
          <cell r="L120">
            <v>251.86500000000001</v>
          </cell>
          <cell r="M120">
            <v>1.8331604052017759E-2</v>
          </cell>
          <cell r="N120">
            <v>135</v>
          </cell>
        </row>
        <row r="121">
          <cell r="C121">
            <v>0</v>
          </cell>
          <cell r="E121">
            <v>0</v>
          </cell>
          <cell r="G121">
            <v>0</v>
          </cell>
          <cell r="I121">
            <v>0</v>
          </cell>
          <cell r="K121">
            <v>0</v>
          </cell>
          <cell r="M121">
            <v>0</v>
          </cell>
        </row>
        <row r="122">
          <cell r="B122" t="str">
            <v>Preliminary Expenses w/off</v>
          </cell>
          <cell r="C122">
            <v>2.7280987879546744E-4</v>
          </cell>
          <cell r="D122">
            <v>0.78</v>
          </cell>
          <cell r="E122">
            <v>2.5937059402516557E-4</v>
          </cell>
          <cell r="F122">
            <v>0.78</v>
          </cell>
          <cell r="G122">
            <v>1.7129507421249289E-4</v>
          </cell>
          <cell r="H122">
            <v>0.78</v>
          </cell>
          <cell r="I122">
            <v>1.3000933900418515E-4</v>
          </cell>
          <cell r="J122">
            <v>0.78</v>
          </cell>
          <cell r="K122">
            <v>1.2794668599383377E-4</v>
          </cell>
          <cell r="L122">
            <v>0.78</v>
          </cell>
          <cell r="M122">
            <v>0</v>
          </cell>
          <cell r="N122">
            <v>0</v>
          </cell>
        </row>
        <row r="123">
          <cell r="C123">
            <v>0</v>
          </cell>
          <cell r="E123">
            <v>0</v>
          </cell>
          <cell r="G123">
            <v>0</v>
          </cell>
          <cell r="I123">
            <v>0</v>
          </cell>
          <cell r="K123">
            <v>0</v>
          </cell>
          <cell r="M123">
            <v>0</v>
          </cell>
        </row>
        <row r="124">
          <cell r="C124">
            <v>0</v>
          </cell>
          <cell r="D124" t="str">
            <v>-</v>
          </cell>
          <cell r="E124">
            <v>0</v>
          </cell>
          <cell r="F124" t="str">
            <v>-</v>
          </cell>
          <cell r="G124">
            <v>0</v>
          </cell>
          <cell r="H124" t="str">
            <v>-</v>
          </cell>
          <cell r="I124">
            <v>0</v>
          </cell>
          <cell r="J124" t="str">
            <v>-</v>
          </cell>
          <cell r="K124">
            <v>0</v>
          </cell>
          <cell r="L124" t="str">
            <v>-</v>
          </cell>
          <cell r="M124">
            <v>0</v>
          </cell>
          <cell r="N124" t="str">
            <v>-</v>
          </cell>
        </row>
        <row r="125">
          <cell r="B125" t="str">
            <v>TOTAL  EXPENDITURE</v>
          </cell>
          <cell r="C125">
            <v>0.94168799013967153</v>
          </cell>
          <cell r="D125">
            <v>2692.4121499999997</v>
          </cell>
          <cell r="E125">
            <v>0.95366343672687637</v>
          </cell>
          <cell r="F125">
            <v>2867.932980000001</v>
          </cell>
          <cell r="G125">
            <v>0.96970075628971353</v>
          </cell>
          <cell r="H125">
            <v>4415.5769999999993</v>
          </cell>
          <cell r="I125">
            <v>0.95764579088931223</v>
          </cell>
          <cell r="J125">
            <v>5745.4619999999995</v>
          </cell>
          <cell r="K125">
            <v>0.96265298568840851</v>
          </cell>
          <cell r="L125">
            <v>5868.610999999999</v>
          </cell>
          <cell r="M125">
            <v>0.94985640922440884</v>
          </cell>
          <cell r="N125">
            <v>6995.0569999999998</v>
          </cell>
        </row>
        <row r="126">
          <cell r="C126">
            <v>0</v>
          </cell>
          <cell r="D126" t="str">
            <v>-</v>
          </cell>
          <cell r="E126">
            <v>0</v>
          </cell>
          <cell r="F126" t="str">
            <v>-</v>
          </cell>
          <cell r="G126">
            <v>0</v>
          </cell>
          <cell r="H126" t="str">
            <v>-</v>
          </cell>
          <cell r="I126">
            <v>0</v>
          </cell>
          <cell r="J126" t="str">
            <v>-</v>
          </cell>
          <cell r="K126">
            <v>0</v>
          </cell>
          <cell r="L126" t="str">
            <v>-</v>
          </cell>
          <cell r="M126">
            <v>0</v>
          </cell>
          <cell r="N126" t="str">
            <v>-</v>
          </cell>
        </row>
        <row r="127">
          <cell r="B127" t="str">
            <v>Profit/ Loss Before Tax</v>
          </cell>
          <cell r="C127">
            <v>5.8312009860328459E-2</v>
          </cell>
          <cell r="D127">
            <v>166.72185000000036</v>
          </cell>
          <cell r="E127">
            <v>4.6336563273123632E-2</v>
          </cell>
          <cell r="F127">
            <v>139.34701999999925</v>
          </cell>
          <cell r="G127">
            <v>3.0299243710286462E-2</v>
          </cell>
          <cell r="H127">
            <v>137.96900000000005</v>
          </cell>
          <cell r="I127">
            <v>4.2354209110687782E-2</v>
          </cell>
          <cell r="J127">
            <v>254.10699999999997</v>
          </cell>
          <cell r="K127">
            <v>3.7347014311591438E-2</v>
          </cell>
          <cell r="L127">
            <v>227.67820000000029</v>
          </cell>
          <cell r="M127">
            <v>5.0143590775591204E-2</v>
          </cell>
          <cell r="N127">
            <v>369.27400000000034</v>
          </cell>
        </row>
        <row r="128">
          <cell r="C128">
            <v>0</v>
          </cell>
          <cell r="E128">
            <v>0</v>
          </cell>
          <cell r="G128">
            <v>0</v>
          </cell>
          <cell r="I128">
            <v>0</v>
          </cell>
          <cell r="K128">
            <v>0</v>
          </cell>
          <cell r="M128">
            <v>0</v>
          </cell>
        </row>
        <row r="129">
          <cell r="B129" t="str">
            <v>Less: Provision For  Taxation</v>
          </cell>
          <cell r="C129">
            <v>0</v>
          </cell>
          <cell r="D129">
            <v>0</v>
          </cell>
          <cell r="E129">
            <v>0</v>
          </cell>
          <cell r="F129">
            <v>0</v>
          </cell>
          <cell r="G129">
            <v>1.1046336196010759E-4</v>
          </cell>
          <cell r="H129">
            <v>0.503</v>
          </cell>
          <cell r="I129">
            <v>1.1167468863180006E-4</v>
          </cell>
          <cell r="J129">
            <v>0.67</v>
          </cell>
          <cell r="K129">
            <v>2.8295901710174778E-3</v>
          </cell>
          <cell r="L129">
            <v>17.25</v>
          </cell>
          <cell r="M129">
            <v>0</v>
          </cell>
          <cell r="N129">
            <v>0</v>
          </cell>
        </row>
        <row r="130">
          <cell r="C130">
            <v>0</v>
          </cell>
          <cell r="E130">
            <v>0</v>
          </cell>
          <cell r="G130">
            <v>0</v>
          </cell>
          <cell r="I130">
            <v>0</v>
          </cell>
          <cell r="K130">
            <v>0</v>
          </cell>
          <cell r="M130">
            <v>0</v>
          </cell>
        </row>
        <row r="131">
          <cell r="B131" t="str">
            <v xml:space="preserve"> Add:Depreciation written  OFF</v>
          </cell>
          <cell r="C131">
            <v>0</v>
          </cell>
          <cell r="D131">
            <v>0</v>
          </cell>
          <cell r="E131">
            <v>0</v>
          </cell>
          <cell r="F131">
            <v>0</v>
          </cell>
          <cell r="G131">
            <v>0</v>
          </cell>
          <cell r="H131">
            <v>0</v>
          </cell>
          <cell r="I131">
            <v>-4.1062949688552633E-2</v>
          </cell>
          <cell r="J131">
            <v>-246.36</v>
          </cell>
          <cell r="K131">
            <v>0</v>
          </cell>
          <cell r="L131">
            <v>0</v>
          </cell>
          <cell r="M131">
            <v>-3.9379001296927039E-3</v>
          </cell>
          <cell r="N131">
            <v>-29</v>
          </cell>
        </row>
        <row r="132">
          <cell r="C132">
            <v>0</v>
          </cell>
          <cell r="D132" t="str">
            <v>-</v>
          </cell>
          <cell r="E132">
            <v>0</v>
          </cell>
          <cell r="F132" t="str">
            <v>-</v>
          </cell>
          <cell r="G132">
            <v>0</v>
          </cell>
          <cell r="H132" t="str">
            <v>-</v>
          </cell>
          <cell r="I132">
            <v>0</v>
          </cell>
          <cell r="J132" t="str">
            <v>-</v>
          </cell>
          <cell r="K132">
            <v>0</v>
          </cell>
          <cell r="L132" t="str">
            <v>-</v>
          </cell>
          <cell r="M132">
            <v>0</v>
          </cell>
          <cell r="N132" t="str">
            <v>-</v>
          </cell>
        </row>
        <row r="133">
          <cell r="B133" t="str">
            <v>Profit/Loss After  Taxation</v>
          </cell>
          <cell r="C133">
            <v>5.8312009860328459E-2</v>
          </cell>
          <cell r="D133">
            <v>166.72185000000036</v>
          </cell>
          <cell r="E133">
            <v>4.6336563273123632E-2</v>
          </cell>
          <cell r="F133">
            <v>139.34701999999925</v>
          </cell>
          <cell r="G133">
            <v>3.0188780348326356E-2</v>
          </cell>
          <cell r="H133">
            <v>137.46600000000007</v>
          </cell>
          <cell r="I133">
            <v>1.1795847335033518E-3</v>
          </cell>
          <cell r="J133">
            <v>7.0769999999999698</v>
          </cell>
          <cell r="K133">
            <v>3.451742414057396E-2</v>
          </cell>
          <cell r="L133">
            <v>210.42820000000029</v>
          </cell>
          <cell r="M133">
            <v>4.6205690645898502E-2</v>
          </cell>
          <cell r="N133">
            <v>340.27400000000034</v>
          </cell>
        </row>
        <row r="134">
          <cell r="D134">
            <v>0</v>
          </cell>
          <cell r="F134">
            <v>0</v>
          </cell>
          <cell r="H134">
            <v>0</v>
          </cell>
          <cell r="I134">
            <v>0</v>
          </cell>
          <cell r="J134">
            <v>0</v>
          </cell>
          <cell r="L134">
            <v>0</v>
          </cell>
          <cell r="N134">
            <v>0</v>
          </cell>
        </row>
        <row r="135">
          <cell r="B135" t="str">
            <v xml:space="preserve">Balance  b/f from Previous Year </v>
          </cell>
          <cell r="D135">
            <v>94.43</v>
          </cell>
          <cell r="F135">
            <v>133.65185000000037</v>
          </cell>
          <cell r="H135">
            <v>218.1038699999996</v>
          </cell>
          <cell r="J135">
            <v>304.03986999999972</v>
          </cell>
          <cell r="L135">
            <v>285.98286999999971</v>
          </cell>
          <cell r="N135">
            <v>464.60106999999999</v>
          </cell>
        </row>
        <row r="136">
          <cell r="C136">
            <v>0</v>
          </cell>
          <cell r="D136" t="str">
            <v>-</v>
          </cell>
          <cell r="E136">
            <v>0</v>
          </cell>
          <cell r="F136" t="str">
            <v>-</v>
          </cell>
          <cell r="G136">
            <v>0</v>
          </cell>
          <cell r="H136" t="str">
            <v>-</v>
          </cell>
          <cell r="I136">
            <v>0</v>
          </cell>
          <cell r="J136" t="str">
            <v>-</v>
          </cell>
          <cell r="K136">
            <v>0</v>
          </cell>
          <cell r="L136" t="str">
            <v>-</v>
          </cell>
          <cell r="M136">
            <v>0</v>
          </cell>
          <cell r="N136" t="str">
            <v>-</v>
          </cell>
        </row>
        <row r="137">
          <cell r="B137" t="str">
            <v>BALANCE AVAILABLE FOR APPROPRIATION</v>
          </cell>
          <cell r="D137">
            <v>261.15185000000037</v>
          </cell>
          <cell r="F137">
            <v>272.99886999999961</v>
          </cell>
          <cell r="H137">
            <v>355.5698699999997</v>
          </cell>
          <cell r="J137">
            <v>311.11686999999972</v>
          </cell>
          <cell r="L137">
            <v>496.41107</v>
          </cell>
          <cell r="N137">
            <v>804.87507000000028</v>
          </cell>
        </row>
        <row r="138">
          <cell r="C138">
            <v>0</v>
          </cell>
          <cell r="D138" t="str">
            <v>=</v>
          </cell>
          <cell r="E138">
            <v>0</v>
          </cell>
          <cell r="F138" t="str">
            <v>=</v>
          </cell>
          <cell r="G138">
            <v>0</v>
          </cell>
          <cell r="H138" t="str">
            <v>=</v>
          </cell>
          <cell r="I138">
            <v>0</v>
          </cell>
          <cell r="J138" t="str">
            <v>=</v>
          </cell>
          <cell r="K138">
            <v>0</v>
          </cell>
          <cell r="L138" t="str">
            <v>=</v>
          </cell>
          <cell r="M138">
            <v>0</v>
          </cell>
          <cell r="N138" t="str">
            <v>=</v>
          </cell>
        </row>
        <row r="139">
          <cell r="B139" t="str">
            <v>APPROPRIATIONS</v>
          </cell>
        </row>
        <row r="141">
          <cell r="B141" t="str">
            <v>Total  Dividend</v>
          </cell>
          <cell r="C141">
            <v>0.14617924623081921</v>
          </cell>
          <cell r="D141">
            <v>43.65</v>
          </cell>
          <cell r="E141">
            <v>0.13650183343445801</v>
          </cell>
          <cell r="F141">
            <v>41.395000000000003</v>
          </cell>
          <cell r="G141">
            <v>5.1295629457035939E-2</v>
          </cell>
          <cell r="H141">
            <v>14.53</v>
          </cell>
          <cell r="I141">
            <v>0</v>
          </cell>
          <cell r="J141">
            <v>0</v>
          </cell>
          <cell r="K141">
            <v>1.2938197356967636E-2</v>
          </cell>
          <cell r="L141">
            <v>3.27</v>
          </cell>
          <cell r="M141">
            <v>0</v>
          </cell>
          <cell r="N141">
            <v>0</v>
          </cell>
        </row>
        <row r="142">
          <cell r="B142" t="str">
            <v>Interim  Dividend</v>
          </cell>
          <cell r="D142">
            <v>23.45</v>
          </cell>
          <cell r="F142">
            <v>37.635000000000005</v>
          </cell>
          <cell r="H142">
            <v>13.09</v>
          </cell>
          <cell r="J142">
            <v>0</v>
          </cell>
          <cell r="L142">
            <v>3.27</v>
          </cell>
          <cell r="N142">
            <v>0</v>
          </cell>
        </row>
        <row r="144">
          <cell r="B144" t="str">
            <v xml:space="preserve">Proposed Dividend </v>
          </cell>
          <cell r="C144">
            <v>0</v>
          </cell>
          <cell r="D144">
            <v>16.23</v>
          </cell>
          <cell r="F144">
            <v>0</v>
          </cell>
          <cell r="H144">
            <v>0</v>
          </cell>
          <cell r="J144">
            <v>0</v>
          </cell>
          <cell r="L144">
            <v>0</v>
          </cell>
          <cell r="N144">
            <v>0</v>
          </cell>
        </row>
        <row r="146">
          <cell r="B146" t="str">
            <v xml:space="preserve"> Tax  on Dividends</v>
          </cell>
          <cell r="D146">
            <v>3.9699999999999998</v>
          </cell>
          <cell r="F146">
            <v>3.76</v>
          </cell>
          <cell r="H146">
            <v>1.44</v>
          </cell>
          <cell r="J146">
            <v>0</v>
          </cell>
          <cell r="L146">
            <v>0</v>
          </cell>
          <cell r="N146">
            <v>0</v>
          </cell>
        </row>
        <row r="148">
          <cell r="B148" t="str">
            <v>Transfer to  Reserves</v>
          </cell>
          <cell r="D148">
            <v>83.85</v>
          </cell>
          <cell r="F148">
            <v>13.5</v>
          </cell>
          <cell r="H148">
            <v>37</v>
          </cell>
          <cell r="J148">
            <v>25.134</v>
          </cell>
          <cell r="L148">
            <v>28.54</v>
          </cell>
          <cell r="N148">
            <v>0</v>
          </cell>
        </row>
        <row r="150">
          <cell r="B150" t="str">
            <v>Balance Carried  to Balance Sheet</v>
          </cell>
          <cell r="D150">
            <v>133.65185000000037</v>
          </cell>
          <cell r="F150">
            <v>218.1038699999996</v>
          </cell>
          <cell r="H150">
            <v>304.03986999999972</v>
          </cell>
          <cell r="J150">
            <v>285.98286999999971</v>
          </cell>
          <cell r="L150">
            <v>464.60106999999999</v>
          </cell>
          <cell r="N150">
            <v>804.87507000000028</v>
          </cell>
        </row>
        <row r="151">
          <cell r="C151">
            <v>0</v>
          </cell>
          <cell r="D151" t="str">
            <v>-</v>
          </cell>
          <cell r="E151">
            <v>0</v>
          </cell>
          <cell r="F151" t="str">
            <v>-</v>
          </cell>
          <cell r="G151">
            <v>0</v>
          </cell>
          <cell r="H151" t="str">
            <v>-</v>
          </cell>
          <cell r="I151">
            <v>0</v>
          </cell>
          <cell r="J151" t="str">
            <v>-</v>
          </cell>
          <cell r="K151">
            <v>0</v>
          </cell>
          <cell r="L151" t="str">
            <v>-</v>
          </cell>
          <cell r="M151">
            <v>0</v>
          </cell>
          <cell r="N151" t="str">
            <v>-</v>
          </cell>
        </row>
        <row r="152">
          <cell r="D152">
            <v>261.15185000000037</v>
          </cell>
          <cell r="F152">
            <v>272.99886999999961</v>
          </cell>
          <cell r="H152">
            <v>355.5698699999997</v>
          </cell>
          <cell r="J152">
            <v>311.11686999999972</v>
          </cell>
          <cell r="L152">
            <v>496.41107</v>
          </cell>
          <cell r="N152">
            <v>804.87507000000028</v>
          </cell>
        </row>
        <row r="153">
          <cell r="C153">
            <v>0</v>
          </cell>
          <cell r="D153" t="str">
            <v>=</v>
          </cell>
          <cell r="E153">
            <v>0</v>
          </cell>
          <cell r="F153" t="str">
            <v>=</v>
          </cell>
          <cell r="G153">
            <v>0</v>
          </cell>
          <cell r="H153" t="str">
            <v>=</v>
          </cell>
          <cell r="I153">
            <v>0</v>
          </cell>
          <cell r="J153" t="str">
            <v>=</v>
          </cell>
          <cell r="K153">
            <v>0</v>
          </cell>
          <cell r="L153" t="str">
            <v>=</v>
          </cell>
          <cell r="M153">
            <v>0</v>
          </cell>
          <cell r="N153" t="str">
            <v>=</v>
          </cell>
        </row>
        <row r="176">
          <cell r="B176" t="str">
            <v>DETAILS  FOR  CALCULATING RATIOS</v>
          </cell>
        </row>
        <row r="178">
          <cell r="B178" t="str">
            <v>-</v>
          </cell>
          <cell r="C178" t="str">
            <v>-</v>
          </cell>
          <cell r="D178" t="str">
            <v>-</v>
          </cell>
          <cell r="E178" t="str">
            <v>-</v>
          </cell>
          <cell r="F178" t="str">
            <v>-</v>
          </cell>
          <cell r="G178" t="str">
            <v>-</v>
          </cell>
          <cell r="H178" t="str">
            <v>-</v>
          </cell>
        </row>
        <row r="179">
          <cell r="B179" t="str">
            <v>PARTICULARS</v>
          </cell>
          <cell r="C179" t="str">
            <v>1997-98</v>
          </cell>
          <cell r="D179" t="str">
            <v>1998-99</v>
          </cell>
          <cell r="E179" t="str">
            <v>1999-00</v>
          </cell>
          <cell r="F179" t="str">
            <v>2000-01</v>
          </cell>
          <cell r="G179" t="str">
            <v>2001-02</v>
          </cell>
          <cell r="H179" t="str">
            <v>2002-03</v>
          </cell>
        </row>
        <row r="180">
          <cell r="B180" t="str">
            <v>-</v>
          </cell>
          <cell r="C180" t="str">
            <v>-</v>
          </cell>
          <cell r="D180" t="str">
            <v>-</v>
          </cell>
          <cell r="E180" t="str">
            <v>-</v>
          </cell>
          <cell r="F180" t="str">
            <v>-</v>
          </cell>
          <cell r="G180" t="str">
            <v>-</v>
          </cell>
          <cell r="H180" t="str">
            <v>-</v>
          </cell>
        </row>
        <row r="181">
          <cell r="B181" t="str">
            <v>Total  Share  Capital</v>
          </cell>
          <cell r="C181">
            <v>298.60599999999999</v>
          </cell>
          <cell r="D181">
            <v>303.25600000000003</v>
          </cell>
          <cell r="E181">
            <v>283.26</v>
          </cell>
          <cell r="F181">
            <v>268.536</v>
          </cell>
          <cell r="G181">
            <v>252.73999999999998</v>
          </cell>
          <cell r="H181">
            <v>279.74</v>
          </cell>
        </row>
        <row r="183">
          <cell r="B183" t="str">
            <v>Total  Dividend</v>
          </cell>
          <cell r="C183">
            <v>43.65</v>
          </cell>
          <cell r="D183">
            <v>41.395000000000003</v>
          </cell>
          <cell r="E183">
            <v>14.53</v>
          </cell>
          <cell r="F183">
            <v>0</v>
          </cell>
          <cell r="G183">
            <v>3.27</v>
          </cell>
          <cell r="H183">
            <v>0</v>
          </cell>
        </row>
        <row r="185">
          <cell r="B185" t="str">
            <v>Loan  Funds</v>
          </cell>
          <cell r="C185">
            <v>786.9369999999999</v>
          </cell>
          <cell r="D185">
            <v>1132.4580000000001</v>
          </cell>
          <cell r="E185">
            <v>1317.47</v>
          </cell>
          <cell r="F185">
            <v>854.05499999999995</v>
          </cell>
          <cell r="G185">
            <v>795.697</v>
          </cell>
          <cell r="H185">
            <v>1315.8440000000001</v>
          </cell>
        </row>
        <row r="187">
          <cell r="B187" t="str">
            <v>Term  Loans</v>
          </cell>
          <cell r="C187">
            <v>433.46</v>
          </cell>
          <cell r="D187">
            <v>529.88</v>
          </cell>
          <cell r="E187">
            <v>778.13999999999987</v>
          </cell>
          <cell r="F187">
            <v>677.78</v>
          </cell>
          <cell r="G187">
            <v>672.27</v>
          </cell>
          <cell r="H187">
            <v>1017.4369999999999</v>
          </cell>
        </row>
        <row r="189">
          <cell r="B189" t="str">
            <v>Unsecured  Loan</v>
          </cell>
          <cell r="C189">
            <v>89.367000000000004</v>
          </cell>
          <cell r="D189">
            <v>310.14</v>
          </cell>
          <cell r="E189">
            <v>116.75</v>
          </cell>
          <cell r="F189">
            <v>13.775</v>
          </cell>
          <cell r="G189">
            <v>17.29</v>
          </cell>
          <cell r="H189">
            <v>98.785000000000011</v>
          </cell>
        </row>
        <row r="191">
          <cell r="B191" t="str">
            <v>Working  Capital  Loan</v>
          </cell>
          <cell r="C191">
            <v>264.11</v>
          </cell>
          <cell r="D191">
            <v>292.44</v>
          </cell>
          <cell r="E191">
            <v>422.58000000000004</v>
          </cell>
          <cell r="F191">
            <v>162.5</v>
          </cell>
          <cell r="G191">
            <v>106.137</v>
          </cell>
          <cell r="H191">
            <v>197.20699999999999</v>
          </cell>
        </row>
        <row r="193">
          <cell r="B193" t="str">
            <v>Debt</v>
          </cell>
          <cell r="C193">
            <v>433.45999999999992</v>
          </cell>
          <cell r="D193">
            <v>529.87800000000016</v>
          </cell>
          <cell r="E193">
            <v>778.14</v>
          </cell>
          <cell r="F193">
            <v>677.78</v>
          </cell>
          <cell r="G193">
            <v>672.27</v>
          </cell>
          <cell r="H193">
            <v>1019.852</v>
          </cell>
        </row>
        <row r="195">
          <cell r="B195" t="str">
            <v>Current  Assets:</v>
          </cell>
        </row>
        <row r="197">
          <cell r="B197" t="str">
            <v>a. Inventories</v>
          </cell>
          <cell r="C197">
            <v>104.86</v>
          </cell>
          <cell r="D197">
            <v>129.08699999999999</v>
          </cell>
          <cell r="E197">
            <v>155.76</v>
          </cell>
          <cell r="F197">
            <v>228.06</v>
          </cell>
          <cell r="G197">
            <v>275.24300000000005</v>
          </cell>
          <cell r="H197">
            <v>405.64699999999999</v>
          </cell>
        </row>
        <row r="199">
          <cell r="B199" t="str">
            <v>b. Sundry  Debtors</v>
          </cell>
          <cell r="C199">
            <v>104.93</v>
          </cell>
          <cell r="D199">
            <v>79.63</v>
          </cell>
          <cell r="E199">
            <v>189.62</v>
          </cell>
          <cell r="F199">
            <v>198.18</v>
          </cell>
          <cell r="G199">
            <v>214.24799999999999</v>
          </cell>
          <cell r="H199">
            <v>146.32</v>
          </cell>
        </row>
        <row r="201">
          <cell r="B201" t="str">
            <v>c.  Cash &amp; Bank Balances</v>
          </cell>
          <cell r="C201">
            <v>25.63</v>
          </cell>
          <cell r="D201">
            <v>37.878</v>
          </cell>
          <cell r="E201">
            <v>29.16</v>
          </cell>
          <cell r="F201">
            <v>38.74</v>
          </cell>
          <cell r="G201">
            <v>3.2490000000000001</v>
          </cell>
          <cell r="H201">
            <v>4.3639999999999999</v>
          </cell>
        </row>
        <row r="203">
          <cell r="B203" t="str">
            <v>d.  Loans &amp;  Advances</v>
          </cell>
          <cell r="C203">
            <v>126.03399999999999</v>
          </cell>
          <cell r="D203">
            <v>335.98800000000006</v>
          </cell>
          <cell r="E203">
            <v>485.39</v>
          </cell>
          <cell r="F203">
            <v>73.804999999999993</v>
          </cell>
          <cell r="G203">
            <v>145.55700000000002</v>
          </cell>
          <cell r="H203">
            <v>136.51299999999998</v>
          </cell>
        </row>
        <row r="205">
          <cell r="B205" t="str">
            <v>e.  Deposits</v>
          </cell>
          <cell r="C205">
            <v>58.286000000000001</v>
          </cell>
          <cell r="D205">
            <v>34.449999999999996</v>
          </cell>
          <cell r="E205">
            <v>8.4699999999999989</v>
          </cell>
          <cell r="F205">
            <v>8.4849999999999994</v>
          </cell>
          <cell r="G205">
            <v>8.69</v>
          </cell>
          <cell r="H205">
            <v>114.32000000000001</v>
          </cell>
        </row>
        <row r="207">
          <cell r="B207" t="str">
            <v>f. Trade  Investments</v>
          </cell>
          <cell r="C207">
            <v>29.998999999999999</v>
          </cell>
          <cell r="D207">
            <v>58.198999999999998</v>
          </cell>
          <cell r="E207">
            <v>58.198999999999998</v>
          </cell>
          <cell r="F207">
            <v>58.198999999999998</v>
          </cell>
          <cell r="G207">
            <v>58.198999999999998</v>
          </cell>
          <cell r="H207">
            <v>178.19900000000001</v>
          </cell>
        </row>
        <row r="208">
          <cell r="C208" t="str">
            <v>-</v>
          </cell>
          <cell r="D208" t="str">
            <v>-</v>
          </cell>
          <cell r="E208" t="str">
            <v>-</v>
          </cell>
          <cell r="F208" t="str">
            <v>-</v>
          </cell>
          <cell r="G208" t="str">
            <v>-</v>
          </cell>
          <cell r="H208" t="str">
            <v>-</v>
          </cell>
        </row>
        <row r="209">
          <cell r="B209" t="str">
            <v xml:space="preserve">         Total Current  Assets</v>
          </cell>
          <cell r="C209">
            <v>449.73900000000003</v>
          </cell>
          <cell r="D209">
            <v>675.23200000000008</v>
          </cell>
          <cell r="E209">
            <v>926.59900000000005</v>
          </cell>
          <cell r="F209">
            <v>605.46899999999994</v>
          </cell>
          <cell r="G209">
            <v>705.18600000000004</v>
          </cell>
          <cell r="H209">
            <v>985.36300000000006</v>
          </cell>
        </row>
        <row r="211">
          <cell r="B211" t="str">
            <v>Current Liabilities</v>
          </cell>
          <cell r="C211">
            <v>71.275000000000006</v>
          </cell>
          <cell r="D211">
            <v>131.01</v>
          </cell>
          <cell r="E211">
            <v>126.38999999999999</v>
          </cell>
          <cell r="F211">
            <v>100.91</v>
          </cell>
          <cell r="G211">
            <v>163.93899999999999</v>
          </cell>
          <cell r="H211">
            <v>123.041</v>
          </cell>
        </row>
        <row r="212">
          <cell r="C212" t="str">
            <v>-</v>
          </cell>
          <cell r="D212" t="str">
            <v>-</v>
          </cell>
          <cell r="E212" t="str">
            <v>-</v>
          </cell>
          <cell r="F212" t="str">
            <v>-</v>
          </cell>
          <cell r="G212" t="str">
            <v>-</v>
          </cell>
          <cell r="H212" t="str">
            <v>-</v>
          </cell>
        </row>
        <row r="213">
          <cell r="B213" t="str">
            <v xml:space="preserve">         Total  Current Liabilities</v>
          </cell>
          <cell r="C213">
            <v>319.15499999999997</v>
          </cell>
          <cell r="D213">
            <v>423.45</v>
          </cell>
          <cell r="E213">
            <v>548.97</v>
          </cell>
          <cell r="F213">
            <v>263.40999999999997</v>
          </cell>
          <cell r="G213">
            <v>270.07600000000002</v>
          </cell>
          <cell r="H213">
            <v>320.24799999999999</v>
          </cell>
        </row>
        <row r="214">
          <cell r="C214" t="str">
            <v>-</v>
          </cell>
          <cell r="D214" t="str">
            <v>-</v>
          </cell>
          <cell r="E214" t="str">
            <v>-</v>
          </cell>
          <cell r="F214" t="str">
            <v>-</v>
          </cell>
          <cell r="G214" t="str">
            <v>-</v>
          </cell>
          <cell r="H214" t="str">
            <v>-</v>
          </cell>
        </row>
        <row r="215">
          <cell r="B215" t="str">
            <v xml:space="preserve">Working  Capital  </v>
          </cell>
          <cell r="C215">
            <v>130.58400000000006</v>
          </cell>
          <cell r="D215">
            <v>251.7820000000001</v>
          </cell>
          <cell r="E215">
            <v>377.62900000000002</v>
          </cell>
          <cell r="F215">
            <v>342.05899999999997</v>
          </cell>
          <cell r="G215">
            <v>435.11</v>
          </cell>
          <cell r="H215">
            <v>665.11500000000001</v>
          </cell>
        </row>
        <row r="217">
          <cell r="B217" t="str">
            <v>L.T. Funds</v>
          </cell>
          <cell r="C217">
            <v>1057.8789999999999</v>
          </cell>
          <cell r="D217">
            <v>1585.7090000000001</v>
          </cell>
          <cell r="E217">
            <v>1707.9940000000001</v>
          </cell>
          <cell r="F217">
            <v>1404.895</v>
          </cell>
          <cell r="G217">
            <v>1531.6320000000001</v>
          </cell>
          <cell r="H217">
            <v>2710.9780000000001</v>
          </cell>
        </row>
        <row r="219">
          <cell r="B219" t="str">
            <v>Turnover</v>
          </cell>
          <cell r="C219">
            <v>2849.6959999999999</v>
          </cell>
          <cell r="D219">
            <v>2975.21</v>
          </cell>
          <cell r="E219">
            <v>4497.33</v>
          </cell>
          <cell r="F219">
            <v>5949.45</v>
          </cell>
          <cell r="G219">
            <v>6130.15</v>
          </cell>
          <cell r="H219">
            <v>7121.7079999999996</v>
          </cell>
        </row>
        <row r="221">
          <cell r="B221" t="str">
            <v>Gross  Profit</v>
          </cell>
          <cell r="C221">
            <v>487.50984999999991</v>
          </cell>
          <cell r="D221">
            <v>573.83701999999982</v>
          </cell>
          <cell r="E221">
            <v>662.39400000000012</v>
          </cell>
          <cell r="F221">
            <v>879.17</v>
          </cell>
          <cell r="G221">
            <v>985.3131999999996</v>
          </cell>
          <cell r="H221">
            <v>980.15699999999981</v>
          </cell>
        </row>
        <row r="223">
          <cell r="B223" t="str">
            <v>Net Profit for the Year</v>
          </cell>
          <cell r="C223">
            <v>166.72185000000036</v>
          </cell>
          <cell r="D223">
            <v>139.34701999999925</v>
          </cell>
          <cell r="E223">
            <v>137.96900000000005</v>
          </cell>
          <cell r="F223">
            <v>254.10699999999997</v>
          </cell>
          <cell r="G223">
            <v>227.67820000000029</v>
          </cell>
          <cell r="H223">
            <v>369.27400000000034</v>
          </cell>
        </row>
        <row r="225">
          <cell r="B225" t="str">
            <v>Interest  &amp;  Finance  Charges</v>
          </cell>
          <cell r="C225">
            <v>109.2</v>
          </cell>
          <cell r="D225">
            <v>118.92</v>
          </cell>
          <cell r="E225">
            <v>171.28399999999999</v>
          </cell>
          <cell r="F225">
            <v>162.24299999999999</v>
          </cell>
          <cell r="G225">
            <v>106.84</v>
          </cell>
          <cell r="H225">
            <v>104.47800000000001</v>
          </cell>
        </row>
        <row r="227">
          <cell r="B227" t="str">
            <v>PBIT</v>
          </cell>
          <cell r="C227">
            <v>275.92185000000035</v>
          </cell>
          <cell r="D227">
            <v>258.26701999999926</v>
          </cell>
          <cell r="E227">
            <v>309.25300000000004</v>
          </cell>
          <cell r="F227">
            <v>416.34999999999997</v>
          </cell>
          <cell r="G227">
            <v>334.51820000000032</v>
          </cell>
          <cell r="H227">
            <v>473.75200000000035</v>
          </cell>
        </row>
        <row r="229">
          <cell r="B229" t="str">
            <v xml:space="preserve">F.G.Inventory </v>
          </cell>
          <cell r="C229">
            <v>0</v>
          </cell>
          <cell r="D229">
            <v>0</v>
          </cell>
          <cell r="E229">
            <v>0</v>
          </cell>
          <cell r="F229">
            <v>0</v>
          </cell>
          <cell r="G229">
            <v>0</v>
          </cell>
          <cell r="H229">
            <v>0</v>
          </cell>
        </row>
        <row r="231">
          <cell r="B231" t="str">
            <v>R.M.Inventory</v>
          </cell>
          <cell r="C231">
            <v>0</v>
          </cell>
          <cell r="D231">
            <v>0</v>
          </cell>
          <cell r="E231">
            <v>0</v>
          </cell>
          <cell r="F231">
            <v>0</v>
          </cell>
          <cell r="G231">
            <v>0</v>
          </cell>
          <cell r="H231">
            <v>0</v>
          </cell>
        </row>
        <row r="232">
          <cell r="B232" t="str">
            <v>=</v>
          </cell>
          <cell r="C232" t="str">
            <v>=</v>
          </cell>
          <cell r="D232" t="str">
            <v>=</v>
          </cell>
          <cell r="E232" t="str">
            <v>=</v>
          </cell>
          <cell r="F232" t="str">
            <v>=</v>
          </cell>
          <cell r="G232" t="str">
            <v>=</v>
          </cell>
          <cell r="H232" t="str">
            <v>=</v>
          </cell>
        </row>
        <row r="236">
          <cell r="B236" t="str">
            <v>CALCULATION  OF  VARIOUS  RATIOS</v>
          </cell>
        </row>
        <row r="237">
          <cell r="H237" t="str">
            <v>(RS.IN LACS)</v>
          </cell>
        </row>
        <row r="238">
          <cell r="B238" t="str">
            <v>-</v>
          </cell>
          <cell r="C238" t="str">
            <v>-</v>
          </cell>
          <cell r="D238" t="str">
            <v>-</v>
          </cell>
          <cell r="E238" t="str">
            <v>-</v>
          </cell>
          <cell r="F238" t="str">
            <v>-</v>
          </cell>
          <cell r="G238" t="str">
            <v>-</v>
          </cell>
          <cell r="H238" t="str">
            <v>-</v>
          </cell>
        </row>
        <row r="239">
          <cell r="B239" t="str">
            <v>PARTICULARS</v>
          </cell>
          <cell r="C239" t="str">
            <v>1997-98</v>
          </cell>
          <cell r="D239" t="str">
            <v>1998-99</v>
          </cell>
          <cell r="E239" t="str">
            <v>1999-00</v>
          </cell>
          <cell r="F239" t="str">
            <v>2000-01</v>
          </cell>
          <cell r="G239" t="str">
            <v>2001-02</v>
          </cell>
          <cell r="H239" t="str">
            <v>2002-03</v>
          </cell>
        </row>
        <row r="240">
          <cell r="B240" t="str">
            <v>-</v>
          </cell>
          <cell r="C240" t="str">
            <v>-</v>
          </cell>
          <cell r="D240" t="str">
            <v>-</v>
          </cell>
          <cell r="E240" t="str">
            <v>-</v>
          </cell>
          <cell r="F240" t="str">
            <v>-</v>
          </cell>
          <cell r="G240" t="str">
            <v>-</v>
          </cell>
          <cell r="H240" t="str">
            <v>-</v>
          </cell>
        </row>
        <row r="241">
          <cell r="B241" t="str">
            <v>NET PROFIT AFTER TAX</v>
          </cell>
          <cell r="C241">
            <v>166.72185000000036</v>
          </cell>
          <cell r="D241">
            <v>139.34701999999925</v>
          </cell>
          <cell r="E241">
            <v>137.46600000000007</v>
          </cell>
          <cell r="F241">
            <v>7.0769999999999698</v>
          </cell>
          <cell r="G241">
            <v>210.42820000000029</v>
          </cell>
          <cell r="H241">
            <v>340.27400000000034</v>
          </cell>
        </row>
        <row r="243">
          <cell r="B243" t="str">
            <v>CASH PROFIT</v>
          </cell>
          <cell r="C243">
            <v>210.75885000000036</v>
          </cell>
          <cell r="D243">
            <v>194.32201999999924</v>
          </cell>
          <cell r="E243">
            <v>210.03300000000007</v>
          </cell>
          <cell r="F243">
            <v>155.43999999999997</v>
          </cell>
          <cell r="G243">
            <v>463.07320000000027</v>
          </cell>
          <cell r="H243">
            <v>475.27400000000034</v>
          </cell>
        </row>
        <row r="245">
          <cell r="B245" t="str">
            <v>CASH PROFIT RATIO</v>
          </cell>
          <cell r="C245">
            <v>7.3714226055861793</v>
          </cell>
          <cell r="D245">
            <v>6.4617202255858857</v>
          </cell>
          <cell r="E245">
            <v>4.6125151694964783</v>
          </cell>
          <cell r="F245">
            <v>2.5908527762577607</v>
          </cell>
          <cell r="G245">
            <v>7.5959847836615157</v>
          </cell>
          <cell r="H245">
            <v>6.4537294697916261</v>
          </cell>
        </row>
        <row r="247">
          <cell r="B247" t="str">
            <v>EQUITY SHARE CAPITAL</v>
          </cell>
          <cell r="C247">
            <v>261.77600000000001</v>
          </cell>
          <cell r="D247">
            <v>261.77600000000001</v>
          </cell>
          <cell r="E247">
            <v>261.77999999999997</v>
          </cell>
          <cell r="F247">
            <v>249.55600000000001</v>
          </cell>
          <cell r="G247">
            <v>245.98399999999998</v>
          </cell>
          <cell r="H247">
            <v>245.98400000000001</v>
          </cell>
        </row>
        <row r="249">
          <cell r="B249" t="str">
            <v>PREFERENCE SHARE CAPITAL</v>
          </cell>
          <cell r="C249">
            <v>36.83</v>
          </cell>
          <cell r="D249">
            <v>41.48</v>
          </cell>
          <cell r="E249">
            <v>21.48</v>
          </cell>
          <cell r="F249">
            <v>18.98</v>
          </cell>
          <cell r="G249">
            <v>6.7560000000000002</v>
          </cell>
          <cell r="H249">
            <v>33.756</v>
          </cell>
        </row>
        <row r="251">
          <cell r="B251" t="str">
            <v>RESERVES &amp; SURPLUS</v>
          </cell>
          <cell r="C251">
            <v>240.446</v>
          </cell>
          <cell r="D251">
            <v>445.875</v>
          </cell>
          <cell r="E251">
            <v>532.72</v>
          </cell>
          <cell r="F251">
            <v>447.12</v>
          </cell>
          <cell r="G251">
            <v>591.08699999999999</v>
          </cell>
          <cell r="H251">
            <v>1314.356</v>
          </cell>
        </row>
        <row r="253">
          <cell r="B253" t="str">
            <v>NET  WORTH</v>
          </cell>
          <cell r="C253">
            <v>535.05200000000002</v>
          </cell>
          <cell r="D253">
            <v>745.69100000000003</v>
          </cell>
          <cell r="E253">
            <v>813.10400000000004</v>
          </cell>
          <cell r="F253">
            <v>713.33999999999992</v>
          </cell>
          <cell r="G253">
            <v>842.072</v>
          </cell>
          <cell r="H253">
            <v>1592.3409999999999</v>
          </cell>
        </row>
        <row r="255">
          <cell r="B255" t="str">
            <v>UNSECURED  LOAN</v>
          </cell>
          <cell r="C255">
            <v>89.367000000000004</v>
          </cell>
          <cell r="D255">
            <v>310.14</v>
          </cell>
          <cell r="E255">
            <v>116.75</v>
          </cell>
          <cell r="F255">
            <v>13.775</v>
          </cell>
          <cell r="G255">
            <v>17.29</v>
          </cell>
          <cell r="H255">
            <v>98.785000000000011</v>
          </cell>
        </row>
        <row r="257">
          <cell r="B257" t="str">
            <v>TERM LOANS</v>
          </cell>
          <cell r="C257">
            <v>433.46</v>
          </cell>
          <cell r="D257">
            <v>529.88</v>
          </cell>
          <cell r="E257">
            <v>778.13999999999987</v>
          </cell>
          <cell r="F257">
            <v>677.78</v>
          </cell>
          <cell r="G257">
            <v>672.27</v>
          </cell>
          <cell r="H257">
            <v>1017.4369999999999</v>
          </cell>
        </row>
        <row r="259">
          <cell r="B259" t="str">
            <v>EQUITY SHARES OF Rs.10 EACH</v>
          </cell>
          <cell r="C259">
            <v>2617760</v>
          </cell>
          <cell r="D259">
            <v>2617760</v>
          </cell>
          <cell r="E259">
            <v>2617799.9999999995</v>
          </cell>
          <cell r="F259">
            <v>2495560</v>
          </cell>
          <cell r="G259">
            <v>2459839.9999999995</v>
          </cell>
          <cell r="H259">
            <v>2459840</v>
          </cell>
        </row>
        <row r="261">
          <cell r="B261" t="str">
            <v>EPS</v>
          </cell>
          <cell r="C261">
            <v>6.3688745339527069</v>
          </cell>
          <cell r="D261">
            <v>5.3231396308293828</v>
          </cell>
          <cell r="E261">
            <v>5.2512033004813237</v>
          </cell>
          <cell r="F261">
            <v>0.28358364455272439</v>
          </cell>
          <cell r="G261">
            <v>8.554548263301692</v>
          </cell>
          <cell r="H261">
            <v>13.833176141537674</v>
          </cell>
        </row>
        <row r="263">
          <cell r="B263" t="str">
            <v>CASH  EPS</v>
          </cell>
          <cell r="C263">
            <v>8.0511143114724177</v>
          </cell>
          <cell r="D263">
            <v>7.4232175600513122</v>
          </cell>
          <cell r="E263">
            <v>8.0232638093055275</v>
          </cell>
          <cell r="F263">
            <v>6.2286621038965189</v>
          </cell>
          <cell r="G263">
            <v>18.82533823338105</v>
          </cell>
          <cell r="H263">
            <v>19.321337973201523</v>
          </cell>
        </row>
        <row r="265">
          <cell r="B265" t="str">
            <v>DIVIDEND %</v>
          </cell>
          <cell r="C265">
            <v>0.14617924623081921</v>
          </cell>
          <cell r="D265">
            <v>0.13650183343445801</v>
          </cell>
          <cell r="E265">
            <v>5.1295629457035939E-2</v>
          </cell>
          <cell r="F265">
            <v>0</v>
          </cell>
          <cell r="G265">
            <v>1.2938197356967636E-2</v>
          </cell>
          <cell r="H265">
            <v>0</v>
          </cell>
        </row>
        <row r="267">
          <cell r="B267" t="str">
            <v>NET  WORTH</v>
          </cell>
          <cell r="C267">
            <v>535.05200000000002</v>
          </cell>
          <cell r="D267">
            <v>745.69100000000003</v>
          </cell>
          <cell r="E267">
            <v>813.10400000000004</v>
          </cell>
          <cell r="F267">
            <v>713.33999999999992</v>
          </cell>
          <cell r="G267">
            <v>842.072</v>
          </cell>
          <cell r="H267">
            <v>1592.3409999999999</v>
          </cell>
        </row>
        <row r="269">
          <cell r="B269" t="str">
            <v>BOOK VALUE PER SHARE</v>
          </cell>
          <cell r="C269">
            <v>20.439306888332009</v>
          </cell>
          <cell r="D269">
            <v>28.485842858016017</v>
          </cell>
          <cell r="E269">
            <v>31.060585224234096</v>
          </cell>
          <cell r="F269">
            <v>28.584365833720682</v>
          </cell>
          <cell r="G269">
            <v>34.232795628984</v>
          </cell>
          <cell r="H269">
            <v>64.733519253284754</v>
          </cell>
        </row>
        <row r="271">
          <cell r="B271" t="str">
            <v>DEBT -EQUITY RATIO</v>
          </cell>
          <cell r="C271">
            <v>0.69418131094665592</v>
          </cell>
          <cell r="D271">
            <v>0.50185872549678889</v>
          </cell>
          <cell r="E271">
            <v>0.83684105246630114</v>
          </cell>
          <cell r="F271">
            <v>0.93214965995750343</v>
          </cell>
          <cell r="G271">
            <v>0.78228965209073709</v>
          </cell>
          <cell r="H271">
            <v>0.60306091917456184</v>
          </cell>
        </row>
        <row r="273">
          <cell r="B273" t="str">
            <v>CURRENT  RATIO</v>
          </cell>
          <cell r="C273">
            <v>1.4091554260469052</v>
          </cell>
          <cell r="D273">
            <v>1.5945967646711539</v>
          </cell>
          <cell r="E273">
            <v>1.6878864054502067</v>
          </cell>
          <cell r="F273">
            <v>2.2985801602065221</v>
          </cell>
          <cell r="G273">
            <v>2.611065033546113</v>
          </cell>
          <cell r="H273">
            <v>3.0768747970323003</v>
          </cell>
        </row>
        <row r="275">
          <cell r="B275" t="str">
            <v>LIQUID  RATIO</v>
          </cell>
          <cell r="C275">
            <v>1.0806003352602969</v>
          </cell>
          <cell r="D275">
            <v>1.28975085606329</v>
          </cell>
          <cell r="E275">
            <v>1.4041550540102374</v>
          </cell>
          <cell r="F275">
            <v>1.432781595231768</v>
          </cell>
          <cell r="G275">
            <v>1.5919333817147765</v>
          </cell>
          <cell r="H275">
            <v>1.810209587569634</v>
          </cell>
        </row>
        <row r="276">
          <cell r="B276" t="str">
            <v>=</v>
          </cell>
          <cell r="C276" t="str">
            <v>=</v>
          </cell>
          <cell r="D276" t="str">
            <v>=</v>
          </cell>
          <cell r="E276" t="str">
            <v>=</v>
          </cell>
          <cell r="F276" t="str">
            <v>=</v>
          </cell>
          <cell r="G276" t="str">
            <v>=</v>
          </cell>
          <cell r="H276" t="str">
            <v>=</v>
          </cell>
        </row>
        <row r="278">
          <cell r="H278" t="str">
            <v>(RS.IN LACS)</v>
          </cell>
        </row>
        <row r="279">
          <cell r="B279" t="str">
            <v>-</v>
          </cell>
          <cell r="C279" t="str">
            <v>-</v>
          </cell>
          <cell r="D279" t="str">
            <v>-</v>
          </cell>
          <cell r="E279" t="str">
            <v>-</v>
          </cell>
          <cell r="F279" t="str">
            <v>-</v>
          </cell>
          <cell r="G279" t="str">
            <v>-</v>
          </cell>
          <cell r="H279" t="str">
            <v>-</v>
          </cell>
        </row>
        <row r="280">
          <cell r="B280" t="str">
            <v>PARTICULARS</v>
          </cell>
          <cell r="C280" t="str">
            <v>1997-98</v>
          </cell>
          <cell r="D280" t="str">
            <v>1998-99</v>
          </cell>
          <cell r="E280" t="str">
            <v>1999-00</v>
          </cell>
          <cell r="F280" t="str">
            <v>2000-01</v>
          </cell>
          <cell r="G280" t="str">
            <v>2001-02</v>
          </cell>
          <cell r="H280" t="str">
            <v>2002-03</v>
          </cell>
        </row>
        <row r="281">
          <cell r="B281" t="str">
            <v>-</v>
          </cell>
          <cell r="C281" t="str">
            <v>-</v>
          </cell>
          <cell r="D281" t="str">
            <v>-</v>
          </cell>
          <cell r="E281" t="str">
            <v>-</v>
          </cell>
          <cell r="F281" t="str">
            <v>-</v>
          </cell>
          <cell r="G281" t="str">
            <v>-</v>
          </cell>
          <cell r="H281" t="str">
            <v>-</v>
          </cell>
        </row>
        <row r="282">
          <cell r="B282" t="str">
            <v>FIXED  ASSETS/ L.T.FUNDS</v>
          </cell>
          <cell r="C282">
            <v>0.82795858505556896</v>
          </cell>
          <cell r="D282">
            <v>0.81305586333936419</v>
          </cell>
          <cell r="E282">
            <v>0.81468670264649634</v>
          </cell>
          <cell r="F282">
            <v>0.73817545083440417</v>
          </cell>
          <cell r="G282">
            <v>0.74205553292174609</v>
          </cell>
          <cell r="H282">
            <v>0.59947148224736602</v>
          </cell>
        </row>
        <row r="284">
          <cell r="B284" t="str">
            <v>RETURN  ON NET  WORTH</v>
          </cell>
          <cell r="D284">
            <v>0.21760340677247386</v>
          </cell>
          <cell r="E284">
            <v>0.17637469968790001</v>
          </cell>
          <cell r="F284">
            <v>9.2725314521855638E-3</v>
          </cell>
          <cell r="G284">
            <v>0.27057551311163897</v>
          </cell>
          <cell r="H284">
            <v>0.27955322289192536</v>
          </cell>
        </row>
        <row r="286">
          <cell r="B286" t="str">
            <v>RETURN ON  CAPITAL</v>
          </cell>
          <cell r="C286">
            <v>0.55833389148242285</v>
          </cell>
          <cell r="D286">
            <v>0.45950292821905991</v>
          </cell>
          <cell r="E286">
            <v>0.48529972463461157</v>
          </cell>
          <cell r="F286">
            <v>2.6354008401108117E-2</v>
          </cell>
          <cell r="G286">
            <v>0.83258763947139469</v>
          </cell>
          <cell r="H286">
            <v>1.2163937942375074</v>
          </cell>
        </row>
        <row r="288">
          <cell r="B288" t="str">
            <v>GROSS  PROFIT  RATIO</v>
          </cell>
          <cell r="C288">
            <v>0.17107433564843405</v>
          </cell>
          <cell r="D288">
            <v>0.19287277872822417</v>
          </cell>
          <cell r="E288">
            <v>0.14728605639346015</v>
          </cell>
          <cell r="F288">
            <v>0.14777332358453302</v>
          </cell>
          <cell r="G288">
            <v>0.16073231486994602</v>
          </cell>
          <cell r="H288">
            <v>0.13762948438773392</v>
          </cell>
        </row>
        <row r="290">
          <cell r="B290" t="str">
            <v>NET  PROFIT  RATIO</v>
          </cell>
          <cell r="C290">
            <v>5.8505135284605922E-2</v>
          </cell>
          <cell r="D290">
            <v>4.6836028381189644E-2</v>
          </cell>
          <cell r="E290">
            <v>3.0566135907305017E-2</v>
          </cell>
          <cell r="F290">
            <v>1.1895217204951668E-3</v>
          </cell>
          <cell r="G290">
            <v>3.432676198787963E-2</v>
          </cell>
          <cell r="H290">
            <v>4.7779830344069199E-2</v>
          </cell>
        </row>
        <row r="292">
          <cell r="B292" t="str">
            <v>CAPITAL  TURNOVER RATIO</v>
          </cell>
          <cell r="C292">
            <v>9.543331346322578</v>
          </cell>
          <cell r="D292">
            <v>9.8108858522172682</v>
          </cell>
          <cell r="E292">
            <v>15.877038762973946</v>
          </cell>
          <cell r="F292">
            <v>22.155130038430602</v>
          </cell>
          <cell r="G292">
            <v>24.25476774550922</v>
          </cell>
          <cell r="H292">
            <v>25.458311289054119</v>
          </cell>
        </row>
        <row r="294">
          <cell r="B294" t="str">
            <v>WORKING  CAP.  TURNOVER</v>
          </cell>
          <cell r="C294">
            <v>21.822704159774542</v>
          </cell>
          <cell r="D294">
            <v>11.81661119539919</v>
          </cell>
          <cell r="E294">
            <v>11.909387255745719</v>
          </cell>
          <cell r="F294">
            <v>17.393052075811482</v>
          </cell>
          <cell r="G294">
            <v>14.088736181655213</v>
          </cell>
          <cell r="H294">
            <v>10.707483668237822</v>
          </cell>
        </row>
        <row r="296">
          <cell r="B296" t="str">
            <v>ASSET COVERAGE RATIO</v>
          </cell>
          <cell r="C296">
            <v>2.0206708808194533</v>
          </cell>
          <cell r="D296">
            <v>2.4331358043330567</v>
          </cell>
          <cell r="E296">
            <v>1.7882129179839106</v>
          </cell>
          <cell r="F296">
            <v>1.5300820325179265</v>
          </cell>
          <cell r="G296">
            <v>1.6906243027355079</v>
          </cell>
          <cell r="H296">
            <v>1.5973018476819694</v>
          </cell>
        </row>
        <row r="298">
          <cell r="B298" t="str">
            <v>INT./PBIT (%)</v>
          </cell>
          <cell r="C298">
            <v>0.39576423541665823</v>
          </cell>
          <cell r="D298">
            <v>0.46045368084550764</v>
          </cell>
          <cell r="E298">
            <v>0.55386366502507645</v>
          </cell>
          <cell r="F298">
            <v>0.3896793563107962</v>
          </cell>
          <cell r="G298">
            <v>0.31938471509173461</v>
          </cell>
          <cell r="H298">
            <v>0.22053310592884026</v>
          </cell>
        </row>
        <row r="299">
          <cell r="B299" t="str">
            <v>=</v>
          </cell>
          <cell r="C299" t="str">
            <v>=</v>
          </cell>
          <cell r="D299" t="str">
            <v>=</v>
          </cell>
          <cell r="E299" t="str">
            <v>=</v>
          </cell>
          <cell r="F299" t="str">
            <v>=</v>
          </cell>
          <cell r="G299" t="str">
            <v>=</v>
          </cell>
          <cell r="H299" t="str">
            <v>=</v>
          </cell>
        </row>
        <row r="330">
          <cell r="B330" t="str">
            <v>-</v>
          </cell>
          <cell r="C330" t="str">
            <v>-</v>
          </cell>
          <cell r="D330" t="str">
            <v>-</v>
          </cell>
          <cell r="E330" t="str">
            <v>-</v>
          </cell>
          <cell r="F330" t="str">
            <v>-</v>
          </cell>
          <cell r="G330" t="str">
            <v>-</v>
          </cell>
          <cell r="H330" t="str">
            <v>-</v>
          </cell>
        </row>
        <row r="331">
          <cell r="B331" t="str">
            <v>PARTICULARS</v>
          </cell>
          <cell r="C331" t="str">
            <v>1997-98</v>
          </cell>
          <cell r="D331" t="str">
            <v>1998-99</v>
          </cell>
          <cell r="E331" t="str">
            <v>1999-00</v>
          </cell>
          <cell r="F331" t="str">
            <v>2000-01</v>
          </cell>
          <cell r="G331" t="str">
            <v>2001-02</v>
          </cell>
          <cell r="H331" t="str">
            <v>2002-03</v>
          </cell>
        </row>
        <row r="332">
          <cell r="B332" t="str">
            <v>-</v>
          </cell>
          <cell r="C332" t="str">
            <v>-</v>
          </cell>
          <cell r="D332" t="str">
            <v>-</v>
          </cell>
          <cell r="E332" t="str">
            <v>-</v>
          </cell>
          <cell r="F332" t="str">
            <v>-</v>
          </cell>
          <cell r="G332" t="str">
            <v>-</v>
          </cell>
          <cell r="H332" t="str">
            <v>-</v>
          </cell>
        </row>
        <row r="333">
          <cell r="B333" t="str">
            <v>GROSS REVENUE</v>
          </cell>
          <cell r="C333">
            <v>2859.134</v>
          </cell>
          <cell r="D333">
            <v>3007.28</v>
          </cell>
          <cell r="E333">
            <v>4553.5459999999994</v>
          </cell>
          <cell r="F333">
            <v>5999.5689999999995</v>
          </cell>
          <cell r="G333">
            <v>6096.2891999999993</v>
          </cell>
          <cell r="H333">
            <v>7364.3310000000001</v>
          </cell>
        </row>
        <row r="335">
          <cell r="B335" t="str">
            <v>GROWTH IN QUANTITY</v>
          </cell>
        </row>
        <row r="336">
          <cell r="B336" t="str">
            <v>GROWTH   IN  %</v>
          </cell>
          <cell r="C336" t="e">
            <v>#REF!</v>
          </cell>
          <cell r="D336">
            <v>5.1814990133376114E-2</v>
          </cell>
          <cell r="E336">
            <v>0.51417427043707242</v>
          </cell>
          <cell r="F336">
            <v>0.31755976551022003</v>
          </cell>
          <cell r="G336">
            <v>1.6121191372246865E-2</v>
          </cell>
          <cell r="H336">
            <v>0.20800223847648189</v>
          </cell>
        </row>
        <row r="338">
          <cell r="B338" t="str">
            <v>PROFIT BEFORE TAX</v>
          </cell>
          <cell r="C338">
            <v>166.72185000000036</v>
          </cell>
          <cell r="D338">
            <v>139.34701999999925</v>
          </cell>
          <cell r="E338">
            <v>137.96900000000005</v>
          </cell>
          <cell r="F338">
            <v>254.10699999999997</v>
          </cell>
          <cell r="G338">
            <v>227.67820000000029</v>
          </cell>
          <cell r="H338">
            <v>369.27400000000034</v>
          </cell>
        </row>
        <row r="340">
          <cell r="B340" t="str">
            <v>GROWTH   IN  %</v>
          </cell>
          <cell r="D340">
            <v>-0.16419461516292588</v>
          </cell>
          <cell r="E340">
            <v>-9.889124288407488E-3</v>
          </cell>
          <cell r="F340">
            <v>0.84176880313693569</v>
          </cell>
          <cell r="G340">
            <v>-0.10400657990531424</v>
          </cell>
          <cell r="H340">
            <v>0.62191197927601272</v>
          </cell>
        </row>
        <row r="342">
          <cell r="B342" t="str">
            <v>PROFIT AFTER TAX</v>
          </cell>
          <cell r="C342">
            <v>166.72185000000036</v>
          </cell>
          <cell r="D342">
            <v>139.34701999999925</v>
          </cell>
          <cell r="E342">
            <v>137.46600000000007</v>
          </cell>
          <cell r="F342">
            <v>7.0769999999999698</v>
          </cell>
          <cell r="G342">
            <v>210.42820000000029</v>
          </cell>
          <cell r="H342">
            <v>340.27400000000034</v>
          </cell>
        </row>
        <row r="344">
          <cell r="B344" t="str">
            <v>DIVIDEND (%)</v>
          </cell>
          <cell r="C344">
            <v>0.14617924623081921</v>
          </cell>
          <cell r="D344">
            <v>0.13650183343445801</v>
          </cell>
          <cell r="E344">
            <v>5.1295629457035939E-2</v>
          </cell>
          <cell r="F344">
            <v>0</v>
          </cell>
          <cell r="G344">
            <v>1.2938197356967636E-2</v>
          </cell>
          <cell r="H344">
            <v>0</v>
          </cell>
        </row>
        <row r="346">
          <cell r="B346" t="str">
            <v>SHARE CAPITAL</v>
          </cell>
          <cell r="C346">
            <v>298.60599999999999</v>
          </cell>
          <cell r="D346">
            <v>303.25600000000003</v>
          </cell>
          <cell r="E346">
            <v>283.26</v>
          </cell>
          <cell r="F346">
            <v>268.536</v>
          </cell>
          <cell r="G346">
            <v>252.73999999999998</v>
          </cell>
          <cell r="H346">
            <v>279.74</v>
          </cell>
        </row>
        <row r="348">
          <cell r="B348" t="str">
            <v>RESERVES</v>
          </cell>
          <cell r="C348">
            <v>240.446</v>
          </cell>
          <cell r="D348">
            <v>445.875</v>
          </cell>
          <cell r="E348">
            <v>532.72</v>
          </cell>
          <cell r="F348">
            <v>447.12</v>
          </cell>
          <cell r="G348">
            <v>591.08699999999999</v>
          </cell>
          <cell r="H348">
            <v>1314.356</v>
          </cell>
        </row>
        <row r="350">
          <cell r="B350" t="str">
            <v>BORROWINGS</v>
          </cell>
          <cell r="C350">
            <v>697.56999999999994</v>
          </cell>
          <cell r="D350">
            <v>822.31799999999998</v>
          </cell>
          <cell r="E350">
            <v>1200.72</v>
          </cell>
          <cell r="F350">
            <v>840.28</v>
          </cell>
          <cell r="G350">
            <v>778.40700000000004</v>
          </cell>
          <cell r="H350">
            <v>1217.059</v>
          </cell>
        </row>
        <row r="352">
          <cell r="B352" t="str">
            <v>CAPITAL EMPLOYED</v>
          </cell>
          <cell r="C352">
            <v>1325.989</v>
          </cell>
          <cell r="D352">
            <v>1951.5390000000002</v>
          </cell>
          <cell r="E352">
            <v>2252.94</v>
          </cell>
          <cell r="F352">
            <v>1595.4609999999998</v>
          </cell>
          <cell r="G352">
            <v>1730.8739999999998</v>
          </cell>
          <cell r="H352">
            <v>2913.1400000000003</v>
          </cell>
        </row>
        <row r="354">
          <cell r="B354" t="str">
            <v>NET WORTH</v>
          </cell>
          <cell r="C354">
            <v>535.05200000000002</v>
          </cell>
          <cell r="D354">
            <v>745.69100000000003</v>
          </cell>
          <cell r="E354">
            <v>813.10400000000004</v>
          </cell>
          <cell r="F354">
            <v>713.33999999999992</v>
          </cell>
          <cell r="G354">
            <v>842.072</v>
          </cell>
          <cell r="H354">
            <v>1592.3409999999999</v>
          </cell>
        </row>
        <row r="356">
          <cell r="B356" t="str">
            <v>GROSS BLOCK</v>
          </cell>
          <cell r="C356">
            <v>1006.83</v>
          </cell>
          <cell r="D356">
            <v>1474.41</v>
          </cell>
          <cell r="E356">
            <v>1648.41</v>
          </cell>
          <cell r="F356">
            <v>1687.9490000000001</v>
          </cell>
          <cell r="G356">
            <v>2004.2759999999998</v>
          </cell>
          <cell r="H356">
            <v>2627.8779999999997</v>
          </cell>
        </row>
        <row r="358">
          <cell r="B358" t="str">
            <v>NET BLOCK</v>
          </cell>
          <cell r="C358">
            <v>875.88000000000011</v>
          </cell>
          <cell r="D358">
            <v>1289.27</v>
          </cell>
          <cell r="E358">
            <v>1391.48</v>
          </cell>
          <cell r="F358">
            <v>1037.0590000000002</v>
          </cell>
          <cell r="G358">
            <v>1136.5559999999998</v>
          </cell>
          <cell r="H358">
            <v>1625.1539999999998</v>
          </cell>
        </row>
        <row r="359">
          <cell r="B359">
            <v>0</v>
          </cell>
        </row>
        <row r="360">
          <cell r="B360" t="str">
            <v>DEBT-EQUITY RATIO</v>
          </cell>
          <cell r="C360">
            <v>0.81012686617375484</v>
          </cell>
          <cell r="D360">
            <v>0.71058655663002523</v>
          </cell>
          <cell r="E360">
            <v>0.95699935063657282</v>
          </cell>
          <cell r="F360">
            <v>0.95014999859814397</v>
          </cell>
          <cell r="G360">
            <v>0.79835215991031638</v>
          </cell>
          <cell r="H360">
            <v>0.64047336594360127</v>
          </cell>
        </row>
        <row r="362">
          <cell r="B362" t="str">
            <v>NUMBER OF SHARES</v>
          </cell>
          <cell r="C362">
            <v>2617760</v>
          </cell>
          <cell r="D362">
            <v>2617760</v>
          </cell>
          <cell r="E362">
            <v>2617799.9999999995</v>
          </cell>
          <cell r="F362">
            <v>2495560</v>
          </cell>
          <cell r="G362">
            <v>2459839.9999999995</v>
          </cell>
          <cell r="H362">
            <v>2459840</v>
          </cell>
        </row>
        <row r="364">
          <cell r="B364" t="str">
            <v>BOOK VALUE PER SHARE AT YEAR END</v>
          </cell>
          <cell r="C364">
            <v>20.439306888332009</v>
          </cell>
          <cell r="D364">
            <v>28.485842858016017</v>
          </cell>
          <cell r="E364">
            <v>31.060585224234096</v>
          </cell>
          <cell r="F364">
            <v>28.584365833720682</v>
          </cell>
          <cell r="G364">
            <v>34.232795628984</v>
          </cell>
          <cell r="H364">
            <v>64.733519253284754</v>
          </cell>
        </row>
        <row r="366">
          <cell r="B366" t="str">
            <v>EARNINGS PER SHARE</v>
          </cell>
          <cell r="C366">
            <v>6.3688745339527069</v>
          </cell>
          <cell r="D366">
            <v>5.3231396308293828</v>
          </cell>
          <cell r="E366">
            <v>5.2512033004813237</v>
          </cell>
          <cell r="F366">
            <v>0.28358364455272439</v>
          </cell>
          <cell r="G366">
            <v>8.554548263301692</v>
          </cell>
          <cell r="H366">
            <v>13.833176141537674</v>
          </cell>
        </row>
        <row r="368">
          <cell r="B368" t="str">
            <v>NET SALES PER SHARE</v>
          </cell>
          <cell r="C368">
            <v>108.86009412627591</v>
          </cell>
          <cell r="D368">
            <v>0</v>
          </cell>
          <cell r="E368">
            <v>113.65306746122701</v>
          </cell>
          <cell r="F368">
            <v>0</v>
          </cell>
          <cell r="G368">
            <v>182.83018407701317</v>
          </cell>
          <cell r="H368">
            <v>0</v>
          </cell>
        </row>
        <row r="370">
          <cell r="B370" t="str">
            <v>DIVIDEND PER SHARE</v>
          </cell>
          <cell r="C370">
            <v>1.6674561457123649</v>
          </cell>
          <cell r="D370">
            <v>5.2144517998005168E-3</v>
          </cell>
          <cell r="E370">
            <v>1.5812896325158534</v>
          </cell>
          <cell r="F370">
            <v>2.0554757031301966E-3</v>
          </cell>
          <cell r="G370">
            <v>0.59068882528944988</v>
          </cell>
          <cell r="H370">
            <v>0</v>
          </cell>
        </row>
        <row r="372">
          <cell r="B372" t="str">
            <v>PAY-OUT RATIO</v>
          </cell>
          <cell r="C372">
            <v>0.26181331361186255</v>
          </cell>
          <cell r="D372">
            <v>0.29706412092630491</v>
          </cell>
          <cell r="E372">
            <v>0.10569886371902865</v>
          </cell>
          <cell r="F372">
            <v>0</v>
          </cell>
          <cell r="G372">
            <v>1.5539742296897448E-2</v>
          </cell>
          <cell r="H372">
            <v>0</v>
          </cell>
        </row>
        <row r="374">
          <cell r="B374" t="str">
            <v>CURRENT RATIO</v>
          </cell>
          <cell r="C374">
            <v>1.4091554260469052</v>
          </cell>
          <cell r="D374">
            <v>1.5945967646711539</v>
          </cell>
          <cell r="E374">
            <v>1.6878864054502067</v>
          </cell>
          <cell r="F374">
            <v>2.2985801602065221</v>
          </cell>
          <cell r="G374">
            <v>2.611065033546113</v>
          </cell>
          <cell r="H374">
            <v>3.0768747970323003</v>
          </cell>
        </row>
        <row r="376">
          <cell r="B376" t="str">
            <v>LIQUID RATIO</v>
          </cell>
          <cell r="C376">
            <v>1.0806003352602969</v>
          </cell>
          <cell r="D376">
            <v>1.28975085606329</v>
          </cell>
          <cell r="E376">
            <v>1.4041550540102374</v>
          </cell>
          <cell r="F376">
            <v>1.432781595231768</v>
          </cell>
          <cell r="G376">
            <v>1.5919333817147765</v>
          </cell>
          <cell r="H376">
            <v>1.810209587569634</v>
          </cell>
        </row>
        <row r="377">
          <cell r="B377" t="str">
            <v>EVA (ECONOMIC VALUE ADDITION)</v>
          </cell>
          <cell r="C377" t="e">
            <v>#REF!</v>
          </cell>
          <cell r="D377" t="e">
            <v>#REF!</v>
          </cell>
          <cell r="E377" t="e">
            <v>#REF!</v>
          </cell>
          <cell r="F377" t="e">
            <v>#REF!</v>
          </cell>
          <cell r="G377" t="e">
            <v>#REF!</v>
          </cell>
          <cell r="H377" t="e">
            <v>#REF!</v>
          </cell>
        </row>
        <row r="379">
          <cell r="B379" t="str">
            <v>EVA (% OF CAPITAL EMPLOYED)</v>
          </cell>
          <cell r="C379" t="e">
            <v>#REF!</v>
          </cell>
          <cell r="D379" t="e">
            <v>#REF!</v>
          </cell>
          <cell r="E379" t="e">
            <v>#REF!</v>
          </cell>
          <cell r="F379" t="e">
            <v>#REF!</v>
          </cell>
          <cell r="G379" t="e">
            <v>#REF!</v>
          </cell>
          <cell r="H379" t="e">
            <v>#REF!</v>
          </cell>
        </row>
        <row r="381">
          <cell r="B381" t="str">
            <v>RETURN ON NET WORTH</v>
          </cell>
          <cell r="C381">
            <v>0.31159933987724625</v>
          </cell>
          <cell r="D381">
            <v>0.18686965512524523</v>
          </cell>
          <cell r="E381">
            <v>0.16906324406226025</v>
          </cell>
          <cell r="F381">
            <v>9.9209353183614696E-3</v>
          </cell>
          <cell r="G381">
            <v>0.24989335828765272</v>
          </cell>
          <cell r="H381">
            <v>0.21369417731503515</v>
          </cell>
        </row>
        <row r="383">
          <cell r="B383" t="str">
            <v>FIXED ASSETS  PER SHARE</v>
          </cell>
          <cell r="C383">
            <v>33.459140639325227</v>
          </cell>
          <cell r="D383">
            <v>49.250886253896461</v>
          </cell>
          <cell r="E383">
            <v>53.154557261822916</v>
          </cell>
          <cell r="F383">
            <v>41.556163746814349</v>
          </cell>
          <cell r="G383">
            <v>46.204468583322495</v>
          </cell>
          <cell r="H383">
            <v>66.067467802783909</v>
          </cell>
        </row>
        <row r="386">
          <cell r="B386" t="str">
            <v>=</v>
          </cell>
          <cell r="C386" t="str">
            <v>=</v>
          </cell>
          <cell r="D386" t="str">
            <v>=</v>
          </cell>
          <cell r="E386" t="str">
            <v>=</v>
          </cell>
          <cell r="F386" t="str">
            <v>=</v>
          </cell>
          <cell r="G386" t="str">
            <v>=</v>
          </cell>
          <cell r="H386" t="str">
            <v>=</v>
          </cell>
        </row>
      </sheetData>
      <sheetData sheetId="4" refreshError="1"/>
      <sheetData sheetId="5" refreshError="1"/>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590"/>
      <sheetName val="DEP. CO.ACT 590"/>
      <sheetName val="current ac 590"/>
      <sheetName val="JOB WORK"/>
      <sheetName val="BS_5901"/>
      <sheetName val="DEP__CO_ACT_5901"/>
      <sheetName val="current_ac_5901"/>
      <sheetName val="JOB_WORK1"/>
      <sheetName val="BS_590"/>
      <sheetName val="DEP__CO_ACT_590"/>
      <sheetName val="current_ac_590"/>
      <sheetName val="JOB_WORK"/>
      <sheetName val="BS_5902"/>
      <sheetName val="DEP__CO_ACT_5902"/>
      <sheetName val="current_ac_5902"/>
      <sheetName val="JOB_WORK2"/>
    </sheetNames>
    <sheetDataSet>
      <sheetData sheetId="0" refreshError="1">
        <row r="3">
          <cell r="B3" t="str">
            <v xml:space="preserve">M/S HOTEL ROYAL </v>
          </cell>
        </row>
        <row r="5">
          <cell r="B5" t="str">
            <v xml:space="preserve"> BALANCE SHEET AS ON 30TH SEPTEMBER, 2000</v>
          </cell>
        </row>
        <row r="7">
          <cell r="G7" t="str">
            <v xml:space="preserve">CURRENT </v>
          </cell>
          <cell r="H7" t="str">
            <v>PREVIOUS</v>
          </cell>
        </row>
        <row r="8">
          <cell r="C8" t="str">
            <v>PARTICULARS</v>
          </cell>
          <cell r="F8" t="str">
            <v>SCH</v>
          </cell>
          <cell r="G8" t="str">
            <v>PERIOD</v>
          </cell>
          <cell r="H8" t="str">
            <v>YEAR</v>
          </cell>
        </row>
        <row r="9">
          <cell r="G9" t="str">
            <v>Rupees</v>
          </cell>
          <cell r="H9" t="str">
            <v>Rupees</v>
          </cell>
        </row>
        <row r="11">
          <cell r="B11" t="str">
            <v>I.</v>
          </cell>
          <cell r="C11" t="str">
            <v>SOURCES  OF FUNDS</v>
          </cell>
        </row>
        <row r="13">
          <cell r="C13" t="str">
            <v>Partners Capital</v>
          </cell>
          <cell r="F13" t="str">
            <v>A</v>
          </cell>
          <cell r="G13">
            <v>1000000</v>
          </cell>
          <cell r="H13">
            <v>1000000</v>
          </cell>
        </row>
        <row r="14">
          <cell r="C14" t="str">
            <v>Partners Current Account</v>
          </cell>
          <cell r="F14" t="str">
            <v>B</v>
          </cell>
          <cell r="G14">
            <v>8754452.4597460609</v>
          </cell>
          <cell r="H14">
            <v>8226798.5200000005</v>
          </cell>
        </row>
        <row r="16">
          <cell r="C16" t="str">
            <v>LOAN FUNDS</v>
          </cell>
        </row>
        <row r="17">
          <cell r="C17" t="str">
            <v>Secured Loans</v>
          </cell>
          <cell r="F17" t="str">
            <v>C</v>
          </cell>
          <cell r="G17">
            <v>697051.58000000007</v>
          </cell>
          <cell r="H17">
            <v>302260.44</v>
          </cell>
        </row>
        <row r="18">
          <cell r="C18" t="str">
            <v>Unsecured Loans</v>
          </cell>
          <cell r="F18" t="str">
            <v>D</v>
          </cell>
          <cell r="G18">
            <v>2083568</v>
          </cell>
          <cell r="H18">
            <v>697396.4</v>
          </cell>
        </row>
        <row r="20">
          <cell r="G20">
            <v>12535072.039746061</v>
          </cell>
          <cell r="H20">
            <v>10226455.359999999</v>
          </cell>
        </row>
        <row r="22">
          <cell r="B22" t="str">
            <v>II.</v>
          </cell>
          <cell r="C22" t="str">
            <v>APPLICATION OF FUNDS</v>
          </cell>
        </row>
        <row r="23">
          <cell r="C23" t="str">
            <v>FIXED ASSETS</v>
          </cell>
          <cell r="F23" t="str">
            <v>E</v>
          </cell>
        </row>
        <row r="25">
          <cell r="C25" t="str">
            <v>Gross Block</v>
          </cell>
          <cell r="G25">
            <v>5196699.32</v>
          </cell>
          <cell r="H25">
            <v>4835159.32</v>
          </cell>
        </row>
        <row r="26">
          <cell r="C26" t="str">
            <v>Less: Depreciation</v>
          </cell>
          <cell r="G26">
            <v>172357.19210684934</v>
          </cell>
          <cell r="H26">
            <v>348543</v>
          </cell>
        </row>
        <row r="27">
          <cell r="C27" t="str">
            <v>Net Block</v>
          </cell>
          <cell r="G27">
            <v>5024342.1278931508</v>
          </cell>
          <cell r="H27">
            <v>4486616.32</v>
          </cell>
        </row>
        <row r="29">
          <cell r="C29" t="str">
            <v>Capital Work in Progress</v>
          </cell>
          <cell r="G29">
            <v>4413049</v>
          </cell>
          <cell r="H29">
            <v>2350796</v>
          </cell>
        </row>
        <row r="31">
          <cell r="C31" t="str">
            <v>CURRENT ASSETS, LOANS &amp;  ADVANCES</v>
          </cell>
        </row>
        <row r="33">
          <cell r="C33" t="str">
            <v>A.CURRENT ASSETS</v>
          </cell>
        </row>
        <row r="34">
          <cell r="C34" t="str">
            <v>Sundry Debtors</v>
          </cell>
          <cell r="D34" t="str">
            <v>`</v>
          </cell>
          <cell r="F34" t="str">
            <v>F</v>
          </cell>
          <cell r="G34">
            <v>1452613.64</v>
          </cell>
          <cell r="H34">
            <v>1183026.58</v>
          </cell>
        </row>
        <row r="35">
          <cell r="C35" t="str">
            <v>Cash &amp; Bank Balances</v>
          </cell>
          <cell r="F35" t="str">
            <v>G</v>
          </cell>
          <cell r="G35">
            <v>40240.699999999997</v>
          </cell>
          <cell r="H35">
            <v>138366.25</v>
          </cell>
        </row>
        <row r="37">
          <cell r="C37" t="str">
            <v xml:space="preserve">B. LOANS AND ADVANCES </v>
          </cell>
        </row>
        <row r="38">
          <cell r="C38" t="str">
            <v>Loans &amp; Advances</v>
          </cell>
          <cell r="F38" t="str">
            <v>H</v>
          </cell>
          <cell r="G38">
            <v>2326597.42</v>
          </cell>
          <cell r="H38">
            <v>2295462.06</v>
          </cell>
        </row>
        <row r="40">
          <cell r="G40">
            <v>3819451.76</v>
          </cell>
          <cell r="H40">
            <v>3616854.89</v>
          </cell>
        </row>
        <row r="41">
          <cell r="C41" t="str">
            <v>LESS:  CURRENT LIABILITIES</v>
          </cell>
        </row>
        <row r="42">
          <cell r="C42" t="str">
            <v>&amp; PROVISIONS</v>
          </cell>
        </row>
        <row r="43">
          <cell r="C43" t="str">
            <v>Current Liabilities</v>
          </cell>
          <cell r="F43" t="str">
            <v>I</v>
          </cell>
          <cell r="G43">
            <v>267337.84999999998</v>
          </cell>
          <cell r="H43">
            <v>192311.85</v>
          </cell>
        </row>
        <row r="44">
          <cell r="C44" t="str">
            <v>Provisions</v>
          </cell>
          <cell r="F44" t="str">
            <v>J</v>
          </cell>
          <cell r="G44">
            <v>474433</v>
          </cell>
          <cell r="H44">
            <v>55500</v>
          </cell>
        </row>
        <row r="45">
          <cell r="G45">
            <v>741770.85</v>
          </cell>
          <cell r="H45">
            <v>247811.85</v>
          </cell>
        </row>
        <row r="46">
          <cell r="C46" t="str">
            <v>NET CURRENT ASSETS</v>
          </cell>
          <cell r="G46">
            <v>3077680.9099999997</v>
          </cell>
          <cell r="H46">
            <v>3369043.04</v>
          </cell>
        </row>
        <row r="48">
          <cell r="C48" t="str">
            <v>MISCELLANEOUS EXPENDITURE</v>
          </cell>
        </row>
        <row r="49">
          <cell r="C49" t="str">
            <v>(to the extent not written off or adjusted)</v>
          </cell>
          <cell r="G49">
            <v>20000</v>
          </cell>
          <cell r="H49">
            <v>20000</v>
          </cell>
        </row>
        <row r="51">
          <cell r="G51">
            <v>12535072.03789315</v>
          </cell>
          <cell r="H51">
            <v>10226455.359999999</v>
          </cell>
        </row>
        <row r="53">
          <cell r="G53">
            <v>-1.852910965681076E-3</v>
          </cell>
          <cell r="H53">
            <v>0</v>
          </cell>
        </row>
        <row r="55">
          <cell r="B55" t="str">
            <v>AS PER OUR REPORT OF EVEN DATE</v>
          </cell>
          <cell r="F55" t="str">
            <v xml:space="preserve">                             FOR M/S HOTEL ROYAL</v>
          </cell>
        </row>
        <row r="56">
          <cell r="B56" t="str">
            <v>FOR AJMERA &amp; ASSOCIATES</v>
          </cell>
        </row>
        <row r="57">
          <cell r="B57" t="str">
            <v>CHARTERED ACCOUNTANTS</v>
          </cell>
        </row>
        <row r="60">
          <cell r="B60" t="str">
            <v>PARTNER</v>
          </cell>
          <cell r="D60">
            <v>0</v>
          </cell>
          <cell r="E60">
            <v>0</v>
          </cell>
          <cell r="F60" t="str">
            <v>DIRECTOR</v>
          </cell>
          <cell r="G60" t="str">
            <v xml:space="preserve">          DIRECTOR</v>
          </cell>
        </row>
        <row r="61">
          <cell r="C61">
            <v>0</v>
          </cell>
        </row>
        <row r="62">
          <cell r="C62">
            <v>0</v>
          </cell>
        </row>
        <row r="63">
          <cell r="B63" t="str">
            <v>PLACE : MUMBAI</v>
          </cell>
        </row>
        <row r="64">
          <cell r="B64" t="str">
            <v>DATE   :    /12/2001</v>
          </cell>
        </row>
        <row r="70">
          <cell r="B70" t="str">
            <v xml:space="preserve">M/S HOTEL ROYAL </v>
          </cell>
        </row>
        <row r="72">
          <cell r="B72" t="str">
            <v xml:space="preserve"> PROFIT AND LOSS ACCOUNT FOR THE YEAR ENDED  30TH SEPTEMBER, 2000</v>
          </cell>
        </row>
        <row r="74">
          <cell r="G74" t="str">
            <v xml:space="preserve">CURRENT </v>
          </cell>
          <cell r="H74" t="str">
            <v>PREVIOUS</v>
          </cell>
        </row>
        <row r="75">
          <cell r="C75" t="str">
            <v>PARTICULARS</v>
          </cell>
          <cell r="F75" t="str">
            <v>SCH</v>
          </cell>
          <cell r="G75" t="str">
            <v>PERIOD</v>
          </cell>
          <cell r="H75" t="str">
            <v>YEAR</v>
          </cell>
        </row>
        <row r="76">
          <cell r="G76" t="str">
            <v>Rupees</v>
          </cell>
          <cell r="H76" t="str">
            <v>Rupees</v>
          </cell>
        </row>
        <row r="77">
          <cell r="B77" t="str">
            <v>I</v>
          </cell>
          <cell r="C77" t="str">
            <v>INCOME</v>
          </cell>
        </row>
        <row r="79">
          <cell r="C79" t="str">
            <v>Income from Operations</v>
          </cell>
          <cell r="G79">
            <v>2820865</v>
          </cell>
          <cell r="H79">
            <v>5322840.5</v>
          </cell>
        </row>
        <row r="80">
          <cell r="C80" t="str">
            <v>Other Income</v>
          </cell>
          <cell r="G80">
            <v>244670.5</v>
          </cell>
          <cell r="H80">
            <v>799811.3</v>
          </cell>
        </row>
        <row r="81">
          <cell r="E81" t="str">
            <v xml:space="preserve">TOTAL </v>
          </cell>
          <cell r="G81">
            <v>3065535.5</v>
          </cell>
          <cell r="H81">
            <v>6122651.7999999998</v>
          </cell>
        </row>
        <row r="83">
          <cell r="B83" t="str">
            <v>II</v>
          </cell>
          <cell r="C83" t="str">
            <v>EXPENDITURE</v>
          </cell>
        </row>
        <row r="85">
          <cell r="C85" t="str">
            <v>Payments to &amp; Provision for Employees</v>
          </cell>
          <cell r="F85" t="str">
            <v>K</v>
          </cell>
          <cell r="G85">
            <v>367058.4</v>
          </cell>
          <cell r="H85">
            <v>965216.54999999993</v>
          </cell>
        </row>
        <row r="86">
          <cell r="C86" t="str">
            <v>Administrative &amp; Other Expenses</v>
          </cell>
          <cell r="F86" t="str">
            <v>L</v>
          </cell>
          <cell r="G86">
            <v>1690735.39</v>
          </cell>
          <cell r="H86">
            <v>2746245.9499999997</v>
          </cell>
        </row>
        <row r="87">
          <cell r="C87" t="str">
            <v>Selling &amp; Distribution Expenses</v>
          </cell>
          <cell r="F87" t="str">
            <v>M</v>
          </cell>
          <cell r="G87">
            <v>107351.8</v>
          </cell>
          <cell r="H87">
            <v>75328</v>
          </cell>
        </row>
        <row r="88">
          <cell r="C88" t="str">
            <v>Financial Expenses</v>
          </cell>
          <cell r="F88" t="str">
            <v>N</v>
          </cell>
          <cell r="G88">
            <v>75061.279999999984</v>
          </cell>
          <cell r="H88">
            <v>199916.39</v>
          </cell>
        </row>
        <row r="89">
          <cell r="C89" t="str">
            <v>Depreciation</v>
          </cell>
          <cell r="F89" t="str">
            <v>E</v>
          </cell>
          <cell r="G89">
            <v>172357.19210684934</v>
          </cell>
          <cell r="H89">
            <v>348543</v>
          </cell>
        </row>
        <row r="91">
          <cell r="E91" t="str">
            <v xml:space="preserve">TOTAL </v>
          </cell>
          <cell r="G91">
            <v>2412564.0621068492</v>
          </cell>
          <cell r="H91">
            <v>4335249.8899999997</v>
          </cell>
        </row>
        <row r="93">
          <cell r="B93">
            <v>0</v>
          </cell>
          <cell r="C93" t="str">
            <v>PROFIT BEFORE INTEREST AND REMUNERATION</v>
          </cell>
          <cell r="G93">
            <v>652971.43789315084</v>
          </cell>
          <cell r="H93">
            <v>1787401.9100000001</v>
          </cell>
        </row>
        <row r="94">
          <cell r="C94" t="str">
            <v>Interest on Capital &amp; Current Account</v>
          </cell>
          <cell r="G94">
            <v>593430.77</v>
          </cell>
          <cell r="H94">
            <v>976718</v>
          </cell>
        </row>
        <row r="95">
          <cell r="C95" t="str">
            <v>Remuneration to Partners</v>
          </cell>
          <cell r="G95">
            <v>50000</v>
          </cell>
          <cell r="H95">
            <v>376772</v>
          </cell>
        </row>
        <row r="97">
          <cell r="B97" t="str">
            <v>IV</v>
          </cell>
          <cell r="C97" t="str">
            <v>PROFIT AFTER TAX</v>
          </cell>
          <cell r="G97">
            <v>9540.6678931508213</v>
          </cell>
          <cell r="H97">
            <v>433911.91000000015</v>
          </cell>
        </row>
        <row r="99">
          <cell r="C99" t="str">
            <v>Add: Balance Brought Forward</v>
          </cell>
          <cell r="G99">
            <v>0</v>
          </cell>
          <cell r="H99">
            <v>0</v>
          </cell>
        </row>
        <row r="101">
          <cell r="C101" t="str">
            <v>Balance carried to Balance sheet</v>
          </cell>
          <cell r="G101">
            <v>9540.6678931508213</v>
          </cell>
          <cell r="H101">
            <v>433911.91000000015</v>
          </cell>
        </row>
        <row r="103">
          <cell r="C103" t="str">
            <v>NOTES FORMING PART OF ACCOUNTS</v>
          </cell>
          <cell r="F103" t="str">
            <v>O</v>
          </cell>
        </row>
        <row r="106">
          <cell r="B106" t="str">
            <v>AS PER OUR REPORT OF EVEN DATE</v>
          </cell>
          <cell r="F106" t="str">
            <v xml:space="preserve">                             FOR M/S HOTEL ROYAL</v>
          </cell>
        </row>
        <row r="107">
          <cell r="B107" t="str">
            <v>FOR AJMERA &amp; ASSOCIATES</v>
          </cell>
        </row>
        <row r="108">
          <cell r="B108" t="str">
            <v>CHARTERED ACCOUNTANTS</v>
          </cell>
        </row>
        <row r="111">
          <cell r="C111">
            <v>0</v>
          </cell>
          <cell r="F111" t="str">
            <v>DIRECTOR</v>
          </cell>
          <cell r="G111" t="str">
            <v>DIRECTOR</v>
          </cell>
        </row>
        <row r="112">
          <cell r="B112" t="str">
            <v>PARTNER</v>
          </cell>
        </row>
        <row r="113">
          <cell r="C113">
            <v>0</v>
          </cell>
        </row>
        <row r="114">
          <cell r="B114" t="str">
            <v>PLACE : MUMBAI</v>
          </cell>
        </row>
        <row r="115">
          <cell r="B115" t="str">
            <v>DATE   :   /12/2001</v>
          </cell>
        </row>
        <row r="126">
          <cell r="B126" t="str">
            <v xml:space="preserve">M/S HOTEL ROYAL </v>
          </cell>
        </row>
        <row r="128">
          <cell r="B128" t="str">
            <v>SCHEDULES ANNEXED TO AND FORMING PART OF THE BALANCE SHEET AS ON</v>
          </cell>
        </row>
        <row r="129">
          <cell r="B129" t="str">
            <v>30TH SEPTEMBER.,2000 AND PROFIT AND LOSS ACCOUNT FOR THE PERIOD ENDED ON</v>
          </cell>
        </row>
        <row r="130">
          <cell r="B130" t="str">
            <v>THAT DATE.</v>
          </cell>
        </row>
        <row r="132">
          <cell r="G132" t="str">
            <v xml:space="preserve">CURRENT </v>
          </cell>
          <cell r="H132" t="str">
            <v>PREVIOUS</v>
          </cell>
        </row>
        <row r="133">
          <cell r="G133" t="str">
            <v>PERIOD</v>
          </cell>
          <cell r="H133" t="str">
            <v>YEAR</v>
          </cell>
        </row>
        <row r="134">
          <cell r="C134" t="str">
            <v>PARTICULARS</v>
          </cell>
        </row>
        <row r="135">
          <cell r="G135" t="str">
            <v>Rupees</v>
          </cell>
          <cell r="H135" t="str">
            <v>Rupees</v>
          </cell>
        </row>
        <row r="137">
          <cell r="B137" t="str">
            <v>SCHEDULE "A"</v>
          </cell>
        </row>
        <row r="138">
          <cell r="B138" t="str">
            <v xml:space="preserve">PARTNERS CAPITAL </v>
          </cell>
          <cell r="G138">
            <v>1000000</v>
          </cell>
          <cell r="H138">
            <v>1000000</v>
          </cell>
        </row>
        <row r="140">
          <cell r="G140">
            <v>1000000</v>
          </cell>
          <cell r="H140">
            <v>1000000</v>
          </cell>
        </row>
        <row r="142">
          <cell r="B142" t="str">
            <v>SCHEDULE "B"</v>
          </cell>
        </row>
        <row r="143">
          <cell r="B143" t="str">
            <v>RESERVES AND SURPLUS</v>
          </cell>
        </row>
        <row r="144">
          <cell r="B144" t="str">
            <v>Surplus as per Profit &amp; Loss A/c</v>
          </cell>
          <cell r="G144">
            <v>9540.6678931508213</v>
          </cell>
          <cell r="H144">
            <v>433911.91000000015</v>
          </cell>
        </row>
        <row r="146">
          <cell r="G146">
            <v>9540.6678931508213</v>
          </cell>
          <cell r="H146">
            <v>433911.91000000015</v>
          </cell>
        </row>
        <row r="148">
          <cell r="B148" t="str">
            <v>SCHEDULE "C"</v>
          </cell>
        </row>
        <row r="149">
          <cell r="B149" t="str">
            <v>SECURED LOANS</v>
          </cell>
        </row>
        <row r="151">
          <cell r="B151" t="str">
            <v>Car Loan</v>
          </cell>
        </row>
        <row r="152">
          <cell r="B152" t="str">
            <v xml:space="preserve"> - From ANZ Grindlays</v>
          </cell>
          <cell r="G152">
            <v>254277</v>
          </cell>
          <cell r="H152">
            <v>302260.44</v>
          </cell>
        </row>
        <row r="153">
          <cell r="B153" t="str">
            <v xml:space="preserve"> - From SCB Bank</v>
          </cell>
          <cell r="G153">
            <v>442774.58</v>
          </cell>
          <cell r="H153">
            <v>0</v>
          </cell>
        </row>
        <row r="155">
          <cell r="G155">
            <v>697051.58000000007</v>
          </cell>
          <cell r="H155">
            <v>302260.44</v>
          </cell>
        </row>
        <row r="157">
          <cell r="B157" t="str">
            <v>SCHEDULE "D"</v>
          </cell>
        </row>
        <row r="159">
          <cell r="B159" t="str">
            <v>UNSECURED LOANS</v>
          </cell>
        </row>
        <row r="160">
          <cell r="B160" t="str">
            <v>From Others</v>
          </cell>
          <cell r="G160">
            <v>604931</v>
          </cell>
          <cell r="H160">
            <v>697396.4</v>
          </cell>
        </row>
        <row r="161">
          <cell r="B161" t="str">
            <v>From Sabal Holdings Pvt. Ltd.</v>
          </cell>
          <cell r="G161">
            <v>725658</v>
          </cell>
          <cell r="H161">
            <v>0</v>
          </cell>
        </row>
        <row r="162">
          <cell r="B162" t="str">
            <v>From Ratish Holdings Pvt. Ltd.</v>
          </cell>
          <cell r="G162">
            <v>752979</v>
          </cell>
          <cell r="H162">
            <v>0</v>
          </cell>
        </row>
        <row r="164">
          <cell r="G164">
            <v>2083568</v>
          </cell>
          <cell r="H164">
            <v>697396.4</v>
          </cell>
        </row>
        <row r="167">
          <cell r="B167" t="str">
            <v xml:space="preserve">HOTEL ROYAL(DIV.OF BALAN HOTELS PVT.LTD. </v>
          </cell>
        </row>
        <row r="169">
          <cell r="B169" t="str">
            <v>SCHEDULES ANNEXED TO AND FORMING PART OF THE BALANCE SHEET AS ON</v>
          </cell>
        </row>
        <row r="170">
          <cell r="B170" t="str">
            <v>30TH SEPTEMBER,,2000 AND PROFIT AND LOSS ACCOUNT FOR THE PERIOD ENDED ON</v>
          </cell>
        </row>
        <row r="171">
          <cell r="B171" t="str">
            <v>THAT DATE.</v>
          </cell>
        </row>
        <row r="173">
          <cell r="G173" t="str">
            <v>CURRENT</v>
          </cell>
          <cell r="H173" t="str">
            <v>PREVIOUS</v>
          </cell>
        </row>
        <row r="174">
          <cell r="C174" t="str">
            <v>PARTICULARS</v>
          </cell>
          <cell r="G174" t="str">
            <v>PERIOD</v>
          </cell>
          <cell r="H174" t="str">
            <v>YEAR</v>
          </cell>
        </row>
        <row r="175">
          <cell r="G175" t="str">
            <v>Rupees</v>
          </cell>
          <cell r="H175" t="str">
            <v>Rupees</v>
          </cell>
        </row>
        <row r="176">
          <cell r="B176" t="str">
            <v>SCHEDULE "F"</v>
          </cell>
        </row>
        <row r="178">
          <cell r="B178" t="str">
            <v>SUNDRY DEBTORS</v>
          </cell>
          <cell r="G178">
            <v>1452613.64</v>
          </cell>
          <cell r="H178">
            <v>1183026.58</v>
          </cell>
        </row>
        <row r="179">
          <cell r="B179" t="str">
            <v>(unsecured, considered good)</v>
          </cell>
        </row>
        <row r="181">
          <cell r="G181">
            <v>1452613.64</v>
          </cell>
          <cell r="H181">
            <v>1183026.58</v>
          </cell>
        </row>
        <row r="183">
          <cell r="B183" t="str">
            <v>SCHEDULE "G"</v>
          </cell>
        </row>
        <row r="185">
          <cell r="B185" t="str">
            <v>CASH &amp; BANK BALANCES</v>
          </cell>
        </row>
        <row r="186">
          <cell r="B186" t="str">
            <v>Cash in hand</v>
          </cell>
          <cell r="G186">
            <v>10010.39</v>
          </cell>
          <cell r="H186">
            <v>12904.04</v>
          </cell>
        </row>
        <row r="187">
          <cell r="B187" t="str">
            <v>Balance with Scheduled Bank in</v>
          </cell>
        </row>
        <row r="188">
          <cell r="B188" t="str">
            <v xml:space="preserve">Current account </v>
          </cell>
          <cell r="D188" t="str">
            <v>Bharat Co-op Bank</v>
          </cell>
          <cell r="G188">
            <v>501</v>
          </cell>
          <cell r="H188">
            <v>501</v>
          </cell>
        </row>
        <row r="189">
          <cell r="D189" t="str">
            <v>Nedungadi Bank</v>
          </cell>
          <cell r="G189">
            <v>4873.76</v>
          </cell>
          <cell r="H189">
            <v>4873.76</v>
          </cell>
        </row>
        <row r="190">
          <cell r="D190" t="str">
            <v>Bank Of Madura</v>
          </cell>
          <cell r="G190">
            <v>24855.55</v>
          </cell>
          <cell r="H190">
            <v>120087.45</v>
          </cell>
        </row>
        <row r="192">
          <cell r="G192">
            <v>40240.699999999997</v>
          </cell>
          <cell r="H192">
            <v>138366.25</v>
          </cell>
        </row>
        <row r="195">
          <cell r="B195" t="str">
            <v xml:space="preserve">HOTEL ROYAL(DIV.OF BALAN HOTELS PVT.LTD. </v>
          </cell>
        </row>
        <row r="197">
          <cell r="B197" t="str">
            <v>SCHEDULES ANNEXED TO AND FORMING PART OF THE BALANCE SHEET AS ON</v>
          </cell>
        </row>
        <row r="198">
          <cell r="B198" t="str">
            <v>30TH SEPTEMBER,2000 AND PROFIT AND LOSS ACCOUNT FOR THE PERIOD ENDED ON</v>
          </cell>
        </row>
        <row r="199">
          <cell r="B199" t="str">
            <v>THAT DATE.</v>
          </cell>
        </row>
        <row r="201">
          <cell r="G201" t="str">
            <v>CURRENT</v>
          </cell>
          <cell r="H201" t="str">
            <v>PREVIOUS</v>
          </cell>
        </row>
        <row r="202">
          <cell r="C202" t="str">
            <v>PARTICULARS</v>
          </cell>
          <cell r="G202" t="str">
            <v>PERIOD</v>
          </cell>
          <cell r="H202" t="str">
            <v>YEAR</v>
          </cell>
        </row>
        <row r="203">
          <cell r="G203" t="str">
            <v>Rupees</v>
          </cell>
          <cell r="H203" t="str">
            <v>Rupees</v>
          </cell>
        </row>
        <row r="204">
          <cell r="B204" t="str">
            <v>SCHEDULE "H"</v>
          </cell>
        </row>
        <row r="206">
          <cell r="B206" t="str">
            <v>LOANS &amp; ADVANCES</v>
          </cell>
        </row>
        <row r="207">
          <cell r="B207" t="str">
            <v>(Unsecured, Considered Good, unless otherwise stated)</v>
          </cell>
        </row>
        <row r="208">
          <cell r="B208" t="str">
            <v>Advance recoverable in cash or in kind</v>
          </cell>
          <cell r="G208">
            <v>2043371.42</v>
          </cell>
          <cell r="H208">
            <v>1812179.42</v>
          </cell>
        </row>
        <row r="209">
          <cell r="B209" t="str">
            <v>Security Deposits</v>
          </cell>
          <cell r="G209">
            <v>68520</v>
          </cell>
          <cell r="H209">
            <v>246732.64</v>
          </cell>
        </row>
        <row r="210">
          <cell r="B210" t="str">
            <v>Prepaid Expenses</v>
          </cell>
          <cell r="G210">
            <v>71297</v>
          </cell>
          <cell r="H210">
            <v>0</v>
          </cell>
        </row>
        <row r="211">
          <cell r="B211" t="str">
            <v>Provision Of Income</v>
          </cell>
          <cell r="G211">
            <v>3333</v>
          </cell>
          <cell r="H211">
            <v>0</v>
          </cell>
        </row>
        <row r="212">
          <cell r="B212" t="str">
            <v>Advance Tax and T D S</v>
          </cell>
          <cell r="G212">
            <v>126576</v>
          </cell>
          <cell r="H212">
            <v>236550</v>
          </cell>
        </row>
        <row r="213">
          <cell r="B213" t="str">
            <v>Staff Loan</v>
          </cell>
          <cell r="G213">
            <v>13500</v>
          </cell>
          <cell r="H213">
            <v>0</v>
          </cell>
        </row>
        <row r="215">
          <cell r="G215">
            <v>2326597.42</v>
          </cell>
          <cell r="H215">
            <v>2295462.06</v>
          </cell>
        </row>
        <row r="217">
          <cell r="B217" t="str">
            <v>SCHEDULE "I"</v>
          </cell>
        </row>
        <row r="219">
          <cell r="B219" t="str">
            <v>CURRENT LIABILITIES</v>
          </cell>
        </row>
        <row r="220">
          <cell r="B220" t="str">
            <v>Creditors for Capital Items</v>
          </cell>
          <cell r="G220">
            <v>147365</v>
          </cell>
          <cell r="H220">
            <v>103079</v>
          </cell>
        </row>
        <row r="221">
          <cell r="B221" t="str">
            <v>Creditors for expenses.</v>
          </cell>
          <cell r="G221">
            <v>119972.85</v>
          </cell>
          <cell r="H221">
            <v>89232.85</v>
          </cell>
        </row>
        <row r="223">
          <cell r="G223">
            <v>267337.84999999998</v>
          </cell>
          <cell r="H223">
            <v>192311.85</v>
          </cell>
        </row>
        <row r="225">
          <cell r="B225" t="str">
            <v>SCHEDULE "J"</v>
          </cell>
        </row>
        <row r="227">
          <cell r="B227" t="str">
            <v>PROVISIONS</v>
          </cell>
        </row>
        <row r="228">
          <cell r="B228" t="str">
            <v>Provision for Expenses</v>
          </cell>
          <cell r="G228">
            <v>474433</v>
          </cell>
          <cell r="H228">
            <v>55500</v>
          </cell>
        </row>
        <row r="230">
          <cell r="G230">
            <v>474433</v>
          </cell>
          <cell r="H230">
            <v>55500</v>
          </cell>
        </row>
        <row r="234">
          <cell r="B234" t="str">
            <v xml:space="preserve">HOTEL ROYAL(DIV.OF BALAN HOTELS PVT.LTD. </v>
          </cell>
        </row>
        <row r="236">
          <cell r="B236" t="str">
            <v>SCHEDULES ANNEXED TO AND FORMING PART OF THE BALANCE SHEET AS ON</v>
          </cell>
        </row>
        <row r="237">
          <cell r="B237" t="str">
            <v>30TH SEPTEMBER,2000 AND PROFIT AND LOSS ACCOUNT FOR THE PERIOD ENDED ON</v>
          </cell>
        </row>
        <row r="238">
          <cell r="B238" t="str">
            <v>THAT DATE.</v>
          </cell>
        </row>
        <row r="240">
          <cell r="G240" t="str">
            <v>CURRENT</v>
          </cell>
          <cell r="H240" t="str">
            <v>PREVIOUS</v>
          </cell>
        </row>
        <row r="241">
          <cell r="C241" t="str">
            <v>PARTICULARS</v>
          </cell>
          <cell r="G241" t="str">
            <v>PERIOD</v>
          </cell>
          <cell r="H241" t="str">
            <v>YEAR</v>
          </cell>
        </row>
        <row r="242">
          <cell r="G242" t="str">
            <v>Rupees</v>
          </cell>
          <cell r="H242" t="str">
            <v>Rupees</v>
          </cell>
        </row>
        <row r="244">
          <cell r="B244" t="str">
            <v>SCHEDULE "K"</v>
          </cell>
        </row>
        <row r="246">
          <cell r="B246" t="str">
            <v>PAYMENTS TO &amp; PROVISIONS FOR EMPLOYEES</v>
          </cell>
        </row>
        <row r="247">
          <cell r="B247" t="str">
            <v>Salary, Wages &amp; Bonus</v>
          </cell>
          <cell r="G247">
            <v>208290</v>
          </cell>
          <cell r="H247">
            <v>558181.6</v>
          </cell>
        </row>
        <row r="248">
          <cell r="B248" t="str">
            <v>Contribution to ESIC Fund</v>
          </cell>
          <cell r="G248">
            <v>9544.4</v>
          </cell>
          <cell r="H248">
            <v>32209.75</v>
          </cell>
        </row>
        <row r="249">
          <cell r="B249" t="str">
            <v>Contribution to P.F</v>
          </cell>
          <cell r="G249">
            <v>33858</v>
          </cell>
          <cell r="H249">
            <v>130786</v>
          </cell>
        </row>
        <row r="250">
          <cell r="B250" t="str">
            <v>Staff Meals</v>
          </cell>
          <cell r="G250">
            <v>79434</v>
          </cell>
          <cell r="H250">
            <v>187399</v>
          </cell>
        </row>
        <row r="251">
          <cell r="B251" t="str">
            <v>Leave Salary &amp; Gratuity</v>
          </cell>
          <cell r="G251">
            <v>22467</v>
          </cell>
          <cell r="H251">
            <v>42870</v>
          </cell>
        </row>
        <row r="252">
          <cell r="B252" t="str">
            <v>Cash Handling expenses</v>
          </cell>
          <cell r="G252">
            <v>10113</v>
          </cell>
          <cell r="H252">
            <v>12000</v>
          </cell>
        </row>
        <row r="253">
          <cell r="B253" t="str">
            <v>Life Insurance of Employees</v>
          </cell>
          <cell r="G253">
            <v>3222</v>
          </cell>
          <cell r="H253">
            <v>0</v>
          </cell>
        </row>
        <row r="254">
          <cell r="B254" t="str">
            <v>Profession Tax</v>
          </cell>
          <cell r="G254">
            <v>130</v>
          </cell>
          <cell r="H254">
            <v>1770.2</v>
          </cell>
        </row>
        <row r="256">
          <cell r="G256">
            <v>367058.4</v>
          </cell>
          <cell r="H256">
            <v>965216.54999999993</v>
          </cell>
        </row>
        <row r="258">
          <cell r="B258" t="str">
            <v>SCHEDULE "L"</v>
          </cell>
        </row>
        <row r="260">
          <cell r="B260" t="str">
            <v>ADMINISTRATIVE &amp; OTHER EXPENSES</v>
          </cell>
        </row>
        <row r="261">
          <cell r="B261" t="str">
            <v>Rent, Rates &amp; Taxes</v>
          </cell>
          <cell r="G261">
            <v>188235.64</v>
          </cell>
          <cell r="H261">
            <v>275279</v>
          </cell>
        </row>
        <row r="262">
          <cell r="B262" t="str">
            <v>Traveling &amp; Conveyance</v>
          </cell>
          <cell r="G262">
            <v>22517.5</v>
          </cell>
          <cell r="H262">
            <v>62786</v>
          </cell>
        </row>
        <row r="263">
          <cell r="B263" t="str">
            <v>Insurance</v>
          </cell>
          <cell r="G263">
            <v>6893</v>
          </cell>
          <cell r="H263">
            <v>103590</v>
          </cell>
        </row>
        <row r="264">
          <cell r="B264" t="str">
            <v>Postage, Telephone &amp; Telegrams</v>
          </cell>
          <cell r="G264">
            <v>111111.5</v>
          </cell>
          <cell r="H264">
            <v>78786</v>
          </cell>
        </row>
        <row r="265">
          <cell r="B265" t="str">
            <v>Printing &amp; Stationary</v>
          </cell>
          <cell r="G265">
            <v>42246.25</v>
          </cell>
          <cell r="H265">
            <v>56772.2</v>
          </cell>
        </row>
        <row r="266">
          <cell r="B266" t="str">
            <v>Newspaper and Periodicals</v>
          </cell>
          <cell r="G266">
            <v>25738.6</v>
          </cell>
          <cell r="H266">
            <v>46299.35</v>
          </cell>
        </row>
        <row r="267">
          <cell r="B267" t="str">
            <v>Electricity Charges</v>
          </cell>
          <cell r="G267">
            <v>706281</v>
          </cell>
          <cell r="H267">
            <v>932861</v>
          </cell>
        </row>
        <row r="268">
          <cell r="B268" t="str">
            <v>Laundry Charges</v>
          </cell>
          <cell r="G268">
            <v>56167</v>
          </cell>
          <cell r="H268">
            <v>114778</v>
          </cell>
        </row>
        <row r="269">
          <cell r="B269" t="str">
            <v>Vehicle Expenses</v>
          </cell>
          <cell r="G269">
            <v>87097</v>
          </cell>
          <cell r="H269">
            <v>142165</v>
          </cell>
        </row>
        <row r="270">
          <cell r="B270" t="str">
            <v>Professional &amp; Consultancy charges</v>
          </cell>
          <cell r="G270">
            <v>3617</v>
          </cell>
          <cell r="H270">
            <v>87200</v>
          </cell>
        </row>
        <row r="271">
          <cell r="B271" t="str">
            <v>Audit fees</v>
          </cell>
          <cell r="G271">
            <v>0</v>
          </cell>
          <cell r="H271">
            <v>10500</v>
          </cell>
        </row>
        <row r="272">
          <cell r="B272" t="str">
            <v>Staff Welfare Expenses</v>
          </cell>
          <cell r="G272">
            <v>38302.65</v>
          </cell>
          <cell r="H272">
            <v>62066.55</v>
          </cell>
        </row>
        <row r="273">
          <cell r="B273" t="str">
            <v>House Keeping Expenses</v>
          </cell>
          <cell r="G273">
            <v>135838.25</v>
          </cell>
          <cell r="H273">
            <v>322056.34999999998</v>
          </cell>
        </row>
        <row r="274">
          <cell r="B274" t="str">
            <v>Repair &amp; Maintainence</v>
          </cell>
          <cell r="G274">
            <v>208964</v>
          </cell>
          <cell r="H274">
            <v>341955</v>
          </cell>
        </row>
        <row r="275">
          <cell r="B275" t="str">
            <v>Mansoon Shed Expenses</v>
          </cell>
          <cell r="G275">
            <v>0</v>
          </cell>
          <cell r="H275">
            <v>66840</v>
          </cell>
        </row>
        <row r="276">
          <cell r="B276" t="str">
            <v>Miscellaneous Expenses</v>
          </cell>
          <cell r="G276">
            <v>29198</v>
          </cell>
          <cell r="H276">
            <v>29447</v>
          </cell>
        </row>
        <row r="277">
          <cell r="B277" t="str">
            <v>Office Expenses</v>
          </cell>
          <cell r="G277">
            <v>28528</v>
          </cell>
          <cell r="H277">
            <v>12864.5</v>
          </cell>
        </row>
        <row r="279">
          <cell r="G279">
            <v>1690735.39</v>
          </cell>
          <cell r="H279">
            <v>2746245.9499999997</v>
          </cell>
        </row>
        <row r="282">
          <cell r="B282" t="str">
            <v xml:space="preserve">HOTEL ROYAL(DIV.OF BALAN HOTELS PVT.LTD. </v>
          </cell>
        </row>
        <row r="284">
          <cell r="B284" t="str">
            <v>SCHEDULES ANNEXED TO AND FORMING PART OF THE BALANCE SHEET AS AT</v>
          </cell>
        </row>
        <row r="285">
          <cell r="B285" t="str">
            <v>30TH SEPTEMBER ,2000 AND PROFIT AND LOSS ACCOUNT FOR THE PERIOD ENDED ON</v>
          </cell>
        </row>
        <row r="286">
          <cell r="B286" t="str">
            <v>THAT DATE.</v>
          </cell>
        </row>
        <row r="288">
          <cell r="G288" t="str">
            <v>CURRENT</v>
          </cell>
          <cell r="H288" t="str">
            <v>PREVIOUS</v>
          </cell>
        </row>
        <row r="289">
          <cell r="C289" t="str">
            <v>PARTICULARS</v>
          </cell>
          <cell r="G289" t="str">
            <v>PERIOD</v>
          </cell>
          <cell r="H289" t="str">
            <v>YEAR</v>
          </cell>
        </row>
        <row r="290">
          <cell r="G290" t="str">
            <v>Rupees</v>
          </cell>
          <cell r="H290" t="str">
            <v>Rupees</v>
          </cell>
        </row>
        <row r="292">
          <cell r="B292" t="str">
            <v>SCHEDULE "M"</v>
          </cell>
        </row>
        <row r="294">
          <cell r="B294" t="str">
            <v>SELLING &amp; DISTRIBUTION EXPENSES</v>
          </cell>
        </row>
        <row r="295">
          <cell r="B295" t="str">
            <v>Business Promotion</v>
          </cell>
          <cell r="G295">
            <v>19049</v>
          </cell>
          <cell r="H295">
            <v>10597</v>
          </cell>
        </row>
        <row r="296">
          <cell r="B296" t="str">
            <v xml:space="preserve">Credit Card Commission </v>
          </cell>
          <cell r="G296">
            <v>22607.8</v>
          </cell>
          <cell r="H296">
            <v>42570</v>
          </cell>
        </row>
        <row r="297">
          <cell r="B297" t="str">
            <v>Cash Discount on Sales</v>
          </cell>
          <cell r="G297">
            <v>63194</v>
          </cell>
          <cell r="H297">
            <v>0</v>
          </cell>
        </row>
        <row r="298">
          <cell r="B298" t="str">
            <v>Advertisement</v>
          </cell>
          <cell r="G298">
            <v>2501</v>
          </cell>
          <cell r="H298">
            <v>22161</v>
          </cell>
        </row>
        <row r="299">
          <cell r="G299">
            <v>107351.8</v>
          </cell>
          <cell r="H299">
            <v>75328</v>
          </cell>
        </row>
        <row r="301">
          <cell r="B301" t="str">
            <v>SCHEDULE "N"</v>
          </cell>
        </row>
        <row r="303">
          <cell r="B303" t="str">
            <v>FINANCIAL EXPENSES</v>
          </cell>
        </row>
        <row r="304">
          <cell r="B304" t="str">
            <v>Interest on Loan</v>
          </cell>
        </row>
        <row r="305">
          <cell r="B305" t="str">
            <v>- From ANZ Grindlays &amp; SCB</v>
          </cell>
          <cell r="G305">
            <v>30391.14</v>
          </cell>
          <cell r="H305">
            <v>74448.39</v>
          </cell>
        </row>
        <row r="307">
          <cell r="B307" t="str">
            <v>Interest on Unsecured Loan</v>
          </cell>
        </row>
        <row r="308">
          <cell r="B308" t="str">
            <v>-From Others</v>
          </cell>
          <cell r="G308">
            <v>43587.6</v>
          </cell>
          <cell r="H308">
            <v>114197</v>
          </cell>
        </row>
        <row r="309">
          <cell r="B309" t="str">
            <v>Bank charges</v>
          </cell>
          <cell r="G309">
            <v>1082.54</v>
          </cell>
          <cell r="H309">
            <v>11271</v>
          </cell>
        </row>
        <row r="311">
          <cell r="G311">
            <v>75061.279999999984</v>
          </cell>
          <cell r="H311">
            <v>199916.39</v>
          </cell>
        </row>
        <row r="315">
          <cell r="B315" t="str">
            <v xml:space="preserve">HOTEL ROYAL(DIV.OF BALAN HOTELS PVT.LTD. </v>
          </cell>
        </row>
        <row r="317">
          <cell r="B317" t="str">
            <v xml:space="preserve">GROUPING FORMING PART OF THE BALANCE SHEET AND </v>
          </cell>
        </row>
        <row r="318">
          <cell r="B318" t="str">
            <v>PROFIT AND LOSS ACCOUNTS FOR THE PERIOD 30.09.2000</v>
          </cell>
        </row>
        <row r="321">
          <cell r="B321" t="str">
            <v>DETAILS OF LOAN</v>
          </cell>
        </row>
        <row r="323">
          <cell r="B323" t="str">
            <v>Balan And Associates</v>
          </cell>
          <cell r="G323">
            <v>160576.9</v>
          </cell>
        </row>
        <row r="324">
          <cell r="B324" t="str">
            <v>Premji Nagda</v>
          </cell>
          <cell r="G324">
            <v>67381.5</v>
          </cell>
        </row>
        <row r="325">
          <cell r="B325" t="str">
            <v>Yogesh Siney</v>
          </cell>
          <cell r="G325">
            <v>231394.6</v>
          </cell>
        </row>
        <row r="326">
          <cell r="B326" t="str">
            <v>Sanjay Agarwal</v>
          </cell>
        </row>
        <row r="327">
          <cell r="B327" t="str">
            <v>Madhuben Chedda</v>
          </cell>
          <cell r="G327">
            <v>145578</v>
          </cell>
        </row>
        <row r="329">
          <cell r="G329">
            <v>604931</v>
          </cell>
        </row>
        <row r="331">
          <cell r="B331" t="str">
            <v>CREDITORS FOR EXPENSES</v>
          </cell>
        </row>
        <row r="333">
          <cell r="B333" t="str">
            <v>VMS Audit fees</v>
          </cell>
          <cell r="G333">
            <v>24250</v>
          </cell>
        </row>
        <row r="334">
          <cell r="B334" t="str">
            <v>TDS</v>
          </cell>
          <cell r="G334">
            <v>81122.850000000006</v>
          </cell>
        </row>
        <row r="335">
          <cell r="B335" t="str">
            <v>VMS Professional Fees</v>
          </cell>
          <cell r="G335">
            <v>14600</v>
          </cell>
        </row>
        <row r="336">
          <cell r="B336" t="str">
            <v>Jaspal Premi - Gratuity</v>
          </cell>
        </row>
        <row r="338">
          <cell r="G338">
            <v>119972.85</v>
          </cell>
        </row>
        <row r="340">
          <cell r="B340" t="str">
            <v>TDS</v>
          </cell>
        </row>
        <row r="341">
          <cell r="B341" t="str">
            <v>TDS on Salary</v>
          </cell>
          <cell r="G341">
            <v>1500</v>
          </cell>
        </row>
        <row r="342">
          <cell r="B342" t="str">
            <v>TDS on Interest</v>
          </cell>
          <cell r="G342">
            <v>65249.85</v>
          </cell>
        </row>
        <row r="343">
          <cell r="B343" t="str">
            <v>TDS on Contractors</v>
          </cell>
          <cell r="G343">
            <v>14373</v>
          </cell>
        </row>
        <row r="345">
          <cell r="G345">
            <v>81122.850000000006</v>
          </cell>
        </row>
        <row r="347">
          <cell r="B347" t="str">
            <v>PROVISION FOR EXPENSES</v>
          </cell>
        </row>
        <row r="348">
          <cell r="B348" t="str">
            <v>Water Tax</v>
          </cell>
          <cell r="G348">
            <v>58953</v>
          </cell>
        </row>
        <row r="349">
          <cell r="B349" t="str">
            <v>Staff Meals</v>
          </cell>
          <cell r="G349">
            <v>4301</v>
          </cell>
        </row>
        <row r="350">
          <cell r="B350" t="str">
            <v>Property Tax</v>
          </cell>
          <cell r="G350">
            <v>31671</v>
          </cell>
        </row>
        <row r="351">
          <cell r="B351" t="str">
            <v>Luxury Tax</v>
          </cell>
          <cell r="G351">
            <v>107037</v>
          </cell>
        </row>
        <row r="352">
          <cell r="B352" t="str">
            <v>Providend Fund</v>
          </cell>
          <cell r="G352">
            <v>3429</v>
          </cell>
        </row>
        <row r="353">
          <cell r="B353" t="str">
            <v>ESIC</v>
          </cell>
          <cell r="G353">
            <v>10643</v>
          </cell>
        </row>
        <row r="354">
          <cell r="B354" t="str">
            <v>Life Insurance</v>
          </cell>
          <cell r="G354">
            <v>5592</v>
          </cell>
        </row>
        <row r="355">
          <cell r="B355" t="str">
            <v>A.C.Maintainence</v>
          </cell>
          <cell r="G355">
            <v>17933</v>
          </cell>
        </row>
        <row r="356">
          <cell r="B356" t="str">
            <v xml:space="preserve">Newspaper </v>
          </cell>
          <cell r="G356">
            <v>2819</v>
          </cell>
        </row>
        <row r="357">
          <cell r="B357" t="str">
            <v>Cable T.V.Charge</v>
          </cell>
          <cell r="G357">
            <v>500</v>
          </cell>
        </row>
        <row r="358">
          <cell r="B358" t="str">
            <v>PF Consultancy</v>
          </cell>
          <cell r="G358">
            <v>117</v>
          </cell>
        </row>
        <row r="359">
          <cell r="B359" t="str">
            <v>Audit Fees</v>
          </cell>
          <cell r="G359">
            <v>16650</v>
          </cell>
        </row>
        <row r="360">
          <cell r="B360" t="str">
            <v>Vehicle Maintainence</v>
          </cell>
          <cell r="G360">
            <v>9688</v>
          </cell>
        </row>
        <row r="361">
          <cell r="B361" t="str">
            <v>Cash Handling Expenses</v>
          </cell>
          <cell r="G361">
            <v>113</v>
          </cell>
        </row>
        <row r="362">
          <cell r="B362" t="str">
            <v>Salaries</v>
          </cell>
          <cell r="G362">
            <v>6146</v>
          </cell>
        </row>
        <row r="363">
          <cell r="B363" t="str">
            <v>Electricity</v>
          </cell>
          <cell r="G363">
            <v>128455</v>
          </cell>
        </row>
        <row r="364">
          <cell r="B364" t="str">
            <v>Laundry</v>
          </cell>
          <cell r="G364">
            <v>7253</v>
          </cell>
        </row>
        <row r="365">
          <cell r="B365" t="str">
            <v>Printing &amp; Stationery</v>
          </cell>
          <cell r="G365">
            <v>12245</v>
          </cell>
        </row>
        <row r="366">
          <cell r="B366" t="str">
            <v>Telephone</v>
          </cell>
          <cell r="G366">
            <v>47728</v>
          </cell>
        </row>
        <row r="367">
          <cell r="B367" t="str">
            <v>Professional Tax</v>
          </cell>
          <cell r="G367">
            <v>3160</v>
          </cell>
        </row>
        <row r="369">
          <cell r="G369">
            <v>474433</v>
          </cell>
        </row>
        <row r="371">
          <cell r="B371" t="str">
            <v>LOANS AND ADVANCES</v>
          </cell>
        </row>
        <row r="373">
          <cell r="B373" t="str">
            <v>A.V.Balan</v>
          </cell>
          <cell r="G373">
            <v>1903062.5</v>
          </cell>
        </row>
        <row r="374">
          <cell r="B374" t="str">
            <v>Mrs. Savitha M.</v>
          </cell>
          <cell r="G374">
            <v>125308.92</v>
          </cell>
        </row>
        <row r="375">
          <cell r="B375" t="str">
            <v>Kismat Ltd</v>
          </cell>
          <cell r="G375">
            <v>15000</v>
          </cell>
        </row>
        <row r="377">
          <cell r="G377">
            <v>2043371.42</v>
          </cell>
        </row>
        <row r="379">
          <cell r="B379" t="str">
            <v>SECURITY DEPOSITS</v>
          </cell>
        </row>
        <row r="380">
          <cell r="B380" t="str">
            <v>Security deposit</v>
          </cell>
          <cell r="G380">
            <v>23000</v>
          </cell>
        </row>
        <row r="381">
          <cell r="B381" t="str">
            <v xml:space="preserve">Maruti Booking </v>
          </cell>
          <cell r="G381">
            <v>5000</v>
          </cell>
        </row>
        <row r="382">
          <cell r="B382" t="str">
            <v>Electricity Deposit</v>
          </cell>
          <cell r="G382">
            <v>38320</v>
          </cell>
        </row>
        <row r="383">
          <cell r="B383" t="str">
            <v>Gas Deposit</v>
          </cell>
          <cell r="G383">
            <v>2200</v>
          </cell>
        </row>
        <row r="385">
          <cell r="G385">
            <v>68520</v>
          </cell>
        </row>
        <row r="390">
          <cell r="B390" t="str">
            <v xml:space="preserve">HOTEL ROYAL(DIV.OF BALAN HOTELS PVT.LTD. </v>
          </cell>
        </row>
        <row r="392">
          <cell r="B392" t="str">
            <v xml:space="preserve">GROUPING FORMING PART OF THE BALANCE SHEET AND </v>
          </cell>
        </row>
        <row r="393">
          <cell r="B393" t="str">
            <v>PROFIT AND LOSS ACCOUNTS FOR THE PERIOD 30.09.2000</v>
          </cell>
        </row>
        <row r="397">
          <cell r="B397" t="str">
            <v>RENT RATES &amp; TAXES</v>
          </cell>
        </row>
        <row r="399">
          <cell r="B399" t="str">
            <v>Water Tax</v>
          </cell>
          <cell r="G399">
            <v>58953</v>
          </cell>
        </row>
        <row r="400">
          <cell r="B400" t="str">
            <v>Property Tax</v>
          </cell>
          <cell r="G400">
            <v>65753</v>
          </cell>
        </row>
        <row r="401">
          <cell r="B401" t="str">
            <v>Luxury Tax</v>
          </cell>
          <cell r="G401">
            <v>62091.64</v>
          </cell>
        </row>
        <row r="402">
          <cell r="B402" t="str">
            <v>Maharashtra Labour Welfare</v>
          </cell>
          <cell r="G402">
            <v>438</v>
          </cell>
        </row>
        <row r="403">
          <cell r="B403" t="str">
            <v>Legal Charges</v>
          </cell>
          <cell r="G403">
            <v>1000</v>
          </cell>
        </row>
        <row r="405">
          <cell r="G405">
            <v>188235.64</v>
          </cell>
        </row>
        <row r="407">
          <cell r="B407" t="str">
            <v>HOUSE KEEPING EXPENSES</v>
          </cell>
        </row>
        <row r="408">
          <cell r="B408" t="str">
            <v>Cable T.V. Charge</v>
          </cell>
          <cell r="G408">
            <v>6500</v>
          </cell>
        </row>
        <row r="409">
          <cell r="B409" t="str">
            <v>House Keeping Expense</v>
          </cell>
          <cell r="G409">
            <v>129338.25</v>
          </cell>
        </row>
        <row r="411">
          <cell r="G411">
            <v>135838.25</v>
          </cell>
        </row>
        <row r="413">
          <cell r="B413" t="str">
            <v>REPAIR &amp; MAINTAINENCE</v>
          </cell>
        </row>
        <row r="414">
          <cell r="B414" t="str">
            <v>Repair &amp; Maintainence</v>
          </cell>
          <cell r="G414">
            <v>20639</v>
          </cell>
        </row>
        <row r="415">
          <cell r="B415" t="str">
            <v>Monsoon Shed</v>
          </cell>
          <cell r="G415">
            <v>52252</v>
          </cell>
        </row>
        <row r="416">
          <cell r="B416" t="str">
            <v>A.C. Maintainence</v>
          </cell>
          <cell r="G416">
            <v>114733</v>
          </cell>
        </row>
        <row r="417">
          <cell r="B417" t="str">
            <v>Computer Maintainence</v>
          </cell>
          <cell r="G417">
            <v>14880</v>
          </cell>
        </row>
        <row r="418">
          <cell r="B418" t="str">
            <v>EPABX Maintainence</v>
          </cell>
          <cell r="G418">
            <v>6460</v>
          </cell>
        </row>
        <row r="420">
          <cell r="G420">
            <v>208964</v>
          </cell>
        </row>
        <row r="422">
          <cell r="B422" t="str">
            <v>OFFICE EXPENSES</v>
          </cell>
        </row>
        <row r="423">
          <cell r="B423" t="str">
            <v>Office Expenses</v>
          </cell>
          <cell r="G423">
            <v>24891</v>
          </cell>
        </row>
        <row r="424">
          <cell r="B424" t="str">
            <v>Membership &amp; Subscription</v>
          </cell>
          <cell r="G424">
            <v>3637</v>
          </cell>
        </row>
        <row r="426">
          <cell r="G426">
            <v>28528</v>
          </cell>
        </row>
      </sheetData>
      <sheetData sheetId="1">
        <row r="27">
          <cell r="F27">
            <v>5196699.32</v>
          </cell>
        </row>
      </sheetData>
      <sheetData sheetId="2">
        <row r="25">
          <cell r="E25">
            <v>8226798.5200000005</v>
          </cell>
        </row>
      </sheetData>
      <sheetData sheetId="3" refreshError="1"/>
      <sheetData sheetId="4">
        <row r="3">
          <cell r="B3" t="str">
            <v xml:space="preserve">M/S HOTEL ROYAL </v>
          </cell>
        </row>
      </sheetData>
      <sheetData sheetId="5">
        <row r="27">
          <cell r="F27">
            <v>5196699.32</v>
          </cell>
        </row>
      </sheetData>
      <sheetData sheetId="6">
        <row r="25">
          <cell r="E25">
            <v>8226798.5200000005</v>
          </cell>
        </row>
      </sheetData>
      <sheetData sheetId="7"/>
      <sheetData sheetId="8">
        <row r="3">
          <cell r="B3" t="str">
            <v xml:space="preserve">M/S HOTEL ROYAL </v>
          </cell>
        </row>
      </sheetData>
      <sheetData sheetId="9">
        <row r="27">
          <cell r="F27">
            <v>5196699.32</v>
          </cell>
        </row>
      </sheetData>
      <sheetData sheetId="10">
        <row r="25">
          <cell r="E25">
            <v>8226798.5200000005</v>
          </cell>
        </row>
      </sheetData>
      <sheetData sheetId="11"/>
      <sheetData sheetId="12">
        <row r="3">
          <cell r="B3" t="str">
            <v xml:space="preserve">M/S HOTEL ROYAL </v>
          </cell>
        </row>
      </sheetData>
      <sheetData sheetId="13">
        <row r="27">
          <cell r="F27">
            <v>5196699.32</v>
          </cell>
        </row>
      </sheetData>
      <sheetData sheetId="14">
        <row r="25">
          <cell r="E25">
            <v>8226798.5200000005</v>
          </cell>
        </row>
      </sheetData>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ding"/>
      <sheetName val="Diff. Accounts"/>
      <sheetName val="BS&amp;PLA"/>
      <sheetName val="suppliers"/>
      <sheetName val="nav 05 06"/>
      <sheetName val="NRP02"/>
      <sheetName val="NRP 01"/>
      <sheetName val="Def. Tax"/>
      <sheetName val="FBT"/>
      <sheetName val="Annexure II (FBT)"/>
      <sheetName val="3CD "/>
      <sheetName val="TB"/>
      <sheetName val="BS&amp;PLA "/>
      <sheetName val="COMP. "/>
      <sheetName val="F.goods"/>
      <sheetName val="Grey Stock"/>
      <sheetName val="Stock working"/>
      <sheetName val="Monthwise"/>
      <sheetName val="Manuf. grey"/>
      <sheetName val="Yarn purchased"/>
      <sheetName val="Co. Dep."/>
      <sheetName val="ANN-B"/>
      <sheetName val="IT- DEP"/>
      <sheetName val="ANN-C"/>
      <sheetName val="ANN-D"/>
      <sheetName val="ANN-E"/>
      <sheetName val="unsecured"/>
      <sheetName val="ANN-F"/>
      <sheetName val="Sheet1"/>
      <sheetName val="ANN-G"/>
      <sheetName val="Debtors"/>
      <sheetName val="creditors"/>
      <sheetName val="Diff__Accounts1"/>
      <sheetName val="nav_05_061"/>
      <sheetName val="NRP_011"/>
      <sheetName val="Def__Tax1"/>
      <sheetName val="Annexure_II_(FBT)1"/>
      <sheetName val="3CD_1"/>
      <sheetName val="BS&amp;PLA_1"/>
      <sheetName val="COMP__1"/>
      <sheetName val="F_goods1"/>
      <sheetName val="Grey_Stock1"/>
      <sheetName val="Stock_working1"/>
      <sheetName val="Manuf__grey1"/>
      <sheetName val="Yarn_purchased1"/>
      <sheetName val="Co__Dep_1"/>
      <sheetName val="IT-_DEP1"/>
      <sheetName val="Diff__Accounts"/>
      <sheetName val="nav_05_06"/>
      <sheetName val="NRP_01"/>
      <sheetName val="Def__Tax"/>
      <sheetName val="Annexure_II_(FBT)"/>
      <sheetName val="3CD_"/>
      <sheetName val="BS&amp;PLA_"/>
      <sheetName val="COMP__"/>
      <sheetName val="F_goods"/>
      <sheetName val="Grey_Stock"/>
      <sheetName val="Stock_working"/>
      <sheetName val="Manuf__grey"/>
      <sheetName val="Yarn_purchased"/>
      <sheetName val="Co__Dep_"/>
      <sheetName val="IT-_DEP"/>
      <sheetName val="Diff__Accounts2"/>
      <sheetName val="nav_05_062"/>
      <sheetName val="NRP_012"/>
      <sheetName val="Def__Tax2"/>
      <sheetName val="Annexure_II_(FBT)2"/>
      <sheetName val="3CD_2"/>
      <sheetName val="BS&amp;PLA_2"/>
      <sheetName val="COMP__2"/>
      <sheetName val="F_goods2"/>
      <sheetName val="Grey_Stock2"/>
      <sheetName val="Stock_working2"/>
      <sheetName val="Manuf__grey2"/>
      <sheetName val="Yarn_purchased2"/>
      <sheetName val="Co__Dep_2"/>
      <sheetName val="IT-_DE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mp;PLA"/>
      <sheetName val="computation"/>
      <sheetName val="Sheet2"/>
      <sheetName val="IT- DEP"/>
      <sheetName val="fixed assets"/>
      <sheetName val="BS 590"/>
      <sheetName val="IT-_DEP1"/>
      <sheetName val="fixed_assets1"/>
      <sheetName val="BS_5901"/>
      <sheetName val="IT-_DEP"/>
      <sheetName val="fixed_assets"/>
      <sheetName val="BS_590"/>
      <sheetName val="IT-_DEP2"/>
      <sheetName val="fixed_assets2"/>
      <sheetName val="BS_5902"/>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it97"/>
      <sheetName val="DEPIT979"/>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x-M"/>
      <sheetName val="Anx-N"/>
      <sheetName val="Anx_M"/>
      <sheetName val="City List"/>
      <sheetName val="TRIAL BALANCE"/>
      <sheetName val="Sheet1"/>
      <sheetName val="Detail Grouping"/>
      <sheetName val="TB"/>
      <sheetName val="Assumptions"/>
      <sheetName val="Pu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ted Parties"/>
      <sheetName val="P&amp;L"/>
      <sheetName val="BS"/>
      <sheetName val="VARIANCE ANALYSIS "/>
      <sheetName val="Sch 1-4"/>
      <sheetName val="Sch-5"/>
      <sheetName val="Sch-6-11"/>
      <sheetName val="Sch 12 &amp;13"/>
      <sheetName val="P&amp;L Sch 14-16"/>
      <sheetName val="P&amp;L Sch 17-19"/>
      <sheetName val="Data Entry"/>
      <sheetName val="TRIAL BALANCE (2)"/>
      <sheetName val="TRIAL BALANCE"/>
      <sheetName val="TB Download"/>
      <sheetName val="TBdownload-2002"/>
      <sheetName val="CC wise Download"/>
      <sheetName val="SIF P&amp;L BS"/>
      <sheetName val="SIF P&amp;L"/>
      <sheetName val="SIF Workings"/>
      <sheetName val="SIF Results Back up"/>
      <sheetName val="PROVISIONS"/>
      <sheetName val="Pl-Incl"/>
      <sheetName val="pl-Excl"/>
      <sheetName val="sch-I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tnal"/>
      <sheetName val="HONOTE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Bsheet &amp; P&amp; L "/>
      <sheetName val="depreciation"/>
      <sheetName val="comp31.3.02"/>
      <sheetName val="P&amp;L  Mar31.3.02"/>
      <sheetName val="80IB +80HHC  31.3.02"/>
      <sheetName val="80IB+80 HHC"/>
      <sheetName val="compu-gau"/>
      <sheetName val="Sheet1"/>
      <sheetName val="BS &amp; Pr &amp; Loss (2)"/>
      <sheetName val="Stock Reco."/>
      <sheetName val="ratios"/>
      <sheetName val="final__Bsheet_&amp;_P&amp;_L_1"/>
      <sheetName val="comp31_3_021"/>
      <sheetName val="P&amp;L__Mar31_3_021"/>
      <sheetName val="80IB_+80HHC__31_3_021"/>
      <sheetName val="80IB+80_HHC1"/>
      <sheetName val="BS_&amp;_Pr_&amp;_Loss_(2)1"/>
      <sheetName val="Stock_Reco_1"/>
      <sheetName val="final__Bsheet_&amp;_P&amp;_L_"/>
      <sheetName val="comp31_3_02"/>
      <sheetName val="P&amp;L__Mar31_3_02"/>
      <sheetName val="80IB_+80HHC__31_3_02"/>
      <sheetName val="80IB+80_HHC"/>
      <sheetName val="BS_&amp;_Pr_&amp;_Loss_(2)"/>
      <sheetName val="Stock_Reco_"/>
      <sheetName val="final__Bsheet_&amp;_P&amp;_L_2"/>
      <sheetName val="comp31_3_022"/>
      <sheetName val="P&amp;L__Mar31_3_022"/>
      <sheetName val="80IB_+80HHC__31_3_022"/>
      <sheetName val="80IB+80_HHC2"/>
      <sheetName val="BS_&amp;_Pr_&amp;_Loss_(2)2"/>
      <sheetName val="Stock_Reco_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_Gains"/>
      <sheetName val="Sheet1"/>
    </sheetNames>
    <sheetDataSet>
      <sheetData sheetId="0"/>
      <sheetData sheetId="1">
        <row r="1">
          <cell r="A1" t="str">
            <v>N/A</v>
          </cell>
          <cell r="B1" t="str">
            <v>Aarti Industries Ltd.</v>
          </cell>
          <cell r="C1" t="str">
            <v>Residential</v>
          </cell>
        </row>
        <row r="2">
          <cell r="A2" t="str">
            <v>No</v>
          </cell>
          <cell r="B2" t="str">
            <v>Aban Loyd Chiles Offshore Ltd.</v>
          </cell>
          <cell r="C2" t="str">
            <v>Other</v>
          </cell>
        </row>
        <row r="3">
          <cell r="A3" t="str">
            <v>Yes</v>
          </cell>
          <cell r="B3" t="str">
            <v>Abbott India Ltd.</v>
          </cell>
          <cell r="C3" t="str">
            <v>Shares/Units</v>
          </cell>
        </row>
        <row r="4">
          <cell r="B4" t="str">
            <v>Adani Exports Ltd.</v>
          </cell>
          <cell r="C4" t="str">
            <v>Land</v>
          </cell>
        </row>
        <row r="5">
          <cell r="B5" t="str">
            <v>AFT Industries Ltd.</v>
          </cell>
          <cell r="C5" t="str">
            <v>Debentures</v>
          </cell>
        </row>
        <row r="6">
          <cell r="B6" t="str">
            <v>Aftek Infosys Ltd.</v>
          </cell>
        </row>
        <row r="7">
          <cell r="B7" t="str">
            <v>Agro Dutch Industries Ltd.</v>
          </cell>
        </row>
        <row r="8">
          <cell r="B8" t="str">
            <v>Agro Tech Foods Ltd.</v>
          </cell>
        </row>
        <row r="9">
          <cell r="B9" t="str">
            <v>Ahmedabad Electricity Co.Ltd.</v>
          </cell>
        </row>
        <row r="10">
          <cell r="B10" t="str">
            <v>Ajanta Pharma Ltd.</v>
          </cell>
        </row>
        <row r="11">
          <cell r="B11" t="str">
            <v>Aksh Optifibre Ltd.</v>
          </cell>
        </row>
        <row r="12">
          <cell r="B12" t="str">
            <v>Albright &amp; Wilson Chemicals India Ltd.</v>
          </cell>
        </row>
        <row r="13">
          <cell r="B13" t="str">
            <v>Alembic Ltd.</v>
          </cell>
        </row>
        <row r="14">
          <cell r="B14" t="str">
            <v>Alfa Laval (India) Ltd.</v>
          </cell>
        </row>
        <row r="15">
          <cell r="B15" t="str">
            <v>Alps Industries Ltd.</v>
          </cell>
        </row>
        <row r="16">
          <cell r="B16" t="str">
            <v>Alstom Ltd.</v>
          </cell>
        </row>
        <row r="17">
          <cell r="B17" t="str">
            <v>Alstom Power India Ltd.</v>
          </cell>
        </row>
        <row r="18">
          <cell r="B18" t="str">
            <v>Amara Raja Batteries Ltd.</v>
          </cell>
        </row>
        <row r="19">
          <cell r="B19" t="str">
            <v>Ambalal Sarabhai Enterprise Ltd.</v>
          </cell>
        </row>
        <row r="20">
          <cell r="B20" t="str">
            <v>Amtrex Hitachi Appliances Ltd.</v>
          </cell>
        </row>
        <row r="21">
          <cell r="B21" t="str">
            <v>Andhra Bank</v>
          </cell>
        </row>
        <row r="22">
          <cell r="B22" t="str">
            <v>Apollo Hospitals Enterprises Ltd.</v>
          </cell>
        </row>
        <row r="23">
          <cell r="B23" t="str">
            <v>Apollo Tyres Ltd.</v>
          </cell>
        </row>
        <row r="24">
          <cell r="B24" t="str">
            <v>Archies Greetings &amp; Gifts Ltd.</v>
          </cell>
        </row>
        <row r="25">
          <cell r="B25" t="str">
            <v>Arvind Mills Ltd.</v>
          </cell>
        </row>
        <row r="26">
          <cell r="B26" t="str">
            <v>Asea Brown Boveri Ltd.</v>
          </cell>
        </row>
        <row r="27">
          <cell r="B27" t="str">
            <v>Ashima Ltd.</v>
          </cell>
        </row>
        <row r="28">
          <cell r="B28" t="str">
            <v>Ashok Leyland Finance Ltd.</v>
          </cell>
        </row>
        <row r="29">
          <cell r="B29" t="str">
            <v>Ashok Leyland Ltd.</v>
          </cell>
        </row>
        <row r="30">
          <cell r="B30" t="str">
            <v>Asian Hotels Ltd.</v>
          </cell>
        </row>
        <row r="31">
          <cell r="B31" t="str">
            <v>Asian Paints (India) Ltd.</v>
          </cell>
        </row>
        <row r="32">
          <cell r="B32" t="str">
            <v>Assam Company Ltd.</v>
          </cell>
        </row>
        <row r="33">
          <cell r="B33" t="str">
            <v>Associated Cement Cos. Ltd.</v>
          </cell>
        </row>
        <row r="34">
          <cell r="B34" t="str">
            <v>AstraZeneca Pharma India Ltd.</v>
          </cell>
        </row>
        <row r="35">
          <cell r="B35" t="str">
            <v>Atcom Technologies Ltd.</v>
          </cell>
        </row>
        <row r="36">
          <cell r="B36" t="str">
            <v>Atlas Copco (India) Ltd.</v>
          </cell>
        </row>
        <row r="37">
          <cell r="B37" t="str">
            <v>Atul Ltd.</v>
          </cell>
        </row>
        <row r="38">
          <cell r="B38" t="str">
            <v>Aurobindo Pharma Ltd.</v>
          </cell>
        </row>
        <row r="39">
          <cell r="B39" t="str">
            <v>Automotive Axles Ltd.</v>
          </cell>
        </row>
        <row r="40">
          <cell r="B40" t="str">
            <v>Aventis Crop Science India Ltd.</v>
          </cell>
        </row>
        <row r="41">
          <cell r="B41" t="str">
            <v>Aventis Pharma Ltd.</v>
          </cell>
        </row>
        <row r="42">
          <cell r="B42" t="str">
            <v>Avon Organics Ltd.</v>
          </cell>
        </row>
        <row r="43">
          <cell r="B43" t="str">
            <v>Aztec Software and Technolgy Services Ltd.</v>
          </cell>
        </row>
        <row r="44">
          <cell r="B44" t="str">
            <v>Bajaj Auto Finance Ltd.</v>
          </cell>
        </row>
        <row r="45">
          <cell r="B45" t="str">
            <v>Bajaj Auto Ltd.</v>
          </cell>
        </row>
        <row r="46">
          <cell r="B46" t="str">
            <v>Bajaj Hindustan Ltd.</v>
          </cell>
        </row>
        <row r="47">
          <cell r="B47" t="str">
            <v>Balaji Distilleries Ltd.</v>
          </cell>
        </row>
        <row r="48">
          <cell r="B48" t="str">
            <v>Balaji Telefilms Ltd.</v>
          </cell>
        </row>
        <row r="49">
          <cell r="B49" t="str">
            <v>Ballarpur Industries Ltd.</v>
          </cell>
        </row>
        <row r="50">
          <cell r="B50" t="str">
            <v>Balrampur Chini Mills Ltd.</v>
          </cell>
        </row>
        <row r="51">
          <cell r="B51" t="str">
            <v>Bank Of Baroda</v>
          </cell>
        </row>
        <row r="52">
          <cell r="B52" t="str">
            <v>Bank of India</v>
          </cell>
        </row>
        <row r="53">
          <cell r="B53" t="str">
            <v>Bank Of Punjab Ltd.</v>
          </cell>
        </row>
        <row r="54">
          <cell r="B54" t="str">
            <v>Bannari Amman Sugars Ltd.</v>
          </cell>
        </row>
        <row r="55">
          <cell r="B55" t="str">
            <v>BASF India Ltd.</v>
          </cell>
        </row>
        <row r="56">
          <cell r="B56" t="str">
            <v>Bata India Ltd.</v>
          </cell>
        </row>
        <row r="57">
          <cell r="B57" t="str">
            <v>Bayer (India) Ltd.</v>
          </cell>
        </row>
        <row r="58">
          <cell r="B58" t="str">
            <v>Bayer ABS Ltd.</v>
          </cell>
        </row>
        <row r="59">
          <cell r="B59" t="str">
            <v>Berger Paints India Ltd.</v>
          </cell>
        </row>
        <row r="60">
          <cell r="B60" t="str">
            <v>Bharat Earth Movers Ltd.</v>
          </cell>
        </row>
        <row r="61">
          <cell r="B61" t="str">
            <v>Bharat Electronics Ltd.</v>
          </cell>
        </row>
        <row r="62">
          <cell r="B62" t="str">
            <v>Bharat Forge Ltd.</v>
          </cell>
        </row>
        <row r="63">
          <cell r="B63" t="str">
            <v>Bharat Heavy Electricals Ltd.</v>
          </cell>
        </row>
        <row r="64">
          <cell r="B64" t="str">
            <v>Bharat Petroleum Corpn. Ltd.</v>
          </cell>
        </row>
        <row r="65">
          <cell r="B65" t="str">
            <v>Bharti Tele-Ventures Ltd.</v>
          </cell>
        </row>
        <row r="66">
          <cell r="B66" t="str">
            <v>Bhartiya International Ltd.</v>
          </cell>
        </row>
        <row r="67">
          <cell r="B67" t="str">
            <v>Bhushan Steel &amp; Strips Ltd.</v>
          </cell>
        </row>
        <row r="68">
          <cell r="B68" t="str">
            <v>Binani Industries Ltd.</v>
          </cell>
        </row>
        <row r="69">
          <cell r="B69" t="str">
            <v>Birla 3M Ltd.</v>
          </cell>
        </row>
        <row r="70">
          <cell r="B70" t="str">
            <v>Birla Corporation Ltd.</v>
          </cell>
        </row>
        <row r="71">
          <cell r="B71" t="str">
            <v>Birla Ericsson Opticaal Ltd.</v>
          </cell>
        </row>
        <row r="72">
          <cell r="B72" t="str">
            <v>Birla Global Finance Ltd.</v>
          </cell>
        </row>
        <row r="73">
          <cell r="B73" t="str">
            <v>Blow Plast Ltd.</v>
          </cell>
        </row>
        <row r="74">
          <cell r="B74" t="str">
            <v>Blue Dart Express Ltd.</v>
          </cell>
        </row>
        <row r="75">
          <cell r="B75" t="str">
            <v>Blue Star Ltd.</v>
          </cell>
        </row>
        <row r="76">
          <cell r="B76" t="str">
            <v>BOC India Ltd.</v>
          </cell>
        </row>
        <row r="77">
          <cell r="B77" t="str">
            <v>Bombay Burmah Trading Corpn. Ltd.</v>
          </cell>
        </row>
        <row r="78">
          <cell r="B78" t="str">
            <v>Bombay Dyeing &amp; Mfg. Co. Ltd.</v>
          </cell>
        </row>
        <row r="79">
          <cell r="B79" t="str">
            <v>BPL Ltd.</v>
          </cell>
        </row>
        <row r="80">
          <cell r="B80" t="str">
            <v>Britannia Industries Ltd.</v>
          </cell>
        </row>
        <row r="81">
          <cell r="B81" t="str">
            <v>BSES Ltd.</v>
          </cell>
        </row>
        <row r="82">
          <cell r="B82" t="str">
            <v>Burroughs Wellcome (India) Ltd.</v>
          </cell>
        </row>
        <row r="83">
          <cell r="B83" t="str">
            <v>Cadila Healthcare Ltd.</v>
          </cell>
        </row>
        <row r="84">
          <cell r="B84" t="str">
            <v>Carborundum Universal Ltd.</v>
          </cell>
        </row>
        <row r="85">
          <cell r="B85" t="str">
            <v>Carrier Aircon Ltd.</v>
          </cell>
        </row>
        <row r="86">
          <cell r="B86" t="str">
            <v>Castrol India Ltd.</v>
          </cell>
        </row>
        <row r="87">
          <cell r="B87" t="str">
            <v>Ceat Ltd.</v>
          </cell>
        </row>
        <row r="88">
          <cell r="B88" t="str">
            <v>Centurion Bank Ltd.</v>
          </cell>
        </row>
        <row r="89">
          <cell r="B89" t="str">
            <v>Century Enka Ltd.</v>
          </cell>
        </row>
        <row r="90">
          <cell r="B90" t="str">
            <v>Century Textiles &amp; Industries Ltd.</v>
          </cell>
        </row>
        <row r="91">
          <cell r="B91" t="str">
            <v>CESC Ltd.</v>
          </cell>
        </row>
        <row r="92">
          <cell r="B92" t="str">
            <v>CG Igarashi Motars Ltd.</v>
          </cell>
        </row>
        <row r="93">
          <cell r="B93" t="str">
            <v>Chambal Fertilisers &amp; Chemicals Ltd.</v>
          </cell>
        </row>
        <row r="94">
          <cell r="B94" t="str">
            <v>Chemplast Sanmar Ltd.</v>
          </cell>
        </row>
        <row r="95">
          <cell r="B95" t="str">
            <v>Chennai Petroleum Corporation Ltd.</v>
          </cell>
        </row>
        <row r="96">
          <cell r="B96" t="str">
            <v>Ciba Speciality Chemicals (India) Ltd.</v>
          </cell>
        </row>
        <row r="97">
          <cell r="B97" t="str">
            <v>Cinevistaas Ltd</v>
          </cell>
        </row>
        <row r="98">
          <cell r="B98" t="str">
            <v>Cipla Ltd.</v>
          </cell>
        </row>
        <row r="99">
          <cell r="B99" t="str">
            <v>Clariant (India) Ltd.</v>
          </cell>
        </row>
        <row r="100">
          <cell r="B100" t="str">
            <v>CMC Ltd.</v>
          </cell>
        </row>
        <row r="101">
          <cell r="B101" t="str">
            <v>Coates of India Ltd.</v>
          </cell>
        </row>
        <row r="102">
          <cell r="B102" t="str">
            <v>Colgate-Palmolive (India) Ltd.</v>
          </cell>
        </row>
        <row r="103">
          <cell r="B103" t="str">
            <v>Colour Chem Ltd.</v>
          </cell>
        </row>
        <row r="104">
          <cell r="B104" t="str">
            <v>Computech International Ltd.</v>
          </cell>
        </row>
        <row r="105">
          <cell r="B105" t="str">
            <v>Container Corporation Of India Ltd.</v>
          </cell>
        </row>
        <row r="106">
          <cell r="B106" t="str">
            <v>Core Healthcare Ltd.</v>
          </cell>
        </row>
        <row r="107">
          <cell r="B107" t="str">
            <v>Corporation Bank</v>
          </cell>
        </row>
        <row r="108">
          <cell r="B108" t="str">
            <v>Credit Rating Information Services</v>
          </cell>
        </row>
        <row r="109">
          <cell r="B109" t="str">
            <v>Crest Communications Ltd.</v>
          </cell>
        </row>
        <row r="110">
          <cell r="B110" t="str">
            <v>Crompton Greaves Ltd.</v>
          </cell>
        </row>
        <row r="111">
          <cell r="B111" t="str">
            <v>Cummins India Ltd.</v>
          </cell>
        </row>
        <row r="112">
          <cell r="B112" t="str">
            <v>Cybertech Systems and Software Ltd.</v>
          </cell>
        </row>
        <row r="113">
          <cell r="B113" t="str">
            <v>Dabur India Ltd.</v>
          </cell>
        </row>
        <row r="114">
          <cell r="B114" t="str">
            <v>Daewoo Motors India Ltd.</v>
          </cell>
        </row>
        <row r="115">
          <cell r="B115" t="str">
            <v>Dalmia Cement (Bharat) Ltd.</v>
          </cell>
        </row>
        <row r="116">
          <cell r="B116" t="str">
            <v>Deepak Fertilizers &amp;Petrochemicals</v>
          </cell>
        </row>
        <row r="117">
          <cell r="B117" t="str">
            <v>Dena Bank</v>
          </cell>
        </row>
        <row r="118">
          <cell r="B118" t="str">
            <v>Digital Globalsoft Ltd.</v>
          </cell>
        </row>
        <row r="119">
          <cell r="B119" t="str">
            <v>Dr. Reddys Laboratories Ltd.</v>
          </cell>
        </row>
        <row r="120">
          <cell r="B120" t="str">
            <v>Dredging Corporation of India Ltd.</v>
          </cell>
        </row>
        <row r="121">
          <cell r="B121" t="str">
            <v>DSQ Software Ltd.</v>
          </cell>
        </row>
        <row r="122">
          <cell r="B122" t="str">
            <v>Duphar-Interfran Ltd.</v>
          </cell>
        </row>
        <row r="123">
          <cell r="B123" t="str">
            <v>E.I.D. Parry (India) Ltd.</v>
          </cell>
        </row>
        <row r="124">
          <cell r="B124" t="str">
            <v>Eicher Motors Ltd.</v>
          </cell>
        </row>
        <row r="125">
          <cell r="B125" t="str">
            <v>EIH Ltd.</v>
          </cell>
        </row>
        <row r="126">
          <cell r="B126" t="str">
            <v>Elbee Services Ltd.</v>
          </cell>
        </row>
        <row r="127">
          <cell r="B127" t="str">
            <v>Elder Pharmaceuticals Ltd.</v>
          </cell>
        </row>
        <row r="128">
          <cell r="B128" t="str">
            <v>Electrolux Kelvinator Ltd.</v>
          </cell>
        </row>
        <row r="129">
          <cell r="B129" t="str">
            <v>Electrosteel Castings Ltd.</v>
          </cell>
        </row>
        <row r="130">
          <cell r="B130" t="str">
            <v>Elgi Equipments Ltd.</v>
          </cell>
        </row>
        <row r="131">
          <cell r="B131" t="str">
            <v>EMCO Ltd.</v>
          </cell>
        </row>
        <row r="132">
          <cell r="B132" t="str">
            <v>Engineers India Ltd.</v>
          </cell>
        </row>
        <row r="133">
          <cell r="B133" t="str">
            <v>Esab India Ltd.</v>
          </cell>
        </row>
        <row r="134">
          <cell r="B134" t="str">
            <v>Escorts Ltd.</v>
          </cell>
        </row>
        <row r="135">
          <cell r="B135" t="str">
            <v>e-Serve International Ltd.</v>
          </cell>
        </row>
        <row r="136">
          <cell r="B136" t="str">
            <v>Eskay KnIT (India) Ltd.</v>
          </cell>
        </row>
        <row r="137">
          <cell r="B137" t="str">
            <v>Essar Oil Ltd.</v>
          </cell>
        </row>
        <row r="138">
          <cell r="B138" t="str">
            <v>Essar Shipping Ltd.</v>
          </cell>
        </row>
        <row r="139">
          <cell r="B139" t="str">
            <v>Essar Steel Ltd.</v>
          </cell>
        </row>
        <row r="140">
          <cell r="B140" t="str">
            <v>Essel Propack Ltd.</v>
          </cell>
        </row>
        <row r="141">
          <cell r="B141" t="str">
            <v>ETC Networks Ltd.</v>
          </cell>
        </row>
        <row r="142">
          <cell r="B142" t="str">
            <v>Eveready Industries India Ltd.</v>
          </cell>
        </row>
        <row r="143">
          <cell r="B143" t="str">
            <v>Excell Industries Ltd.</v>
          </cell>
        </row>
        <row r="144">
          <cell r="B144" t="str">
            <v>Exide Industries Ltd.</v>
          </cell>
        </row>
        <row r="145">
          <cell r="B145" t="str">
            <v>Fag Bearings India Ltd.</v>
          </cell>
        </row>
        <row r="146">
          <cell r="B146" t="str">
            <v>FCL Technologies &amp; Products Ltd.</v>
          </cell>
        </row>
        <row r="147">
          <cell r="B147" t="str">
            <v>FDC Ltd.</v>
          </cell>
        </row>
        <row r="148">
          <cell r="B148" t="str">
            <v>Federal Bank Ltd.</v>
          </cell>
        </row>
        <row r="149">
          <cell r="B149" t="str">
            <v>Finolex Cables Ltd.</v>
          </cell>
        </row>
        <row r="150">
          <cell r="B150" t="str">
            <v>Finolex Industries Ltd.</v>
          </cell>
        </row>
        <row r="151">
          <cell r="B151" t="str">
            <v>Flex Industries Ltd.</v>
          </cell>
        </row>
        <row r="152">
          <cell r="B152" t="str">
            <v>Floatglass India Ltd.</v>
          </cell>
        </row>
        <row r="153">
          <cell r="B153" t="str">
            <v>Forbes Gokak Ltd.</v>
          </cell>
        </row>
        <row r="154">
          <cell r="B154" t="str">
            <v>Foseco India Ltd.</v>
          </cell>
        </row>
        <row r="155">
          <cell r="B155" t="str">
            <v>Fulford (India) Ltd.</v>
          </cell>
        </row>
        <row r="156">
          <cell r="B156" t="str">
            <v>Gail (India) Ltd.</v>
          </cell>
        </row>
        <row r="157">
          <cell r="B157" t="str">
            <v>Gammon India Ltd.</v>
          </cell>
        </row>
        <row r="158">
          <cell r="B158" t="str">
            <v>Geometric Software Solutions Co.Ltd.</v>
          </cell>
        </row>
        <row r="159">
          <cell r="B159" t="str">
            <v>George Williamson (Assam)</v>
          </cell>
        </row>
        <row r="160">
          <cell r="B160" t="str">
            <v>German Remedies Ltd.</v>
          </cell>
        </row>
        <row r="161">
          <cell r="B161" t="str">
            <v>Gillette India Ltd.</v>
          </cell>
        </row>
        <row r="162">
          <cell r="B162" t="str">
            <v>GlaxoSmithkline Consumer Healthcare Ltd.</v>
          </cell>
        </row>
        <row r="163">
          <cell r="B163" t="str">
            <v>GlaxoSmithKline Pharmaceuticals Ltd.</v>
          </cell>
        </row>
        <row r="164">
          <cell r="B164" t="str">
            <v>Glenmark Pharmaceuticals Ltd.</v>
          </cell>
        </row>
        <row r="165">
          <cell r="B165" t="str">
            <v>Global Trust Bank Ltd.</v>
          </cell>
        </row>
        <row r="166">
          <cell r="B166" t="str">
            <v>Godfrey Phillips India Ltd.</v>
          </cell>
        </row>
        <row r="167">
          <cell r="B167" t="str">
            <v>Godrej Consumer Products Ltd.</v>
          </cell>
        </row>
        <row r="168">
          <cell r="B168" t="str">
            <v>Godrej Industries Ltd.</v>
          </cell>
        </row>
        <row r="169">
          <cell r="B169" t="str">
            <v>Goetze (India) Ltd.</v>
          </cell>
        </row>
        <row r="170">
          <cell r="B170" t="str">
            <v>Goldiam International Ltd.</v>
          </cell>
        </row>
        <row r="171">
          <cell r="B171" t="str">
            <v>Goodlass Nerolac Paints Ltd.</v>
          </cell>
        </row>
        <row r="172">
          <cell r="B172" t="str">
            <v>Goodricke Group Ltd.</v>
          </cell>
        </row>
        <row r="173">
          <cell r="B173" t="str">
            <v>Goodyear India Ltd.</v>
          </cell>
        </row>
        <row r="174">
          <cell r="B174" t="str">
            <v>Grasim Industries Ltd.</v>
          </cell>
        </row>
        <row r="175">
          <cell r="B175" t="str">
            <v>Great Eastern Shipping Co. Ltd.</v>
          </cell>
        </row>
        <row r="176">
          <cell r="B176" t="str">
            <v>Greaves Ltd.</v>
          </cell>
        </row>
        <row r="177">
          <cell r="B177" t="str">
            <v>Grindwell Norton Ltd.</v>
          </cell>
        </row>
        <row r="178">
          <cell r="B178" t="str">
            <v>GTL Ltd.</v>
          </cell>
        </row>
        <row r="179">
          <cell r="B179" t="str">
            <v>Gujarat Alkalis &amp; Chemicals Ltd.</v>
          </cell>
        </row>
        <row r="180">
          <cell r="B180" t="str">
            <v>Gujarat Ambuja Cements Ltd.</v>
          </cell>
        </row>
        <row r="181">
          <cell r="B181" t="str">
            <v>Gujarat Fluorochemicals Ltd.</v>
          </cell>
        </row>
        <row r="182">
          <cell r="B182" t="str">
            <v>Gujarat Gas Co. Ltd.</v>
          </cell>
        </row>
        <row r="183">
          <cell r="B183" t="str">
            <v>Gujarat Heavy Chemicals Ltd.</v>
          </cell>
        </row>
        <row r="184">
          <cell r="B184" t="str">
            <v>Gujarat Industries Power Co. Ltd.</v>
          </cell>
        </row>
        <row r="185">
          <cell r="B185" t="str">
            <v>Gujarat Mineral Development Corporation</v>
          </cell>
        </row>
        <row r="186">
          <cell r="B186" t="str">
            <v>Gujarat Narmada Valley Fert.Co.Ltd.</v>
          </cell>
        </row>
        <row r="187">
          <cell r="B187" t="str">
            <v>Gujarat Sidhee Cement Ltd.</v>
          </cell>
        </row>
        <row r="188">
          <cell r="B188" t="str">
            <v>Gujarat State Fertilizers &amp; Chem.Ltd.</v>
          </cell>
        </row>
        <row r="189">
          <cell r="B189" t="str">
            <v>Havells India Ltd.</v>
          </cell>
        </row>
        <row r="190">
          <cell r="B190" t="str">
            <v>HCL Infosystems Ltd.</v>
          </cell>
        </row>
        <row r="191">
          <cell r="B191" t="str">
            <v>HCL Technologies Ltd.</v>
          </cell>
        </row>
        <row r="192">
          <cell r="B192" t="str">
            <v>HDFC Bank Ltd.</v>
          </cell>
        </row>
        <row r="193">
          <cell r="B193" t="str">
            <v>HEG Ltd.</v>
          </cell>
        </row>
        <row r="194">
          <cell r="B194" t="str">
            <v>Henkel Spic India Ltd.</v>
          </cell>
        </row>
        <row r="195">
          <cell r="B195" t="str">
            <v>Hero Honda Motors Ltd.</v>
          </cell>
        </row>
        <row r="196">
          <cell r="B196" t="str">
            <v>Hikal Ltd.</v>
          </cell>
        </row>
        <row r="197">
          <cell r="B197" t="str">
            <v>Himachal Futuristic Communications</v>
          </cell>
        </row>
        <row r="198">
          <cell r="B198" t="str">
            <v>Himatsingka Seide Ltd.</v>
          </cell>
        </row>
        <row r="199">
          <cell r="B199" t="str">
            <v>Hind Lever Chemicals Ltd.</v>
          </cell>
        </row>
        <row r="200">
          <cell r="B200" t="str">
            <v>Hindalco Industries Ltd.</v>
          </cell>
        </row>
        <row r="201">
          <cell r="B201" t="str">
            <v>Hindustan Construction Co. Ltd.</v>
          </cell>
        </row>
        <row r="202">
          <cell r="B202" t="str">
            <v>Hindustan Inks &amp; Resins Ltd.</v>
          </cell>
        </row>
        <row r="203">
          <cell r="B203" t="str">
            <v>Hindustan Lever Ltd.</v>
          </cell>
        </row>
        <row r="204">
          <cell r="B204" t="str">
            <v>Hindustan Motors Ltd.</v>
          </cell>
        </row>
        <row r="205">
          <cell r="B205" t="str">
            <v>Hindustan Oil Exploration Co. Ltd.</v>
          </cell>
        </row>
        <row r="206">
          <cell r="B206" t="str">
            <v>Hindustan Organic Chemicals Ltd.</v>
          </cell>
        </row>
        <row r="207">
          <cell r="B207" t="str">
            <v>Hindustan Petroleum Corporation Ltd.</v>
          </cell>
        </row>
        <row r="208">
          <cell r="B208" t="str">
            <v>Hindustan Powerplus Ltd.</v>
          </cell>
        </row>
        <row r="209">
          <cell r="B209" t="str">
            <v>Hindustan Sanitaryware &amp; Industries</v>
          </cell>
        </row>
        <row r="210">
          <cell r="B210" t="str">
            <v>Hindustan Zinc Ltd.</v>
          </cell>
        </row>
        <row r="211">
          <cell r="B211" t="str">
            <v>HMT Ltd.</v>
          </cell>
        </row>
        <row r="212">
          <cell r="B212" t="str">
            <v>Honda Siel Power Products Ltd.</v>
          </cell>
        </row>
        <row r="213">
          <cell r="B213" t="str">
            <v>Hotel Leela Venture Ltd.</v>
          </cell>
        </row>
        <row r="214">
          <cell r="B214" t="str">
            <v>Housing Development Finance Corp.Lt</v>
          </cell>
        </row>
        <row r="215">
          <cell r="B215" t="str">
            <v>Hughes Software Systems Ltd.</v>
          </cell>
        </row>
        <row r="216">
          <cell r="B216" t="str">
            <v>IBP Co. Ltd.</v>
          </cell>
        </row>
        <row r="217">
          <cell r="B217" t="str">
            <v>ICI India Ltd.</v>
          </cell>
        </row>
        <row r="218">
          <cell r="B218" t="str">
            <v>ICICI Bank Ltd.</v>
          </cell>
        </row>
        <row r="219">
          <cell r="B219" t="str">
            <v>IDBI Bank Ltd.</v>
          </cell>
        </row>
        <row r="220">
          <cell r="B220" t="str">
            <v>IFCI Ltd.</v>
          </cell>
        </row>
        <row r="221">
          <cell r="B221" t="str">
            <v>India Cements Ltd.</v>
          </cell>
        </row>
        <row r="222">
          <cell r="B222" t="str">
            <v>India Glycols Ltd.</v>
          </cell>
        </row>
        <row r="223">
          <cell r="B223" t="str">
            <v>India Gypsum Ltd.</v>
          </cell>
        </row>
        <row r="224">
          <cell r="B224" t="str">
            <v>Indian Aluminium Co. Ltd.</v>
          </cell>
        </row>
        <row r="225">
          <cell r="B225" t="str">
            <v>Indian Hotels Co. Ltd.</v>
          </cell>
        </row>
        <row r="226">
          <cell r="B226" t="str">
            <v>Indian Oil Corporation Ltd.</v>
          </cell>
        </row>
        <row r="227">
          <cell r="B227" t="str">
            <v>Indian Overseas Bank</v>
          </cell>
        </row>
        <row r="228">
          <cell r="B228" t="str">
            <v>Indian Petrochemicals Corpn. Ltd.</v>
          </cell>
        </row>
        <row r="229">
          <cell r="B229" t="str">
            <v>Indian Rayon &amp; Industries Ltd.</v>
          </cell>
        </row>
        <row r="230">
          <cell r="B230" t="str">
            <v>Indo Gulf Corporation Ltd.</v>
          </cell>
        </row>
        <row r="231">
          <cell r="B231" t="str">
            <v>Indo National Ltd.</v>
          </cell>
        </row>
        <row r="232">
          <cell r="B232" t="str">
            <v>Indo Rama Synthetics (India) Ltd.</v>
          </cell>
        </row>
        <row r="233">
          <cell r="B233" t="str">
            <v>Indraprastha Medical Corporation Ltd.</v>
          </cell>
        </row>
        <row r="234">
          <cell r="B234" t="str">
            <v>IndusInd Bank Ltd.</v>
          </cell>
        </row>
        <row r="235">
          <cell r="B235" t="str">
            <v>Industrial Development Bank of India Ltd.</v>
          </cell>
        </row>
        <row r="236">
          <cell r="B236" t="str">
            <v>Information Technologies (India) Lt</v>
          </cell>
        </row>
        <row r="237">
          <cell r="B237" t="str">
            <v>Infosys Technologies Ltd.</v>
          </cell>
        </row>
        <row r="238">
          <cell r="B238" t="str">
            <v>Infotech Enterprises Ltd.</v>
          </cell>
        </row>
        <row r="239">
          <cell r="B239" t="str">
            <v>Ingersoll-Rand (India) Ltd.</v>
          </cell>
        </row>
        <row r="240">
          <cell r="B240" t="str">
            <v>Insilco Ltd.</v>
          </cell>
        </row>
        <row r="241">
          <cell r="B241" t="str">
            <v>IP Rings Ltd.</v>
          </cell>
        </row>
        <row r="242">
          <cell r="B242" t="str">
            <v>Ipca Laboratories Ltd.</v>
          </cell>
        </row>
        <row r="243">
          <cell r="B243" t="str">
            <v>Ispat Industries Ltd.</v>
          </cell>
        </row>
        <row r="244">
          <cell r="B244" t="str">
            <v>ITC Hotels Ltd.</v>
          </cell>
        </row>
        <row r="245">
          <cell r="B245" t="str">
            <v>ITC Ltd.</v>
          </cell>
        </row>
        <row r="246">
          <cell r="B246" t="str">
            <v>ITI Ltd.</v>
          </cell>
        </row>
        <row r="247">
          <cell r="B247" t="str">
            <v>IVRCL Infrastructures &amp; Projects Ltd.</v>
          </cell>
        </row>
        <row r="248">
          <cell r="B248" t="str">
            <v>J.B. Chemicals &amp; Pharmaceuticals Ltd.</v>
          </cell>
        </row>
        <row r="249">
          <cell r="B249" t="str">
            <v>J.K.Industries Ltd.</v>
          </cell>
        </row>
        <row r="250">
          <cell r="B250" t="str">
            <v>Jagatjit Industries Ltd.</v>
          </cell>
        </row>
        <row r="251">
          <cell r="B251" t="str">
            <v>Jai Prakash Industries Ltd.</v>
          </cell>
        </row>
        <row r="252">
          <cell r="B252" t="str">
            <v>Jay Shree Tea &amp; Industries Ltd.</v>
          </cell>
        </row>
        <row r="253">
          <cell r="B253" t="str">
            <v>Jayant Agro-Organics Ltd.</v>
          </cell>
        </row>
        <row r="254">
          <cell r="B254" t="str">
            <v>JCT Ltd.</v>
          </cell>
        </row>
        <row r="255">
          <cell r="B255" t="str">
            <v>Jindal Iron &amp; Steel Co Ltd.</v>
          </cell>
        </row>
        <row r="256">
          <cell r="B256" t="str">
            <v>Jindal Photo Films Ltd.</v>
          </cell>
        </row>
        <row r="257">
          <cell r="B257" t="str">
            <v>Jindal Steel &amp; Power Ltd.</v>
          </cell>
        </row>
        <row r="258">
          <cell r="B258" t="str">
            <v>Jindal Strips Ltd.</v>
          </cell>
        </row>
        <row r="259">
          <cell r="B259" t="str">
            <v>Jindal Vijayanagar Steel Ltd.</v>
          </cell>
        </row>
        <row r="260">
          <cell r="B260" t="str">
            <v>JK Corp Ltd.</v>
          </cell>
        </row>
        <row r="261">
          <cell r="B261" t="str">
            <v>Jubilant Organosys Ltd.</v>
          </cell>
        </row>
        <row r="262">
          <cell r="B262" t="str">
            <v>Jupiter Bioscience Ltd.</v>
          </cell>
        </row>
        <row r="263">
          <cell r="B263" t="str">
            <v>Jyoti Structures Ltd.</v>
          </cell>
        </row>
        <row r="264">
          <cell r="B264" t="str">
            <v>K.E.C. International Ltd.</v>
          </cell>
        </row>
        <row r="265">
          <cell r="B265" t="str">
            <v>Kajaria Ceramics Ltd.</v>
          </cell>
        </row>
        <row r="266">
          <cell r="B266" t="str">
            <v>Kale Consultants Ltd.</v>
          </cell>
        </row>
        <row r="267">
          <cell r="B267" t="str">
            <v>Kalpataru Power Transmission Ltd.</v>
          </cell>
        </row>
        <row r="268">
          <cell r="B268" t="str">
            <v>Kalyani Steels Ltd.</v>
          </cell>
        </row>
        <row r="269">
          <cell r="B269" t="str">
            <v>Kanoria Chemicals &amp; Industries Ltd.</v>
          </cell>
        </row>
        <row r="270">
          <cell r="B270" t="str">
            <v>KDL Biotech Ltd.</v>
          </cell>
        </row>
        <row r="271">
          <cell r="B271" t="str">
            <v>Kesoram Industries Ltd.</v>
          </cell>
        </row>
        <row r="272">
          <cell r="B272" t="str">
            <v>Kinetic Motor Co. Ltd.</v>
          </cell>
        </row>
        <row r="273">
          <cell r="B273" t="str">
            <v>Kirloskar Oil Engines Ltd.</v>
          </cell>
        </row>
        <row r="274">
          <cell r="B274" t="str">
            <v>Kochi Refineries Ltd.</v>
          </cell>
        </row>
        <row r="275">
          <cell r="B275" t="str">
            <v>Kodak India Ltd.</v>
          </cell>
        </row>
        <row r="276">
          <cell r="B276" t="str">
            <v>Kopran Ltd.</v>
          </cell>
        </row>
        <row r="277">
          <cell r="B277" t="str">
            <v>Kotak Mahindra Finance Ltd.</v>
          </cell>
        </row>
        <row r="278">
          <cell r="B278" t="str">
            <v>Kothari Products Ltd.</v>
          </cell>
        </row>
        <row r="279">
          <cell r="B279" t="str">
            <v>Krebs Biochemicals Ltd.</v>
          </cell>
        </row>
        <row r="280">
          <cell r="B280" t="str">
            <v>Krishna Lifestyle Technologies Ltd.</v>
          </cell>
        </row>
        <row r="281">
          <cell r="B281" t="str">
            <v>Krone Communications Ltd.</v>
          </cell>
        </row>
        <row r="282">
          <cell r="B282" t="str">
            <v>KSB Pumps Ltd.</v>
          </cell>
        </row>
        <row r="283">
          <cell r="B283" t="str">
            <v>L.M.L. Ltd.</v>
          </cell>
        </row>
        <row r="284">
          <cell r="B284" t="str">
            <v>Lakhani India Ltd.</v>
          </cell>
        </row>
        <row r="285">
          <cell r="B285" t="str">
            <v>Lakshmi Machine Works Ltd.</v>
          </cell>
        </row>
        <row r="286">
          <cell r="B286" t="str">
            <v>Larsen &amp; Toubro Ltd.</v>
          </cell>
        </row>
        <row r="287">
          <cell r="B287" t="str">
            <v>Lic Housing Finance Ltd.</v>
          </cell>
        </row>
        <row r="288">
          <cell r="B288" t="str">
            <v>Lloyds Steel Industries Ltd.</v>
          </cell>
        </row>
        <row r="289">
          <cell r="B289" t="str">
            <v>Lupin Ltd.</v>
          </cell>
        </row>
        <row r="290">
          <cell r="B290" t="str">
            <v>M.R.F. Ltd.</v>
          </cell>
        </row>
        <row r="291">
          <cell r="B291" t="str">
            <v>Macmillan India Ltd.</v>
          </cell>
        </row>
        <row r="292">
          <cell r="B292" t="str">
            <v>Madras Aluminium Co. Ltd.</v>
          </cell>
        </row>
        <row r="293">
          <cell r="B293" t="str">
            <v>Madras Cements Ltd.</v>
          </cell>
        </row>
        <row r="294">
          <cell r="B294" t="str">
            <v>Madura Coats Ltd.</v>
          </cell>
        </row>
        <row r="295">
          <cell r="B295" t="str">
            <v>Mahanagar Telephone Nigam Ltd.</v>
          </cell>
        </row>
        <row r="296">
          <cell r="B296" t="str">
            <v>Maharashtra Seamless Ltd.</v>
          </cell>
        </row>
        <row r="297">
          <cell r="B297" t="str">
            <v>Mahavir Spg. Mills Ltd.</v>
          </cell>
        </row>
        <row r="298">
          <cell r="B298" t="str">
            <v>Mahindra &amp; Mahindra Ltd.</v>
          </cell>
        </row>
        <row r="299">
          <cell r="B299" t="str">
            <v>Mahindra Gesco Developers Ltd.</v>
          </cell>
        </row>
        <row r="300">
          <cell r="B300" t="str">
            <v>Mangalore Chemicals &amp; Fertilisers Ltd.</v>
          </cell>
        </row>
        <row r="301">
          <cell r="B301" t="str">
            <v>Mangalore Refinery &amp; Petrochemicals Ltd.</v>
          </cell>
        </row>
        <row r="302">
          <cell r="B302" t="str">
            <v>Maral Overseas Ltd.</v>
          </cell>
        </row>
        <row r="303">
          <cell r="B303" t="str">
            <v>Marico Industries Ltd.</v>
          </cell>
        </row>
        <row r="304">
          <cell r="B304" t="str">
            <v>Mascon Global Ltd.</v>
          </cell>
        </row>
        <row r="305">
          <cell r="B305" t="str">
            <v>Mascot Systems Ltd.</v>
          </cell>
        </row>
        <row r="306">
          <cell r="B306" t="str">
            <v>Mastek Ltd.</v>
          </cell>
        </row>
        <row r="307">
          <cell r="B307" t="str">
            <v>Matsushita Television &amp; Audio India</v>
          </cell>
        </row>
        <row r="308">
          <cell r="B308" t="str">
            <v>Max India Ltd.</v>
          </cell>
        </row>
        <row r="309">
          <cell r="B309" t="str">
            <v>McDowell &amp; Company Ltd.</v>
          </cell>
        </row>
        <row r="310">
          <cell r="B310" t="str">
            <v>Merck Ltd.</v>
          </cell>
        </row>
        <row r="311">
          <cell r="B311" t="str">
            <v>Mid-Day Multimedia Ltd.</v>
          </cell>
        </row>
        <row r="312">
          <cell r="B312" t="str">
            <v>Mirc Electronics Ltd.</v>
          </cell>
        </row>
        <row r="313">
          <cell r="B313" t="str">
            <v>Mirza Tanners Ltd.</v>
          </cell>
        </row>
        <row r="314">
          <cell r="B314" t="str">
            <v>Modi Rubber Ltd.</v>
          </cell>
        </row>
        <row r="315">
          <cell r="B315" t="str">
            <v>Monsanto India Ltd.</v>
          </cell>
        </row>
        <row r="316">
          <cell r="B316" t="str">
            <v>Morepen Laboratories Ltd.</v>
          </cell>
        </row>
        <row r="317">
          <cell r="B317" t="str">
            <v>Moser-Baer (India) Ltd.</v>
          </cell>
        </row>
        <row r="318">
          <cell r="B318" t="str">
            <v>Motherson Sumi Systems Ltd.</v>
          </cell>
        </row>
        <row r="319">
          <cell r="B319" t="str">
            <v>Motor Industries Co. Ltd.</v>
          </cell>
        </row>
        <row r="320">
          <cell r="B320" t="str">
            <v>Mphasis BFL Ltd.</v>
          </cell>
        </row>
        <row r="321">
          <cell r="B321" t="str">
            <v>MRO-TEK Ltd.</v>
          </cell>
        </row>
        <row r="322">
          <cell r="B322" t="str">
            <v>Mukand Engineers Ltd.</v>
          </cell>
        </row>
        <row r="323">
          <cell r="B323" t="str">
            <v>Mukand Ltd.</v>
          </cell>
        </row>
        <row r="324">
          <cell r="B324" t="str">
            <v>Mukta Arts Ltd.</v>
          </cell>
        </row>
        <row r="325">
          <cell r="B325" t="str">
            <v>Munjal Showa Ltd.</v>
          </cell>
        </row>
        <row r="326">
          <cell r="B326" t="str">
            <v>Mysore Cements Ltd.</v>
          </cell>
        </row>
        <row r="327">
          <cell r="B327" t="str">
            <v>Nagarjuna Fertiliser &amp; Chem. Ltd.</v>
          </cell>
        </row>
        <row r="328">
          <cell r="B328" t="str">
            <v>Nahar Exports Ltd.</v>
          </cell>
        </row>
        <row r="329">
          <cell r="B329" t="str">
            <v>Nahar Spinning Mills Ltd.</v>
          </cell>
        </row>
        <row r="330">
          <cell r="B330" t="str">
            <v>Narmada Chematur Petrochemicals Ltd.</v>
          </cell>
        </row>
        <row r="331">
          <cell r="B331" t="str">
            <v>Nath Seeds Ltd.</v>
          </cell>
        </row>
        <row r="332">
          <cell r="B332" t="str">
            <v>National Aluminium Co. Ltd.</v>
          </cell>
        </row>
        <row r="333">
          <cell r="B333" t="str">
            <v>National Organic Chemical Industries Ltd.</v>
          </cell>
        </row>
        <row r="334">
          <cell r="B334" t="str">
            <v>Navneet Publications (India) Ltd.</v>
          </cell>
        </row>
        <row r="335">
          <cell r="B335" t="str">
            <v>Nelco Ltd.</v>
          </cell>
        </row>
        <row r="336">
          <cell r="B336" t="str">
            <v>Nestle India Ltd.</v>
          </cell>
        </row>
        <row r="337">
          <cell r="B337" t="str">
            <v>Neyveli Lignite Corporation Ltd.</v>
          </cell>
        </row>
        <row r="338">
          <cell r="B338" t="str">
            <v>Nicholas Piramal India Ltd.</v>
          </cell>
        </row>
        <row r="339">
          <cell r="B339" t="str">
            <v>NIIT Ltd.</v>
          </cell>
        </row>
        <row r="340">
          <cell r="B340" t="str">
            <v>Nilkamal Plastics Ltd.</v>
          </cell>
        </row>
        <row r="341">
          <cell r="B341" t="str">
            <v>Nirma Ltd.</v>
          </cell>
        </row>
        <row r="342">
          <cell r="B342" t="str">
            <v>Novartis India Ltd.</v>
          </cell>
        </row>
        <row r="343">
          <cell r="B343" t="str">
            <v>NRB Bearings Ltd.</v>
          </cell>
        </row>
        <row r="344">
          <cell r="B344" t="str">
            <v>Oil And Natural Gas Corporation Ltd.</v>
          </cell>
        </row>
        <row r="345">
          <cell r="B345" t="str">
            <v>Oil Country Tubular Ltd.</v>
          </cell>
        </row>
        <row r="346">
          <cell r="B346" t="str">
            <v>Onward Technologies Ltd.</v>
          </cell>
        </row>
        <row r="347">
          <cell r="B347" t="str">
            <v>Orchid Chemicals &amp; Pharmaceuticals</v>
          </cell>
        </row>
        <row r="348">
          <cell r="B348" t="str">
            <v>Oriental Bank Of Commerce</v>
          </cell>
        </row>
        <row r="349">
          <cell r="B349" t="str">
            <v>Oriental Hotels Ltd.</v>
          </cell>
        </row>
        <row r="350">
          <cell r="B350" t="str">
            <v>Oswal Agro Mills Ltd.</v>
          </cell>
        </row>
        <row r="351">
          <cell r="B351" t="str">
            <v>Oswal Chemicals &amp; Fertilizers Ltd.</v>
          </cell>
        </row>
        <row r="352">
          <cell r="B352" t="str">
            <v>Panacea Biotec Ltd.</v>
          </cell>
        </row>
        <row r="353">
          <cell r="B353" t="str">
            <v>Paper Products Ltd.</v>
          </cell>
        </row>
        <row r="354">
          <cell r="B354" t="str">
            <v>Parekh Platinum Ltd.</v>
          </cell>
        </row>
        <row r="355">
          <cell r="B355" t="str">
            <v>Parke Davis (India) Ltd.</v>
          </cell>
        </row>
        <row r="356">
          <cell r="B356" t="str">
            <v>Pentamedia Graphics Ltd.</v>
          </cell>
        </row>
        <row r="357">
          <cell r="B357" t="str">
            <v>Pentasoft Technologies Ltd.</v>
          </cell>
        </row>
        <row r="358">
          <cell r="B358" t="str">
            <v>Pfizer Ltd.</v>
          </cell>
        </row>
        <row r="359">
          <cell r="B359" t="str">
            <v>Pharmacia Healthcare Ltd.</v>
          </cell>
        </row>
        <row r="360">
          <cell r="B360" t="str">
            <v>Philips India Ltd.</v>
          </cell>
        </row>
        <row r="361">
          <cell r="B361" t="str">
            <v>Pidilite Industries Ltd.</v>
          </cell>
        </row>
        <row r="362">
          <cell r="B362" t="str">
            <v>PNB Gilts Ltd.</v>
          </cell>
        </row>
        <row r="363">
          <cell r="B363" t="str">
            <v>Polaris Software Lab Ltd.</v>
          </cell>
        </row>
        <row r="364">
          <cell r="B364" t="str">
            <v>Prism Cement Ltd.</v>
          </cell>
        </row>
        <row r="365">
          <cell r="B365" t="str">
            <v>Priyadarshini Cement Ltd.</v>
          </cell>
        </row>
        <row r="366">
          <cell r="B366" t="str">
            <v>Procter &amp; Gamble Hygiene &amp; Health Care Ltd.</v>
          </cell>
        </row>
        <row r="367">
          <cell r="B367" t="str">
            <v>PSI Data Systems Ltd.</v>
          </cell>
        </row>
        <row r="368">
          <cell r="B368" t="str">
            <v>PSL Holdings Ltd.</v>
          </cell>
        </row>
        <row r="369">
          <cell r="B369" t="str">
            <v>Punjab Anand Lamp Industries Ltd.</v>
          </cell>
        </row>
        <row r="370">
          <cell r="B370" t="str">
            <v>Punjab Communications Ltd.</v>
          </cell>
        </row>
        <row r="371">
          <cell r="B371" t="str">
            <v>Punjab National Bank</v>
          </cell>
        </row>
        <row r="372">
          <cell r="B372" t="str">
            <v>Punjab Tractors Ltd.</v>
          </cell>
        </row>
        <row r="373">
          <cell r="B373" t="str">
            <v>R S Software India Ltd.</v>
          </cell>
        </row>
        <row r="374">
          <cell r="B374" t="str">
            <v>Rain Calcining Ltd.</v>
          </cell>
        </row>
        <row r="375">
          <cell r="B375" t="str">
            <v>Rallis India Ltd.</v>
          </cell>
        </row>
        <row r="376">
          <cell r="B376" t="str">
            <v>Rama Newsprint &amp; Papers Ltd.</v>
          </cell>
        </row>
        <row r="377">
          <cell r="B377" t="str">
            <v>Ramco Systems Ltd.</v>
          </cell>
        </row>
        <row r="378">
          <cell r="B378" t="str">
            <v>Ranbaxy Laboratories Ltd.</v>
          </cell>
        </row>
        <row r="379">
          <cell r="B379" t="str">
            <v>Rashtriya Chemicals &amp; Fertilizers Ltd.</v>
          </cell>
        </row>
        <row r="380">
          <cell r="B380" t="str">
            <v>Rayban Sun Optics India Ltd.</v>
          </cell>
        </row>
        <row r="381">
          <cell r="B381" t="str">
            <v>Raymond Ltd.</v>
          </cell>
        </row>
        <row r="382">
          <cell r="B382" t="str">
            <v>Reliance Capital Ltd.</v>
          </cell>
        </row>
        <row r="383">
          <cell r="B383" t="str">
            <v>Reliance Industrial Infrastructure</v>
          </cell>
        </row>
        <row r="384">
          <cell r="B384" t="str">
            <v>Reliance Industries Ltd.</v>
          </cell>
        </row>
        <row r="385">
          <cell r="B385" t="str">
            <v>Revathi Equipment Ltd.</v>
          </cell>
        </row>
        <row r="386">
          <cell r="B386" t="str">
            <v>Rolta India Ltd.</v>
          </cell>
        </row>
        <row r="387">
          <cell r="B387" t="str">
            <v>Roofit Industries Ltd.</v>
          </cell>
        </row>
        <row r="388">
          <cell r="B388" t="str">
            <v>RPG Cables Ltd.</v>
          </cell>
        </row>
        <row r="389">
          <cell r="B389" t="str">
            <v>RPG Life Sciences Ltd.</v>
          </cell>
        </row>
        <row r="390">
          <cell r="B390" t="str">
            <v>Ruchi Soya Industries Ltd.</v>
          </cell>
        </row>
        <row r="391">
          <cell r="B391" t="str">
            <v>Saint-Gobain Sekurit India Ltd.</v>
          </cell>
        </row>
        <row r="392">
          <cell r="B392" t="str">
            <v>Salora International Ltd.</v>
          </cell>
        </row>
        <row r="393">
          <cell r="B393" t="str">
            <v>Samtel Colour Ltd.</v>
          </cell>
        </row>
        <row r="394">
          <cell r="B394" t="str">
            <v>Saregama India Ltd.</v>
          </cell>
        </row>
        <row r="395">
          <cell r="B395" t="str">
            <v>Satyam Computer Services Ltd.</v>
          </cell>
        </row>
        <row r="396">
          <cell r="B396" t="str">
            <v>Saw Pipes Ltd.</v>
          </cell>
        </row>
        <row r="397">
          <cell r="B397" t="str">
            <v>Sesa Goa Ltd.</v>
          </cell>
        </row>
        <row r="398">
          <cell r="B398" t="str">
            <v>Shasun Chemicals And Drugs Ltd.</v>
          </cell>
        </row>
        <row r="399">
          <cell r="B399" t="str">
            <v>Shaw Wallace &amp; Co. Ltd.</v>
          </cell>
        </row>
        <row r="400">
          <cell r="B400" t="str">
            <v>Shipping Corporation Of India Ltd.</v>
          </cell>
        </row>
        <row r="401">
          <cell r="B401" t="str">
            <v>Shree Cements Ltd.</v>
          </cell>
        </row>
        <row r="402">
          <cell r="B402" t="str">
            <v>Shree Rama Multi-tech Ltd.</v>
          </cell>
        </row>
        <row r="403">
          <cell r="B403" t="str">
            <v>Shyam Telecom Ltd.</v>
          </cell>
        </row>
        <row r="404">
          <cell r="B404" t="str">
            <v>Siemens Ltd.</v>
          </cell>
        </row>
        <row r="405">
          <cell r="B405" t="str">
            <v>Siltap Chemicals Ltd.</v>
          </cell>
        </row>
        <row r="406">
          <cell r="B406" t="str">
            <v>Silverline Technologies Ltd.</v>
          </cell>
        </row>
        <row r="407">
          <cell r="B407" t="str">
            <v>Skanska Cementation India Ltd.</v>
          </cell>
        </row>
        <row r="408">
          <cell r="B408" t="str">
            <v>SKF Bearings (India) Ltd.</v>
          </cell>
        </row>
        <row r="409">
          <cell r="B409" t="str">
            <v>Snowcem India Ltd.</v>
          </cell>
        </row>
        <row r="410">
          <cell r="B410" t="str">
            <v>Solectron Centum Electronics Ltd.</v>
          </cell>
        </row>
        <row r="411">
          <cell r="B411" t="str">
            <v>Sonata Software Ltd.</v>
          </cell>
        </row>
        <row r="412">
          <cell r="B412" t="str">
            <v>Southern Petrochemicals</v>
          </cell>
        </row>
        <row r="413">
          <cell r="B413" t="str">
            <v>SRF Ltd.</v>
          </cell>
        </row>
        <row r="414">
          <cell r="B414" t="str">
            <v>Sri Adhikari Brothers Television Network</v>
          </cell>
        </row>
        <row r="415">
          <cell r="B415" t="str">
            <v>SSI Ltd.</v>
          </cell>
        </row>
        <row r="416">
          <cell r="B416" t="str">
            <v>State Bank Of India</v>
          </cell>
        </row>
        <row r="417">
          <cell r="B417" t="str">
            <v>Steel Authority of India Ltd.</v>
          </cell>
        </row>
        <row r="418">
          <cell r="B418" t="str">
            <v>Sterling Biotech Ltd.</v>
          </cell>
        </row>
        <row r="419">
          <cell r="B419" t="str">
            <v>Sterlite Optical Technoligies Ltd.</v>
          </cell>
        </row>
        <row r="420">
          <cell r="B420" t="str">
            <v>Subex Systems Ltd.</v>
          </cell>
        </row>
        <row r="421">
          <cell r="B421" t="str">
            <v>Sun Earth Ceramics Ltd.</v>
          </cell>
        </row>
        <row r="422">
          <cell r="B422" t="str">
            <v>Sun Pharmaceutical Industries Ltd.</v>
          </cell>
        </row>
        <row r="423">
          <cell r="B423" t="str">
            <v>Sundaram Clayton Ltd.</v>
          </cell>
        </row>
        <row r="424">
          <cell r="B424" t="str">
            <v>Sundram Fasteners Ltd.</v>
          </cell>
        </row>
        <row r="425">
          <cell r="B425" t="str">
            <v>Supreme Industries Ltd.</v>
          </cell>
        </row>
        <row r="426">
          <cell r="B426" t="str">
            <v>Supreme Petrochem Ltd.</v>
          </cell>
        </row>
        <row r="427">
          <cell r="B427" t="str">
            <v>Su-raj Diamonds and Jewellery Ltd.</v>
          </cell>
        </row>
        <row r="428">
          <cell r="B428" t="str">
            <v>Suven Pharmaceuticals Ltd.</v>
          </cell>
        </row>
        <row r="429">
          <cell r="B429" t="str">
            <v>Swaraj Engines Ltd.</v>
          </cell>
        </row>
        <row r="430">
          <cell r="B430" t="str">
            <v>Swaraj Mazda Ltd.</v>
          </cell>
        </row>
        <row r="431">
          <cell r="B431" t="str">
            <v>Syngenta India Ltd.</v>
          </cell>
        </row>
        <row r="432">
          <cell r="B432" t="str">
            <v>Tamil Nadu Newsprint And Papers Ltd.</v>
          </cell>
        </row>
        <row r="433">
          <cell r="B433" t="str">
            <v>Tamilnadu Petroproducts Ltd.</v>
          </cell>
        </row>
        <row r="434">
          <cell r="B434" t="str">
            <v>Tata Chemicals Ltd.</v>
          </cell>
        </row>
        <row r="435">
          <cell r="B435" t="str">
            <v>Tata Elxsi Ltd.</v>
          </cell>
        </row>
        <row r="436">
          <cell r="B436" t="str">
            <v>Tata Engg. &amp; Loco. Co. Ltd.</v>
          </cell>
        </row>
        <row r="437">
          <cell r="B437" t="str">
            <v>Tata Finance Ltd.</v>
          </cell>
        </row>
        <row r="438">
          <cell r="B438" t="str">
            <v>Tata Honeywell Ltd.</v>
          </cell>
        </row>
        <row r="439">
          <cell r="B439" t="str">
            <v>Tata Infomedia Ltd.</v>
          </cell>
        </row>
        <row r="440">
          <cell r="B440" t="str">
            <v>Tata Infotech Ltd.</v>
          </cell>
        </row>
        <row r="441">
          <cell r="B441" t="str">
            <v>Tata Investment Corporation Ltd.</v>
          </cell>
        </row>
        <row r="442">
          <cell r="B442" t="str">
            <v>Tata Iron &amp; Steel Co. Ltd.</v>
          </cell>
        </row>
        <row r="443">
          <cell r="B443" t="str">
            <v>Tata Power Co. Ltd.</v>
          </cell>
        </row>
        <row r="444">
          <cell r="B444" t="str">
            <v>Tata Tea Ltd.</v>
          </cell>
        </row>
        <row r="445">
          <cell r="B445" t="str">
            <v>Tata Telecom Ltd.</v>
          </cell>
        </row>
        <row r="446">
          <cell r="B446" t="str">
            <v>Tata Teleservices (Maharashtra) Ltd.</v>
          </cell>
        </row>
        <row r="447">
          <cell r="B447" t="str">
            <v>Television Eighteen India Ltd.</v>
          </cell>
        </row>
        <row r="448">
          <cell r="B448" t="str">
            <v>Thermax Ltd.</v>
          </cell>
        </row>
        <row r="449">
          <cell r="B449" t="str">
            <v>Thirumalai Chemicals Ltd.</v>
          </cell>
        </row>
        <row r="450">
          <cell r="B450" t="str">
            <v>Thomas Cook (India) Ltd.</v>
          </cell>
        </row>
        <row r="451">
          <cell r="B451" t="str">
            <v>Timex Watches Ltd.</v>
          </cell>
        </row>
        <row r="452">
          <cell r="B452" t="str">
            <v>Timken India Ltd.</v>
          </cell>
        </row>
        <row r="453">
          <cell r="B453" t="str">
            <v>Tips Industries Ltd.</v>
          </cell>
        </row>
        <row r="454">
          <cell r="B454" t="str">
            <v>Titan Industries Ltd.</v>
          </cell>
        </row>
        <row r="455">
          <cell r="B455" t="str">
            <v>Torrent Pharmaceuticals Ltd.</v>
          </cell>
        </row>
        <row r="456">
          <cell r="B456" t="str">
            <v>Tourism Finance Corpn. Of India Ltd.</v>
          </cell>
        </row>
        <row r="457">
          <cell r="B457" t="str">
            <v>Trent Ltd.</v>
          </cell>
        </row>
        <row r="458">
          <cell r="B458" t="str">
            <v>Trigyn Technologies Ltd.</v>
          </cell>
        </row>
        <row r="459">
          <cell r="B459" t="str">
            <v>Tube Investments of India Ltd.</v>
          </cell>
        </row>
        <row r="460">
          <cell r="B460" t="str">
            <v>TVS Electronics Ltd.</v>
          </cell>
        </row>
        <row r="461">
          <cell r="B461" t="str">
            <v>TVS Motor Company Ltd.</v>
          </cell>
        </row>
        <row r="462">
          <cell r="B462" t="str">
            <v>Ultramarine &amp; Pigments Ltd.</v>
          </cell>
        </row>
        <row r="463">
          <cell r="B463" t="str">
            <v>Unichem Laboratories Ltd.</v>
          </cell>
        </row>
        <row r="464">
          <cell r="B464" t="str">
            <v>Union Bank of India</v>
          </cell>
        </row>
        <row r="465">
          <cell r="B465" t="str">
            <v>Unitech Ltd.</v>
          </cell>
        </row>
        <row r="466">
          <cell r="B466" t="str">
            <v>United Breweries Ltd.</v>
          </cell>
        </row>
        <row r="467">
          <cell r="B467" t="str">
            <v>United Phosphorus Ltd.</v>
          </cell>
        </row>
        <row r="468">
          <cell r="B468" t="str">
            <v>Usha Beltron Ltd.</v>
          </cell>
        </row>
        <row r="469">
          <cell r="B469" t="str">
            <v>UTI Bank Ltd.</v>
          </cell>
        </row>
        <row r="470">
          <cell r="B470" t="str">
            <v>V.I.P. Industries Ltd.</v>
          </cell>
        </row>
        <row r="471">
          <cell r="B471" t="str">
            <v>Vardhaman Spinning &amp; Gen. Mills Ltd.</v>
          </cell>
        </row>
        <row r="472">
          <cell r="B472" t="str">
            <v>Varun Shipping Co. Ltd.</v>
          </cell>
        </row>
        <row r="473">
          <cell r="B473" t="str">
            <v>Vashisti Detergents Ltd.</v>
          </cell>
        </row>
        <row r="474">
          <cell r="B474" t="str">
            <v>Venkys (India) Ltd.</v>
          </cell>
        </row>
        <row r="475">
          <cell r="B475" t="str">
            <v>Vesuvius India Ltd.</v>
          </cell>
        </row>
        <row r="476">
          <cell r="B476" t="str">
            <v>Videocon Appliances Ltd.</v>
          </cell>
        </row>
        <row r="477">
          <cell r="B477" t="str">
            <v>Videocon International Ltd.</v>
          </cell>
        </row>
        <row r="478">
          <cell r="B478" t="str">
            <v>Videsh Sanchar Nigam Ltd.</v>
          </cell>
        </row>
        <row r="479">
          <cell r="B479" t="str">
            <v>Vikas WSP Ltd.</v>
          </cell>
        </row>
        <row r="480">
          <cell r="B480" t="str">
            <v>Vindhya Telelinks Ltd.</v>
          </cell>
        </row>
        <row r="481">
          <cell r="B481" t="str">
            <v>Visualsoft Technologies Ltd.</v>
          </cell>
        </row>
        <row r="482">
          <cell r="B482" t="str">
            <v>Voltas Ltd.</v>
          </cell>
        </row>
        <row r="483">
          <cell r="B483" t="str">
            <v>VST Industries Ltd.</v>
          </cell>
        </row>
        <row r="484">
          <cell r="B484" t="str">
            <v>Vysya Bank Ltd.</v>
          </cell>
        </row>
        <row r="485">
          <cell r="B485" t="str">
            <v>Warren Tea Ltd.</v>
          </cell>
        </row>
        <row r="486">
          <cell r="B486" t="str">
            <v>Wartsila India Ltd.</v>
          </cell>
        </row>
        <row r="487">
          <cell r="B487" t="str">
            <v>Welspun -Gujarat Stahl Rohren Ltd.</v>
          </cell>
        </row>
        <row r="488">
          <cell r="B488" t="str">
            <v>Welspun India Ltd.</v>
          </cell>
        </row>
        <row r="489">
          <cell r="B489" t="str">
            <v>Whirlpool of India Ltd.</v>
          </cell>
        </row>
        <row r="490">
          <cell r="B490" t="str">
            <v>Widia (india) Ltd.</v>
          </cell>
        </row>
        <row r="491">
          <cell r="B491" t="str">
            <v>Wimco Ltd.</v>
          </cell>
        </row>
        <row r="492">
          <cell r="B492" t="str">
            <v>Wipro Ltd.</v>
          </cell>
        </row>
        <row r="493">
          <cell r="B493" t="str">
            <v>Wockhardt Life Sciences Ltd.</v>
          </cell>
        </row>
        <row r="494">
          <cell r="B494" t="str">
            <v>Wockhardt Ltd.</v>
          </cell>
        </row>
        <row r="495">
          <cell r="B495" t="str">
            <v>Wyeth Lederle Ltd.</v>
          </cell>
        </row>
        <row r="496">
          <cell r="B496" t="str">
            <v>Yokogawa Blue Star Ltd.</v>
          </cell>
        </row>
        <row r="497">
          <cell r="B497" t="str">
            <v>Zandu Pharmaceuticals Works Ltd.</v>
          </cell>
        </row>
        <row r="498">
          <cell r="B498" t="str">
            <v>Zee Telefilms Ltd.</v>
          </cell>
        </row>
        <row r="499">
          <cell r="B499" t="str">
            <v>Zensar Technologies Ltd.</v>
          </cell>
        </row>
        <row r="500">
          <cell r="B500" t="str">
            <v>Zuari Industries Ltd.</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sheetName val="PLANT MACHINERY"/>
      <sheetName val="FURNITURE"/>
      <sheetName val="VEHICLE"/>
      <sheetName val="ASSET_ADD"/>
      <sheetName val="Asset Schedule"/>
      <sheetName val="ASSET_SCHEDULE Tiljala"/>
      <sheetName val="L"/>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sheetName val="PLANT MACHINERY"/>
      <sheetName val="FURNITURE"/>
      <sheetName val="VEHICLE"/>
      <sheetName val="ASSET_ADD"/>
      <sheetName val="Asset Schedule"/>
      <sheetName val="ASSET_SCHEDULE Tiljala"/>
      <sheetName val="L"/>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sheetName val="PLANT MACHINERY"/>
      <sheetName val="FURNITURE"/>
      <sheetName val="VEHICLE"/>
      <sheetName val="ASSET_ADD"/>
      <sheetName val="Asset Schedule"/>
      <sheetName val="ASSET_SCHEDULE Tiljala"/>
      <sheetName val="L"/>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ted Parties"/>
      <sheetName val="P&amp;L"/>
      <sheetName val="BS"/>
      <sheetName val="VARIANCE ANALYSIS "/>
      <sheetName val="Sch 1-4"/>
      <sheetName val="Sch-5"/>
      <sheetName val="Sch-6-11"/>
      <sheetName val="Sch 12 &amp;13"/>
      <sheetName val="P&amp;L Sch 14-16"/>
      <sheetName val="P&amp;L Sch 17-19"/>
      <sheetName val="Data Entry"/>
      <sheetName val="TRIAL BALANCE (2)"/>
      <sheetName val="TRIAL BALANCE"/>
      <sheetName val="TB Download"/>
      <sheetName val="TBdownload-2002"/>
      <sheetName val="CC wise Download"/>
      <sheetName val="SIF P&amp;L BS"/>
      <sheetName val="SIF P&amp;L"/>
      <sheetName val="SIF Workings"/>
      <sheetName val="SIF Results Back up"/>
      <sheetName val="PROVISIONS"/>
      <sheetName val="Pl-Incl"/>
      <sheetName val="pl-Excl"/>
      <sheetName val="sch-IV"/>
      <sheetName val="Related_Parties1"/>
      <sheetName val="VARIANCE_ANALYSIS_1"/>
      <sheetName val="Sch_1-41"/>
      <sheetName val="Sch_12_&amp;131"/>
      <sheetName val="P&amp;L_Sch_14-161"/>
      <sheetName val="P&amp;L_Sch_17-191"/>
      <sheetName val="Data_Entry1"/>
      <sheetName val="TRIAL_BALANCE_(2)1"/>
      <sheetName val="TRIAL_BALANCE1"/>
      <sheetName val="TB_Download1"/>
      <sheetName val="CC_wise_Download1"/>
      <sheetName val="SIF_P&amp;L_BS1"/>
      <sheetName val="SIF_P&amp;L1"/>
      <sheetName val="SIF_Workings1"/>
      <sheetName val="SIF_Results_Back_up1"/>
      <sheetName val="Related_Parties"/>
      <sheetName val="VARIANCE_ANALYSIS_"/>
      <sheetName val="Sch_1-4"/>
      <sheetName val="Sch_12_&amp;13"/>
      <sheetName val="P&amp;L_Sch_14-16"/>
      <sheetName val="P&amp;L_Sch_17-19"/>
      <sheetName val="Data_Entry"/>
      <sheetName val="TRIAL_BALANCE_(2)"/>
      <sheetName val="TRIAL_BALANCE"/>
      <sheetName val="TB_Download"/>
      <sheetName val="CC_wise_Download"/>
      <sheetName val="SIF_P&amp;L_BS"/>
      <sheetName val="SIF_P&amp;L"/>
      <sheetName val="SIF_Workings"/>
      <sheetName val="SIF_Results_Back_up"/>
      <sheetName val="Related_Parties2"/>
      <sheetName val="VARIANCE_ANALYSIS_2"/>
      <sheetName val="Sch_1-42"/>
      <sheetName val="Sch_12_&amp;132"/>
      <sheetName val="P&amp;L_Sch_14-162"/>
      <sheetName val="P&amp;L_Sch_17-192"/>
      <sheetName val="Data_Entry2"/>
      <sheetName val="TRIAL_BALANCE_(2)2"/>
      <sheetName val="TRIAL_BALANCE2"/>
      <sheetName val="TB_Download2"/>
      <sheetName val="CC_wise_Download2"/>
      <sheetName val="SIF_P&amp;L_BS2"/>
      <sheetName val="SIF_P&amp;L2"/>
      <sheetName val="SIF_Workings2"/>
      <sheetName val="SIF_Results_Back_up2"/>
      <sheetName val="Sheet1"/>
      <sheetName val="Cats_April"/>
      <sheetName val="SCHDF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erian Jvmar06"/>
      <sheetName val="BS"/>
      <sheetName val="cashflow"/>
      <sheetName val="PL"/>
      <sheetName val="Schedules"/>
      <sheetName val="FA schedule"/>
      <sheetName val="Sch22"/>
      <sheetName val="Inv"/>
      <sheetName val="BS sub sh"/>
      <sheetName val="Invest. thousand"/>
      <sheetName val="Investments"/>
      <sheetName val="pubres"/>
      <sheetName val="Sheet1"/>
      <sheetName val="Income"/>
      <sheetName val="Exp"/>
      <sheetName val="Leave encashement"/>
      <sheetName val="TB APJ"/>
      <sheetName val="Variance"/>
      <sheetName val="vari-1"/>
      <sheetName val="TB WORLI"/>
      <sheetName val="deftax"/>
      <sheetName val="Quar ABNL"/>
      <sheetName val="it depr."/>
      <sheetName val="FASCHEDULE"/>
      <sheetName val="G SecST&amp;LT "/>
      <sheetName val="itcomp"/>
      <sheetName val="ratio analysi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8">
          <cell r="B48">
            <v>0</v>
          </cell>
        </row>
        <row r="109">
          <cell r="B109">
            <v>-100000</v>
          </cell>
        </row>
        <row r="125">
          <cell r="B125">
            <v>0</v>
          </cell>
        </row>
        <row r="131">
          <cell r="B131">
            <v>-37516</v>
          </cell>
        </row>
      </sheetData>
      <sheetData sheetId="17" refreshError="1"/>
      <sheetData sheetId="18" refreshError="1"/>
      <sheetData sheetId="19">
        <row r="8">
          <cell r="B8">
            <v>-21000</v>
          </cell>
        </row>
        <row r="18">
          <cell r="B18">
            <v>0</v>
          </cell>
        </row>
        <row r="22">
          <cell r="B22">
            <v>0</v>
          </cell>
        </row>
        <row r="23">
          <cell r="B23">
            <v>0</v>
          </cell>
        </row>
        <row r="33">
          <cell r="B33">
            <v>158708</v>
          </cell>
        </row>
        <row r="43">
          <cell r="B43">
            <v>-71843</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erian Jvmar06"/>
      <sheetName val="BS"/>
      <sheetName val="cashflow"/>
      <sheetName val="PL"/>
      <sheetName val="Schedules"/>
      <sheetName val="FA schedule"/>
      <sheetName val="Sch22"/>
      <sheetName val="BS sub sh"/>
      <sheetName val="Invest. thousand"/>
      <sheetName val="Investments"/>
      <sheetName val="pubres"/>
      <sheetName val="Sheet1"/>
      <sheetName val="Income"/>
      <sheetName val="Exp"/>
      <sheetName val="Leave encashement"/>
      <sheetName val="TB APJ"/>
      <sheetName val="TB WORLI"/>
      <sheetName val="deftax"/>
      <sheetName val="Quar ABNL"/>
      <sheetName val="it depr."/>
      <sheetName val="FASCHEDULE"/>
      <sheetName val="G SecST&amp;LT "/>
      <sheetName val="itcomp"/>
      <sheetName val="ratio analysis"/>
      <sheetName val="Hyperian_Jvmar061"/>
      <sheetName val="FA_schedule1"/>
      <sheetName val="BS_sub_sh1"/>
      <sheetName val="Invest__thousand1"/>
      <sheetName val="Leave_encashement1"/>
      <sheetName val="TB_APJ1"/>
      <sheetName val="TB_WORLI1"/>
      <sheetName val="Quar_ABNL1"/>
      <sheetName val="it_depr_1"/>
      <sheetName val="G_SecST&amp;LT_1"/>
      <sheetName val="ratio_analysis1"/>
      <sheetName val="Hyperian_Jvmar06"/>
      <sheetName val="FA_schedule"/>
      <sheetName val="BS_sub_sh"/>
      <sheetName val="Invest__thousand"/>
      <sheetName val="Leave_encashement"/>
      <sheetName val="TB_APJ"/>
      <sheetName val="TB_WORLI"/>
      <sheetName val="Quar_ABNL"/>
      <sheetName val="it_depr_"/>
      <sheetName val="G_SecST&amp;LT_"/>
      <sheetName val="ratio_analysis"/>
      <sheetName val="Hyperian_Jvmar062"/>
      <sheetName val="FA_schedule2"/>
      <sheetName val="BS_sub_sh2"/>
      <sheetName val="Invest__thousand2"/>
      <sheetName val="Leave_encashement2"/>
      <sheetName val="TB_APJ2"/>
      <sheetName val="TB_WORLI2"/>
      <sheetName val="Quar_ABNL2"/>
      <sheetName val="it_depr_2"/>
      <sheetName val="G_SecST&amp;LT_2"/>
      <sheetName val="ratio_analysi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B7">
            <v>223033</v>
          </cell>
        </row>
        <row r="8">
          <cell r="B8">
            <v>-14075776</v>
          </cell>
        </row>
        <row r="9">
          <cell r="B9">
            <v>-3626817</v>
          </cell>
        </row>
        <row r="10">
          <cell r="B10">
            <v>1</v>
          </cell>
        </row>
        <row r="11">
          <cell r="B11">
            <v>1024285</v>
          </cell>
        </row>
        <row r="12">
          <cell r="B12">
            <v>-1187413</v>
          </cell>
        </row>
        <row r="13">
          <cell r="B13">
            <v>16168</v>
          </cell>
        </row>
        <row r="16">
          <cell r="B16">
            <v>34700058</v>
          </cell>
        </row>
        <row r="17">
          <cell r="B17">
            <v>5266138</v>
          </cell>
        </row>
        <row r="20">
          <cell r="B20">
            <v>0</v>
          </cell>
        </row>
        <row r="21">
          <cell r="B21">
            <v>0</v>
          </cell>
        </row>
        <row r="22">
          <cell r="B22">
            <v>100</v>
          </cell>
        </row>
        <row r="23">
          <cell r="B23">
            <v>29874</v>
          </cell>
        </row>
        <row r="25">
          <cell r="B25">
            <v>16450</v>
          </cell>
        </row>
        <row r="26">
          <cell r="B26">
            <v>12371</v>
          </cell>
        </row>
        <row r="27">
          <cell r="B27">
            <v>0</v>
          </cell>
        </row>
        <row r="28">
          <cell r="B28">
            <v>41076</v>
          </cell>
        </row>
        <row r="29">
          <cell r="B29">
            <v>4060</v>
          </cell>
        </row>
        <row r="31">
          <cell r="B31">
            <v>3619772</v>
          </cell>
        </row>
        <row r="32">
          <cell r="B32">
            <v>97</v>
          </cell>
        </row>
        <row r="34">
          <cell r="B34">
            <v>6193912</v>
          </cell>
        </row>
        <row r="36">
          <cell r="B36">
            <v>-131</v>
          </cell>
        </row>
        <row r="37">
          <cell r="B37">
            <v>0</v>
          </cell>
        </row>
        <row r="38">
          <cell r="B38">
            <v>65277</v>
          </cell>
        </row>
        <row r="39">
          <cell r="B39">
            <v>-7184</v>
          </cell>
        </row>
        <row r="40">
          <cell r="B40">
            <v>90000</v>
          </cell>
        </row>
        <row r="41">
          <cell r="B41">
            <v>7688110</v>
          </cell>
        </row>
        <row r="42">
          <cell r="B42">
            <v>60119</v>
          </cell>
        </row>
        <row r="43">
          <cell r="B43">
            <v>0</v>
          </cell>
        </row>
        <row r="44">
          <cell r="B44">
            <v>1701</v>
          </cell>
        </row>
        <row r="45">
          <cell r="B45">
            <v>4000</v>
          </cell>
        </row>
        <row r="46">
          <cell r="B46">
            <v>22478</v>
          </cell>
        </row>
        <row r="47">
          <cell r="B47">
            <v>642021383</v>
          </cell>
        </row>
        <row r="48">
          <cell r="B48">
            <v>98610542</v>
          </cell>
        </row>
        <row r="49">
          <cell r="B49">
            <v>555957</v>
          </cell>
        </row>
        <row r="50">
          <cell r="B50">
            <v>158887121</v>
          </cell>
        </row>
        <row r="51">
          <cell r="B51">
            <v>24487685</v>
          </cell>
        </row>
        <row r="52">
          <cell r="B52">
            <v>1407218</v>
          </cell>
        </row>
        <row r="53">
          <cell r="B53">
            <v>60153</v>
          </cell>
        </row>
        <row r="54">
          <cell r="B54">
            <v>89830</v>
          </cell>
        </row>
        <row r="55">
          <cell r="B55">
            <v>82901</v>
          </cell>
        </row>
        <row r="56">
          <cell r="B56">
            <v>25245532</v>
          </cell>
        </row>
        <row r="57">
          <cell r="B57">
            <v>0</v>
          </cell>
        </row>
        <row r="58">
          <cell r="B58">
            <v>15000000</v>
          </cell>
        </row>
        <row r="59">
          <cell r="B59">
            <v>7549</v>
          </cell>
        </row>
        <row r="60">
          <cell r="B60">
            <v>0</v>
          </cell>
        </row>
        <row r="61">
          <cell r="B61">
            <v>7133</v>
          </cell>
        </row>
        <row r="63">
          <cell r="B63">
            <v>0</v>
          </cell>
        </row>
        <row r="64">
          <cell r="B64">
            <v>58788</v>
          </cell>
        </row>
        <row r="65">
          <cell r="B65">
            <v>863466</v>
          </cell>
        </row>
        <row r="67">
          <cell r="B67">
            <v>524581</v>
          </cell>
        </row>
        <row r="68">
          <cell r="B68">
            <v>1748476</v>
          </cell>
        </row>
        <row r="69">
          <cell r="B69">
            <v>9222968</v>
          </cell>
        </row>
        <row r="70">
          <cell r="B70">
            <v>18292</v>
          </cell>
        </row>
        <row r="71">
          <cell r="B71">
            <v>185709</v>
          </cell>
        </row>
        <row r="72">
          <cell r="B72">
            <v>280000</v>
          </cell>
        </row>
        <row r="73">
          <cell r="B73">
            <v>95861</v>
          </cell>
        </row>
        <row r="74">
          <cell r="B74">
            <v>2767500</v>
          </cell>
        </row>
        <row r="75">
          <cell r="B75">
            <v>990216</v>
          </cell>
        </row>
        <row r="76">
          <cell r="B76">
            <v>73089853</v>
          </cell>
        </row>
        <row r="77">
          <cell r="B77">
            <v>215507</v>
          </cell>
        </row>
        <row r="78">
          <cell r="B78">
            <v>12443423</v>
          </cell>
        </row>
        <row r="79">
          <cell r="B79">
            <v>307410</v>
          </cell>
        </row>
        <row r="80">
          <cell r="B80">
            <v>11896</v>
          </cell>
        </row>
        <row r="81">
          <cell r="B81">
            <v>2056613</v>
          </cell>
        </row>
        <row r="83">
          <cell r="B83">
            <v>13844</v>
          </cell>
        </row>
        <row r="84">
          <cell r="B84">
            <v>2500</v>
          </cell>
        </row>
        <row r="85">
          <cell r="B85">
            <v>819146</v>
          </cell>
        </row>
        <row r="86">
          <cell r="B86">
            <v>105832</v>
          </cell>
        </row>
        <row r="87">
          <cell r="B87">
            <v>75314592</v>
          </cell>
        </row>
        <row r="88">
          <cell r="B88">
            <v>7784730</v>
          </cell>
        </row>
        <row r="89">
          <cell r="B89">
            <v>70000</v>
          </cell>
        </row>
        <row r="90">
          <cell r="B90">
            <v>2312914</v>
          </cell>
        </row>
        <row r="91">
          <cell r="B91">
            <v>463966</v>
          </cell>
        </row>
        <row r="92">
          <cell r="B92">
            <v>829235</v>
          </cell>
        </row>
        <row r="93">
          <cell r="B93">
            <v>663771</v>
          </cell>
        </row>
        <row r="94">
          <cell r="B94">
            <v>427226</v>
          </cell>
        </row>
        <row r="95">
          <cell r="B95">
            <v>59205</v>
          </cell>
        </row>
        <row r="96">
          <cell r="B96">
            <v>55228</v>
          </cell>
        </row>
        <row r="97">
          <cell r="B97">
            <v>1095106</v>
          </cell>
        </row>
        <row r="98">
          <cell r="B98">
            <v>19715</v>
          </cell>
        </row>
        <row r="99">
          <cell r="B99">
            <v>733246</v>
          </cell>
        </row>
        <row r="100">
          <cell r="B100">
            <v>12221</v>
          </cell>
        </row>
        <row r="101">
          <cell r="B101">
            <v>2180155</v>
          </cell>
        </row>
        <row r="102">
          <cell r="B102">
            <v>1282947</v>
          </cell>
        </row>
        <row r="103">
          <cell r="B103">
            <v>1207633</v>
          </cell>
        </row>
        <row r="104">
          <cell r="B104">
            <v>67847</v>
          </cell>
        </row>
        <row r="105">
          <cell r="B105">
            <v>5134259</v>
          </cell>
        </row>
        <row r="106">
          <cell r="B106">
            <v>118000</v>
          </cell>
        </row>
        <row r="107">
          <cell r="B107">
            <v>2500000</v>
          </cell>
        </row>
        <row r="108">
          <cell r="B108">
            <v>51871</v>
          </cell>
        </row>
        <row r="109">
          <cell r="B109">
            <v>1021478</v>
          </cell>
        </row>
        <row r="110">
          <cell r="B110">
            <v>1599610</v>
          </cell>
        </row>
        <row r="111">
          <cell r="B111">
            <v>1428403</v>
          </cell>
        </row>
        <row r="112">
          <cell r="B112">
            <v>860</v>
          </cell>
        </row>
        <row r="113">
          <cell r="B113">
            <v>2069</v>
          </cell>
        </row>
        <row r="114">
          <cell r="B114">
            <v>1437125</v>
          </cell>
        </row>
        <row r="115">
          <cell r="B115">
            <v>143406</v>
          </cell>
        </row>
        <row r="116">
          <cell r="B116">
            <v>0</v>
          </cell>
        </row>
        <row r="117">
          <cell r="B117">
            <v>2354001</v>
          </cell>
        </row>
        <row r="118">
          <cell r="B118">
            <v>322353</v>
          </cell>
        </row>
        <row r="119">
          <cell r="B119">
            <v>27695497</v>
          </cell>
        </row>
        <row r="120">
          <cell r="B120">
            <v>3462703</v>
          </cell>
        </row>
        <row r="121">
          <cell r="B121">
            <v>1063728</v>
          </cell>
        </row>
        <row r="122">
          <cell r="B122">
            <v>698981</v>
          </cell>
        </row>
        <row r="123">
          <cell r="B123">
            <v>5946304</v>
          </cell>
        </row>
        <row r="124">
          <cell r="B124">
            <v>86375</v>
          </cell>
        </row>
        <row r="125">
          <cell r="B125">
            <v>178221</v>
          </cell>
        </row>
        <row r="126">
          <cell r="B126">
            <v>42477</v>
          </cell>
        </row>
        <row r="127">
          <cell r="B127">
            <v>16044</v>
          </cell>
        </row>
        <row r="128">
          <cell r="B128">
            <v>991671</v>
          </cell>
        </row>
        <row r="129">
          <cell r="B129">
            <v>49625</v>
          </cell>
        </row>
        <row r="130">
          <cell r="B130">
            <v>71929</v>
          </cell>
        </row>
        <row r="131">
          <cell r="B131">
            <v>500000</v>
          </cell>
        </row>
        <row r="132">
          <cell r="B132">
            <v>14372</v>
          </cell>
        </row>
        <row r="133">
          <cell r="B133">
            <v>159378</v>
          </cell>
        </row>
        <row r="134">
          <cell r="B134">
            <v>1234528</v>
          </cell>
        </row>
        <row r="135">
          <cell r="B135">
            <v>118222</v>
          </cell>
        </row>
        <row r="136">
          <cell r="B136">
            <v>843583</v>
          </cell>
        </row>
        <row r="137">
          <cell r="B137">
            <v>1012608</v>
          </cell>
        </row>
        <row r="138">
          <cell r="B138">
            <v>11495433</v>
          </cell>
        </row>
        <row r="139">
          <cell r="B139">
            <v>76450</v>
          </cell>
        </row>
        <row r="140">
          <cell r="B140">
            <v>3411</v>
          </cell>
        </row>
        <row r="141">
          <cell r="B141">
            <v>600396</v>
          </cell>
        </row>
        <row r="142">
          <cell r="B142">
            <v>1799691</v>
          </cell>
        </row>
        <row r="143">
          <cell r="B143">
            <v>3885</v>
          </cell>
        </row>
        <row r="144">
          <cell r="B144">
            <v>1148942</v>
          </cell>
        </row>
        <row r="145">
          <cell r="B145">
            <v>0</v>
          </cell>
        </row>
        <row r="146">
          <cell r="B146">
            <v>13475</v>
          </cell>
        </row>
        <row r="147">
          <cell r="B147">
            <v>-118615</v>
          </cell>
        </row>
        <row r="148">
          <cell r="B148">
            <v>-2159187</v>
          </cell>
        </row>
        <row r="149">
          <cell r="B149">
            <v>-632184</v>
          </cell>
        </row>
        <row r="150">
          <cell r="B150">
            <v>-2250000</v>
          </cell>
        </row>
        <row r="151">
          <cell r="B151">
            <v>-11967</v>
          </cell>
        </row>
        <row r="152">
          <cell r="B152">
            <v>-361641</v>
          </cell>
        </row>
        <row r="153">
          <cell r="B153">
            <v>-6446036</v>
          </cell>
        </row>
        <row r="154">
          <cell r="B154">
            <v>-761774</v>
          </cell>
        </row>
        <row r="155">
          <cell r="B155">
            <v>-22500431</v>
          </cell>
        </row>
        <row r="156">
          <cell r="B156">
            <v>-8570</v>
          </cell>
        </row>
        <row r="157">
          <cell r="B157">
            <v>-148856</v>
          </cell>
        </row>
        <row r="158">
          <cell r="B158">
            <v>-4864844</v>
          </cell>
        </row>
        <row r="159">
          <cell r="B159">
            <v>-61792</v>
          </cell>
        </row>
        <row r="160">
          <cell r="B160">
            <v>-41825000</v>
          </cell>
        </row>
        <row r="161">
          <cell r="B161">
            <v>-392910</v>
          </cell>
        </row>
        <row r="162">
          <cell r="B162">
            <v>-37828192</v>
          </cell>
        </row>
        <row r="163">
          <cell r="B163">
            <v>-30311</v>
          </cell>
        </row>
        <row r="164">
          <cell r="B164">
            <v>-1610112</v>
          </cell>
        </row>
        <row r="165">
          <cell r="B165">
            <v>-116726</v>
          </cell>
        </row>
        <row r="166">
          <cell r="B166">
            <v>-9278071</v>
          </cell>
        </row>
        <row r="167">
          <cell r="B167">
            <v>0</v>
          </cell>
        </row>
        <row r="168">
          <cell r="B168">
            <v>-197037552</v>
          </cell>
        </row>
        <row r="169">
          <cell r="B169">
            <v>-3218707</v>
          </cell>
        </row>
        <row r="170">
          <cell r="B170">
            <v>-8447</v>
          </cell>
        </row>
        <row r="171">
          <cell r="B171">
            <v>-2311023</v>
          </cell>
        </row>
        <row r="172">
          <cell r="B172">
            <v>296941</v>
          </cell>
        </row>
        <row r="173">
          <cell r="B173">
            <v>-675162</v>
          </cell>
        </row>
        <row r="174">
          <cell r="B174">
            <v>-601334</v>
          </cell>
        </row>
        <row r="175">
          <cell r="B175">
            <v>-143386</v>
          </cell>
        </row>
        <row r="176">
          <cell r="B176">
            <v>0</v>
          </cell>
        </row>
        <row r="177">
          <cell r="B177">
            <v>-18170540</v>
          </cell>
        </row>
        <row r="178">
          <cell r="B178">
            <v>0</v>
          </cell>
        </row>
        <row r="179">
          <cell r="B179">
            <v>-220120</v>
          </cell>
        </row>
        <row r="180">
          <cell r="B180">
            <v>116</v>
          </cell>
        </row>
        <row r="181">
          <cell r="B181">
            <v>-3500</v>
          </cell>
        </row>
        <row r="182">
          <cell r="B182">
            <v>-169978</v>
          </cell>
        </row>
        <row r="183">
          <cell r="B183">
            <v>-250000</v>
          </cell>
        </row>
        <row r="184">
          <cell r="B184">
            <v>-524634</v>
          </cell>
        </row>
        <row r="185">
          <cell r="B185">
            <v>-188932</v>
          </cell>
        </row>
        <row r="188">
          <cell r="B188">
            <v>-12715</v>
          </cell>
        </row>
        <row r="189">
          <cell r="B189">
            <v>-2970</v>
          </cell>
        </row>
        <row r="192">
          <cell r="B192">
            <v>0</v>
          </cell>
        </row>
        <row r="194">
          <cell r="B194">
            <v>-1437819</v>
          </cell>
        </row>
        <row r="195">
          <cell r="B195">
            <v>-7396</v>
          </cell>
        </row>
        <row r="199">
          <cell r="B199">
            <v>-9788065</v>
          </cell>
        </row>
        <row r="200">
          <cell r="B200">
            <v>712093462</v>
          </cell>
        </row>
        <row r="201">
          <cell r="B201">
            <v>-792759031</v>
          </cell>
        </row>
        <row r="202">
          <cell r="B202">
            <v>-750000000</v>
          </cell>
        </row>
        <row r="204">
          <cell r="B204">
            <v>54397</v>
          </cell>
        </row>
        <row r="205">
          <cell r="B205">
            <v>-3086589</v>
          </cell>
        </row>
        <row r="207">
          <cell r="B207">
            <v>17241</v>
          </cell>
        </row>
        <row r="208">
          <cell r="B208">
            <v>-31816</v>
          </cell>
        </row>
        <row r="209">
          <cell r="B209">
            <v>-5991</v>
          </cell>
        </row>
        <row r="210">
          <cell r="B210">
            <v>-62117</v>
          </cell>
        </row>
        <row r="211">
          <cell r="B211">
            <v>-194704</v>
          </cell>
        </row>
        <row r="212">
          <cell r="B212">
            <v>-6</v>
          </cell>
        </row>
        <row r="213">
          <cell r="B213">
            <v>-2158985</v>
          </cell>
        </row>
        <row r="214">
          <cell r="B214">
            <v>-80807</v>
          </cell>
        </row>
        <row r="215">
          <cell r="B215">
            <v>-746107</v>
          </cell>
        </row>
        <row r="216">
          <cell r="B216">
            <v>-15072000</v>
          </cell>
        </row>
        <row r="217">
          <cell r="B217">
            <v>-924996</v>
          </cell>
        </row>
        <row r="218">
          <cell r="B218">
            <v>-9047964</v>
          </cell>
        </row>
        <row r="219">
          <cell r="B219">
            <v>-400</v>
          </cell>
        </row>
        <row r="220">
          <cell r="B220">
            <v>-50552718</v>
          </cell>
        </row>
        <row r="221">
          <cell r="B221">
            <v>-3065277</v>
          </cell>
        </row>
        <row r="222">
          <cell r="B222">
            <v>0</v>
          </cell>
        </row>
        <row r="223">
          <cell r="B223">
            <v>-1135</v>
          </cell>
        </row>
        <row r="225">
          <cell r="B225">
            <v>-979763</v>
          </cell>
        </row>
      </sheetData>
      <sheetData sheetId="16" refreshError="1">
        <row r="5">
          <cell r="B5">
            <v>-63013</v>
          </cell>
        </row>
        <row r="6">
          <cell r="B6">
            <v>256892</v>
          </cell>
        </row>
        <row r="8">
          <cell r="B8">
            <v>89596</v>
          </cell>
        </row>
        <row r="10">
          <cell r="B10">
            <v>0</v>
          </cell>
        </row>
        <row r="13">
          <cell r="B13">
            <v>79876</v>
          </cell>
        </row>
        <row r="16">
          <cell r="B16">
            <v>56087</v>
          </cell>
        </row>
        <row r="23">
          <cell r="B23">
            <v>35000</v>
          </cell>
        </row>
        <row r="24">
          <cell r="B24">
            <v>9475</v>
          </cell>
        </row>
        <row r="25">
          <cell r="B25">
            <v>45948</v>
          </cell>
        </row>
        <row r="26">
          <cell r="B26">
            <v>8259</v>
          </cell>
        </row>
        <row r="32">
          <cell r="B32">
            <v>122291</v>
          </cell>
        </row>
        <row r="45">
          <cell r="B45">
            <v>23104</v>
          </cell>
        </row>
        <row r="46">
          <cell r="B46">
            <v>-48558</v>
          </cell>
        </row>
        <row r="47">
          <cell r="B47">
            <v>100000</v>
          </cell>
        </row>
        <row r="49">
          <cell r="B49">
            <v>41400</v>
          </cell>
        </row>
        <row r="54">
          <cell r="B54">
            <v>19896</v>
          </cell>
        </row>
        <row r="78">
          <cell r="B78">
            <v>12680</v>
          </cell>
        </row>
        <row r="79">
          <cell r="B79">
            <v>52491</v>
          </cell>
        </row>
        <row r="82">
          <cell r="B82">
            <v>37000</v>
          </cell>
        </row>
        <row r="85">
          <cell r="B85">
            <v>175005</v>
          </cell>
        </row>
        <row r="86">
          <cell r="B86">
            <v>8905</v>
          </cell>
        </row>
        <row r="91">
          <cell r="B91">
            <v>8012</v>
          </cell>
        </row>
        <row r="92">
          <cell r="B92">
            <v>301270</v>
          </cell>
        </row>
        <row r="97">
          <cell r="B97">
            <v>-70979</v>
          </cell>
        </row>
        <row r="98">
          <cell r="B98">
            <v>-149634</v>
          </cell>
        </row>
        <row r="100">
          <cell r="B100">
            <v>120000</v>
          </cell>
        </row>
        <row r="101">
          <cell r="B101">
            <v>127904</v>
          </cell>
        </row>
        <row r="103">
          <cell r="B103">
            <v>29000</v>
          </cell>
        </row>
        <row r="105">
          <cell r="B105">
            <v>-428502</v>
          </cell>
        </row>
        <row r="109">
          <cell r="B109">
            <v>2930</v>
          </cell>
        </row>
        <row r="110">
          <cell r="B110">
            <v>2012</v>
          </cell>
        </row>
        <row r="111">
          <cell r="B111">
            <v>14285</v>
          </cell>
        </row>
        <row r="113">
          <cell r="B113">
            <v>476256</v>
          </cell>
        </row>
        <row r="114">
          <cell r="B114">
            <v>196138</v>
          </cell>
        </row>
        <row r="115">
          <cell r="B115">
            <v>-20560</v>
          </cell>
        </row>
        <row r="116">
          <cell r="B116">
            <v>1749</v>
          </cell>
        </row>
        <row r="119">
          <cell r="B119">
            <v>-9467</v>
          </cell>
        </row>
        <row r="120">
          <cell r="B120">
            <v>-619594</v>
          </cell>
        </row>
        <row r="121">
          <cell r="B121">
            <v>-148</v>
          </cell>
        </row>
        <row r="122">
          <cell r="B122">
            <v>-17993</v>
          </cell>
        </row>
        <row r="123">
          <cell r="B123">
            <v>-7820</v>
          </cell>
        </row>
        <row r="124">
          <cell r="B124">
            <v>-488363</v>
          </cell>
        </row>
        <row r="125">
          <cell r="B125">
            <v>-14369357</v>
          </cell>
        </row>
        <row r="126">
          <cell r="B126">
            <v>-578725</v>
          </cell>
        </row>
        <row r="128">
          <cell r="B128">
            <v>-10528</v>
          </cell>
        </row>
        <row r="129">
          <cell r="B129">
            <v>-1392</v>
          </cell>
        </row>
        <row r="130">
          <cell r="B130">
            <v>-1178258</v>
          </cell>
        </row>
        <row r="131">
          <cell r="B131">
            <v>18170543</v>
          </cell>
        </row>
        <row r="133">
          <cell r="B133">
            <v>-15746</v>
          </cell>
        </row>
        <row r="135">
          <cell r="B135">
            <v>-1250000</v>
          </cell>
        </row>
        <row r="137">
          <cell r="B137">
            <v>-60297</v>
          </cell>
        </row>
        <row r="138">
          <cell r="B138">
            <v>-42857</v>
          </cell>
        </row>
        <row r="139">
          <cell r="B139">
            <v>-987719</v>
          </cell>
        </row>
        <row r="140">
          <cell r="B140">
            <v>-169070</v>
          </cell>
        </row>
        <row r="141">
          <cell r="B141">
            <v>-35420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ow r="7">
          <cell r="B7">
            <v>223033</v>
          </cell>
        </row>
      </sheetData>
      <sheetData sheetId="30">
        <row r="5">
          <cell r="B5">
            <v>-63013</v>
          </cell>
        </row>
      </sheetData>
      <sheetData sheetId="31"/>
      <sheetData sheetId="32"/>
      <sheetData sheetId="33"/>
      <sheetData sheetId="34"/>
      <sheetData sheetId="35"/>
      <sheetData sheetId="36"/>
      <sheetData sheetId="37"/>
      <sheetData sheetId="38"/>
      <sheetData sheetId="39"/>
      <sheetData sheetId="40">
        <row r="7">
          <cell r="B7">
            <v>223033</v>
          </cell>
        </row>
      </sheetData>
      <sheetData sheetId="41">
        <row r="5">
          <cell r="B5">
            <v>-63013</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L"/>
      <sheetName val="BSSCH"/>
      <sheetName val="PLSCH"/>
      <sheetName val="Asset"/>
      <sheetName val="Liab"/>
      <sheetName val="Income"/>
      <sheetName val="Exp"/>
      <sheetName val="EPS Calculation"/>
      <sheetName val="tb"/>
      <sheetName val="roi2003"/>
      <sheetName val="fa in 1000"/>
      <sheetName val="FASch"/>
      <sheetName val="Investment sch"/>
      <sheetName val="DRS-WKG"/>
      <sheetName val="Deferred tax"/>
      <sheetName val="details of grossup"/>
      <sheetName val="drs gross provn working"/>
      <sheetName val="bad-debt provn"/>
      <sheetName val="income tax computation"/>
      <sheetName val="roi"/>
      <sheetName val="EPS_Calculation1"/>
      <sheetName val="fa_in_10001"/>
      <sheetName val="Investment_sch1"/>
      <sheetName val="Deferred_tax1"/>
      <sheetName val="details_of_grossup1"/>
      <sheetName val="drs_gross_provn_working1"/>
      <sheetName val="bad-debt_provn1"/>
      <sheetName val="income_tax_computation1"/>
      <sheetName val="EPS_Calculation"/>
      <sheetName val="fa_in_1000"/>
      <sheetName val="Investment_sch"/>
      <sheetName val="Deferred_tax"/>
      <sheetName val="details_of_grossup"/>
      <sheetName val="drs_gross_provn_working"/>
      <sheetName val="bad-debt_provn"/>
      <sheetName val="income_tax_computation"/>
    </sheetNames>
    <sheetDataSet>
      <sheetData sheetId="0"/>
      <sheetData sheetId="1"/>
      <sheetData sheetId="2"/>
      <sheetData sheetId="3"/>
      <sheetData sheetId="4"/>
      <sheetData sheetId="5"/>
      <sheetData sheetId="6"/>
      <sheetData sheetId="7"/>
      <sheetData sheetId="8"/>
      <sheetData sheetId="9">
        <row r="8">
          <cell r="B8">
            <v>89596</v>
          </cell>
        </row>
        <row r="10">
          <cell r="B10">
            <v>0</v>
          </cell>
        </row>
        <row r="16">
          <cell r="B16">
            <v>56087</v>
          </cell>
        </row>
        <row r="25">
          <cell r="B25">
            <v>45948</v>
          </cell>
        </row>
        <row r="92">
          <cell r="B92">
            <v>301270</v>
          </cell>
        </row>
        <row r="101">
          <cell r="B101">
            <v>127904</v>
          </cell>
        </row>
        <row r="169">
          <cell r="B169">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sheetData sheetId="1">
        <row r="18">
          <cell r="V18" t="str">
            <v>Others</v>
          </cell>
        </row>
      </sheetData>
      <sheetData sheetId="2">
        <row r="7">
          <cell r="A7">
            <v>1</v>
          </cell>
          <cell r="B7" t="str">
            <v>94C</v>
          </cell>
          <cell r="C7">
            <v>4673</v>
          </cell>
          <cell r="D7">
            <v>0</v>
          </cell>
          <cell r="E7">
            <v>0</v>
          </cell>
          <cell r="F7">
            <v>0</v>
          </cell>
          <cell r="G7">
            <v>0</v>
          </cell>
          <cell r="I7">
            <v>4673</v>
          </cell>
          <cell r="J7">
            <v>333894</v>
          </cell>
          <cell r="L7">
            <v>170032</v>
          </cell>
          <cell r="N7">
            <v>39028</v>
          </cell>
          <cell r="P7">
            <v>303</v>
          </cell>
          <cell r="R7">
            <v>0</v>
          </cell>
          <cell r="S7">
            <v>0</v>
          </cell>
          <cell r="U7">
            <v>4673</v>
          </cell>
        </row>
        <row r="8">
          <cell r="A8">
            <v>2</v>
          </cell>
          <cell r="B8" t="str">
            <v>94J</v>
          </cell>
          <cell r="C8">
            <v>8160</v>
          </cell>
          <cell r="D8">
            <v>0</v>
          </cell>
          <cell r="E8">
            <v>0</v>
          </cell>
          <cell r="F8">
            <v>0</v>
          </cell>
          <cell r="G8">
            <v>0</v>
          </cell>
          <cell r="I8">
            <v>8160</v>
          </cell>
          <cell r="J8">
            <v>333897</v>
          </cell>
          <cell r="L8">
            <v>170032</v>
          </cell>
          <cell r="N8">
            <v>39028</v>
          </cell>
          <cell r="P8">
            <v>304</v>
          </cell>
          <cell r="R8">
            <v>0</v>
          </cell>
          <cell r="S8">
            <v>0</v>
          </cell>
          <cell r="U8">
            <v>8160</v>
          </cell>
        </row>
        <row r="9">
          <cell r="A9">
            <v>3</v>
          </cell>
          <cell r="B9" t="str">
            <v>94C</v>
          </cell>
          <cell r="C9">
            <v>653</v>
          </cell>
          <cell r="D9">
            <v>0</v>
          </cell>
          <cell r="E9">
            <v>0</v>
          </cell>
          <cell r="F9">
            <v>0</v>
          </cell>
          <cell r="G9">
            <v>0</v>
          </cell>
          <cell r="I9">
            <v>653</v>
          </cell>
          <cell r="J9">
            <v>333895</v>
          </cell>
          <cell r="L9">
            <v>170032</v>
          </cell>
          <cell r="N9">
            <v>39028</v>
          </cell>
          <cell r="P9">
            <v>308</v>
          </cell>
          <cell r="R9">
            <v>0</v>
          </cell>
          <cell r="S9">
            <v>0</v>
          </cell>
          <cell r="U9">
            <v>653</v>
          </cell>
        </row>
        <row r="10">
          <cell r="A10">
            <v>4</v>
          </cell>
          <cell r="B10" t="str">
            <v>94J</v>
          </cell>
          <cell r="C10">
            <v>4080</v>
          </cell>
          <cell r="D10">
            <v>0</v>
          </cell>
          <cell r="E10">
            <v>0</v>
          </cell>
          <cell r="F10">
            <v>0</v>
          </cell>
          <cell r="G10">
            <v>0</v>
          </cell>
          <cell r="I10">
            <v>4080</v>
          </cell>
          <cell r="J10">
            <v>334034</v>
          </cell>
          <cell r="L10">
            <v>170032</v>
          </cell>
          <cell r="N10">
            <v>39058</v>
          </cell>
          <cell r="P10">
            <v>547</v>
          </cell>
          <cell r="R10">
            <v>0</v>
          </cell>
          <cell r="S10">
            <v>0</v>
          </cell>
          <cell r="U10">
            <v>4080</v>
          </cell>
        </row>
        <row r="11">
          <cell r="A11">
            <v>5</v>
          </cell>
          <cell r="B11" t="str">
            <v>94I</v>
          </cell>
          <cell r="C11">
            <v>23936</v>
          </cell>
          <cell r="D11">
            <v>0</v>
          </cell>
          <cell r="E11">
            <v>0</v>
          </cell>
          <cell r="F11">
            <v>210</v>
          </cell>
          <cell r="G11">
            <v>0</v>
          </cell>
          <cell r="I11">
            <v>24146</v>
          </cell>
          <cell r="J11">
            <v>334035</v>
          </cell>
          <cell r="L11">
            <v>170032</v>
          </cell>
          <cell r="N11">
            <v>39058</v>
          </cell>
          <cell r="P11">
            <v>565</v>
          </cell>
          <cell r="R11">
            <v>0</v>
          </cell>
          <cell r="S11">
            <v>0</v>
          </cell>
          <cell r="U11">
            <v>24146</v>
          </cell>
        </row>
        <row r="12">
          <cell r="A12">
            <v>6</v>
          </cell>
          <cell r="B12" t="str">
            <v>94C</v>
          </cell>
          <cell r="C12">
            <v>9031</v>
          </cell>
          <cell r="D12">
            <v>0</v>
          </cell>
          <cell r="E12">
            <v>0</v>
          </cell>
          <cell r="F12">
            <v>0</v>
          </cell>
          <cell r="G12">
            <v>0</v>
          </cell>
          <cell r="I12">
            <v>9031</v>
          </cell>
          <cell r="J12">
            <v>260584</v>
          </cell>
          <cell r="L12">
            <v>170032</v>
          </cell>
          <cell r="N12">
            <v>39057</v>
          </cell>
          <cell r="P12">
            <v>464</v>
          </cell>
          <cell r="R12">
            <v>0</v>
          </cell>
          <cell r="S12">
            <v>0</v>
          </cell>
          <cell r="U12">
            <v>9031</v>
          </cell>
        </row>
        <row r="13">
          <cell r="A13">
            <v>7</v>
          </cell>
          <cell r="B13" t="str">
            <v>94C</v>
          </cell>
          <cell r="C13">
            <v>2674</v>
          </cell>
          <cell r="D13">
            <v>0</v>
          </cell>
          <cell r="E13">
            <v>0</v>
          </cell>
          <cell r="F13">
            <v>0</v>
          </cell>
          <cell r="G13">
            <v>0</v>
          </cell>
          <cell r="I13">
            <v>2674</v>
          </cell>
          <cell r="J13">
            <v>260585</v>
          </cell>
          <cell r="L13">
            <v>170032</v>
          </cell>
          <cell r="N13">
            <v>39057</v>
          </cell>
          <cell r="P13">
            <v>447</v>
          </cell>
          <cell r="R13">
            <v>0</v>
          </cell>
          <cell r="S13">
            <v>0</v>
          </cell>
          <cell r="U13">
            <v>2674</v>
          </cell>
        </row>
        <row r="14">
          <cell r="A14">
            <v>8</v>
          </cell>
          <cell r="B14" t="str">
            <v>94I</v>
          </cell>
          <cell r="C14">
            <v>8976</v>
          </cell>
          <cell r="D14">
            <v>0</v>
          </cell>
          <cell r="E14">
            <v>0</v>
          </cell>
          <cell r="F14">
            <v>0</v>
          </cell>
          <cell r="G14">
            <v>0</v>
          </cell>
          <cell r="I14">
            <v>8976</v>
          </cell>
          <cell r="J14">
            <v>260643</v>
          </cell>
          <cell r="L14">
            <v>170032</v>
          </cell>
          <cell r="N14">
            <v>39064</v>
          </cell>
          <cell r="P14">
            <v>513</v>
          </cell>
          <cell r="R14">
            <v>0</v>
          </cell>
          <cell r="S14">
            <v>0</v>
          </cell>
          <cell r="U14">
            <v>8976</v>
          </cell>
        </row>
        <row r="15">
          <cell r="A15">
            <v>9</v>
          </cell>
          <cell r="B15" t="str">
            <v>94C</v>
          </cell>
          <cell r="C15">
            <v>6376</v>
          </cell>
          <cell r="D15">
            <v>0</v>
          </cell>
          <cell r="E15">
            <v>0</v>
          </cell>
          <cell r="F15">
            <v>0</v>
          </cell>
          <cell r="G15">
            <v>0</v>
          </cell>
          <cell r="I15">
            <v>6376</v>
          </cell>
          <cell r="J15">
            <v>265593</v>
          </cell>
          <cell r="L15">
            <v>170032</v>
          </cell>
          <cell r="N15">
            <v>39088</v>
          </cell>
          <cell r="P15">
            <v>399</v>
          </cell>
          <cell r="R15">
            <v>0</v>
          </cell>
          <cell r="S15">
            <v>0</v>
          </cell>
          <cell r="T15">
            <v>234</v>
          </cell>
          <cell r="U15">
            <v>6376</v>
          </cell>
        </row>
        <row r="16">
          <cell r="A16">
            <v>10</v>
          </cell>
          <cell r="B16" t="str">
            <v>94C</v>
          </cell>
          <cell r="C16">
            <v>85</v>
          </cell>
          <cell r="D16">
            <v>0</v>
          </cell>
          <cell r="E16">
            <v>0</v>
          </cell>
          <cell r="F16">
            <v>0</v>
          </cell>
          <cell r="G16">
            <v>0</v>
          </cell>
          <cell r="I16">
            <v>85</v>
          </cell>
          <cell r="J16">
            <v>265595</v>
          </cell>
          <cell r="L16">
            <v>170032</v>
          </cell>
          <cell r="N16">
            <v>39088</v>
          </cell>
          <cell r="P16">
            <v>398</v>
          </cell>
          <cell r="R16">
            <v>0</v>
          </cell>
          <cell r="S16">
            <v>0</v>
          </cell>
          <cell r="U16">
            <v>85</v>
          </cell>
        </row>
        <row r="17">
          <cell r="A17">
            <v>11</v>
          </cell>
          <cell r="B17" t="str">
            <v>94C</v>
          </cell>
          <cell r="C17">
            <v>8127</v>
          </cell>
          <cell r="D17">
            <v>0</v>
          </cell>
          <cell r="E17">
            <v>0</v>
          </cell>
          <cell r="F17">
            <v>0</v>
          </cell>
          <cell r="G17">
            <v>0</v>
          </cell>
          <cell r="I17">
            <v>8127</v>
          </cell>
          <cell r="J17">
            <v>265594</v>
          </cell>
          <cell r="L17">
            <v>170032</v>
          </cell>
          <cell r="N17">
            <v>39088</v>
          </cell>
          <cell r="P17">
            <v>400</v>
          </cell>
          <cell r="R17">
            <v>0</v>
          </cell>
          <cell r="S17">
            <v>0</v>
          </cell>
          <cell r="U17">
            <v>8127</v>
          </cell>
        </row>
        <row r="18">
          <cell r="A18">
            <v>12</v>
          </cell>
          <cell r="B18" t="str">
            <v>94C</v>
          </cell>
          <cell r="C18">
            <v>2490</v>
          </cell>
          <cell r="D18">
            <v>0</v>
          </cell>
          <cell r="E18">
            <v>0</v>
          </cell>
          <cell r="F18">
            <v>0</v>
          </cell>
          <cell r="G18">
            <v>0</v>
          </cell>
          <cell r="I18">
            <v>2490</v>
          </cell>
          <cell r="J18">
            <v>365604</v>
          </cell>
          <cell r="L18">
            <v>170032</v>
          </cell>
          <cell r="N18">
            <v>39090</v>
          </cell>
          <cell r="P18">
            <v>560</v>
          </cell>
          <cell r="R18">
            <v>0</v>
          </cell>
          <cell r="S18">
            <v>0</v>
          </cell>
          <cell r="U18">
            <v>2490</v>
          </cell>
        </row>
        <row r="19">
          <cell r="A19">
            <v>13</v>
          </cell>
          <cell r="B19" t="str">
            <v>94C</v>
          </cell>
          <cell r="C19">
            <v>157</v>
          </cell>
          <cell r="D19">
            <v>0</v>
          </cell>
          <cell r="E19">
            <v>0</v>
          </cell>
          <cell r="F19">
            <v>0</v>
          </cell>
          <cell r="G19">
            <v>0</v>
          </cell>
          <cell r="I19">
            <v>157</v>
          </cell>
          <cell r="J19">
            <v>365605</v>
          </cell>
          <cell r="L19">
            <v>170032</v>
          </cell>
          <cell r="N19">
            <v>39090</v>
          </cell>
          <cell r="P19">
            <v>519</v>
          </cell>
          <cell r="R19">
            <v>0</v>
          </cell>
          <cell r="S19">
            <v>0</v>
          </cell>
          <cell r="U19">
            <v>157</v>
          </cell>
        </row>
        <row r="20">
          <cell r="I20">
            <v>0</v>
          </cell>
          <cell r="U20">
            <v>0</v>
          </cell>
        </row>
        <row r="21">
          <cell r="I21">
            <v>0</v>
          </cell>
          <cell r="U21">
            <v>0</v>
          </cell>
        </row>
        <row r="22">
          <cell r="I22">
            <v>0</v>
          </cell>
          <cell r="U22">
            <v>0</v>
          </cell>
        </row>
        <row r="23">
          <cell r="A23" t="str">
            <v>Total</v>
          </cell>
          <cell r="C23">
            <v>79418</v>
          </cell>
          <cell r="D23">
            <v>0</v>
          </cell>
          <cell r="E23">
            <v>0</v>
          </cell>
          <cell r="F23">
            <v>210</v>
          </cell>
          <cell r="G23">
            <v>0</v>
          </cell>
          <cell r="H23">
            <v>0</v>
          </cell>
          <cell r="I23">
            <v>79628</v>
          </cell>
          <cell r="R23">
            <v>0</v>
          </cell>
          <cell r="S23">
            <v>0</v>
          </cell>
          <cell r="T23" t="e">
            <v>#REF!</v>
          </cell>
          <cell r="U23">
            <v>79628</v>
          </cell>
        </row>
        <row r="819">
          <cell r="IV819">
            <v>193</v>
          </cell>
        </row>
        <row r="820">
          <cell r="IV820" t="str">
            <v>94A</v>
          </cell>
        </row>
        <row r="821">
          <cell r="IV821" t="str">
            <v>94B</v>
          </cell>
        </row>
        <row r="822">
          <cell r="IV822" t="str">
            <v>4BB</v>
          </cell>
        </row>
        <row r="823">
          <cell r="IV823" t="str">
            <v>94C</v>
          </cell>
        </row>
        <row r="824">
          <cell r="IV824" t="str">
            <v>94D</v>
          </cell>
        </row>
        <row r="825">
          <cell r="IV825" t="str">
            <v>4EE</v>
          </cell>
        </row>
        <row r="826">
          <cell r="IV826" t="str">
            <v>94F</v>
          </cell>
        </row>
        <row r="827">
          <cell r="IV827" t="str">
            <v>94G</v>
          </cell>
        </row>
        <row r="828">
          <cell r="IV828" t="str">
            <v>94H</v>
          </cell>
        </row>
        <row r="829">
          <cell r="IV829" t="str">
            <v>94I</v>
          </cell>
        </row>
        <row r="830">
          <cell r="IV830" t="str">
            <v>94J</v>
          </cell>
        </row>
        <row r="831">
          <cell r="IV831" t="str">
            <v>94K</v>
          </cell>
        </row>
        <row r="832">
          <cell r="IV832" t="str">
            <v>94L</v>
          </cell>
        </row>
      </sheetData>
      <sheetData sheetId="3">
        <row r="11">
          <cell r="A11">
            <v>1</v>
          </cell>
          <cell r="R11">
            <v>306</v>
          </cell>
          <cell r="W11">
            <v>306</v>
          </cell>
        </row>
        <row r="12">
          <cell r="A12">
            <v>3</v>
          </cell>
          <cell r="R12">
            <v>25</v>
          </cell>
          <cell r="W12">
            <v>25</v>
          </cell>
        </row>
        <row r="13">
          <cell r="A13">
            <v>1</v>
          </cell>
          <cell r="R13">
            <v>445</v>
          </cell>
          <cell r="W13">
            <v>445</v>
          </cell>
        </row>
        <row r="14">
          <cell r="A14">
            <v>1</v>
          </cell>
          <cell r="R14">
            <v>600</v>
          </cell>
          <cell r="W14">
            <v>600</v>
          </cell>
        </row>
        <row r="15">
          <cell r="A15">
            <v>1</v>
          </cell>
          <cell r="R15">
            <v>306</v>
          </cell>
          <cell r="W15">
            <v>306</v>
          </cell>
        </row>
        <row r="16">
          <cell r="A16">
            <v>1</v>
          </cell>
          <cell r="R16">
            <v>45</v>
          </cell>
          <cell r="W16">
            <v>45</v>
          </cell>
        </row>
        <row r="17">
          <cell r="A17">
            <v>1</v>
          </cell>
          <cell r="R17">
            <v>59</v>
          </cell>
          <cell r="W17">
            <v>59</v>
          </cell>
        </row>
        <row r="18">
          <cell r="A18">
            <v>1</v>
          </cell>
          <cell r="R18">
            <v>63</v>
          </cell>
          <cell r="W18">
            <v>63</v>
          </cell>
        </row>
        <row r="19">
          <cell r="A19">
            <v>1</v>
          </cell>
          <cell r="R19">
            <v>108</v>
          </cell>
          <cell r="W19">
            <v>108</v>
          </cell>
        </row>
        <row r="20">
          <cell r="A20">
            <v>1</v>
          </cell>
          <cell r="R20">
            <v>122</v>
          </cell>
          <cell r="W20">
            <v>122</v>
          </cell>
        </row>
        <row r="21">
          <cell r="A21">
            <v>1</v>
          </cell>
          <cell r="R21">
            <v>263</v>
          </cell>
          <cell r="W21">
            <v>263</v>
          </cell>
        </row>
        <row r="22">
          <cell r="A22">
            <v>1</v>
          </cell>
          <cell r="R22">
            <v>282</v>
          </cell>
          <cell r="W22">
            <v>282</v>
          </cell>
        </row>
        <row r="23">
          <cell r="A23">
            <v>1</v>
          </cell>
          <cell r="R23">
            <v>306</v>
          </cell>
          <cell r="W23">
            <v>306</v>
          </cell>
        </row>
        <row r="24">
          <cell r="A24">
            <v>3</v>
          </cell>
          <cell r="R24">
            <v>628</v>
          </cell>
          <cell r="W24">
            <v>628</v>
          </cell>
        </row>
        <row r="25">
          <cell r="A25">
            <v>1</v>
          </cell>
          <cell r="R25">
            <v>51</v>
          </cell>
          <cell r="W25">
            <v>51</v>
          </cell>
        </row>
        <row r="26">
          <cell r="A26">
            <v>1</v>
          </cell>
          <cell r="R26">
            <v>85</v>
          </cell>
          <cell r="W26">
            <v>85</v>
          </cell>
        </row>
        <row r="27">
          <cell r="A27">
            <v>1</v>
          </cell>
          <cell r="R27">
            <v>102</v>
          </cell>
          <cell r="W27">
            <v>102</v>
          </cell>
        </row>
        <row r="28">
          <cell r="A28">
            <v>1</v>
          </cell>
          <cell r="R28">
            <v>33</v>
          </cell>
          <cell r="W28">
            <v>33</v>
          </cell>
        </row>
        <row r="29">
          <cell r="A29">
            <v>1</v>
          </cell>
          <cell r="R29">
            <v>426</v>
          </cell>
          <cell r="W29">
            <v>426</v>
          </cell>
        </row>
        <row r="30">
          <cell r="A30">
            <v>1</v>
          </cell>
          <cell r="R30">
            <v>551</v>
          </cell>
          <cell r="W30">
            <v>551</v>
          </cell>
        </row>
        <row r="31">
          <cell r="A31">
            <v>1</v>
          </cell>
          <cell r="R31">
            <v>520</v>
          </cell>
          <cell r="W31">
            <v>520</v>
          </cell>
        </row>
        <row r="32">
          <cell r="A32">
            <v>2</v>
          </cell>
          <cell r="R32">
            <v>8160</v>
          </cell>
          <cell r="W32">
            <v>8160</v>
          </cell>
        </row>
        <row r="33">
          <cell r="A33">
            <v>7</v>
          </cell>
          <cell r="R33">
            <v>291</v>
          </cell>
          <cell r="W33">
            <v>291</v>
          </cell>
        </row>
        <row r="34">
          <cell r="A34">
            <v>7</v>
          </cell>
          <cell r="R34">
            <v>329</v>
          </cell>
          <cell r="W34">
            <v>329</v>
          </cell>
        </row>
        <row r="35">
          <cell r="A35">
            <v>7</v>
          </cell>
          <cell r="R35">
            <v>169</v>
          </cell>
          <cell r="W35">
            <v>169</v>
          </cell>
        </row>
        <row r="36">
          <cell r="A36">
            <v>6</v>
          </cell>
          <cell r="R36">
            <v>235</v>
          </cell>
          <cell r="W36">
            <v>235</v>
          </cell>
        </row>
        <row r="37">
          <cell r="A37">
            <v>7</v>
          </cell>
          <cell r="R37">
            <v>369</v>
          </cell>
          <cell r="W37">
            <v>369</v>
          </cell>
        </row>
        <row r="38">
          <cell r="A38">
            <v>7</v>
          </cell>
          <cell r="R38">
            <v>86</v>
          </cell>
          <cell r="W38">
            <v>86</v>
          </cell>
        </row>
        <row r="39">
          <cell r="A39">
            <v>6</v>
          </cell>
          <cell r="R39">
            <v>365</v>
          </cell>
          <cell r="W39">
            <v>365</v>
          </cell>
        </row>
        <row r="40">
          <cell r="A40">
            <v>6</v>
          </cell>
          <cell r="R40">
            <v>8414</v>
          </cell>
          <cell r="W40">
            <v>8414</v>
          </cell>
        </row>
        <row r="41">
          <cell r="A41">
            <v>7</v>
          </cell>
          <cell r="R41">
            <v>192</v>
          </cell>
          <cell r="W41">
            <v>192</v>
          </cell>
        </row>
        <row r="42">
          <cell r="A42">
            <v>7</v>
          </cell>
          <cell r="R42">
            <v>205</v>
          </cell>
          <cell r="W42">
            <v>205</v>
          </cell>
        </row>
        <row r="43">
          <cell r="A43">
            <v>6</v>
          </cell>
          <cell r="R43">
            <v>17</v>
          </cell>
          <cell r="W43">
            <v>17</v>
          </cell>
        </row>
        <row r="44">
          <cell r="A44">
            <v>7</v>
          </cell>
          <cell r="R44">
            <v>445</v>
          </cell>
          <cell r="W44">
            <v>445</v>
          </cell>
        </row>
        <row r="45">
          <cell r="A45">
            <v>4</v>
          </cell>
          <cell r="R45">
            <v>4080</v>
          </cell>
          <cell r="W45">
            <v>4080</v>
          </cell>
        </row>
        <row r="46">
          <cell r="A46">
            <v>7</v>
          </cell>
          <cell r="R46">
            <v>148</v>
          </cell>
          <cell r="W46">
            <v>148</v>
          </cell>
        </row>
        <row r="47">
          <cell r="A47">
            <v>7</v>
          </cell>
          <cell r="R47">
            <v>440</v>
          </cell>
          <cell r="W47">
            <v>440</v>
          </cell>
        </row>
        <row r="48">
          <cell r="A48">
            <v>5</v>
          </cell>
          <cell r="R48">
            <v>6194</v>
          </cell>
          <cell r="W48">
            <v>6194</v>
          </cell>
        </row>
        <row r="49">
          <cell r="A49">
            <v>5</v>
          </cell>
          <cell r="R49">
            <v>8976</v>
          </cell>
          <cell r="W49">
            <v>8976</v>
          </cell>
        </row>
        <row r="50">
          <cell r="A50">
            <v>5</v>
          </cell>
          <cell r="R50">
            <v>8976</v>
          </cell>
          <cell r="W50">
            <v>8976</v>
          </cell>
        </row>
        <row r="51">
          <cell r="A51">
            <v>9</v>
          </cell>
          <cell r="R51">
            <v>507</v>
          </cell>
          <cell r="W51">
            <v>507</v>
          </cell>
        </row>
        <row r="52">
          <cell r="A52">
            <v>11</v>
          </cell>
          <cell r="R52">
            <v>102</v>
          </cell>
          <cell r="W52">
            <v>102</v>
          </cell>
        </row>
        <row r="53">
          <cell r="A53">
            <v>11</v>
          </cell>
          <cell r="R53">
            <v>34</v>
          </cell>
          <cell r="W53">
            <v>34</v>
          </cell>
        </row>
        <row r="54">
          <cell r="A54">
            <v>11</v>
          </cell>
          <cell r="R54">
            <v>198</v>
          </cell>
          <cell r="W54">
            <v>198</v>
          </cell>
        </row>
        <row r="55">
          <cell r="A55">
            <v>11</v>
          </cell>
          <cell r="R55">
            <v>354</v>
          </cell>
          <cell r="W55">
            <v>354</v>
          </cell>
        </row>
        <row r="56">
          <cell r="A56">
            <v>11</v>
          </cell>
          <cell r="R56">
            <v>649</v>
          </cell>
          <cell r="W56">
            <v>649</v>
          </cell>
        </row>
        <row r="57">
          <cell r="A57">
            <v>11</v>
          </cell>
          <cell r="R57">
            <v>1045</v>
          </cell>
          <cell r="W57">
            <v>1045</v>
          </cell>
        </row>
        <row r="58">
          <cell r="A58">
            <v>9</v>
          </cell>
          <cell r="R58">
            <v>2191</v>
          </cell>
          <cell r="W58">
            <v>2191</v>
          </cell>
        </row>
        <row r="59">
          <cell r="A59">
            <v>8</v>
          </cell>
          <cell r="R59">
            <v>8976</v>
          </cell>
          <cell r="W59">
            <v>8976</v>
          </cell>
        </row>
        <row r="60">
          <cell r="A60">
            <v>11</v>
          </cell>
          <cell r="R60">
            <v>386</v>
          </cell>
          <cell r="W60">
            <v>386</v>
          </cell>
        </row>
        <row r="61">
          <cell r="A61">
            <v>11</v>
          </cell>
          <cell r="R61">
            <v>177</v>
          </cell>
          <cell r="W61">
            <v>177</v>
          </cell>
        </row>
        <row r="62">
          <cell r="A62">
            <v>11</v>
          </cell>
          <cell r="R62">
            <v>222</v>
          </cell>
          <cell r="W62">
            <v>222</v>
          </cell>
        </row>
        <row r="63">
          <cell r="A63">
            <v>11</v>
          </cell>
          <cell r="R63">
            <v>612</v>
          </cell>
          <cell r="W63">
            <v>612</v>
          </cell>
        </row>
        <row r="64">
          <cell r="A64">
            <v>11</v>
          </cell>
          <cell r="R64">
            <v>37</v>
          </cell>
          <cell r="W64">
            <v>37</v>
          </cell>
        </row>
        <row r="65">
          <cell r="A65">
            <v>9</v>
          </cell>
          <cell r="R65">
            <v>180</v>
          </cell>
          <cell r="W65">
            <v>180</v>
          </cell>
        </row>
        <row r="66">
          <cell r="A66">
            <v>11</v>
          </cell>
          <cell r="R66">
            <v>368</v>
          </cell>
          <cell r="W66">
            <v>368</v>
          </cell>
        </row>
        <row r="67">
          <cell r="A67">
            <v>9</v>
          </cell>
          <cell r="R67">
            <v>607</v>
          </cell>
          <cell r="W67">
            <v>607</v>
          </cell>
        </row>
        <row r="68">
          <cell r="A68">
            <v>9</v>
          </cell>
          <cell r="R68">
            <v>1904</v>
          </cell>
          <cell r="W68">
            <v>1904</v>
          </cell>
        </row>
        <row r="69">
          <cell r="A69">
            <v>11</v>
          </cell>
          <cell r="R69">
            <v>770</v>
          </cell>
          <cell r="W69">
            <v>770</v>
          </cell>
        </row>
        <row r="70">
          <cell r="A70">
            <v>11</v>
          </cell>
          <cell r="R70">
            <v>63</v>
          </cell>
          <cell r="W70">
            <v>63</v>
          </cell>
        </row>
        <row r="71">
          <cell r="A71">
            <v>11</v>
          </cell>
          <cell r="R71">
            <v>63</v>
          </cell>
          <cell r="W71">
            <v>63</v>
          </cell>
        </row>
        <row r="72">
          <cell r="A72">
            <v>11</v>
          </cell>
          <cell r="R72">
            <v>108</v>
          </cell>
          <cell r="W72">
            <v>108</v>
          </cell>
        </row>
        <row r="73">
          <cell r="A73">
            <v>11</v>
          </cell>
          <cell r="R73">
            <v>147</v>
          </cell>
          <cell r="W73">
            <v>147</v>
          </cell>
        </row>
        <row r="74">
          <cell r="A74">
            <v>9</v>
          </cell>
          <cell r="R74">
            <v>987</v>
          </cell>
          <cell r="W74">
            <v>987</v>
          </cell>
        </row>
        <row r="75">
          <cell r="A75">
            <v>11</v>
          </cell>
          <cell r="R75">
            <v>429</v>
          </cell>
          <cell r="W75">
            <v>429</v>
          </cell>
        </row>
        <row r="76">
          <cell r="A76">
            <v>11</v>
          </cell>
          <cell r="R76">
            <v>485</v>
          </cell>
          <cell r="W76">
            <v>485</v>
          </cell>
        </row>
        <row r="77">
          <cell r="A77">
            <v>11</v>
          </cell>
          <cell r="R77">
            <v>11</v>
          </cell>
          <cell r="W77">
            <v>11</v>
          </cell>
        </row>
        <row r="78">
          <cell r="A78">
            <v>11</v>
          </cell>
          <cell r="R78">
            <v>29</v>
          </cell>
          <cell r="W78">
            <v>29</v>
          </cell>
        </row>
        <row r="79">
          <cell r="A79">
            <v>11</v>
          </cell>
          <cell r="R79">
            <v>61</v>
          </cell>
          <cell r="W79">
            <v>61</v>
          </cell>
        </row>
        <row r="80">
          <cell r="A80">
            <v>11</v>
          </cell>
          <cell r="R80">
            <v>123</v>
          </cell>
          <cell r="W80">
            <v>123</v>
          </cell>
        </row>
        <row r="81">
          <cell r="A81">
            <v>11</v>
          </cell>
          <cell r="R81">
            <v>164</v>
          </cell>
          <cell r="W81">
            <v>164</v>
          </cell>
        </row>
        <row r="82">
          <cell r="A82">
            <v>11</v>
          </cell>
          <cell r="R82">
            <v>169</v>
          </cell>
          <cell r="W82">
            <v>169</v>
          </cell>
        </row>
        <row r="83">
          <cell r="A83">
            <v>11</v>
          </cell>
          <cell r="R83">
            <v>55</v>
          </cell>
          <cell r="W83">
            <v>55</v>
          </cell>
        </row>
        <row r="84">
          <cell r="A84">
            <v>11</v>
          </cell>
          <cell r="R84">
            <v>181</v>
          </cell>
          <cell r="W84">
            <v>181</v>
          </cell>
        </row>
        <row r="85">
          <cell r="A85">
            <v>11</v>
          </cell>
          <cell r="R85">
            <v>100</v>
          </cell>
          <cell r="W85">
            <v>100</v>
          </cell>
        </row>
        <row r="86">
          <cell r="A86">
            <v>11</v>
          </cell>
          <cell r="R86">
            <v>165</v>
          </cell>
          <cell r="W86">
            <v>165</v>
          </cell>
        </row>
        <row r="87">
          <cell r="A87">
            <v>11</v>
          </cell>
          <cell r="R87">
            <v>119</v>
          </cell>
          <cell r="W87">
            <v>119</v>
          </cell>
        </row>
        <row r="88">
          <cell r="A88">
            <v>12</v>
          </cell>
          <cell r="R88">
            <v>256</v>
          </cell>
          <cell r="W88">
            <v>256</v>
          </cell>
        </row>
        <row r="89">
          <cell r="A89">
            <v>12</v>
          </cell>
          <cell r="R89">
            <v>365</v>
          </cell>
          <cell r="W89">
            <v>365</v>
          </cell>
        </row>
        <row r="90">
          <cell r="A90">
            <v>11</v>
          </cell>
          <cell r="R90">
            <v>166</v>
          </cell>
          <cell r="W90">
            <v>166</v>
          </cell>
        </row>
        <row r="91">
          <cell r="A91">
            <v>12</v>
          </cell>
          <cell r="R91">
            <v>242</v>
          </cell>
          <cell r="W91">
            <v>242</v>
          </cell>
        </row>
        <row r="92">
          <cell r="A92">
            <v>10</v>
          </cell>
          <cell r="R92">
            <v>85</v>
          </cell>
          <cell r="W92">
            <v>85</v>
          </cell>
        </row>
        <row r="93">
          <cell r="A93">
            <v>11</v>
          </cell>
          <cell r="R93">
            <v>474</v>
          </cell>
          <cell r="W93">
            <v>474</v>
          </cell>
        </row>
        <row r="94">
          <cell r="A94">
            <v>12</v>
          </cell>
          <cell r="R94">
            <v>37</v>
          </cell>
          <cell r="W94">
            <v>37</v>
          </cell>
        </row>
        <row r="95">
          <cell r="A95">
            <v>12</v>
          </cell>
          <cell r="R95">
            <v>1507</v>
          </cell>
          <cell r="W95">
            <v>1507</v>
          </cell>
        </row>
        <row r="96">
          <cell r="A96">
            <v>13</v>
          </cell>
          <cell r="R96">
            <v>157</v>
          </cell>
          <cell r="W96">
            <v>157</v>
          </cell>
        </row>
        <row r="97">
          <cell r="A97">
            <v>11</v>
          </cell>
          <cell r="R97">
            <v>61</v>
          </cell>
          <cell r="W97">
            <v>61</v>
          </cell>
        </row>
        <row r="98">
          <cell r="A98">
            <v>12</v>
          </cell>
          <cell r="R98">
            <v>83</v>
          </cell>
          <cell r="W98">
            <v>83</v>
          </cell>
        </row>
        <row r="105">
          <cell r="A105" t="str">
            <v>Total</v>
          </cell>
          <cell r="R105">
            <v>79628</v>
          </cell>
          <cell r="W105">
            <v>79628</v>
          </cell>
        </row>
      </sheetData>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sheetData sheetId="1">
        <row r="18">
          <cell r="V18" t="str">
            <v>Others</v>
          </cell>
        </row>
      </sheetData>
      <sheetData sheetId="2">
        <row r="7">
          <cell r="A7">
            <v>1</v>
          </cell>
          <cell r="B7" t="str">
            <v>94C</v>
          </cell>
          <cell r="C7">
            <v>4673</v>
          </cell>
          <cell r="D7">
            <v>0</v>
          </cell>
          <cell r="E7">
            <v>0</v>
          </cell>
          <cell r="F7">
            <v>0</v>
          </cell>
          <cell r="G7">
            <v>0</v>
          </cell>
          <cell r="I7">
            <v>4673</v>
          </cell>
          <cell r="J7">
            <v>333894</v>
          </cell>
          <cell r="L7">
            <v>170032</v>
          </cell>
          <cell r="N7">
            <v>39028</v>
          </cell>
          <cell r="P7">
            <v>303</v>
          </cell>
          <cell r="R7">
            <v>0</v>
          </cell>
          <cell r="S7">
            <v>0</v>
          </cell>
          <cell r="U7">
            <v>4673</v>
          </cell>
        </row>
        <row r="8">
          <cell r="A8">
            <v>2</v>
          </cell>
          <cell r="B8" t="str">
            <v>94J</v>
          </cell>
          <cell r="C8">
            <v>8160</v>
          </cell>
          <cell r="D8">
            <v>0</v>
          </cell>
          <cell r="E8">
            <v>0</v>
          </cell>
          <cell r="F8">
            <v>0</v>
          </cell>
          <cell r="G8">
            <v>0</v>
          </cell>
          <cell r="I8">
            <v>8160</v>
          </cell>
          <cell r="J8">
            <v>333897</v>
          </cell>
          <cell r="L8">
            <v>170032</v>
          </cell>
          <cell r="N8">
            <v>39028</v>
          </cell>
          <cell r="P8">
            <v>304</v>
          </cell>
          <cell r="R8">
            <v>0</v>
          </cell>
          <cell r="S8">
            <v>0</v>
          </cell>
          <cell r="U8">
            <v>8160</v>
          </cell>
        </row>
        <row r="9">
          <cell r="A9">
            <v>3</v>
          </cell>
          <cell r="B9" t="str">
            <v>94C</v>
          </cell>
          <cell r="C9">
            <v>653</v>
          </cell>
          <cell r="D9">
            <v>0</v>
          </cell>
          <cell r="E9">
            <v>0</v>
          </cell>
          <cell r="F9">
            <v>0</v>
          </cell>
          <cell r="G9">
            <v>0</v>
          </cell>
          <cell r="I9">
            <v>653</v>
          </cell>
          <cell r="J9">
            <v>333895</v>
          </cell>
          <cell r="L9">
            <v>170032</v>
          </cell>
          <cell r="N9">
            <v>39028</v>
          </cell>
          <cell r="P9">
            <v>308</v>
          </cell>
          <cell r="R9">
            <v>0</v>
          </cell>
          <cell r="S9">
            <v>0</v>
          </cell>
          <cell r="U9">
            <v>653</v>
          </cell>
        </row>
        <row r="10">
          <cell r="A10">
            <v>4</v>
          </cell>
          <cell r="B10" t="str">
            <v>94J</v>
          </cell>
          <cell r="C10">
            <v>4080</v>
          </cell>
          <cell r="D10">
            <v>0</v>
          </cell>
          <cell r="E10">
            <v>0</v>
          </cell>
          <cell r="F10">
            <v>0</v>
          </cell>
          <cell r="G10">
            <v>0</v>
          </cell>
          <cell r="I10">
            <v>4080</v>
          </cell>
          <cell r="J10">
            <v>334034</v>
          </cell>
          <cell r="L10">
            <v>170032</v>
          </cell>
          <cell r="N10">
            <v>39058</v>
          </cell>
          <cell r="P10">
            <v>547</v>
          </cell>
          <cell r="R10">
            <v>0</v>
          </cell>
          <cell r="S10">
            <v>0</v>
          </cell>
          <cell r="U10">
            <v>4080</v>
          </cell>
        </row>
        <row r="11">
          <cell r="A11">
            <v>5</v>
          </cell>
          <cell r="B11" t="str">
            <v>94I</v>
          </cell>
          <cell r="C11">
            <v>23936</v>
          </cell>
          <cell r="D11">
            <v>0</v>
          </cell>
          <cell r="E11">
            <v>0</v>
          </cell>
          <cell r="F11">
            <v>210</v>
          </cell>
          <cell r="G11">
            <v>0</v>
          </cell>
          <cell r="I11">
            <v>24146</v>
          </cell>
          <cell r="J11">
            <v>334035</v>
          </cell>
          <cell r="L11">
            <v>170032</v>
          </cell>
          <cell r="N11">
            <v>39058</v>
          </cell>
          <cell r="P11">
            <v>565</v>
          </cell>
          <cell r="R11">
            <v>0</v>
          </cell>
          <cell r="S11">
            <v>0</v>
          </cell>
          <cell r="U11">
            <v>24146</v>
          </cell>
        </row>
        <row r="12">
          <cell r="A12">
            <v>6</v>
          </cell>
          <cell r="B12" t="str">
            <v>94C</v>
          </cell>
          <cell r="C12">
            <v>9031</v>
          </cell>
          <cell r="D12">
            <v>0</v>
          </cell>
          <cell r="E12">
            <v>0</v>
          </cell>
          <cell r="F12">
            <v>0</v>
          </cell>
          <cell r="G12">
            <v>0</v>
          </cell>
          <cell r="I12">
            <v>9031</v>
          </cell>
          <cell r="J12">
            <v>260584</v>
          </cell>
          <cell r="L12">
            <v>170032</v>
          </cell>
          <cell r="N12">
            <v>39057</v>
          </cell>
          <cell r="P12">
            <v>464</v>
          </cell>
          <cell r="R12">
            <v>0</v>
          </cell>
          <cell r="S12">
            <v>0</v>
          </cell>
          <cell r="U12">
            <v>9031</v>
          </cell>
        </row>
        <row r="13">
          <cell r="A13">
            <v>7</v>
          </cell>
          <cell r="B13" t="str">
            <v>94C</v>
          </cell>
          <cell r="C13">
            <v>2674</v>
          </cell>
          <cell r="D13">
            <v>0</v>
          </cell>
          <cell r="E13">
            <v>0</v>
          </cell>
          <cell r="F13">
            <v>0</v>
          </cell>
          <cell r="G13">
            <v>0</v>
          </cell>
          <cell r="I13">
            <v>2674</v>
          </cell>
          <cell r="J13">
            <v>260585</v>
          </cell>
          <cell r="L13">
            <v>170032</v>
          </cell>
          <cell r="N13">
            <v>39057</v>
          </cell>
          <cell r="P13">
            <v>447</v>
          </cell>
          <cell r="R13">
            <v>0</v>
          </cell>
          <cell r="S13">
            <v>0</v>
          </cell>
          <cell r="U13">
            <v>2674</v>
          </cell>
        </row>
        <row r="14">
          <cell r="A14">
            <v>8</v>
          </cell>
          <cell r="B14" t="str">
            <v>94I</v>
          </cell>
          <cell r="C14">
            <v>8976</v>
          </cell>
          <cell r="D14">
            <v>0</v>
          </cell>
          <cell r="E14">
            <v>0</v>
          </cell>
          <cell r="F14">
            <v>0</v>
          </cell>
          <cell r="G14">
            <v>0</v>
          </cell>
          <cell r="I14">
            <v>8976</v>
          </cell>
          <cell r="J14">
            <v>260643</v>
          </cell>
          <cell r="L14">
            <v>170032</v>
          </cell>
          <cell r="N14">
            <v>39064</v>
          </cell>
          <cell r="P14">
            <v>513</v>
          </cell>
          <cell r="R14">
            <v>0</v>
          </cell>
          <cell r="S14">
            <v>0</v>
          </cell>
          <cell r="U14">
            <v>8976</v>
          </cell>
        </row>
        <row r="15">
          <cell r="A15">
            <v>9</v>
          </cell>
          <cell r="B15" t="str">
            <v>94C</v>
          </cell>
          <cell r="C15">
            <v>6376</v>
          </cell>
          <cell r="D15">
            <v>0</v>
          </cell>
          <cell r="E15">
            <v>0</v>
          </cell>
          <cell r="F15">
            <v>0</v>
          </cell>
          <cell r="G15">
            <v>0</v>
          </cell>
          <cell r="I15">
            <v>6376</v>
          </cell>
          <cell r="J15">
            <v>265593</v>
          </cell>
          <cell r="L15">
            <v>170032</v>
          </cell>
          <cell r="N15">
            <v>39088</v>
          </cell>
          <cell r="P15">
            <v>399</v>
          </cell>
          <cell r="R15">
            <v>0</v>
          </cell>
          <cell r="S15">
            <v>0</v>
          </cell>
          <cell r="T15">
            <v>234</v>
          </cell>
          <cell r="U15">
            <v>6376</v>
          </cell>
        </row>
        <row r="16">
          <cell r="A16">
            <v>10</v>
          </cell>
          <cell r="B16" t="str">
            <v>94C</v>
          </cell>
          <cell r="C16">
            <v>85</v>
          </cell>
          <cell r="D16">
            <v>0</v>
          </cell>
          <cell r="E16">
            <v>0</v>
          </cell>
          <cell r="F16">
            <v>0</v>
          </cell>
          <cell r="G16">
            <v>0</v>
          </cell>
          <cell r="I16">
            <v>85</v>
          </cell>
          <cell r="J16">
            <v>265595</v>
          </cell>
          <cell r="L16">
            <v>170032</v>
          </cell>
          <cell r="N16">
            <v>39088</v>
          </cell>
          <cell r="P16">
            <v>398</v>
          </cell>
          <cell r="R16">
            <v>0</v>
          </cell>
          <cell r="S16">
            <v>0</v>
          </cell>
          <cell r="U16">
            <v>85</v>
          </cell>
        </row>
        <row r="17">
          <cell r="A17">
            <v>11</v>
          </cell>
          <cell r="B17" t="str">
            <v>94C</v>
          </cell>
          <cell r="C17">
            <v>8127</v>
          </cell>
          <cell r="D17">
            <v>0</v>
          </cell>
          <cell r="E17">
            <v>0</v>
          </cell>
          <cell r="F17">
            <v>0</v>
          </cell>
          <cell r="G17">
            <v>0</v>
          </cell>
          <cell r="I17">
            <v>8127</v>
          </cell>
          <cell r="J17">
            <v>265594</v>
          </cell>
          <cell r="L17">
            <v>170032</v>
          </cell>
          <cell r="N17">
            <v>39088</v>
          </cell>
          <cell r="P17">
            <v>400</v>
          </cell>
          <cell r="R17">
            <v>0</v>
          </cell>
          <cell r="S17">
            <v>0</v>
          </cell>
          <cell r="U17">
            <v>8127</v>
          </cell>
        </row>
        <row r="18">
          <cell r="A18">
            <v>12</v>
          </cell>
          <cell r="B18" t="str">
            <v>94C</v>
          </cell>
          <cell r="C18">
            <v>2490</v>
          </cell>
          <cell r="D18">
            <v>0</v>
          </cell>
          <cell r="E18">
            <v>0</v>
          </cell>
          <cell r="F18">
            <v>0</v>
          </cell>
          <cell r="G18">
            <v>0</v>
          </cell>
          <cell r="I18">
            <v>2490</v>
          </cell>
          <cell r="J18">
            <v>365604</v>
          </cell>
          <cell r="L18">
            <v>170032</v>
          </cell>
          <cell r="N18">
            <v>39090</v>
          </cell>
          <cell r="P18">
            <v>560</v>
          </cell>
          <cell r="R18">
            <v>0</v>
          </cell>
          <cell r="S18">
            <v>0</v>
          </cell>
          <cell r="U18">
            <v>2490</v>
          </cell>
        </row>
        <row r="19">
          <cell r="A19">
            <v>13</v>
          </cell>
          <cell r="B19" t="str">
            <v>94C</v>
          </cell>
          <cell r="C19">
            <v>157</v>
          </cell>
          <cell r="D19">
            <v>0</v>
          </cell>
          <cell r="E19">
            <v>0</v>
          </cell>
          <cell r="F19">
            <v>0</v>
          </cell>
          <cell r="G19">
            <v>0</v>
          </cell>
          <cell r="I19">
            <v>157</v>
          </cell>
          <cell r="J19">
            <v>365605</v>
          </cell>
          <cell r="L19">
            <v>170032</v>
          </cell>
          <cell r="N19">
            <v>39090</v>
          </cell>
          <cell r="P19">
            <v>519</v>
          </cell>
          <cell r="R19">
            <v>0</v>
          </cell>
          <cell r="S19">
            <v>0</v>
          </cell>
          <cell r="U19">
            <v>157</v>
          </cell>
        </row>
        <row r="20">
          <cell r="I20">
            <v>0</v>
          </cell>
          <cell r="U20">
            <v>0</v>
          </cell>
        </row>
        <row r="21">
          <cell r="I21">
            <v>0</v>
          </cell>
          <cell r="U21">
            <v>0</v>
          </cell>
        </row>
        <row r="22">
          <cell r="I22">
            <v>0</v>
          </cell>
          <cell r="U22">
            <v>0</v>
          </cell>
        </row>
        <row r="23">
          <cell r="A23" t="str">
            <v>Total</v>
          </cell>
          <cell r="C23">
            <v>79418</v>
          </cell>
          <cell r="D23">
            <v>0</v>
          </cell>
          <cell r="E23">
            <v>0</v>
          </cell>
          <cell r="F23">
            <v>210</v>
          </cell>
          <cell r="G23">
            <v>0</v>
          </cell>
          <cell r="H23">
            <v>0</v>
          </cell>
          <cell r="I23">
            <v>79628</v>
          </cell>
          <cell r="R23">
            <v>0</v>
          </cell>
          <cell r="S23">
            <v>0</v>
          </cell>
          <cell r="T23" t="e">
            <v>#REF!</v>
          </cell>
          <cell r="U23">
            <v>79628</v>
          </cell>
        </row>
        <row r="819">
          <cell r="IV819">
            <v>193</v>
          </cell>
        </row>
        <row r="820">
          <cell r="IV820" t="str">
            <v>94A</v>
          </cell>
        </row>
        <row r="821">
          <cell r="IV821" t="str">
            <v>94B</v>
          </cell>
        </row>
        <row r="822">
          <cell r="IV822" t="str">
            <v>4BB</v>
          </cell>
        </row>
        <row r="823">
          <cell r="IV823" t="str">
            <v>94C</v>
          </cell>
        </row>
        <row r="824">
          <cell r="IV824" t="str">
            <v>94D</v>
          </cell>
        </row>
        <row r="825">
          <cell r="IV825" t="str">
            <v>4EE</v>
          </cell>
        </row>
        <row r="826">
          <cell r="IV826" t="str">
            <v>94F</v>
          </cell>
        </row>
        <row r="827">
          <cell r="IV827" t="str">
            <v>94G</v>
          </cell>
        </row>
        <row r="828">
          <cell r="IV828" t="str">
            <v>94H</v>
          </cell>
        </row>
        <row r="829">
          <cell r="IV829" t="str">
            <v>94I</v>
          </cell>
        </row>
        <row r="830">
          <cell r="IV830" t="str">
            <v>94J</v>
          </cell>
        </row>
        <row r="831">
          <cell r="IV831" t="str">
            <v>94K</v>
          </cell>
        </row>
        <row r="832">
          <cell r="IV832" t="str">
            <v>94L</v>
          </cell>
        </row>
      </sheetData>
      <sheetData sheetId="3">
        <row r="11">
          <cell r="A11">
            <v>1</v>
          </cell>
          <cell r="R11">
            <v>306</v>
          </cell>
          <cell r="W11">
            <v>306</v>
          </cell>
        </row>
        <row r="12">
          <cell r="A12">
            <v>3</v>
          </cell>
          <cell r="R12">
            <v>25</v>
          </cell>
          <cell r="W12">
            <v>25</v>
          </cell>
        </row>
        <row r="13">
          <cell r="A13">
            <v>1</v>
          </cell>
          <cell r="R13">
            <v>445</v>
          </cell>
          <cell r="W13">
            <v>445</v>
          </cell>
        </row>
        <row r="14">
          <cell r="A14">
            <v>1</v>
          </cell>
          <cell r="R14">
            <v>600</v>
          </cell>
          <cell r="W14">
            <v>600</v>
          </cell>
        </row>
        <row r="15">
          <cell r="A15">
            <v>1</v>
          </cell>
          <cell r="R15">
            <v>306</v>
          </cell>
          <cell r="W15">
            <v>306</v>
          </cell>
        </row>
        <row r="16">
          <cell r="A16">
            <v>1</v>
          </cell>
          <cell r="R16">
            <v>45</v>
          </cell>
          <cell r="W16">
            <v>45</v>
          </cell>
        </row>
        <row r="17">
          <cell r="A17">
            <v>1</v>
          </cell>
          <cell r="R17">
            <v>59</v>
          </cell>
          <cell r="W17">
            <v>59</v>
          </cell>
        </row>
        <row r="18">
          <cell r="A18">
            <v>1</v>
          </cell>
          <cell r="R18">
            <v>63</v>
          </cell>
          <cell r="W18">
            <v>63</v>
          </cell>
        </row>
        <row r="19">
          <cell r="A19">
            <v>1</v>
          </cell>
          <cell r="R19">
            <v>108</v>
          </cell>
          <cell r="W19">
            <v>108</v>
          </cell>
        </row>
        <row r="20">
          <cell r="A20">
            <v>1</v>
          </cell>
          <cell r="R20">
            <v>122</v>
          </cell>
          <cell r="W20">
            <v>122</v>
          </cell>
        </row>
        <row r="21">
          <cell r="A21">
            <v>1</v>
          </cell>
          <cell r="R21">
            <v>263</v>
          </cell>
          <cell r="W21">
            <v>263</v>
          </cell>
        </row>
        <row r="22">
          <cell r="A22">
            <v>1</v>
          </cell>
          <cell r="R22">
            <v>282</v>
          </cell>
          <cell r="W22">
            <v>282</v>
          </cell>
        </row>
        <row r="23">
          <cell r="A23">
            <v>1</v>
          </cell>
          <cell r="R23">
            <v>306</v>
          </cell>
          <cell r="W23">
            <v>306</v>
          </cell>
        </row>
        <row r="24">
          <cell r="A24">
            <v>3</v>
          </cell>
          <cell r="R24">
            <v>628</v>
          </cell>
          <cell r="W24">
            <v>628</v>
          </cell>
        </row>
        <row r="25">
          <cell r="A25">
            <v>1</v>
          </cell>
          <cell r="R25">
            <v>51</v>
          </cell>
          <cell r="W25">
            <v>51</v>
          </cell>
        </row>
        <row r="26">
          <cell r="A26">
            <v>1</v>
          </cell>
          <cell r="R26">
            <v>85</v>
          </cell>
          <cell r="W26">
            <v>85</v>
          </cell>
        </row>
        <row r="27">
          <cell r="A27">
            <v>1</v>
          </cell>
          <cell r="R27">
            <v>102</v>
          </cell>
          <cell r="W27">
            <v>102</v>
          </cell>
        </row>
        <row r="28">
          <cell r="A28">
            <v>1</v>
          </cell>
          <cell r="R28">
            <v>33</v>
          </cell>
          <cell r="W28">
            <v>33</v>
          </cell>
        </row>
        <row r="29">
          <cell r="A29">
            <v>1</v>
          </cell>
          <cell r="R29">
            <v>426</v>
          </cell>
          <cell r="W29">
            <v>426</v>
          </cell>
        </row>
        <row r="30">
          <cell r="A30">
            <v>1</v>
          </cell>
          <cell r="R30">
            <v>551</v>
          </cell>
          <cell r="W30">
            <v>551</v>
          </cell>
        </row>
        <row r="31">
          <cell r="A31">
            <v>1</v>
          </cell>
          <cell r="R31">
            <v>520</v>
          </cell>
          <cell r="W31">
            <v>520</v>
          </cell>
        </row>
        <row r="32">
          <cell r="A32">
            <v>2</v>
          </cell>
          <cell r="R32">
            <v>8160</v>
          </cell>
          <cell r="W32">
            <v>8160</v>
          </cell>
        </row>
        <row r="33">
          <cell r="A33">
            <v>7</v>
          </cell>
          <cell r="R33">
            <v>291</v>
          </cell>
          <cell r="W33">
            <v>291</v>
          </cell>
        </row>
        <row r="34">
          <cell r="A34">
            <v>7</v>
          </cell>
          <cell r="R34">
            <v>329</v>
          </cell>
          <cell r="W34">
            <v>329</v>
          </cell>
        </row>
        <row r="35">
          <cell r="A35">
            <v>7</v>
          </cell>
          <cell r="R35">
            <v>169</v>
          </cell>
          <cell r="W35">
            <v>169</v>
          </cell>
        </row>
        <row r="36">
          <cell r="A36">
            <v>6</v>
          </cell>
          <cell r="R36">
            <v>235</v>
          </cell>
          <cell r="W36">
            <v>235</v>
          </cell>
        </row>
        <row r="37">
          <cell r="A37">
            <v>7</v>
          </cell>
          <cell r="R37">
            <v>369</v>
          </cell>
          <cell r="W37">
            <v>369</v>
          </cell>
        </row>
        <row r="38">
          <cell r="A38">
            <v>7</v>
          </cell>
          <cell r="R38">
            <v>86</v>
          </cell>
          <cell r="W38">
            <v>86</v>
          </cell>
        </row>
        <row r="39">
          <cell r="A39">
            <v>6</v>
          </cell>
          <cell r="R39">
            <v>365</v>
          </cell>
          <cell r="W39">
            <v>365</v>
          </cell>
        </row>
        <row r="40">
          <cell r="A40">
            <v>6</v>
          </cell>
          <cell r="R40">
            <v>8414</v>
          </cell>
          <cell r="W40">
            <v>8414</v>
          </cell>
        </row>
        <row r="41">
          <cell r="A41">
            <v>7</v>
          </cell>
          <cell r="R41">
            <v>192</v>
          </cell>
          <cell r="W41">
            <v>192</v>
          </cell>
        </row>
        <row r="42">
          <cell r="A42">
            <v>7</v>
          </cell>
          <cell r="R42">
            <v>205</v>
          </cell>
          <cell r="W42">
            <v>205</v>
          </cell>
        </row>
        <row r="43">
          <cell r="A43">
            <v>6</v>
          </cell>
          <cell r="R43">
            <v>17</v>
          </cell>
          <cell r="W43">
            <v>17</v>
          </cell>
        </row>
        <row r="44">
          <cell r="A44">
            <v>7</v>
          </cell>
          <cell r="R44">
            <v>445</v>
          </cell>
          <cell r="W44">
            <v>445</v>
          </cell>
        </row>
        <row r="45">
          <cell r="A45">
            <v>4</v>
          </cell>
          <cell r="R45">
            <v>4080</v>
          </cell>
          <cell r="W45">
            <v>4080</v>
          </cell>
        </row>
        <row r="46">
          <cell r="A46">
            <v>7</v>
          </cell>
          <cell r="R46">
            <v>148</v>
          </cell>
          <cell r="W46">
            <v>148</v>
          </cell>
        </row>
        <row r="47">
          <cell r="A47">
            <v>7</v>
          </cell>
          <cell r="R47">
            <v>440</v>
          </cell>
          <cell r="W47">
            <v>440</v>
          </cell>
        </row>
        <row r="48">
          <cell r="A48">
            <v>5</v>
          </cell>
          <cell r="R48">
            <v>6194</v>
          </cell>
          <cell r="W48">
            <v>6194</v>
          </cell>
        </row>
        <row r="49">
          <cell r="A49">
            <v>5</v>
          </cell>
          <cell r="R49">
            <v>8976</v>
          </cell>
          <cell r="W49">
            <v>8976</v>
          </cell>
        </row>
        <row r="50">
          <cell r="A50">
            <v>5</v>
          </cell>
          <cell r="R50">
            <v>8976</v>
          </cell>
          <cell r="W50">
            <v>8976</v>
          </cell>
        </row>
        <row r="51">
          <cell r="A51">
            <v>9</v>
          </cell>
          <cell r="R51">
            <v>507</v>
          </cell>
          <cell r="W51">
            <v>507</v>
          </cell>
        </row>
        <row r="52">
          <cell r="A52">
            <v>11</v>
          </cell>
          <cell r="R52">
            <v>102</v>
          </cell>
          <cell r="W52">
            <v>102</v>
          </cell>
        </row>
        <row r="53">
          <cell r="A53">
            <v>11</v>
          </cell>
          <cell r="R53">
            <v>34</v>
          </cell>
          <cell r="W53">
            <v>34</v>
          </cell>
        </row>
        <row r="54">
          <cell r="A54">
            <v>11</v>
          </cell>
          <cell r="R54">
            <v>198</v>
          </cell>
          <cell r="W54">
            <v>198</v>
          </cell>
        </row>
        <row r="55">
          <cell r="A55">
            <v>11</v>
          </cell>
          <cell r="R55">
            <v>354</v>
          </cell>
          <cell r="W55">
            <v>354</v>
          </cell>
        </row>
        <row r="56">
          <cell r="A56">
            <v>11</v>
          </cell>
          <cell r="R56">
            <v>649</v>
          </cell>
          <cell r="W56">
            <v>649</v>
          </cell>
        </row>
        <row r="57">
          <cell r="A57">
            <v>11</v>
          </cell>
          <cell r="R57">
            <v>1045</v>
          </cell>
          <cell r="W57">
            <v>1045</v>
          </cell>
        </row>
        <row r="58">
          <cell r="A58">
            <v>9</v>
          </cell>
          <cell r="R58">
            <v>2191</v>
          </cell>
          <cell r="W58">
            <v>2191</v>
          </cell>
        </row>
        <row r="59">
          <cell r="A59">
            <v>8</v>
          </cell>
          <cell r="R59">
            <v>8976</v>
          </cell>
          <cell r="W59">
            <v>8976</v>
          </cell>
        </row>
        <row r="60">
          <cell r="A60">
            <v>11</v>
          </cell>
          <cell r="R60">
            <v>386</v>
          </cell>
          <cell r="W60">
            <v>386</v>
          </cell>
        </row>
        <row r="61">
          <cell r="A61">
            <v>11</v>
          </cell>
          <cell r="R61">
            <v>177</v>
          </cell>
          <cell r="W61">
            <v>177</v>
          </cell>
        </row>
        <row r="62">
          <cell r="A62">
            <v>11</v>
          </cell>
          <cell r="R62">
            <v>222</v>
          </cell>
          <cell r="W62">
            <v>222</v>
          </cell>
        </row>
        <row r="63">
          <cell r="A63">
            <v>11</v>
          </cell>
          <cell r="R63">
            <v>612</v>
          </cell>
          <cell r="W63">
            <v>612</v>
          </cell>
        </row>
        <row r="64">
          <cell r="A64">
            <v>11</v>
          </cell>
          <cell r="R64">
            <v>37</v>
          </cell>
          <cell r="W64">
            <v>37</v>
          </cell>
        </row>
        <row r="65">
          <cell r="A65">
            <v>9</v>
          </cell>
          <cell r="R65">
            <v>180</v>
          </cell>
          <cell r="W65">
            <v>180</v>
          </cell>
        </row>
        <row r="66">
          <cell r="A66">
            <v>11</v>
          </cell>
          <cell r="R66">
            <v>368</v>
          </cell>
          <cell r="W66">
            <v>368</v>
          </cell>
        </row>
        <row r="67">
          <cell r="A67">
            <v>9</v>
          </cell>
          <cell r="R67">
            <v>607</v>
          </cell>
          <cell r="W67">
            <v>607</v>
          </cell>
        </row>
        <row r="68">
          <cell r="A68">
            <v>9</v>
          </cell>
          <cell r="R68">
            <v>1904</v>
          </cell>
          <cell r="W68">
            <v>1904</v>
          </cell>
        </row>
        <row r="69">
          <cell r="A69">
            <v>11</v>
          </cell>
          <cell r="R69">
            <v>770</v>
          </cell>
          <cell r="W69">
            <v>770</v>
          </cell>
        </row>
        <row r="70">
          <cell r="A70">
            <v>11</v>
          </cell>
          <cell r="R70">
            <v>63</v>
          </cell>
          <cell r="W70">
            <v>63</v>
          </cell>
        </row>
        <row r="71">
          <cell r="A71">
            <v>11</v>
          </cell>
          <cell r="R71">
            <v>63</v>
          </cell>
          <cell r="W71">
            <v>63</v>
          </cell>
        </row>
        <row r="72">
          <cell r="A72">
            <v>11</v>
          </cell>
          <cell r="R72">
            <v>108</v>
          </cell>
          <cell r="W72">
            <v>108</v>
          </cell>
        </row>
        <row r="73">
          <cell r="A73">
            <v>11</v>
          </cell>
          <cell r="R73">
            <v>147</v>
          </cell>
          <cell r="W73">
            <v>147</v>
          </cell>
        </row>
        <row r="74">
          <cell r="A74">
            <v>9</v>
          </cell>
          <cell r="R74">
            <v>987</v>
          </cell>
          <cell r="W74">
            <v>987</v>
          </cell>
        </row>
        <row r="75">
          <cell r="A75">
            <v>11</v>
          </cell>
          <cell r="R75">
            <v>429</v>
          </cell>
          <cell r="W75">
            <v>429</v>
          </cell>
        </row>
        <row r="76">
          <cell r="A76">
            <v>11</v>
          </cell>
          <cell r="R76">
            <v>485</v>
          </cell>
          <cell r="W76">
            <v>485</v>
          </cell>
        </row>
        <row r="77">
          <cell r="A77">
            <v>11</v>
          </cell>
          <cell r="R77">
            <v>11</v>
          </cell>
          <cell r="W77">
            <v>11</v>
          </cell>
        </row>
        <row r="78">
          <cell r="A78">
            <v>11</v>
          </cell>
          <cell r="R78">
            <v>29</v>
          </cell>
          <cell r="W78">
            <v>29</v>
          </cell>
        </row>
        <row r="79">
          <cell r="A79">
            <v>11</v>
          </cell>
          <cell r="R79">
            <v>61</v>
          </cell>
          <cell r="W79">
            <v>61</v>
          </cell>
        </row>
        <row r="80">
          <cell r="A80">
            <v>11</v>
          </cell>
          <cell r="R80">
            <v>123</v>
          </cell>
          <cell r="W80">
            <v>123</v>
          </cell>
        </row>
        <row r="81">
          <cell r="A81">
            <v>11</v>
          </cell>
          <cell r="R81">
            <v>164</v>
          </cell>
          <cell r="W81">
            <v>164</v>
          </cell>
        </row>
        <row r="82">
          <cell r="A82">
            <v>11</v>
          </cell>
          <cell r="R82">
            <v>169</v>
          </cell>
          <cell r="W82">
            <v>169</v>
          </cell>
        </row>
        <row r="83">
          <cell r="A83">
            <v>11</v>
          </cell>
          <cell r="R83">
            <v>55</v>
          </cell>
          <cell r="W83">
            <v>55</v>
          </cell>
        </row>
        <row r="84">
          <cell r="A84">
            <v>11</v>
          </cell>
          <cell r="R84">
            <v>181</v>
          </cell>
          <cell r="W84">
            <v>181</v>
          </cell>
        </row>
        <row r="85">
          <cell r="A85">
            <v>11</v>
          </cell>
          <cell r="R85">
            <v>100</v>
          </cell>
          <cell r="W85">
            <v>100</v>
          </cell>
        </row>
        <row r="86">
          <cell r="A86">
            <v>11</v>
          </cell>
          <cell r="R86">
            <v>165</v>
          </cell>
          <cell r="W86">
            <v>165</v>
          </cell>
        </row>
        <row r="87">
          <cell r="A87">
            <v>11</v>
          </cell>
          <cell r="R87">
            <v>119</v>
          </cell>
          <cell r="W87">
            <v>119</v>
          </cell>
        </row>
        <row r="88">
          <cell r="A88">
            <v>12</v>
          </cell>
          <cell r="R88">
            <v>256</v>
          </cell>
          <cell r="W88">
            <v>256</v>
          </cell>
        </row>
        <row r="89">
          <cell r="A89">
            <v>12</v>
          </cell>
          <cell r="R89">
            <v>365</v>
          </cell>
          <cell r="W89">
            <v>365</v>
          </cell>
        </row>
        <row r="90">
          <cell r="A90">
            <v>11</v>
          </cell>
          <cell r="R90">
            <v>166</v>
          </cell>
          <cell r="W90">
            <v>166</v>
          </cell>
        </row>
        <row r="91">
          <cell r="A91">
            <v>12</v>
          </cell>
          <cell r="R91">
            <v>242</v>
          </cell>
          <cell r="W91">
            <v>242</v>
          </cell>
        </row>
        <row r="92">
          <cell r="A92">
            <v>10</v>
          </cell>
          <cell r="R92">
            <v>85</v>
          </cell>
          <cell r="W92">
            <v>85</v>
          </cell>
        </row>
        <row r="93">
          <cell r="A93">
            <v>11</v>
          </cell>
          <cell r="R93">
            <v>474</v>
          </cell>
          <cell r="W93">
            <v>474</v>
          </cell>
        </row>
        <row r="94">
          <cell r="A94">
            <v>12</v>
          </cell>
          <cell r="R94">
            <v>37</v>
          </cell>
          <cell r="W94">
            <v>37</v>
          </cell>
        </row>
        <row r="95">
          <cell r="A95">
            <v>12</v>
          </cell>
          <cell r="R95">
            <v>1507</v>
          </cell>
          <cell r="W95">
            <v>1507</v>
          </cell>
        </row>
        <row r="96">
          <cell r="A96">
            <v>13</v>
          </cell>
          <cell r="R96">
            <v>157</v>
          </cell>
          <cell r="W96">
            <v>157</v>
          </cell>
        </row>
        <row r="97">
          <cell r="A97">
            <v>11</v>
          </cell>
          <cell r="R97">
            <v>61</v>
          </cell>
          <cell r="W97">
            <v>61</v>
          </cell>
        </row>
        <row r="98">
          <cell r="A98">
            <v>12</v>
          </cell>
          <cell r="R98">
            <v>83</v>
          </cell>
          <cell r="W98">
            <v>83</v>
          </cell>
        </row>
        <row r="105">
          <cell r="A105" t="str">
            <v>Total</v>
          </cell>
          <cell r="R105">
            <v>79628</v>
          </cell>
          <cell r="W105">
            <v>79628</v>
          </cell>
        </row>
      </sheetData>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Introduction"/>
      <sheetName val="Instructions"/>
      <sheetName val="Company information"/>
      <sheetName val="BR1"/>
      <sheetName val="BR2"/>
      <sheetName val="BR3"/>
      <sheetName val="BR4"/>
      <sheetName val="BR5"/>
      <sheetName val="BR6"/>
      <sheetName val="BR7"/>
      <sheetName val="BR8"/>
      <sheetName val="BR9"/>
      <sheetName val="BR10"/>
      <sheetName val="BR11"/>
      <sheetName val="BR12"/>
      <sheetName val="BP1"/>
      <sheetName val="BP2"/>
      <sheetName val="BP3"/>
      <sheetName val="BP4"/>
      <sheetName val="BP5"/>
      <sheetName val="BP6"/>
      <sheetName val="BP7"/>
      <sheetName val="BP8"/>
      <sheetName val="BP9"/>
      <sheetName val="BP10"/>
      <sheetName val="BP11"/>
      <sheetName val="BP12"/>
      <sheetName val="PC1"/>
      <sheetName val="PC2"/>
      <sheetName val="PC3"/>
      <sheetName val="PC4"/>
      <sheetName val="PC5"/>
      <sheetName val="PC6"/>
      <sheetName val="PC7"/>
      <sheetName val="PC8"/>
      <sheetName val="PC9"/>
      <sheetName val="PC10"/>
      <sheetName val="PC11"/>
      <sheetName val="PC12"/>
      <sheetName val="Summary"/>
      <sheetName val="Bank summary"/>
      <sheetName val="VAT return"/>
      <sheetName val="IR35 Calc Instructions"/>
      <sheetName val="IR35 Calculator 2004 - 05"/>
      <sheetName val="Company_information1"/>
      <sheetName val="Bank_summary1"/>
      <sheetName val="VAT_return1"/>
      <sheetName val="IR35_Calc_Instructions1"/>
      <sheetName val="IR35_Calculator_2004_-_051"/>
      <sheetName val="Company_information"/>
      <sheetName val="Bank_summary"/>
      <sheetName val="VAT_return"/>
      <sheetName val="IR35_Calc_Instructions"/>
      <sheetName val="IR35_Calculator_2004_-_05"/>
      <sheetName val="Company_information2"/>
      <sheetName val="Bank_summary2"/>
      <sheetName val="VAT_return2"/>
      <sheetName val="IR35_Calc_Instructions2"/>
      <sheetName val="IR35_Calculator_2004_-_0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65">
          <cell r="A65" t="str">
            <v>Yes</v>
          </cell>
        </row>
        <row r="66">
          <cell r="A66" t="str">
            <v>No</v>
          </cell>
        </row>
      </sheetData>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 val="3CD-Ratios-Anx_1"/>
      <sheetName val="3CD-Ratios-Anx_"/>
      <sheetName val="3CD-Ratios-Anx_2"/>
      <sheetName val="pldt"/>
      <sheetName val="Report Setup Sheet"/>
      <sheetName val="Business Summary Financial"/>
      <sheetName val="Unit Breakup"/>
      <sheetName val="Segment"/>
      <sheetName val="Ughai"/>
      <sheetName val="KPM"/>
      <sheetName val="Project Progress"/>
      <sheetName val="Initiative Progress"/>
      <sheetName val="Business Position Paper"/>
      <sheetName val="Consolidated Business"/>
      <sheetName val="Unit1"/>
      <sheetName val="Unit2"/>
      <sheetName val="Unit3"/>
      <sheetName val="Unit4"/>
      <sheetName val="Unit5"/>
      <sheetName val="Unit6"/>
      <sheetName val="Unit7"/>
      <sheetName val="Unit8"/>
      <sheetName val="Unit9"/>
      <sheetName val="Unit10"/>
      <sheetName val="Unit11"/>
      <sheetName val="Unit12"/>
      <sheetName val="Unit13"/>
      <sheetName val="Unit14"/>
      <sheetName val="Unit15"/>
      <sheetName val="Input"/>
      <sheetName val="Valuation"/>
      <sheetName val="IRR"/>
      <sheetName val="Assumptions"/>
      <sheetName val="Q4FY02"/>
      <sheetName val="b"/>
      <sheetName val="Criteria"/>
      <sheetName val="LE-FTE-Nos"/>
      <sheetName val="EXCH"/>
      <sheetName val="A"/>
      <sheetName val="MODEL"/>
      <sheetName val="Individual Business"/>
      <sheetName val="diffbetphy&amp;stock"/>
      <sheetName val="Individual_Business"/>
      <sheetName val="Sheet1"/>
      <sheetName val="old_serial no."/>
      <sheetName val="tot_ass_9697"/>
      <sheetName val="Details"/>
      <sheetName val="REFNCOMPARE"/>
      <sheetName val="Ref"/>
      <sheetName val="Operating and Capital Scenarios"/>
      <sheetName val="deferred taxes"/>
      <sheetName val="AV"/>
      <sheetName val="Storage"/>
      <sheetName val="RelR"/>
      <sheetName val="Allahabad Bank"/>
      <sheetName val="Bank of Baroda"/>
      <sheetName val="BOI"/>
      <sheetName val="Canara"/>
      <sheetName val="Indian"/>
      <sheetName val="IDBI"/>
      <sheetName val="IOB"/>
      <sheetName val="PNB"/>
      <sheetName val="Punjab &amp; Sind"/>
      <sheetName val="SBHyderabad"/>
      <sheetName val="SBI"/>
      <sheetName val="SBMysore"/>
      <sheetName val="SBPatiala"/>
      <sheetName val="SBSaurashtra"/>
      <sheetName val="Union Bank"/>
      <sheetName val="Operating_and_Capital_Scenario1"/>
      <sheetName val="deferred_taxes1"/>
      <sheetName val="Operating_and_Capital_Scenarios"/>
      <sheetName val="deferred_taxes"/>
      <sheetName val="Admin"/>
      <sheetName val="Data"/>
      <sheetName val="Sheet2"/>
      <sheetName val="Codes"/>
      <sheetName val="Schedules PL"/>
      <sheetName val="Schedules BS"/>
      <sheetName val="SAL'07"/>
      <sheetName val="Sélection devise"/>
      <sheetName val="NSE"/>
      <sheetName val="sch-pl"/>
      <sheetName val="VIKA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C3" t="str">
            <v>Portalplayer (India) Private Limited</v>
          </cell>
        </row>
        <row r="4">
          <cell r="C4" t="str">
            <v>Plot No:249, Prashasan Nagar,Road No:72, Jubilee Hills,Hyderabad-500 034.</v>
          </cell>
        </row>
        <row r="7">
          <cell r="C7" t="str">
            <v>Private Limited Company</v>
          </cell>
        </row>
        <row r="11">
          <cell r="C11" t="str">
            <v>AABCP7418F</v>
          </cell>
        </row>
        <row r="16">
          <cell r="C16" t="str">
            <v>Partner</v>
          </cell>
        </row>
        <row r="19">
          <cell r="C19" t="str">
            <v>Deloitte Haskins &amp; Sells</v>
          </cell>
        </row>
        <row r="20">
          <cell r="C20" t="str">
            <v>P.R. Ramesh</v>
          </cell>
        </row>
        <row r="23">
          <cell r="C23" t="str">
            <v>M.No: 70928</v>
          </cell>
        </row>
        <row r="24">
          <cell r="C24" t="str">
            <v>Chartered Accountants,7th Floor, Amrutha Estates,Lingapur House,Himayathnagar,Hyderabad-500 029.</v>
          </cell>
        </row>
        <row r="28">
          <cell r="C28" t="str">
            <v>31-03-2006</v>
          </cell>
        </row>
        <row r="34">
          <cell r="C34" t="str">
            <v>2006-07</v>
          </cell>
        </row>
        <row r="40">
          <cell r="C40" t="str">
            <v>August 5, 2006</v>
          </cell>
        </row>
        <row r="43">
          <cell r="C43" t="str">
            <v>Hyderabad</v>
          </cell>
        </row>
        <row r="45">
          <cell r="C45" t="str">
            <v>Software Development</v>
          </cell>
        </row>
        <row r="46">
          <cell r="C46" t="str">
            <v>Mercantile</v>
          </cell>
        </row>
      </sheetData>
      <sheetData sheetId="35"/>
      <sheetData sheetId="36"/>
      <sheetData sheetId="37"/>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 val="3CD-Ratios-Anx_1"/>
      <sheetName val="3CD-Ratios-Anx_"/>
      <sheetName val="3CD-Ratios-Anx_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C13" t="str">
            <v>Kamlesh L. Doshi &amp; Co.</v>
          </cell>
        </row>
        <row r="19">
          <cell r="C19" t="str">
            <v>B. M. S. &amp; Co.</v>
          </cell>
        </row>
        <row r="21">
          <cell r="C21" t="str">
            <v xml:space="preserve">B. Com.,  F.C.A. </v>
          </cell>
        </row>
        <row r="22">
          <cell r="C22" t="str">
            <v>Proprietor</v>
          </cell>
        </row>
        <row r="27">
          <cell r="C27" t="str">
            <v>31st March, 2005</v>
          </cell>
        </row>
        <row r="35">
          <cell r="C35" t="str">
            <v>August 5, 2005</v>
          </cell>
        </row>
      </sheetData>
      <sheetData sheetId="35"/>
      <sheetData sheetId="36"/>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
      <sheetName val="#REF"/>
      <sheetName val="Breadown"/>
      <sheetName val="diffbetphy&amp;stock"/>
    </sheetNames>
    <sheetDataSet>
      <sheetData sheetId="0" refreshError="1">
        <row r="378">
          <cell r="A378">
            <v>11000</v>
          </cell>
          <cell r="B378" t="str">
            <v>Plant and machinery</v>
          </cell>
          <cell r="C378">
            <v>7254019.2400000002</v>
          </cell>
        </row>
        <row r="379">
          <cell r="A379">
            <v>11010</v>
          </cell>
          <cell r="B379" t="str">
            <v>Accumulated depreciation-plant and mach</v>
          </cell>
          <cell r="C379">
            <v>-2453324.69</v>
          </cell>
        </row>
        <row r="380">
          <cell r="A380">
            <v>13000</v>
          </cell>
          <cell r="B380" t="str">
            <v>Vehicles</v>
          </cell>
          <cell r="C380">
            <v>3699686.99</v>
          </cell>
        </row>
        <row r="381">
          <cell r="A381">
            <v>13010</v>
          </cell>
          <cell r="B381" t="str">
            <v>Accumulated depreciation-Vehicles</v>
          </cell>
          <cell r="C381">
            <v>-502409.22</v>
          </cell>
        </row>
        <row r="382">
          <cell r="A382">
            <v>13020</v>
          </cell>
          <cell r="B382" t="str">
            <v>Accumulated depreciation-Vehicles</v>
          </cell>
          <cell r="C382">
            <v>0</v>
          </cell>
        </row>
        <row r="383">
          <cell r="A383">
            <v>21000</v>
          </cell>
          <cell r="B383" t="str">
            <v>Office equipment</v>
          </cell>
          <cell r="C383">
            <v>3936390.06</v>
          </cell>
        </row>
        <row r="384">
          <cell r="A384">
            <v>21010</v>
          </cell>
          <cell r="B384" t="str">
            <v>Accumulated depreciation-office equipme</v>
          </cell>
          <cell r="C384">
            <v>-1553603.18</v>
          </cell>
        </row>
        <row r="385">
          <cell r="A385">
            <v>21020</v>
          </cell>
          <cell r="B385" t="str">
            <v>Accumulated depreciation-office equipme</v>
          </cell>
          <cell r="C385">
            <v>0</v>
          </cell>
        </row>
        <row r="386">
          <cell r="A386">
            <v>23000</v>
          </cell>
          <cell r="B386" t="str">
            <v>Furniture &amp; fixtures.</v>
          </cell>
          <cell r="C386">
            <v>8528329.9700000007</v>
          </cell>
        </row>
        <row r="387">
          <cell r="A387">
            <v>23010</v>
          </cell>
          <cell r="B387" t="str">
            <v>Accumulated Depreciation - Furniutre &amp;</v>
          </cell>
          <cell r="C387">
            <v>-3178495.91</v>
          </cell>
        </row>
        <row r="388">
          <cell r="A388">
            <v>24000</v>
          </cell>
          <cell r="B388" t="str">
            <v>Computers</v>
          </cell>
          <cell r="C388">
            <v>8284977.1600000001</v>
          </cell>
        </row>
        <row r="389">
          <cell r="A389">
            <v>24010</v>
          </cell>
          <cell r="B389" t="str">
            <v>Accumulated Depreciation - Computers</v>
          </cell>
          <cell r="C389">
            <v>-7552206.6100000003</v>
          </cell>
        </row>
        <row r="390">
          <cell r="A390">
            <v>24020</v>
          </cell>
          <cell r="B390" t="str">
            <v>Accumulated Depreciation - Computers</v>
          </cell>
          <cell r="C390">
            <v>0</v>
          </cell>
        </row>
        <row r="391">
          <cell r="A391">
            <v>34000</v>
          </cell>
          <cell r="B391" t="str">
            <v>Computer software</v>
          </cell>
          <cell r="C391">
            <v>7440500</v>
          </cell>
        </row>
        <row r="392">
          <cell r="A392">
            <v>34010</v>
          </cell>
          <cell r="B392" t="str">
            <v>Accumulated depreciation-computer softw</v>
          </cell>
          <cell r="C392">
            <v>-6536972.2800000003</v>
          </cell>
        </row>
        <row r="393">
          <cell r="A393">
            <v>38000</v>
          </cell>
          <cell r="B393" t="str">
            <v>Goodwill</v>
          </cell>
          <cell r="C393">
            <v>76923000</v>
          </cell>
        </row>
        <row r="394">
          <cell r="A394">
            <v>38010</v>
          </cell>
          <cell r="B394" t="str">
            <v>Accumulated Goodwill write-off</v>
          </cell>
          <cell r="C394">
            <v>-35230031.509999998</v>
          </cell>
        </row>
        <row r="395">
          <cell r="A395">
            <v>38100</v>
          </cell>
          <cell r="B395" t="str">
            <v>Business value</v>
          </cell>
          <cell r="C395">
            <v>136431000</v>
          </cell>
        </row>
        <row r="396">
          <cell r="A396">
            <v>38110</v>
          </cell>
          <cell r="B396" t="str">
            <v>Accumulated Business Value write off</v>
          </cell>
          <cell r="C396">
            <v>-62484152.049999997</v>
          </cell>
        </row>
        <row r="397">
          <cell r="A397">
            <v>38500</v>
          </cell>
          <cell r="B397" t="str">
            <v>Non-Competing fees</v>
          </cell>
          <cell r="C397">
            <v>93753000</v>
          </cell>
        </row>
        <row r="398">
          <cell r="A398">
            <v>38510</v>
          </cell>
          <cell r="B398" t="str">
            <v>Accumulated Non-Compete Fees Write off</v>
          </cell>
          <cell r="C398">
            <v>-93753000</v>
          </cell>
        </row>
        <row r="399">
          <cell r="A399">
            <v>39000</v>
          </cell>
          <cell r="B399" t="str">
            <v>Commercial rights (Marketing and Dist.R</v>
          </cell>
          <cell r="C399">
            <v>18643000</v>
          </cell>
        </row>
        <row r="400">
          <cell r="A400">
            <v>39010</v>
          </cell>
          <cell r="B400" t="str">
            <v>Acc.Comm.rights</v>
          </cell>
          <cell r="C400">
            <v>-6163487.6100000003</v>
          </cell>
        </row>
        <row r="401">
          <cell r="A401">
            <v>39020</v>
          </cell>
          <cell r="B401" t="str">
            <v>Acc.Comm.rights</v>
          </cell>
          <cell r="C401">
            <v>0</v>
          </cell>
        </row>
        <row r="402">
          <cell r="A402">
            <v>60500</v>
          </cell>
          <cell r="B402" t="str">
            <v>Unsecured Loan- DyStar Textilfarben Gmb</v>
          </cell>
          <cell r="C402">
            <v>-116497469.53</v>
          </cell>
        </row>
        <row r="403">
          <cell r="A403">
            <v>60520</v>
          </cell>
          <cell r="B403" t="str">
            <v>Liability for exchange Diff FC loan - D</v>
          </cell>
          <cell r="C403">
            <v>-30646481.239999998</v>
          </cell>
        </row>
        <row r="404">
          <cell r="A404">
            <v>63200</v>
          </cell>
          <cell r="B404" t="str">
            <v>Packing Credit Hongkong Bank.</v>
          </cell>
          <cell r="C404">
            <v>0</v>
          </cell>
        </row>
        <row r="405">
          <cell r="A405">
            <v>63300</v>
          </cell>
          <cell r="B405" t="str">
            <v>Working Capital Loan-Hongkong Bank</v>
          </cell>
          <cell r="C405">
            <v>-35000000</v>
          </cell>
        </row>
        <row r="406">
          <cell r="A406">
            <v>63400</v>
          </cell>
          <cell r="B406" t="str">
            <v>Long Term Working Capital Loan Hongkong</v>
          </cell>
          <cell r="C406">
            <v>0</v>
          </cell>
        </row>
        <row r="407">
          <cell r="A407">
            <v>70000</v>
          </cell>
          <cell r="B407" t="str">
            <v>Equity Share Capital</v>
          </cell>
          <cell r="C407">
            <v>-222815300</v>
          </cell>
        </row>
        <row r="408">
          <cell r="A408">
            <v>75000</v>
          </cell>
          <cell r="B408" t="str">
            <v>Accumulated Profit &amp; Loss</v>
          </cell>
          <cell r="C408">
            <v>34020108.950000003</v>
          </cell>
        </row>
        <row r="409">
          <cell r="A409">
            <v>100000</v>
          </cell>
          <cell r="B409" t="str">
            <v>Petty cash maintained at Corporate Offi</v>
          </cell>
          <cell r="C409">
            <v>7184</v>
          </cell>
        </row>
        <row r="410">
          <cell r="A410">
            <v>113100</v>
          </cell>
          <cell r="B410" t="str">
            <v>Deutsche Bank Current Account</v>
          </cell>
          <cell r="C410">
            <v>272005.21000000002</v>
          </cell>
        </row>
        <row r="411">
          <cell r="A411">
            <v>113101</v>
          </cell>
          <cell r="B411" t="str">
            <v>Deutsche Bank Current Account (payment</v>
          </cell>
          <cell r="C411">
            <v>100</v>
          </cell>
        </row>
        <row r="412">
          <cell r="A412">
            <v>113108</v>
          </cell>
          <cell r="B412" t="str">
            <v>Deutsche Bank Current Account (receipts</v>
          </cell>
          <cell r="C412">
            <v>-2796</v>
          </cell>
        </row>
        <row r="413">
          <cell r="A413">
            <v>113300</v>
          </cell>
          <cell r="B413" t="str">
            <v>Hongkong Bank Current Account.</v>
          </cell>
          <cell r="C413">
            <v>22362574.539999999</v>
          </cell>
        </row>
        <row r="414">
          <cell r="A414">
            <v>113301</v>
          </cell>
          <cell r="B414" t="str">
            <v>Hongkong Bank Current Account (payment</v>
          </cell>
          <cell r="C414">
            <v>-21920782.390000001</v>
          </cell>
        </row>
        <row r="415">
          <cell r="A415">
            <v>113307</v>
          </cell>
          <cell r="B415" t="str">
            <v>Hongkong Bank Current Account (discount</v>
          </cell>
          <cell r="C415">
            <v>0</v>
          </cell>
        </row>
        <row r="416">
          <cell r="A416">
            <v>113308</v>
          </cell>
          <cell r="B416" t="str">
            <v>Hongkong Bank Current Account (receipts</v>
          </cell>
          <cell r="C416">
            <v>0</v>
          </cell>
        </row>
        <row r="417">
          <cell r="A417">
            <v>113400</v>
          </cell>
          <cell r="B417" t="str">
            <v>Syndicate Bank Current Account</v>
          </cell>
          <cell r="C417">
            <v>1455092.44</v>
          </cell>
        </row>
        <row r="418">
          <cell r="A418">
            <v>113401</v>
          </cell>
          <cell r="B418" t="str">
            <v>Syndicate Bank Current Account(payment</v>
          </cell>
          <cell r="C418">
            <v>-1320231</v>
          </cell>
        </row>
        <row r="419">
          <cell r="A419">
            <v>113500</v>
          </cell>
          <cell r="B419" t="str">
            <v>Citi Bank Current Account</v>
          </cell>
          <cell r="C419">
            <v>1581079.84</v>
          </cell>
        </row>
        <row r="420">
          <cell r="A420">
            <v>113501</v>
          </cell>
          <cell r="B420" t="str">
            <v>Citi Bank Current Account (payment clea</v>
          </cell>
          <cell r="C420">
            <v>-1580000</v>
          </cell>
        </row>
        <row r="421">
          <cell r="A421">
            <v>113508</v>
          </cell>
          <cell r="B421" t="str">
            <v>Citi Bank Current Account (receipts cle</v>
          </cell>
          <cell r="C421">
            <v>-1079.8399999999999</v>
          </cell>
        </row>
        <row r="422">
          <cell r="A422">
            <v>113600</v>
          </cell>
          <cell r="B422" t="str">
            <v>ICICI Bank</v>
          </cell>
          <cell r="C422">
            <v>311268.15000000002</v>
          </cell>
        </row>
        <row r="423">
          <cell r="A423">
            <v>113601</v>
          </cell>
          <cell r="B423" t="str">
            <v>ICICI Current Account (payment clearing</v>
          </cell>
          <cell r="C423">
            <v>-904856</v>
          </cell>
        </row>
        <row r="424">
          <cell r="A424">
            <v>113608</v>
          </cell>
          <cell r="B424" t="str">
            <v>ICICI Current Account (receipts clearin</v>
          </cell>
          <cell r="C424">
            <v>91000</v>
          </cell>
        </row>
        <row r="425">
          <cell r="A425">
            <v>113700</v>
          </cell>
          <cell r="B425" t="str">
            <v>ICICI - COIMBATORE</v>
          </cell>
          <cell r="C425">
            <v>88863.83</v>
          </cell>
        </row>
        <row r="426">
          <cell r="A426">
            <v>113701</v>
          </cell>
          <cell r="B426" t="str">
            <v>ICICI - COIMB. (payment clearing)</v>
          </cell>
          <cell r="C426">
            <v>-12284</v>
          </cell>
        </row>
        <row r="427">
          <cell r="A427">
            <v>113708</v>
          </cell>
          <cell r="B427" t="str">
            <v>ICICI - COIMB. (receipts clearing)</v>
          </cell>
          <cell r="C427">
            <v>0</v>
          </cell>
        </row>
        <row r="428">
          <cell r="A428">
            <v>113801</v>
          </cell>
          <cell r="B428" t="str">
            <v>COMMERZBANK  AG  (PAYMENT CLEARING)</v>
          </cell>
          <cell r="C428">
            <v>-30000000</v>
          </cell>
        </row>
        <row r="429">
          <cell r="A429">
            <v>113808</v>
          </cell>
          <cell r="B429" t="str">
            <v>COMMERZBANK AG (RECEIPTS CLEARING)</v>
          </cell>
          <cell r="C429">
            <v>30000000</v>
          </cell>
        </row>
        <row r="430">
          <cell r="A430">
            <v>113830</v>
          </cell>
          <cell r="B430" t="str">
            <v>Fixed Deposits with Syndicate Bank</v>
          </cell>
          <cell r="C430">
            <v>139943</v>
          </cell>
        </row>
        <row r="431">
          <cell r="A431">
            <v>113850</v>
          </cell>
          <cell r="B431" t="str">
            <v>Fixed Deposits with ICICI Bank</v>
          </cell>
          <cell r="C431">
            <v>583087</v>
          </cell>
        </row>
        <row r="432">
          <cell r="A432">
            <v>113900</v>
          </cell>
          <cell r="B432" t="str">
            <v>State Bank of India - Manjakuppam</v>
          </cell>
          <cell r="C432">
            <v>5000</v>
          </cell>
        </row>
        <row r="433">
          <cell r="A433">
            <v>113910</v>
          </cell>
          <cell r="B433" t="str">
            <v>Deutsche Bank Current Account (Delhi)</v>
          </cell>
          <cell r="C433">
            <v>6683.18</v>
          </cell>
        </row>
        <row r="434">
          <cell r="A434">
            <v>113920</v>
          </cell>
          <cell r="B434" t="str">
            <v>State Bank Of India (Jnpt)</v>
          </cell>
          <cell r="C434">
            <v>19225</v>
          </cell>
        </row>
        <row r="435">
          <cell r="A435">
            <v>113930</v>
          </cell>
          <cell r="B435" t="str">
            <v>State Bank Of India - (Sahar)</v>
          </cell>
          <cell r="C435">
            <v>22062.95</v>
          </cell>
        </row>
        <row r="436">
          <cell r="A436">
            <v>113950</v>
          </cell>
          <cell r="B436" t="str">
            <v>Bank Of India Current Account</v>
          </cell>
          <cell r="C436">
            <v>5000</v>
          </cell>
        </row>
        <row r="437">
          <cell r="A437">
            <v>113960</v>
          </cell>
          <cell r="B437" t="str">
            <v>Deutsche Bank Salary Payable Account</v>
          </cell>
          <cell r="C437">
            <v>5279.92</v>
          </cell>
        </row>
        <row r="438">
          <cell r="A438">
            <v>113978</v>
          </cell>
          <cell r="B438" t="str">
            <v>ICICI Bank C/A COIMBATORE (receipts cle</v>
          </cell>
          <cell r="C438">
            <v>0.2</v>
          </cell>
        </row>
        <row r="439">
          <cell r="A439">
            <v>114000</v>
          </cell>
          <cell r="B439" t="str">
            <v>HDFC Bank</v>
          </cell>
          <cell r="C439">
            <v>19281</v>
          </cell>
        </row>
        <row r="440">
          <cell r="A440">
            <v>114200</v>
          </cell>
          <cell r="B440" t="str">
            <v>HSBC Collection Account.</v>
          </cell>
          <cell r="C440">
            <v>659548.87</v>
          </cell>
        </row>
        <row r="441">
          <cell r="A441">
            <v>114208</v>
          </cell>
          <cell r="B441" t="str">
            <v>HSBC Collection Account(receipts cleari</v>
          </cell>
          <cell r="C441">
            <v>-579676.72</v>
          </cell>
        </row>
        <row r="442">
          <cell r="A442">
            <v>120000</v>
          </cell>
          <cell r="B442" t="str">
            <v>Loans to Employees.</v>
          </cell>
          <cell r="C442">
            <v>1780100</v>
          </cell>
        </row>
        <row r="443">
          <cell r="A443">
            <v>125000</v>
          </cell>
          <cell r="B443" t="str">
            <v>Bills Receivable Foreign (Dystar Group)</v>
          </cell>
          <cell r="C443">
            <v>0</v>
          </cell>
        </row>
        <row r="444">
          <cell r="A444">
            <v>128000</v>
          </cell>
          <cell r="B444" t="str">
            <v>Security deposit given to (vendors)</v>
          </cell>
          <cell r="C444">
            <v>15487143</v>
          </cell>
        </row>
        <row r="445">
          <cell r="A445">
            <v>140000</v>
          </cell>
          <cell r="B445" t="str">
            <v>Sundry Debtors Local (Stockists)</v>
          </cell>
          <cell r="C445">
            <v>101253969.95</v>
          </cell>
        </row>
        <row r="446">
          <cell r="A446">
            <v>140099</v>
          </cell>
          <cell r="B446" t="str">
            <v>Accounts receivable-domestic, adjustmen</v>
          </cell>
          <cell r="C446">
            <v>0</v>
          </cell>
        </row>
        <row r="447">
          <cell r="A447">
            <v>140100</v>
          </cell>
          <cell r="B447" t="str">
            <v>Sundry Debtors Local (Customers)</v>
          </cell>
          <cell r="C447">
            <v>55027613.899999999</v>
          </cell>
        </row>
        <row r="448">
          <cell r="A448">
            <v>141000</v>
          </cell>
          <cell r="B448" t="str">
            <v>Debtors-foreign-Others</v>
          </cell>
          <cell r="C448">
            <v>6512344.9400000004</v>
          </cell>
        </row>
        <row r="449">
          <cell r="A449">
            <v>141099</v>
          </cell>
          <cell r="B449" t="str">
            <v>Accounts receivable-foreign, adjustment</v>
          </cell>
          <cell r="C449">
            <v>67072.929999999993</v>
          </cell>
        </row>
        <row r="450">
          <cell r="A450">
            <v>142000</v>
          </cell>
          <cell r="B450" t="str">
            <v>Allowance for doubtful accounts</v>
          </cell>
          <cell r="C450">
            <v>-3080000</v>
          </cell>
        </row>
        <row r="451">
          <cell r="A451">
            <v>143000</v>
          </cell>
          <cell r="B451" t="str">
            <v>Accounts payable-debit balances</v>
          </cell>
          <cell r="C451">
            <v>0</v>
          </cell>
        </row>
        <row r="452">
          <cell r="A452">
            <v>144000</v>
          </cell>
          <cell r="B452" t="str">
            <v>Sundry Debtors Foreign (Dystar Group)</v>
          </cell>
          <cell r="C452">
            <v>19173223.120000001</v>
          </cell>
        </row>
        <row r="453">
          <cell r="A453">
            <v>144099</v>
          </cell>
          <cell r="B453" t="str">
            <v>Accounts receivable-Group companies adj</v>
          </cell>
          <cell r="C453">
            <v>143742.62</v>
          </cell>
        </row>
        <row r="454">
          <cell r="A454">
            <v>151100</v>
          </cell>
          <cell r="B454" t="str">
            <v>Advances to Employees-Imprest</v>
          </cell>
          <cell r="C454">
            <v>177500</v>
          </cell>
        </row>
        <row r="455">
          <cell r="A455">
            <v>154000</v>
          </cell>
          <cell r="B455" t="str">
            <v>Modvat  RG23 Receivable (Thane)</v>
          </cell>
          <cell r="C455">
            <v>107898100.67</v>
          </cell>
        </row>
        <row r="456">
          <cell r="A456">
            <v>154001</v>
          </cell>
          <cell r="B456" t="str">
            <v>PLA-Thane</v>
          </cell>
          <cell r="C456">
            <v>57448.26</v>
          </cell>
        </row>
        <row r="457">
          <cell r="A457">
            <v>154009</v>
          </cell>
          <cell r="B457" t="str">
            <v>MODVAT-Rec-Thane-CCL</v>
          </cell>
          <cell r="C457">
            <v>-111216698.20999999</v>
          </cell>
        </row>
        <row r="458">
          <cell r="A458">
            <v>154010</v>
          </cell>
          <cell r="B458" t="str">
            <v>MODVAT-RG23 Rec-Roha</v>
          </cell>
          <cell r="C458">
            <v>73859972.989999995</v>
          </cell>
        </row>
        <row r="459">
          <cell r="A459">
            <v>154011</v>
          </cell>
          <cell r="B459" t="str">
            <v>PLA-Roha</v>
          </cell>
          <cell r="C459">
            <v>37720.42</v>
          </cell>
        </row>
        <row r="460">
          <cell r="A460">
            <v>154019</v>
          </cell>
          <cell r="B460" t="str">
            <v>MODVAT-Rec-Roha-CCL</v>
          </cell>
          <cell r="C460">
            <v>-87378160.349999994</v>
          </cell>
        </row>
        <row r="461">
          <cell r="A461">
            <v>154040</v>
          </cell>
          <cell r="B461" t="str">
            <v>Sales Tax Set Off on Purchases</v>
          </cell>
          <cell r="C461">
            <v>0</v>
          </cell>
        </row>
        <row r="462">
          <cell r="A462">
            <v>154100</v>
          </cell>
          <cell r="B462" t="str">
            <v>Duty Drawback-export</v>
          </cell>
          <cell r="C462">
            <v>2195643.39</v>
          </cell>
        </row>
        <row r="463">
          <cell r="A463">
            <v>154110</v>
          </cell>
          <cell r="B463" t="str">
            <v>Brandduty receivable</v>
          </cell>
          <cell r="C463">
            <v>4151554.94</v>
          </cell>
        </row>
        <row r="464">
          <cell r="A464">
            <v>154120</v>
          </cell>
          <cell r="B464" t="str">
            <v>DEPB Receivable</v>
          </cell>
          <cell r="C464">
            <v>3962056.93</v>
          </cell>
        </row>
        <row r="465">
          <cell r="A465">
            <v>154520</v>
          </cell>
          <cell r="B465" t="str">
            <v>TDS on Interest received - A. Y. 1999-2</v>
          </cell>
          <cell r="C465">
            <v>-2671</v>
          </cell>
        </row>
        <row r="466">
          <cell r="A466">
            <v>154530</v>
          </cell>
          <cell r="B466" t="str">
            <v>TDS on Interest received - A. Y. 2000-2</v>
          </cell>
          <cell r="C466">
            <v>0</v>
          </cell>
        </row>
        <row r="467">
          <cell r="A467">
            <v>154540</v>
          </cell>
          <cell r="B467" t="str">
            <v>TDS on Interest received - A. Y. 2001-2</v>
          </cell>
          <cell r="C467">
            <v>16613</v>
          </cell>
        </row>
        <row r="468">
          <cell r="A468">
            <v>154550</v>
          </cell>
          <cell r="B468" t="str">
            <v>TDS on Interest received - A. Y. 2002-2</v>
          </cell>
          <cell r="C468">
            <v>49686.36</v>
          </cell>
        </row>
        <row r="469">
          <cell r="A469">
            <v>154600</v>
          </cell>
          <cell r="B469" t="str">
            <v>Taxes Recoverable</v>
          </cell>
          <cell r="C469">
            <v>0.5</v>
          </cell>
        </row>
        <row r="470">
          <cell r="A470">
            <v>154730</v>
          </cell>
          <cell r="B470" t="str">
            <v>Advance Tax Corporate Tax.-A.Y.2000-200</v>
          </cell>
          <cell r="C470">
            <v>0</v>
          </cell>
        </row>
        <row r="471">
          <cell r="A471">
            <v>154740</v>
          </cell>
          <cell r="B471" t="str">
            <v>Advance Tax Corporate Tax.-A.Y.2001-200</v>
          </cell>
          <cell r="C471">
            <v>14000000</v>
          </cell>
        </row>
        <row r="472">
          <cell r="A472">
            <v>154750</v>
          </cell>
          <cell r="B472" t="str">
            <v>Advance Tax Corporate Tax.-A.Y.2002-200</v>
          </cell>
          <cell r="C472">
            <v>20432646</v>
          </cell>
        </row>
        <row r="473">
          <cell r="A473">
            <v>159000</v>
          </cell>
          <cell r="B473" t="str">
            <v>Down payments made on current assets</v>
          </cell>
          <cell r="C473">
            <v>437750</v>
          </cell>
        </row>
        <row r="474">
          <cell r="A474">
            <v>159300</v>
          </cell>
          <cell r="B474" t="str">
            <v>Insurance claim-Rec.</v>
          </cell>
          <cell r="C474">
            <v>0</v>
          </cell>
        </row>
        <row r="475">
          <cell r="A475">
            <v>159320</v>
          </cell>
          <cell r="B475" t="str">
            <v>Prepaid Expenses</v>
          </cell>
          <cell r="C475">
            <v>1799864</v>
          </cell>
        </row>
        <row r="476">
          <cell r="A476">
            <v>160000</v>
          </cell>
          <cell r="B476" t="str">
            <v>Sundry Creditors</v>
          </cell>
          <cell r="C476">
            <v>-29846561.170000002</v>
          </cell>
        </row>
        <row r="477">
          <cell r="A477">
            <v>160099</v>
          </cell>
          <cell r="B477" t="str">
            <v>Accounts payable-domestic, adjustments</v>
          </cell>
          <cell r="C477">
            <v>0</v>
          </cell>
        </row>
        <row r="478">
          <cell r="A478">
            <v>161000</v>
          </cell>
          <cell r="B478" t="str">
            <v>Sundry Creditors -Raw Materials(Foreign</v>
          </cell>
          <cell r="C478">
            <v>0</v>
          </cell>
        </row>
        <row r="479">
          <cell r="A479">
            <v>161099</v>
          </cell>
          <cell r="B479" t="str">
            <v>Accounts payable-foreign, adjustments</v>
          </cell>
          <cell r="C479">
            <v>0</v>
          </cell>
        </row>
        <row r="480">
          <cell r="A480">
            <v>163000</v>
          </cell>
          <cell r="B480" t="str">
            <v>Accounts receivable-credit balances</v>
          </cell>
          <cell r="C480">
            <v>0</v>
          </cell>
        </row>
        <row r="481">
          <cell r="A481">
            <v>164000</v>
          </cell>
          <cell r="B481" t="str">
            <v>Sundry Creditors - Import Of Finished G</v>
          </cell>
          <cell r="C481">
            <v>-50582427.049999997</v>
          </cell>
        </row>
        <row r="482">
          <cell r="A482">
            <v>164099</v>
          </cell>
          <cell r="B482" t="str">
            <v>Accounts payable-affiliated companies a</v>
          </cell>
          <cell r="C482">
            <v>-32774.65</v>
          </cell>
        </row>
        <row r="483">
          <cell r="A483">
            <v>170800</v>
          </cell>
          <cell r="B483" t="str">
            <v>Prov. personnel commitments- interest f</v>
          </cell>
          <cell r="C483">
            <v>-3703575</v>
          </cell>
        </row>
        <row r="484">
          <cell r="A484">
            <v>173100</v>
          </cell>
          <cell r="B484" t="str">
            <v>Interest Accrued but not Due-Term loans</v>
          </cell>
          <cell r="C484">
            <v>-673150.69</v>
          </cell>
        </row>
        <row r="485">
          <cell r="A485">
            <v>173300</v>
          </cell>
          <cell r="B485" t="str">
            <v>Interest Accrued but not Due-Foreign cu</v>
          </cell>
          <cell r="C485">
            <v>-484243.42</v>
          </cell>
        </row>
        <row r="486">
          <cell r="A486">
            <v>175500</v>
          </cell>
          <cell r="B486" t="str">
            <v>Sales Tax- Maharashtra</v>
          </cell>
          <cell r="C486">
            <v>-135944.9</v>
          </cell>
        </row>
        <row r="487">
          <cell r="A487">
            <v>175501</v>
          </cell>
          <cell r="B487" t="str">
            <v>Surcharge on Sales Tax - Maharashtra</v>
          </cell>
          <cell r="C487">
            <v>-38332.07</v>
          </cell>
        </row>
        <row r="488">
          <cell r="A488">
            <v>175502</v>
          </cell>
          <cell r="B488" t="str">
            <v>Turnover Tax - Maharashtra</v>
          </cell>
          <cell r="C488">
            <v>-99488.63</v>
          </cell>
        </row>
        <row r="489">
          <cell r="A489">
            <v>175505</v>
          </cell>
          <cell r="B489" t="str">
            <v>Sales Tax- BASF</v>
          </cell>
          <cell r="C489">
            <v>-20569.2</v>
          </cell>
        </row>
        <row r="490">
          <cell r="A490">
            <v>175506</v>
          </cell>
          <cell r="B490" t="str">
            <v>Sales Tax- BASF(outside Delhi Sales w.e</v>
          </cell>
          <cell r="C490">
            <v>-15647.84</v>
          </cell>
        </row>
        <row r="491">
          <cell r="A491">
            <v>175510</v>
          </cell>
          <cell r="B491" t="str">
            <v>Sales Tax- Tamil Nadu</v>
          </cell>
          <cell r="C491">
            <v>-906147.74</v>
          </cell>
        </row>
        <row r="492">
          <cell r="A492">
            <v>175530</v>
          </cell>
          <cell r="B492" t="str">
            <v>Sales Tax- Chandigarh</v>
          </cell>
          <cell r="C492">
            <v>-32257.09</v>
          </cell>
        </row>
        <row r="493">
          <cell r="A493">
            <v>175600</v>
          </cell>
          <cell r="B493" t="str">
            <v>Central Sales Tax - Maharashtra</v>
          </cell>
          <cell r="C493">
            <v>25823.65</v>
          </cell>
        </row>
        <row r="494">
          <cell r="A494">
            <v>175610</v>
          </cell>
          <cell r="B494" t="str">
            <v>Central Sales Tax- Tamil Nadu.</v>
          </cell>
          <cell r="C494">
            <v>-113018.18</v>
          </cell>
        </row>
        <row r="495">
          <cell r="A495">
            <v>175620</v>
          </cell>
          <cell r="B495" t="str">
            <v>Central Sales Tax- Delhi.</v>
          </cell>
          <cell r="C495">
            <v>-12770.3</v>
          </cell>
        </row>
        <row r="496">
          <cell r="A496">
            <v>175630</v>
          </cell>
          <cell r="B496" t="str">
            <v>Central Sales Tax-Chandigarh</v>
          </cell>
          <cell r="C496">
            <v>-16854.810000000001</v>
          </cell>
        </row>
        <row r="497">
          <cell r="A497">
            <v>177010</v>
          </cell>
          <cell r="B497" t="str">
            <v>T.D.S-Interest-194A</v>
          </cell>
          <cell r="C497">
            <v>13876.12</v>
          </cell>
        </row>
        <row r="498">
          <cell r="A498">
            <v>177020</v>
          </cell>
          <cell r="B498" t="str">
            <v>T.D.S-Contractors</v>
          </cell>
          <cell r="C498">
            <v>0</v>
          </cell>
        </row>
        <row r="499">
          <cell r="A499">
            <v>177040</v>
          </cell>
          <cell r="B499" t="str">
            <v>T.D.S Professionals</v>
          </cell>
          <cell r="C499">
            <v>-2295</v>
          </cell>
        </row>
        <row r="500">
          <cell r="A500">
            <v>177050</v>
          </cell>
          <cell r="B500" t="str">
            <v>T.D.S on Commission-194H</v>
          </cell>
          <cell r="C500">
            <v>-19753</v>
          </cell>
        </row>
        <row r="501">
          <cell r="A501">
            <v>177510</v>
          </cell>
          <cell r="B501" t="str">
            <v>Provident Fund Payable</v>
          </cell>
          <cell r="C501">
            <v>0</v>
          </cell>
        </row>
        <row r="502">
          <cell r="A502">
            <v>177520</v>
          </cell>
          <cell r="B502" t="str">
            <v>Professional Tax Payable</v>
          </cell>
          <cell r="C502">
            <v>0</v>
          </cell>
        </row>
        <row r="503">
          <cell r="A503">
            <v>178520</v>
          </cell>
          <cell r="B503" t="str">
            <v>Provision for Taxation- A.Y.2000-01</v>
          </cell>
          <cell r="C503">
            <v>-160000</v>
          </cell>
        </row>
        <row r="504">
          <cell r="A504">
            <v>178521</v>
          </cell>
          <cell r="B504" t="str">
            <v>Deferred Tax Liability 2000</v>
          </cell>
          <cell r="C504">
            <v>-972000</v>
          </cell>
        </row>
        <row r="505">
          <cell r="A505">
            <v>178530</v>
          </cell>
          <cell r="B505" t="str">
            <v>Provision for Taxation- A.Y.2001-02</v>
          </cell>
          <cell r="C505">
            <v>-16000000</v>
          </cell>
        </row>
        <row r="506">
          <cell r="A506">
            <v>178540</v>
          </cell>
          <cell r="B506" t="str">
            <v>Provision for Taxation- A.Y.2002-03</v>
          </cell>
          <cell r="C506">
            <v>-27845000</v>
          </cell>
        </row>
        <row r="507">
          <cell r="A507">
            <v>179100</v>
          </cell>
          <cell r="B507" t="str">
            <v>Other outstanding liabilities</v>
          </cell>
          <cell r="C507">
            <v>-5248396.28</v>
          </cell>
        </row>
        <row r="508">
          <cell r="A508">
            <v>191100</v>
          </cell>
          <cell r="B508" t="str">
            <v>GR/IR clearing-external procurement</v>
          </cell>
          <cell r="C508">
            <v>-1207663.68</v>
          </cell>
        </row>
        <row r="509">
          <cell r="A509">
            <v>192100</v>
          </cell>
          <cell r="B509" t="str">
            <v>Freight on Purchases - clearing</v>
          </cell>
          <cell r="C509">
            <v>-373553.19</v>
          </cell>
        </row>
        <row r="510">
          <cell r="A510">
            <v>192200</v>
          </cell>
          <cell r="B510" t="str">
            <v>Modvat Clearing Account - Than</v>
          </cell>
          <cell r="C510">
            <v>-107898100.67</v>
          </cell>
        </row>
        <row r="511">
          <cell r="A511">
            <v>192210</v>
          </cell>
          <cell r="B511" t="str">
            <v>Modvat Clearing Account -Roha</v>
          </cell>
          <cell r="C511">
            <v>-73859972.989999995</v>
          </cell>
        </row>
        <row r="512">
          <cell r="A512">
            <v>192299</v>
          </cell>
          <cell r="B512" t="str">
            <v>MODVAT Offset a/c</v>
          </cell>
          <cell r="C512">
            <v>195849728.44999999</v>
          </cell>
        </row>
        <row r="513">
          <cell r="A513">
            <v>192300</v>
          </cell>
          <cell r="B513" t="str">
            <v>Custom duty on RM Purchases - clearing</v>
          </cell>
          <cell r="C513">
            <v>-1081521.9099999999</v>
          </cell>
        </row>
        <row r="514">
          <cell r="A514">
            <v>192500</v>
          </cell>
          <cell r="B514" t="str">
            <v>Octori on Purchases - clearing</v>
          </cell>
          <cell r="C514">
            <v>92731.8</v>
          </cell>
        </row>
        <row r="515">
          <cell r="A515">
            <v>192600</v>
          </cell>
          <cell r="B515" t="str">
            <v>Clearing and Forwarding on Purchases -</v>
          </cell>
          <cell r="C515">
            <v>-317163.44</v>
          </cell>
        </row>
        <row r="516">
          <cell r="A516">
            <v>193200</v>
          </cell>
          <cell r="B516" t="str">
            <v>Octroi on Shipment- clearing</v>
          </cell>
          <cell r="C516">
            <v>-25207.88</v>
          </cell>
        </row>
        <row r="517">
          <cell r="A517">
            <v>197000</v>
          </cell>
          <cell r="B517" t="str">
            <v>Security deposit (customers)</v>
          </cell>
          <cell r="C517">
            <v>-20113082.77</v>
          </cell>
        </row>
        <row r="518">
          <cell r="A518">
            <v>300000</v>
          </cell>
          <cell r="B518" t="str">
            <v>InvetoryRaw material   (Local)</v>
          </cell>
          <cell r="C518">
            <v>19079341.030000001</v>
          </cell>
        </row>
        <row r="519">
          <cell r="A519">
            <v>300001</v>
          </cell>
          <cell r="B519" t="str">
            <v>Accumulated depreciation-raw materials</v>
          </cell>
          <cell r="C519">
            <v>-1198372</v>
          </cell>
        </row>
        <row r="520">
          <cell r="A520">
            <v>300010</v>
          </cell>
          <cell r="B520" t="str">
            <v>InvetoryRaw material Import</v>
          </cell>
          <cell r="C520">
            <v>1538723.8</v>
          </cell>
        </row>
        <row r="521">
          <cell r="A521">
            <v>305000</v>
          </cell>
          <cell r="B521" t="str">
            <v>Inventory Packaging material</v>
          </cell>
          <cell r="C521">
            <v>812081.92</v>
          </cell>
        </row>
        <row r="522">
          <cell r="A522">
            <v>790000</v>
          </cell>
          <cell r="B522" t="str">
            <v>Inventory Semifinished goods</v>
          </cell>
          <cell r="C522">
            <v>9936658.9900000002</v>
          </cell>
        </row>
        <row r="523">
          <cell r="A523">
            <v>790001</v>
          </cell>
          <cell r="B523" t="str">
            <v>Accumulated depreciation-semifinished g</v>
          </cell>
          <cell r="C523">
            <v>-457008</v>
          </cell>
        </row>
        <row r="524">
          <cell r="A524">
            <v>791000</v>
          </cell>
          <cell r="B524" t="str">
            <v>Work in process</v>
          </cell>
          <cell r="C524">
            <v>2791552.77</v>
          </cell>
        </row>
        <row r="525">
          <cell r="A525">
            <v>792000</v>
          </cell>
          <cell r="B525" t="str">
            <v>Inventory Finished goods</v>
          </cell>
          <cell r="C525">
            <v>50349071.509999998</v>
          </cell>
        </row>
        <row r="526">
          <cell r="A526">
            <v>792001</v>
          </cell>
          <cell r="B526" t="str">
            <v>Accumulated depreciation-finished goods</v>
          </cell>
          <cell r="C526">
            <v>-5996219.25</v>
          </cell>
        </row>
        <row r="527">
          <cell r="A527">
            <v>793010</v>
          </cell>
          <cell r="B527" t="str">
            <v>Inventories Trading Goods (Imported)</v>
          </cell>
          <cell r="C527">
            <v>18312655.719999999</v>
          </cell>
        </row>
        <row r="528">
          <cell r="A528">
            <v>793011</v>
          </cell>
          <cell r="B528" t="str">
            <v>Accumulated depreciation-Trading Goods</v>
          </cell>
          <cell r="C528">
            <v>-87656</v>
          </cell>
        </row>
        <row r="529">
          <cell r="A529">
            <v>793200</v>
          </cell>
          <cell r="B529" t="str">
            <v>Inventory Trading goods(BASF)</v>
          </cell>
          <cell r="C529">
            <v>3924064.62</v>
          </cell>
        </row>
        <row r="530">
          <cell r="A530">
            <v>793300</v>
          </cell>
          <cell r="B530" t="str">
            <v>Inventory Trading goods(Import) BASF/1</v>
          </cell>
          <cell r="C530">
            <v>6639641.25</v>
          </cell>
        </row>
        <row r="531">
          <cell r="A531">
            <v>793376</v>
          </cell>
          <cell r="B531" t="str">
            <v>Inventory Trading goods-in-transit</v>
          </cell>
          <cell r="C531">
            <v>22819071.449999999</v>
          </cell>
        </row>
        <row r="532">
          <cell r="A532">
            <v>900000</v>
          </cell>
          <cell r="B532" t="str">
            <v>Retained earnings</v>
          </cell>
          <cell r="C532">
            <v>0</v>
          </cell>
        </row>
      </sheetData>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Settings"/>
      <sheetName val="SectList"/>
      <sheetName val="AcList"/>
      <sheetName val="DepList"/>
      <sheetName val="CurList"/>
      <sheetName val="SectTB"/>
      <sheetName val="SectCDTB"/>
      <sheetName val="AcTB"/>
      <sheetName val="AcCDTB"/>
      <sheetName val="Settings"/>
      <sheetName val="TB Scheme A"/>
      <sheetName val="TB Scheme B"/>
      <sheetName val="TB Scheme C"/>
      <sheetName val="TB Scheme D"/>
      <sheetName val="N1-Op bal check-2005"/>
      <sheetName val="N1-Op bal check-2006"/>
      <sheetName val="Check List"/>
      <sheetName val="History"/>
      <sheetName val="TB"/>
      <sheetName val="Data"/>
      <sheetName val="CFWorkings"/>
      <sheetName val="Cover"/>
      <sheetName val="Contents"/>
      <sheetName val="Information"/>
      <sheetName val="Director"/>
      <sheetName val="Responsibilities"/>
      <sheetName val="AuditX"/>
      <sheetName val="Audit"/>
      <sheetName val="Accountant"/>
      <sheetName val="CAReport"/>
      <sheetName val="PL"/>
      <sheetName val="RGL"/>
      <sheetName val="BS"/>
      <sheetName val="CF"/>
      <sheetName val="Notes"/>
      <sheetName val="DetailPL1"/>
      <sheetName val="DetailPL2"/>
      <sheetName val="AbbCover"/>
      <sheetName val="AbbAudit"/>
      <sheetName val="AbbBS"/>
      <sheetName val="AbbNotes"/>
      <sheetName val="Library"/>
      <sheetName val="Workings"/>
      <sheetName val="VT_Results"/>
    </sheetNames>
    <sheetDataSet>
      <sheetData sheetId="0"/>
      <sheetData sheetId="1"/>
      <sheetData sheetId="2"/>
      <sheetData sheetId="3"/>
      <sheetData sheetId="4"/>
      <sheetData sheetId="5"/>
      <sheetData sheetId="6"/>
      <sheetData sheetId="7"/>
      <sheetData sheetId="8"/>
      <sheetData sheetId="9" refreshError="1">
        <row r="14">
          <cell r="C14" t="b">
            <v>1</v>
          </cell>
        </row>
        <row r="25">
          <cell r="C25" t="b">
            <v>0</v>
          </cell>
        </row>
        <row r="27">
          <cell r="C27" t="b">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sheetData sheetId="37"/>
      <sheetData sheetId="38"/>
      <sheetData sheetId="39" refreshError="1">
        <row r="31">
          <cell r="E31">
            <v>976970</v>
          </cell>
        </row>
        <row r="40">
          <cell r="E40">
            <v>976970</v>
          </cell>
        </row>
      </sheetData>
      <sheetData sheetId="40"/>
      <sheetData sheetId="41"/>
      <sheetData sheetId="42" refreshError="1"/>
      <sheetData sheetId="4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Settings"/>
      <sheetName val="SectList"/>
      <sheetName val="AcList"/>
      <sheetName val="DepList"/>
      <sheetName val="CurList"/>
      <sheetName val="SectTB"/>
      <sheetName val="SectCDTB"/>
      <sheetName val="AcTB"/>
      <sheetName val="AcCDTB"/>
      <sheetName val="Settings"/>
      <sheetName val="TB Scheme A"/>
      <sheetName val="TB Scheme B"/>
      <sheetName val="TB Scheme C"/>
      <sheetName val="TB Scheme D"/>
      <sheetName val="N1-Op bal check-2005"/>
      <sheetName val="N1-Op bal check-2006"/>
      <sheetName val="Check List"/>
      <sheetName val="History"/>
      <sheetName val="TB"/>
      <sheetName val="Data"/>
      <sheetName val="CFWorkings"/>
      <sheetName val="Cover"/>
      <sheetName val="Contents"/>
      <sheetName val="Information"/>
      <sheetName val="Director"/>
      <sheetName val="Responsibilities"/>
      <sheetName val="AuditX"/>
      <sheetName val="Audit"/>
      <sheetName val="Accountant"/>
      <sheetName val="CAReport"/>
      <sheetName val="PL"/>
      <sheetName val="RGL"/>
      <sheetName val="BS"/>
      <sheetName val="CF"/>
      <sheetName val="Notes"/>
      <sheetName val="DetailPL1"/>
      <sheetName val="DetailPL2"/>
      <sheetName val="AbbCover"/>
      <sheetName val="AbbAudit"/>
      <sheetName val="AbbBS"/>
      <sheetName val="AbbNotes"/>
      <sheetName val="Library"/>
      <sheetName val="Workings"/>
      <sheetName val="VT_Results"/>
    </sheetNames>
    <sheetDataSet>
      <sheetData sheetId="0"/>
      <sheetData sheetId="1"/>
      <sheetData sheetId="2"/>
      <sheetData sheetId="3"/>
      <sheetData sheetId="4"/>
      <sheetData sheetId="5"/>
      <sheetData sheetId="6"/>
      <sheetData sheetId="7"/>
      <sheetData sheetId="8"/>
      <sheetData sheetId="9" refreshError="1">
        <row r="16">
          <cell r="C16">
            <v>12</v>
          </cell>
        </row>
        <row r="57">
          <cell r="C57">
            <v>38807</v>
          </cell>
        </row>
        <row r="58">
          <cell r="C58">
            <v>38442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32">
          <cell r="G32">
            <v>355127</v>
          </cell>
          <cell r="I32">
            <v>512350</v>
          </cell>
        </row>
      </sheetData>
      <sheetData sheetId="31"/>
      <sheetData sheetId="32" refreshError="1">
        <row r="31">
          <cell r="E31">
            <v>976970</v>
          </cell>
          <cell r="H31">
            <v>662853</v>
          </cell>
        </row>
        <row r="40">
          <cell r="E40">
            <v>976970</v>
          </cell>
          <cell r="H40">
            <v>662853</v>
          </cell>
        </row>
      </sheetData>
      <sheetData sheetId="33" refreshError="1">
        <row r="40">
          <cell r="E40">
            <v>115643</v>
          </cell>
          <cell r="G40">
            <v>383309</v>
          </cell>
        </row>
        <row r="46">
          <cell r="E46">
            <v>115643</v>
          </cell>
          <cell r="G46">
            <v>383309</v>
          </cell>
        </row>
      </sheetData>
      <sheetData sheetId="34" refreshError="1">
        <row r="226">
          <cell r="G226">
            <v>37896</v>
          </cell>
        </row>
        <row r="229">
          <cell r="I229">
            <v>37896</v>
          </cell>
        </row>
        <row r="255">
          <cell r="G255">
            <v>0</v>
          </cell>
        </row>
        <row r="259">
          <cell r="I259">
            <v>0</v>
          </cell>
        </row>
        <row r="265">
          <cell r="G265">
            <v>0</v>
          </cell>
        </row>
        <row r="268">
          <cell r="I268">
            <v>0</v>
          </cell>
        </row>
        <row r="274">
          <cell r="G274">
            <v>0</v>
          </cell>
        </row>
        <row r="277">
          <cell r="I277">
            <v>0</v>
          </cell>
        </row>
        <row r="283">
          <cell r="G283">
            <v>662852</v>
          </cell>
        </row>
        <row r="288">
          <cell r="I288">
            <v>662852</v>
          </cell>
        </row>
      </sheetData>
      <sheetData sheetId="35" refreshError="1">
        <row r="26">
          <cell r="C26">
            <v>355127</v>
          </cell>
          <cell r="E26">
            <v>512350</v>
          </cell>
        </row>
      </sheetData>
      <sheetData sheetId="36"/>
      <sheetData sheetId="37"/>
      <sheetData sheetId="38"/>
      <sheetData sheetId="39" refreshError="1">
        <row r="31">
          <cell r="H31">
            <v>662853</v>
          </cell>
        </row>
        <row r="40">
          <cell r="H40">
            <v>662853</v>
          </cell>
        </row>
      </sheetData>
      <sheetData sheetId="40"/>
      <sheetData sheetId="41"/>
      <sheetData sheetId="42" refreshError="1">
        <row r="21">
          <cell r="F21">
            <v>0</v>
          </cell>
        </row>
        <row r="23">
          <cell r="F23">
            <v>0</v>
          </cell>
        </row>
        <row r="47">
          <cell r="H47">
            <v>459146</v>
          </cell>
        </row>
        <row r="67">
          <cell r="H67">
            <v>459146</v>
          </cell>
        </row>
        <row r="78">
          <cell r="H78">
            <v>0</v>
          </cell>
        </row>
        <row r="95">
          <cell r="H95">
            <v>0</v>
          </cell>
        </row>
      </sheetData>
      <sheetData sheetId="4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Settings"/>
      <sheetName val="SectList"/>
      <sheetName val="AcList"/>
      <sheetName val="DepList"/>
      <sheetName val="CurList"/>
      <sheetName val="SectTB"/>
      <sheetName val="SectCDTB"/>
      <sheetName val="AcTB"/>
      <sheetName val="AcCDTB"/>
      <sheetName val="Settings"/>
      <sheetName val="TB Scheme A"/>
      <sheetName val="TB Scheme B"/>
      <sheetName val="TB Scheme C"/>
      <sheetName val="TB Scheme D"/>
      <sheetName val="N1-Op bal check-2005"/>
      <sheetName val="N1-Op bal check-2006"/>
      <sheetName val="Check List"/>
      <sheetName val="History"/>
      <sheetName val="TB"/>
      <sheetName val="Data"/>
      <sheetName val="CFWorkings"/>
      <sheetName val="Cover"/>
      <sheetName val="Contents"/>
      <sheetName val="Information"/>
      <sheetName val="Director"/>
      <sheetName val="Responsibilities"/>
      <sheetName val="AuditX"/>
      <sheetName val="Audit"/>
      <sheetName val="Accountant"/>
      <sheetName val="CAReport"/>
      <sheetName val="PL"/>
      <sheetName val="RGL"/>
      <sheetName val="BS"/>
      <sheetName val="CF"/>
      <sheetName val="Notes"/>
      <sheetName val="DetailPL1"/>
      <sheetName val="DetailPL2"/>
      <sheetName val="AbbCover"/>
      <sheetName val="AbbAudit"/>
      <sheetName val="AbbBS"/>
      <sheetName val="AbbNotes"/>
      <sheetName val="Library"/>
      <sheetName val="Workings"/>
      <sheetName val="VT_Results"/>
    </sheetNames>
    <sheetDataSet>
      <sheetData sheetId="0"/>
      <sheetData sheetId="1"/>
      <sheetData sheetId="2"/>
      <sheetData sheetId="3"/>
      <sheetData sheetId="4"/>
      <sheetData sheetId="5"/>
      <sheetData sheetId="6"/>
      <sheetData sheetId="7"/>
      <sheetData sheetId="8"/>
      <sheetData sheetId="9" refreshError="1">
        <row r="16">
          <cell r="C16">
            <v>12</v>
          </cell>
        </row>
        <row r="57">
          <cell r="C57">
            <v>38807</v>
          </cell>
        </row>
        <row r="58">
          <cell r="C58">
            <v>38442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32">
          <cell r="G32">
            <v>355127</v>
          </cell>
          <cell r="I32">
            <v>512350</v>
          </cell>
        </row>
      </sheetData>
      <sheetData sheetId="31"/>
      <sheetData sheetId="32" refreshError="1">
        <row r="31">
          <cell r="E31">
            <v>976970</v>
          </cell>
          <cell r="H31">
            <v>662853</v>
          </cell>
        </row>
        <row r="40">
          <cell r="E40">
            <v>976970</v>
          </cell>
          <cell r="H40">
            <v>662853</v>
          </cell>
        </row>
      </sheetData>
      <sheetData sheetId="33" refreshError="1">
        <row r="40">
          <cell r="E40">
            <v>115643</v>
          </cell>
          <cell r="G40">
            <v>383309</v>
          </cell>
        </row>
        <row r="46">
          <cell r="E46">
            <v>115643</v>
          </cell>
          <cell r="G46">
            <v>383309</v>
          </cell>
        </row>
      </sheetData>
      <sheetData sheetId="34" refreshError="1">
        <row r="226">
          <cell r="G226">
            <v>37896</v>
          </cell>
        </row>
        <row r="229">
          <cell r="I229">
            <v>37896</v>
          </cell>
        </row>
        <row r="255">
          <cell r="G255">
            <v>0</v>
          </cell>
        </row>
        <row r="259">
          <cell r="I259">
            <v>0</v>
          </cell>
        </row>
        <row r="265">
          <cell r="G265">
            <v>0</v>
          </cell>
        </row>
        <row r="268">
          <cell r="I268">
            <v>0</v>
          </cell>
        </row>
        <row r="274">
          <cell r="G274">
            <v>0</v>
          </cell>
        </row>
        <row r="277">
          <cell r="I277">
            <v>0</v>
          </cell>
        </row>
        <row r="283">
          <cell r="G283">
            <v>662852</v>
          </cell>
        </row>
        <row r="288">
          <cell r="I288">
            <v>662852</v>
          </cell>
        </row>
      </sheetData>
      <sheetData sheetId="35" refreshError="1">
        <row r="26">
          <cell r="C26">
            <v>355127</v>
          </cell>
          <cell r="E26">
            <v>512350</v>
          </cell>
        </row>
      </sheetData>
      <sheetData sheetId="36"/>
      <sheetData sheetId="37"/>
      <sheetData sheetId="38"/>
      <sheetData sheetId="39" refreshError="1">
        <row r="31">
          <cell r="H31">
            <v>662853</v>
          </cell>
        </row>
        <row r="40">
          <cell r="H40">
            <v>662853</v>
          </cell>
        </row>
      </sheetData>
      <sheetData sheetId="40"/>
      <sheetData sheetId="41"/>
      <sheetData sheetId="42" refreshError="1">
        <row r="21">
          <cell r="F21">
            <v>0</v>
          </cell>
        </row>
        <row r="23">
          <cell r="F23">
            <v>0</v>
          </cell>
        </row>
        <row r="47">
          <cell r="H47">
            <v>459146</v>
          </cell>
        </row>
        <row r="67">
          <cell r="H67">
            <v>459146</v>
          </cell>
        </row>
        <row r="78">
          <cell r="H78">
            <v>0</v>
          </cell>
        </row>
        <row r="95">
          <cell r="H95">
            <v>0</v>
          </cell>
        </row>
      </sheetData>
      <sheetData sheetId="4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Introduction"/>
      <sheetName val="Instructions"/>
      <sheetName val="Company information"/>
      <sheetName val="BR1"/>
      <sheetName val="BR2"/>
      <sheetName val="BR3"/>
      <sheetName val="BR4"/>
      <sheetName val="BR5"/>
      <sheetName val="BR6"/>
      <sheetName val="BR7"/>
      <sheetName val="BR8"/>
      <sheetName val="BR9"/>
      <sheetName val="BR10"/>
      <sheetName val="BR11"/>
      <sheetName val="BR12"/>
      <sheetName val="BP1"/>
      <sheetName val="BP2"/>
      <sheetName val="BP3"/>
      <sheetName val="BP4"/>
      <sheetName val="BP5"/>
      <sheetName val="BP6"/>
      <sheetName val="BP7"/>
      <sheetName val="BP8"/>
      <sheetName val="BP9"/>
      <sheetName val="BP10"/>
      <sheetName val="BP11"/>
      <sheetName val="BP12"/>
      <sheetName val="PC1"/>
      <sheetName val="PC2"/>
      <sheetName val="PC3"/>
      <sheetName val="PC4"/>
      <sheetName val="PC5"/>
      <sheetName val="PC6"/>
      <sheetName val="PC7"/>
      <sheetName val="PC8"/>
      <sheetName val="PC9"/>
      <sheetName val="PC10"/>
      <sheetName val="PC11"/>
      <sheetName val="PC12"/>
      <sheetName val="Summary"/>
      <sheetName val="Bank summary"/>
      <sheetName val="VAT return"/>
      <sheetName val="IR35 Calc Instructions"/>
      <sheetName val="IR35 Calculator 2003 - 04"/>
      <sheetName val="PC1 (M1 contd)"/>
      <sheetName val="PC2 (M2 contd)"/>
      <sheetName val="PC3 (M3 contd)"/>
      <sheetName val="PC4 (M4 contd)"/>
      <sheetName val="PC7 (M7 contd)"/>
      <sheetName val="PC9 (M9 contd)"/>
      <sheetName val="PC11 (M11 contd)"/>
      <sheetName val="Petty Cash Totals"/>
      <sheetName val="VAT Return Jun 04"/>
      <sheetName val="VAT Return Sep 04"/>
      <sheetName val="VAT Return Dec 04"/>
      <sheetName val="Sales Day Book 2004"/>
      <sheetName val="ILO TOR 0001,2"/>
      <sheetName val="Company_information1"/>
      <sheetName val="Bank_summary1"/>
      <sheetName val="VAT_return1"/>
      <sheetName val="IR35_Calc_Instructions1"/>
      <sheetName val="IR35_Calculator_2003_-_041"/>
      <sheetName val="PC1_(M1_contd)1"/>
      <sheetName val="PC2_(M2_contd)1"/>
      <sheetName val="PC3_(M3_contd)1"/>
      <sheetName val="PC4_(M4_contd)1"/>
      <sheetName val="PC7_(M7_contd)1"/>
      <sheetName val="PC9_(M9_contd)1"/>
      <sheetName val="PC11_(M11_contd)1"/>
      <sheetName val="Petty_Cash_Totals1"/>
      <sheetName val="VAT_Return_Jun_041"/>
      <sheetName val="VAT_Return_Sep_041"/>
      <sheetName val="VAT_Return_Dec_041"/>
      <sheetName val="Sales_Day_Book_20041"/>
      <sheetName val="ILO_TOR_0001,21"/>
      <sheetName val="Company_information"/>
      <sheetName val="Bank_summary"/>
      <sheetName val="VAT_return"/>
      <sheetName val="IR35_Calc_Instructions"/>
      <sheetName val="IR35_Calculator_2003_-_04"/>
      <sheetName val="PC1_(M1_contd)"/>
      <sheetName val="PC2_(M2_contd)"/>
      <sheetName val="PC3_(M3_contd)"/>
      <sheetName val="PC4_(M4_contd)"/>
      <sheetName val="PC7_(M7_contd)"/>
      <sheetName val="PC9_(M9_contd)"/>
      <sheetName val="PC11_(M11_contd)"/>
      <sheetName val="Petty_Cash_Totals"/>
      <sheetName val="VAT_Return_Jun_04"/>
      <sheetName val="VAT_Return_Sep_04"/>
      <sheetName val="VAT_Return_Dec_04"/>
      <sheetName val="Sales_Day_Book_2004"/>
      <sheetName val="ILO_TOR_0001,2"/>
      <sheetName val="Company_information2"/>
      <sheetName val="Bank_summary2"/>
      <sheetName val="VAT_return2"/>
      <sheetName val="IR35_Calc_Instructions2"/>
      <sheetName val="IR35_Calculator_2003_-_042"/>
      <sheetName val="PC1_(M1_contd)2"/>
      <sheetName val="PC2_(M2_contd)2"/>
      <sheetName val="PC3_(M3_contd)2"/>
      <sheetName val="PC4_(M4_contd)2"/>
      <sheetName val="PC7_(M7_contd)2"/>
      <sheetName val="PC9_(M9_contd)2"/>
      <sheetName val="PC11_(M11_contd)2"/>
      <sheetName val="Petty_Cash_Totals2"/>
      <sheetName val="VAT_Return_Jun_042"/>
      <sheetName val="VAT_Return_Sep_042"/>
      <sheetName val="VAT_Return_Dec_042"/>
      <sheetName val="Sales_Day_Book_20042"/>
      <sheetName val="ILO_TOR_0001,22"/>
    </sheetNames>
    <sheetDataSet>
      <sheetData sheetId="0">
        <row r="7">
          <cell r="H7">
            <v>101.56</v>
          </cell>
        </row>
      </sheetData>
      <sheetData sheetId="1">
        <row r="73">
          <cell r="C73" t="str">
            <v>1 January 2004</v>
          </cell>
        </row>
      </sheetData>
      <sheetData sheetId="2"/>
      <sheetData sheetId="3">
        <row r="5">
          <cell r="D5" t="str">
            <v>Cassel Consulting Limited</v>
          </cell>
        </row>
      </sheetData>
      <sheetData sheetId="4">
        <row r="3">
          <cell r="C3" t="str">
            <v>January 2004</v>
          </cell>
        </row>
        <row r="7">
          <cell r="H7">
            <v>0</v>
          </cell>
          <cell r="I7" t="str">
            <v>Interest received</v>
          </cell>
        </row>
        <row r="8">
          <cell r="H8">
            <v>0</v>
          </cell>
          <cell r="I8" t="str">
            <v>Interest received</v>
          </cell>
        </row>
        <row r="9">
          <cell r="H9">
            <v>0</v>
          </cell>
          <cell r="I9" t="str">
            <v>Non-EC sales</v>
          </cell>
        </row>
        <row r="10">
          <cell r="H10">
            <v>0</v>
          </cell>
          <cell r="I10" t="str">
            <v>Non-EC sales</v>
          </cell>
        </row>
        <row r="11">
          <cell r="H11">
            <v>0</v>
          </cell>
          <cell r="I11" t="str">
            <v>Dividends paid</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5">
        <row r="3">
          <cell r="C3" t="str">
            <v>February 2004</v>
          </cell>
        </row>
        <row r="7">
          <cell r="H7">
            <v>0</v>
          </cell>
          <cell r="I7" t="str">
            <v>Non-EC sales</v>
          </cell>
        </row>
        <row r="8">
          <cell r="H8">
            <v>0</v>
          </cell>
          <cell r="I8" t="str">
            <v>Bank and credit card charges</v>
          </cell>
        </row>
        <row r="9">
          <cell r="H9">
            <v>0</v>
          </cell>
          <cell r="I9" t="str">
            <v>Bank and credit card charges</v>
          </cell>
        </row>
        <row r="10">
          <cell r="H10">
            <v>0</v>
          </cell>
          <cell r="I10" t="str">
            <v>Petty cash drawn/reimbursed</v>
          </cell>
        </row>
        <row r="11">
          <cell r="H11">
            <v>0</v>
          </cell>
          <cell r="I11" t="str">
            <v>Legal and professional fees</v>
          </cell>
        </row>
        <row r="12">
          <cell r="H12">
            <v>0</v>
          </cell>
          <cell r="I12" t="str">
            <v>Bank and credit card charges</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6">
        <row r="3">
          <cell r="C3" t="str">
            <v>March 2004</v>
          </cell>
        </row>
        <row r="7">
          <cell r="H7">
            <v>0</v>
          </cell>
          <cell r="I7" t="str">
            <v>Bank and credit card charges</v>
          </cell>
        </row>
        <row r="8">
          <cell r="H8">
            <v>0</v>
          </cell>
          <cell r="I8" t="str">
            <v>Interest received</v>
          </cell>
        </row>
        <row r="9">
          <cell r="H9">
            <v>0</v>
          </cell>
          <cell r="I9" t="str">
            <v>Sundry receipts</v>
          </cell>
        </row>
        <row r="10">
          <cell r="H10">
            <v>0</v>
          </cell>
          <cell r="I10" t="str">
            <v>Non-EC sales</v>
          </cell>
        </row>
        <row r="11">
          <cell r="H11">
            <v>0</v>
          </cell>
          <cell r="I11" t="str">
            <v>Dividends paid</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7">
        <row r="3">
          <cell r="C3" t="str">
            <v>April 2004</v>
          </cell>
        </row>
        <row r="7">
          <cell r="H7">
            <v>8670.1299999999992</v>
          </cell>
          <cell r="I7" t="str">
            <v>Non-EC sales</v>
          </cell>
        </row>
        <row r="8">
          <cell r="H8">
            <v>0</v>
          </cell>
          <cell r="I8" t="str">
            <v>Bank and credit card charges</v>
          </cell>
        </row>
        <row r="9">
          <cell r="H9">
            <v>0</v>
          </cell>
          <cell r="I9" t="str">
            <v>Bank and credit card charges</v>
          </cell>
        </row>
        <row r="10">
          <cell r="H10">
            <v>0</v>
          </cell>
          <cell r="I10" t="str">
            <v>Petty cash drawn/reimbursed</v>
          </cell>
        </row>
        <row r="11">
          <cell r="H11">
            <v>0</v>
          </cell>
          <cell r="I11" t="str">
            <v>Legal and professional fees</v>
          </cell>
        </row>
        <row r="12">
          <cell r="H12">
            <v>0</v>
          </cell>
          <cell r="I12" t="str">
            <v>Bank and credit card charges</v>
          </cell>
        </row>
        <row r="13">
          <cell r="H13">
            <v>0</v>
          </cell>
          <cell r="I13" t="str">
            <v>Telephone &amp; Internet</v>
          </cell>
        </row>
        <row r="14">
          <cell r="H14">
            <v>0</v>
          </cell>
          <cell r="I14" t="str">
            <v>PAYE/National Insurance paid</v>
          </cell>
        </row>
        <row r="15">
          <cell r="H15">
            <v>0</v>
          </cell>
          <cell r="I15" t="str">
            <v>Wages and salaries</v>
          </cell>
        </row>
        <row r="16">
          <cell r="H16">
            <v>0</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8670.1299999999992</v>
          </cell>
          <cell r="G47">
            <v>0</v>
          </cell>
        </row>
      </sheetData>
      <sheetData sheetId="8">
        <row r="3">
          <cell r="C3" t="str">
            <v>May 2004</v>
          </cell>
        </row>
        <row r="7">
          <cell r="H7">
            <v>11670.31</v>
          </cell>
          <cell r="I7" t="str">
            <v>Non-EC sales</v>
          </cell>
        </row>
        <row r="8">
          <cell r="H8">
            <v>4.57</v>
          </cell>
          <cell r="I8" t="str">
            <v>Interest received</v>
          </cell>
        </row>
        <row r="9">
          <cell r="H9">
            <v>411.25</v>
          </cell>
          <cell r="I9" t="str">
            <v>Sundry receipts</v>
          </cell>
        </row>
        <row r="10">
          <cell r="H10">
            <v>11257.62</v>
          </cell>
          <cell r="I10" t="str">
            <v>Non-EC sales</v>
          </cell>
        </row>
        <row r="11">
          <cell r="H11">
            <v>0</v>
          </cell>
          <cell r="I11" t="str">
            <v>Dividends paid</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23343.75</v>
          </cell>
          <cell r="G47">
            <v>0</v>
          </cell>
        </row>
      </sheetData>
      <sheetData sheetId="9">
        <row r="3">
          <cell r="C3" t="str">
            <v>June 2004</v>
          </cell>
        </row>
        <row r="7">
          <cell r="H7">
            <v>26.71</v>
          </cell>
          <cell r="I7" t="str">
            <v>Interest received</v>
          </cell>
        </row>
        <row r="8">
          <cell r="H8">
            <v>7357.99</v>
          </cell>
          <cell r="I8" t="str">
            <v>Non-EC sales</v>
          </cell>
        </row>
        <row r="9">
          <cell r="H9">
            <v>0</v>
          </cell>
          <cell r="I9" t="str">
            <v>Bank and credit card charges</v>
          </cell>
        </row>
        <row r="10">
          <cell r="H10">
            <v>0</v>
          </cell>
          <cell r="I10" t="str">
            <v>Petty cash drawn/reimbursed</v>
          </cell>
        </row>
        <row r="11">
          <cell r="H11">
            <v>0</v>
          </cell>
          <cell r="I11" t="str">
            <v>Legal and professional fees</v>
          </cell>
        </row>
        <row r="12">
          <cell r="H12">
            <v>0</v>
          </cell>
          <cell r="I12" t="str">
            <v>Bank and credit card charges</v>
          </cell>
        </row>
        <row r="13">
          <cell r="H13">
            <v>0</v>
          </cell>
          <cell r="I13" t="str">
            <v>Telephone &amp; Internet</v>
          </cell>
        </row>
        <row r="14">
          <cell r="H14">
            <v>0</v>
          </cell>
          <cell r="I14" t="str">
            <v>PAYE/National Insurance paid</v>
          </cell>
        </row>
        <row r="15">
          <cell r="H15">
            <v>0</v>
          </cell>
          <cell r="I15" t="str">
            <v>Wages and salaries</v>
          </cell>
        </row>
        <row r="16">
          <cell r="H16">
            <v>0</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7384.7</v>
          </cell>
          <cell r="G47">
            <v>0</v>
          </cell>
        </row>
      </sheetData>
      <sheetData sheetId="10">
        <row r="3">
          <cell r="C3" t="str">
            <v>July 2004</v>
          </cell>
        </row>
        <row r="7">
          <cell r="H7">
            <v>15.78</v>
          </cell>
          <cell r="I7" t="str">
            <v>Interest received</v>
          </cell>
        </row>
        <row r="8">
          <cell r="H8">
            <v>15.99</v>
          </cell>
          <cell r="I8" t="str">
            <v>Interest received</v>
          </cell>
        </row>
        <row r="9">
          <cell r="H9">
            <v>7895.38</v>
          </cell>
          <cell r="I9" t="str">
            <v>Non-EC sales</v>
          </cell>
        </row>
        <row r="10">
          <cell r="H10">
            <v>20</v>
          </cell>
          <cell r="I10" t="str">
            <v>Sundry receipts</v>
          </cell>
        </row>
        <row r="11">
          <cell r="H11">
            <v>20</v>
          </cell>
          <cell r="I11" t="str">
            <v>Sundry receipts</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7967.1500000000005</v>
          </cell>
          <cell r="G47">
            <v>0</v>
          </cell>
        </row>
      </sheetData>
      <sheetData sheetId="11">
        <row r="3">
          <cell r="C3" t="str">
            <v>August 2004</v>
          </cell>
        </row>
        <row r="7">
          <cell r="H7">
            <v>21.93</v>
          </cell>
          <cell r="I7" t="str">
            <v>Interest received</v>
          </cell>
        </row>
        <row r="8">
          <cell r="H8">
            <v>13021.37</v>
          </cell>
          <cell r="I8" t="str">
            <v>Non-EC sales</v>
          </cell>
        </row>
        <row r="9">
          <cell r="H9">
            <v>17123.060000000001</v>
          </cell>
          <cell r="I9" t="str">
            <v>Non-EC sales</v>
          </cell>
        </row>
        <row r="10">
          <cell r="H10">
            <v>565.91</v>
          </cell>
          <cell r="I10" t="str">
            <v>Sundry receipts</v>
          </cell>
        </row>
        <row r="11">
          <cell r="H11">
            <v>0</v>
          </cell>
          <cell r="I11" t="str">
            <v>Legal and professional fees</v>
          </cell>
        </row>
        <row r="12">
          <cell r="H12">
            <v>0</v>
          </cell>
          <cell r="I12" t="str">
            <v>Bank and credit card charges</v>
          </cell>
        </row>
        <row r="13">
          <cell r="H13">
            <v>0</v>
          </cell>
          <cell r="I13" t="str">
            <v>Telephone &amp; Internet</v>
          </cell>
        </row>
        <row r="14">
          <cell r="H14">
            <v>0</v>
          </cell>
          <cell r="I14" t="str">
            <v>PAYE/National Insurance paid</v>
          </cell>
        </row>
        <row r="15">
          <cell r="H15">
            <v>0</v>
          </cell>
          <cell r="I15" t="str">
            <v>Wages and salaries</v>
          </cell>
        </row>
        <row r="16">
          <cell r="H16">
            <v>0</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30732.27</v>
          </cell>
          <cell r="G47">
            <v>0</v>
          </cell>
        </row>
      </sheetData>
      <sheetData sheetId="12">
        <row r="3">
          <cell r="C3" t="str">
            <v>September 2004</v>
          </cell>
        </row>
        <row r="7">
          <cell r="H7">
            <v>2.86</v>
          </cell>
          <cell r="I7" t="str">
            <v>Interest received</v>
          </cell>
        </row>
        <row r="8">
          <cell r="H8">
            <v>47.93</v>
          </cell>
          <cell r="I8" t="str">
            <v>Interest received</v>
          </cell>
        </row>
        <row r="9">
          <cell r="H9">
            <v>6572.19</v>
          </cell>
          <cell r="I9" t="str">
            <v>Non-EC sales</v>
          </cell>
        </row>
        <row r="10">
          <cell r="H10">
            <v>0</v>
          </cell>
          <cell r="I10" t="str">
            <v>Travel, accommodation and subsistence</v>
          </cell>
        </row>
        <row r="11">
          <cell r="H11">
            <v>0</v>
          </cell>
          <cell r="I11" t="str">
            <v>Transfers to other accounts</v>
          </cell>
        </row>
        <row r="12">
          <cell r="H12">
            <v>0</v>
          </cell>
          <cell r="I12" t="str">
            <v>Petty cash drawn/reimbursed</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6622.98</v>
          </cell>
          <cell r="G47">
            <v>0</v>
          </cell>
        </row>
      </sheetData>
      <sheetData sheetId="13">
        <row r="3">
          <cell r="C3" t="str">
            <v>October 2004</v>
          </cell>
        </row>
        <row r="7">
          <cell r="H7">
            <v>0</v>
          </cell>
        </row>
        <row r="8">
          <cell r="H8">
            <v>0</v>
          </cell>
        </row>
        <row r="9">
          <cell r="H9">
            <v>0</v>
          </cell>
        </row>
        <row r="10">
          <cell r="H10">
            <v>0</v>
          </cell>
        </row>
        <row r="11">
          <cell r="H11">
            <v>0</v>
          </cell>
        </row>
        <row r="12">
          <cell r="H12">
            <v>0</v>
          </cell>
        </row>
        <row r="13">
          <cell r="H13">
            <v>0</v>
          </cell>
        </row>
        <row r="14">
          <cell r="H14">
            <v>0</v>
          </cell>
        </row>
        <row r="15">
          <cell r="H15">
            <v>28.02</v>
          </cell>
          <cell r="I15" t="str">
            <v>Interest received</v>
          </cell>
        </row>
        <row r="16">
          <cell r="H16">
            <v>19245.64</v>
          </cell>
          <cell r="I16" t="str">
            <v>Non-EC sales</v>
          </cell>
        </row>
        <row r="17">
          <cell r="H17">
            <v>484.88</v>
          </cell>
          <cell r="I17" t="str">
            <v>Sundry receipts</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19758.54</v>
          </cell>
          <cell r="G47">
            <v>0</v>
          </cell>
        </row>
      </sheetData>
      <sheetData sheetId="14">
        <row r="3">
          <cell r="C3" t="str">
            <v>November 2004</v>
          </cell>
        </row>
        <row r="7">
          <cell r="H7">
            <v>18.16</v>
          </cell>
          <cell r="I7" t="str">
            <v>Interest received</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18.16</v>
          </cell>
          <cell r="G47">
            <v>0</v>
          </cell>
        </row>
      </sheetData>
      <sheetData sheetId="15">
        <row r="3">
          <cell r="C3" t="str">
            <v>December 2004</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9.65</v>
          </cell>
          <cell r="I18" t="str">
            <v>Interest received</v>
          </cell>
        </row>
        <row r="19">
          <cell r="H19">
            <v>17804.03</v>
          </cell>
          <cell r="I19" t="str">
            <v>Non-EC sales</v>
          </cell>
        </row>
        <row r="20">
          <cell r="H20">
            <v>18723.3</v>
          </cell>
          <cell r="I20" t="str">
            <v>Non-EC sales</v>
          </cell>
        </row>
        <row r="21">
          <cell r="H21">
            <v>17908.21</v>
          </cell>
          <cell r="I21" t="str">
            <v>Non-EC sales</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54445.189999999995</v>
          </cell>
          <cell r="G47">
            <v>0</v>
          </cell>
        </row>
      </sheetData>
      <sheetData sheetId="16">
        <row r="3">
          <cell r="C3" t="str">
            <v>February 2004</v>
          </cell>
        </row>
        <row r="7">
          <cell r="H7">
            <v>0</v>
          </cell>
          <cell r="I7" t="str">
            <v>Non-EC sales</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17">
        <row r="3">
          <cell r="C3" t="str">
            <v>January 2004</v>
          </cell>
        </row>
        <row r="7">
          <cell r="H7">
            <v>0</v>
          </cell>
          <cell r="I7" t="str">
            <v>Bank and credit card charges</v>
          </cell>
        </row>
        <row r="8">
          <cell r="H8">
            <v>0</v>
          </cell>
          <cell r="I8" t="str">
            <v>Interest received</v>
          </cell>
        </row>
        <row r="9">
          <cell r="H9">
            <v>0</v>
          </cell>
          <cell r="I9" t="str">
            <v>Sundry receipts</v>
          </cell>
        </row>
        <row r="10">
          <cell r="H10">
            <v>0</v>
          </cell>
          <cell r="I10" t="str">
            <v>Non-EC sales</v>
          </cell>
        </row>
        <row r="11">
          <cell r="H11">
            <v>0</v>
          </cell>
          <cell r="I11" t="str">
            <v>Dividends paid</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18">
        <row r="3">
          <cell r="C3" t="str">
            <v>February 2004</v>
          </cell>
        </row>
        <row r="7">
          <cell r="H7">
            <v>0</v>
          </cell>
          <cell r="I7" t="str">
            <v>Non-EC sales</v>
          </cell>
        </row>
        <row r="8">
          <cell r="H8">
            <v>0</v>
          </cell>
          <cell r="I8" t="str">
            <v>Bank and credit card charges</v>
          </cell>
        </row>
        <row r="9">
          <cell r="H9">
            <v>0</v>
          </cell>
          <cell r="I9" t="str">
            <v>Bank and credit card charges</v>
          </cell>
        </row>
        <row r="10">
          <cell r="H10">
            <v>0</v>
          </cell>
          <cell r="I10" t="str">
            <v>Petty cash drawn/reimbursed</v>
          </cell>
        </row>
        <row r="11">
          <cell r="H11">
            <v>0</v>
          </cell>
          <cell r="I11" t="str">
            <v>Legal and professional fees</v>
          </cell>
        </row>
        <row r="12">
          <cell r="H12">
            <v>0</v>
          </cell>
          <cell r="I12" t="str">
            <v>Bank and credit card charges</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0</v>
          </cell>
          <cell r="G47">
            <v>0</v>
          </cell>
        </row>
      </sheetData>
      <sheetData sheetId="19">
        <row r="3">
          <cell r="C3" t="str">
            <v>March 2004</v>
          </cell>
        </row>
        <row r="7">
          <cell r="H7">
            <v>5</v>
          </cell>
          <cell r="I7" t="str">
            <v>Bank and credit card charges</v>
          </cell>
        </row>
        <row r="8">
          <cell r="H8">
            <v>0</v>
          </cell>
          <cell r="I8" t="str">
            <v>Interest received</v>
          </cell>
        </row>
        <row r="9">
          <cell r="H9">
            <v>0</v>
          </cell>
          <cell r="I9" t="str">
            <v>Sundry receipts</v>
          </cell>
        </row>
        <row r="10">
          <cell r="H10">
            <v>0</v>
          </cell>
          <cell r="I10" t="str">
            <v>Non-EC sales</v>
          </cell>
        </row>
        <row r="11">
          <cell r="H11">
            <v>0</v>
          </cell>
          <cell r="I11" t="str">
            <v>Dividends paid</v>
          </cell>
        </row>
        <row r="12">
          <cell r="H12">
            <v>0</v>
          </cell>
          <cell r="I12" t="str">
            <v>Travel, accommodation and subsistence</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5</v>
          </cell>
          <cell r="G47">
            <v>0</v>
          </cell>
        </row>
      </sheetData>
      <sheetData sheetId="20">
        <row r="3">
          <cell r="C3" t="str">
            <v>April 2004</v>
          </cell>
        </row>
        <row r="7">
          <cell r="H7">
            <v>5</v>
          </cell>
          <cell r="I7" t="str">
            <v>Bank and credit card charges</v>
          </cell>
        </row>
        <row r="8">
          <cell r="H8">
            <v>5</v>
          </cell>
          <cell r="I8" t="str">
            <v>Bank and credit card charges</v>
          </cell>
        </row>
        <row r="9">
          <cell r="H9">
            <v>0</v>
          </cell>
          <cell r="I9" t="str">
            <v>Bank and credit card charges</v>
          </cell>
        </row>
        <row r="10">
          <cell r="H10">
            <v>0</v>
          </cell>
          <cell r="I10" t="str">
            <v>Petty cash drawn/reimbursed</v>
          </cell>
        </row>
        <row r="11">
          <cell r="H11">
            <v>0</v>
          </cell>
          <cell r="I11" t="str">
            <v>Legal and professional fees</v>
          </cell>
        </row>
        <row r="12">
          <cell r="H12">
            <v>0</v>
          </cell>
          <cell r="I12" t="str">
            <v>Bank and credit card charges</v>
          </cell>
        </row>
        <row r="13">
          <cell r="H13">
            <v>0</v>
          </cell>
          <cell r="I13" t="str">
            <v>Telephone &amp; Internet</v>
          </cell>
        </row>
        <row r="14">
          <cell r="H14">
            <v>0</v>
          </cell>
          <cell r="I14" t="str">
            <v>PAYE/National Insurance paid</v>
          </cell>
        </row>
        <row r="15">
          <cell r="H15">
            <v>0</v>
          </cell>
          <cell r="I15" t="str">
            <v>Wages and salaries</v>
          </cell>
        </row>
        <row r="16">
          <cell r="H16">
            <v>0</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10</v>
          </cell>
          <cell r="G47">
            <v>0</v>
          </cell>
        </row>
      </sheetData>
      <sheetData sheetId="21">
        <row r="3">
          <cell r="C3" t="str">
            <v>May 2004</v>
          </cell>
        </row>
        <row r="7">
          <cell r="H7">
            <v>11000</v>
          </cell>
          <cell r="I7" t="str">
            <v>Transfers to other accounts</v>
          </cell>
        </row>
        <row r="8">
          <cell r="H8">
            <v>15189.44</v>
          </cell>
          <cell r="I8" t="str">
            <v>Petty cash drawn/reimbursed</v>
          </cell>
        </row>
        <row r="9">
          <cell r="H9">
            <v>43.4</v>
          </cell>
          <cell r="I9" t="str">
            <v>Printing, postage and stationery</v>
          </cell>
        </row>
        <row r="10">
          <cell r="H10">
            <v>161.5</v>
          </cell>
          <cell r="I10" t="str">
            <v>Software &amp; IT Consumables</v>
          </cell>
        </row>
        <row r="11">
          <cell r="H11">
            <v>1000</v>
          </cell>
          <cell r="I11" t="str">
            <v>Dividends paid</v>
          </cell>
        </row>
        <row r="12">
          <cell r="H12">
            <v>80</v>
          </cell>
          <cell r="I12" t="str">
            <v>Travel, accommodation and subsistence</v>
          </cell>
        </row>
        <row r="13">
          <cell r="H13">
            <v>80</v>
          </cell>
          <cell r="I13" t="str">
            <v>Travel, accommodation and subsistence</v>
          </cell>
        </row>
        <row r="14">
          <cell r="H14">
            <v>148.94</v>
          </cell>
          <cell r="I14" t="str">
            <v>Telephone &amp; Internet</v>
          </cell>
        </row>
        <row r="15">
          <cell r="H15">
            <v>228.04</v>
          </cell>
          <cell r="I15" t="str">
            <v>PAYE/National Insurance paid</v>
          </cell>
        </row>
        <row r="16">
          <cell r="H16">
            <v>2271.96</v>
          </cell>
          <cell r="I16" t="str">
            <v>Wages and salaries</v>
          </cell>
        </row>
        <row r="17">
          <cell r="H17">
            <v>16.68</v>
          </cell>
          <cell r="I17" t="str">
            <v>Bank and credit card charges</v>
          </cell>
        </row>
        <row r="18">
          <cell r="H18">
            <v>20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30273.620000000003</v>
          </cell>
          <cell r="G47">
            <v>33.659999999999997</v>
          </cell>
        </row>
      </sheetData>
      <sheetData sheetId="22">
        <row r="3">
          <cell r="C3" t="str">
            <v>June 2004</v>
          </cell>
        </row>
        <row r="7">
          <cell r="H7">
            <v>190</v>
          </cell>
          <cell r="I7" t="str">
            <v>Travel, accommodation and subsistence</v>
          </cell>
        </row>
        <row r="8">
          <cell r="H8">
            <v>20</v>
          </cell>
          <cell r="I8" t="str">
            <v>Bank and credit card charges</v>
          </cell>
        </row>
        <row r="9">
          <cell r="H9">
            <v>8</v>
          </cell>
          <cell r="I9" t="str">
            <v>Bank and credit card charges</v>
          </cell>
        </row>
        <row r="10">
          <cell r="H10">
            <v>4839.2</v>
          </cell>
          <cell r="I10" t="str">
            <v>Petty cash drawn/reimbursed</v>
          </cell>
        </row>
        <row r="11">
          <cell r="H11">
            <v>405.56</v>
          </cell>
          <cell r="I11" t="str">
            <v>Legal and professional fees</v>
          </cell>
        </row>
        <row r="12">
          <cell r="H12">
            <v>17.5</v>
          </cell>
          <cell r="I12" t="str">
            <v>Bank and credit card charges</v>
          </cell>
        </row>
        <row r="13">
          <cell r="H13">
            <v>0</v>
          </cell>
          <cell r="I13" t="str">
            <v>Telephone &amp; Internet</v>
          </cell>
        </row>
        <row r="14">
          <cell r="H14">
            <v>0</v>
          </cell>
          <cell r="I14" t="str">
            <v>PAYE/National Insurance paid</v>
          </cell>
        </row>
        <row r="15">
          <cell r="H15">
            <v>0</v>
          </cell>
          <cell r="I15" t="str">
            <v>Wages and salaries</v>
          </cell>
        </row>
        <row r="16">
          <cell r="H16">
            <v>0</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5480.26</v>
          </cell>
          <cell r="G47">
            <v>0</v>
          </cell>
        </row>
      </sheetData>
      <sheetData sheetId="23">
        <row r="3">
          <cell r="C3" t="str">
            <v>July 2004</v>
          </cell>
        </row>
        <row r="7">
          <cell r="H7">
            <v>50</v>
          </cell>
          <cell r="I7" t="str">
            <v>Travel, accommodation and subsistence</v>
          </cell>
        </row>
        <row r="8">
          <cell r="H8">
            <v>16.66</v>
          </cell>
          <cell r="I8" t="str">
            <v>Bank and credit card charges</v>
          </cell>
        </row>
        <row r="9">
          <cell r="H9">
            <v>16.75</v>
          </cell>
          <cell r="I9" t="str">
            <v>Bank and credit card charges</v>
          </cell>
        </row>
        <row r="10">
          <cell r="H10">
            <v>50</v>
          </cell>
          <cell r="I10" t="str">
            <v>Travel, accommodation and subsistence</v>
          </cell>
        </row>
        <row r="11">
          <cell r="H11">
            <v>25000</v>
          </cell>
          <cell r="I11" t="str">
            <v>Transfers to other accounts</v>
          </cell>
        </row>
        <row r="12">
          <cell r="H12">
            <v>1771.05</v>
          </cell>
          <cell r="I12" t="str">
            <v>Petty cash drawn/reimbursed</v>
          </cell>
        </row>
        <row r="13">
          <cell r="H13">
            <v>0</v>
          </cell>
          <cell r="I13" t="str">
            <v>Travel, accommodation and subsistence</v>
          </cell>
        </row>
        <row r="14">
          <cell r="H14">
            <v>0</v>
          </cell>
          <cell r="I14" t="str">
            <v>Telephone &amp; Internet</v>
          </cell>
        </row>
        <row r="15">
          <cell r="H15">
            <v>0</v>
          </cell>
          <cell r="I15" t="str">
            <v>PAYE/National Insurance paid</v>
          </cell>
        </row>
        <row r="16">
          <cell r="H16">
            <v>0</v>
          </cell>
          <cell r="I16" t="str">
            <v>Wages and salaries</v>
          </cell>
        </row>
        <row r="17">
          <cell r="H17">
            <v>0</v>
          </cell>
          <cell r="I17" t="str">
            <v>Bank and credit card charges</v>
          </cell>
        </row>
        <row r="18">
          <cell r="H18">
            <v>0</v>
          </cell>
          <cell r="I18" t="str">
            <v>Bank and credit card charges</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26904.46</v>
          </cell>
          <cell r="G47">
            <v>0</v>
          </cell>
        </row>
      </sheetData>
      <sheetData sheetId="24">
        <row r="3">
          <cell r="C3" t="str">
            <v>August 2004</v>
          </cell>
        </row>
        <row r="7">
          <cell r="H7">
            <v>3.4099999999999997</v>
          </cell>
          <cell r="I7" t="str">
            <v>Telephone &amp; Internet</v>
          </cell>
        </row>
        <row r="8">
          <cell r="H8">
            <v>112.5</v>
          </cell>
          <cell r="I8" t="str">
            <v>Legal and professional fees</v>
          </cell>
        </row>
        <row r="9">
          <cell r="H9">
            <v>1815.51</v>
          </cell>
          <cell r="I9" t="str">
            <v>Legal and professional fees</v>
          </cell>
        </row>
        <row r="10">
          <cell r="H10">
            <v>17.5</v>
          </cell>
          <cell r="I10" t="str">
            <v>Bank and credit card charges</v>
          </cell>
        </row>
        <row r="11">
          <cell r="H11">
            <v>3699.02</v>
          </cell>
          <cell r="I11" t="str">
            <v>Petty cash drawn/reimbursed</v>
          </cell>
        </row>
        <row r="12">
          <cell r="H12">
            <v>17.59</v>
          </cell>
          <cell r="I12" t="str">
            <v>Bank and credit card charges</v>
          </cell>
        </row>
        <row r="13">
          <cell r="H13">
            <v>50.25</v>
          </cell>
          <cell r="I13" t="str">
            <v>Telephone &amp; Internet</v>
          </cell>
        </row>
        <row r="14">
          <cell r="H14">
            <v>3365.35</v>
          </cell>
          <cell r="I14" t="str">
            <v>PAYE/National Insurance paid</v>
          </cell>
        </row>
        <row r="15">
          <cell r="H15">
            <v>6687.27</v>
          </cell>
          <cell r="I15" t="str">
            <v>Wages and salaries</v>
          </cell>
        </row>
        <row r="16">
          <cell r="H16">
            <v>4021.86</v>
          </cell>
          <cell r="I16" t="str">
            <v>Petty cash drawn/reimbursed</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19799.650000000001</v>
          </cell>
          <cell r="G47">
            <v>9.3899999999999988</v>
          </cell>
        </row>
      </sheetData>
      <sheetData sheetId="25">
        <row r="6">
          <cell r="E6">
            <v>12</v>
          </cell>
        </row>
        <row r="7">
          <cell r="H7">
            <v>17.8</v>
          </cell>
          <cell r="I7" t="str">
            <v>Bank and credit card charges</v>
          </cell>
        </row>
        <row r="8">
          <cell r="H8">
            <v>15000</v>
          </cell>
          <cell r="I8" t="str">
            <v>Transfers to other accounts</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F47">
            <v>15017.8</v>
          </cell>
          <cell r="G47">
            <v>0</v>
          </cell>
        </row>
      </sheetData>
      <sheetData sheetId="26">
        <row r="5">
          <cell r="D5" t="str">
            <v>Cassel Consulting Limited</v>
          </cell>
        </row>
        <row r="7">
          <cell r="H7">
            <v>80</v>
          </cell>
          <cell r="I7" t="str">
            <v>Travel, accommodation and subsistence</v>
          </cell>
        </row>
        <row r="8">
          <cell r="H8">
            <v>80</v>
          </cell>
          <cell r="I8" t="str">
            <v>Travel, accommodation and subsistence</v>
          </cell>
        </row>
        <row r="9">
          <cell r="H9">
            <v>57.709999999999994</v>
          </cell>
          <cell r="I9" t="str">
            <v>Telephone &amp; Internet</v>
          </cell>
        </row>
        <row r="10">
          <cell r="H10">
            <v>3757.02</v>
          </cell>
          <cell r="I10" t="str">
            <v>Petty cash drawn/reimbursed</v>
          </cell>
        </row>
        <row r="11">
          <cell r="H11">
            <v>325.64</v>
          </cell>
          <cell r="I11" t="str">
            <v>Legal and professional fees</v>
          </cell>
        </row>
        <row r="12">
          <cell r="H12">
            <v>17.5</v>
          </cell>
          <cell r="I12" t="str">
            <v>Bank and credit card charges</v>
          </cell>
        </row>
        <row r="13">
          <cell r="H13">
            <v>0</v>
          </cell>
          <cell r="I13" t="str">
            <v>Travel, accommodation and subsistence</v>
          </cell>
        </row>
        <row r="14">
          <cell r="H14">
            <v>0</v>
          </cell>
          <cell r="I14" t="str">
            <v>Travel, accommodation and subsistence</v>
          </cell>
        </row>
        <row r="15">
          <cell r="H15">
            <v>0</v>
          </cell>
          <cell r="I15" t="str">
            <v>Travel, accommodation and subsistence</v>
          </cell>
        </row>
        <row r="16">
          <cell r="H16">
            <v>0</v>
          </cell>
          <cell r="I16" t="str">
            <v>Travel, accommodation and subsistence</v>
          </cell>
        </row>
        <row r="17">
          <cell r="H17">
            <v>0</v>
          </cell>
          <cell r="I17" t="str">
            <v>Travel, accommodation and subsistence</v>
          </cell>
        </row>
        <row r="18">
          <cell r="H18">
            <v>0</v>
          </cell>
          <cell r="I18" t="str">
            <v>Travel, accommodation and subsistence</v>
          </cell>
        </row>
        <row r="19">
          <cell r="H19">
            <v>0</v>
          </cell>
          <cell r="I19" t="str">
            <v>Travel, accommodation and subsistence</v>
          </cell>
        </row>
        <row r="20">
          <cell r="H20">
            <v>0</v>
          </cell>
          <cell r="I20" t="str">
            <v>Travel, accommodation and subsistence</v>
          </cell>
        </row>
        <row r="21">
          <cell r="H21">
            <v>0</v>
          </cell>
          <cell r="I21" t="str">
            <v>Travel, accommodation and subsistence</v>
          </cell>
        </row>
        <row r="22">
          <cell r="H22">
            <v>0</v>
          </cell>
          <cell r="I22" t="str">
            <v>Travel, accommodation and subsistence</v>
          </cell>
        </row>
        <row r="23">
          <cell r="H23">
            <v>0</v>
          </cell>
          <cell r="I23" t="str">
            <v>Travel, accommodation and subsistence</v>
          </cell>
        </row>
        <row r="24">
          <cell r="H24">
            <v>0</v>
          </cell>
          <cell r="I24" t="str">
            <v>Travel, accommodation and subsistence</v>
          </cell>
        </row>
        <row r="25">
          <cell r="H25">
            <v>0</v>
          </cell>
          <cell r="I25" t="str">
            <v>Travel, accommodation and subsistence</v>
          </cell>
        </row>
        <row r="26">
          <cell r="H26">
            <v>0</v>
          </cell>
          <cell r="I26" t="str">
            <v>Travel, accommodation and subsistence</v>
          </cell>
        </row>
        <row r="27">
          <cell r="H27">
            <v>0</v>
          </cell>
          <cell r="I27" t="str">
            <v>Travel, accommodation and subsistence</v>
          </cell>
        </row>
        <row r="28">
          <cell r="H28">
            <v>0</v>
          </cell>
          <cell r="I28" t="str">
            <v>Sundry expenses</v>
          </cell>
        </row>
        <row r="29">
          <cell r="H29">
            <v>0</v>
          </cell>
          <cell r="I29" t="str">
            <v>Sundry expenses</v>
          </cell>
        </row>
        <row r="30">
          <cell r="H30">
            <v>0</v>
          </cell>
          <cell r="I30" t="str">
            <v>Sundry expenses</v>
          </cell>
        </row>
        <row r="31">
          <cell r="H31">
            <v>0</v>
          </cell>
          <cell r="I31" t="str">
            <v>Travel, accommodation and subsistence</v>
          </cell>
        </row>
        <row r="32">
          <cell r="H32">
            <v>0</v>
          </cell>
          <cell r="I32" t="str">
            <v>Travel, accommodation and subsistence</v>
          </cell>
        </row>
        <row r="33">
          <cell r="H33">
            <v>0</v>
          </cell>
          <cell r="I33" t="str">
            <v>Travel, accommodation and subsistence</v>
          </cell>
        </row>
        <row r="34">
          <cell r="H34">
            <v>0</v>
          </cell>
          <cell r="I34" t="str">
            <v>Travel, accommodation and subsistence</v>
          </cell>
        </row>
        <row r="35">
          <cell r="H35">
            <v>0</v>
          </cell>
          <cell r="I35" t="str">
            <v>Travel, accommodation and subsistence</v>
          </cell>
        </row>
        <row r="36">
          <cell r="H36">
            <v>0</v>
          </cell>
          <cell r="I36" t="str">
            <v>Legal and professional fees</v>
          </cell>
        </row>
        <row r="37">
          <cell r="H37">
            <v>0</v>
          </cell>
          <cell r="I37" t="str">
            <v>Motor Travel</v>
          </cell>
        </row>
        <row r="38">
          <cell r="H38">
            <v>0</v>
          </cell>
          <cell r="I38" t="str">
            <v>Travel, accommodation and subsistence</v>
          </cell>
        </row>
        <row r="39">
          <cell r="H39">
            <v>0</v>
          </cell>
          <cell r="I39" t="str">
            <v>Travel, accommodation and subsistence</v>
          </cell>
        </row>
        <row r="40">
          <cell r="H40">
            <v>0</v>
          </cell>
          <cell r="I40" t="str">
            <v>Travel, accommodation and subsistence</v>
          </cell>
        </row>
        <row r="41">
          <cell r="H41">
            <v>0</v>
          </cell>
          <cell r="I41" t="str">
            <v>Travel, accommodation and subsistence</v>
          </cell>
        </row>
        <row r="42">
          <cell r="H42">
            <v>0</v>
          </cell>
          <cell r="I42" t="str">
            <v>Travel, accommodation and subsistence</v>
          </cell>
        </row>
        <row r="43">
          <cell r="H43">
            <v>0</v>
          </cell>
          <cell r="I43" t="str">
            <v>Travel, accommodation and subsistence</v>
          </cell>
        </row>
        <row r="44">
          <cell r="H44">
            <v>0</v>
          </cell>
          <cell r="I44" t="str">
            <v>Travel, accommodation and subsistence</v>
          </cell>
        </row>
        <row r="45">
          <cell r="H45">
            <v>0</v>
          </cell>
          <cell r="I45" t="str">
            <v>Travel, accommodation and subsistence</v>
          </cell>
        </row>
        <row r="46">
          <cell r="H46">
            <v>0</v>
          </cell>
          <cell r="I46" t="str">
            <v>Travel, accommodation and subsistence</v>
          </cell>
        </row>
        <row r="47">
          <cell r="F47">
            <v>4327.96</v>
          </cell>
          <cell r="G47">
            <v>10.09</v>
          </cell>
        </row>
      </sheetData>
      <sheetData sheetId="27">
        <row r="5">
          <cell r="D5" t="str">
            <v>Cassel Consulting Limited</v>
          </cell>
        </row>
        <row r="7">
          <cell r="H7">
            <v>19.189999999999998</v>
          </cell>
          <cell r="I7" t="str">
            <v>Telephone &amp; Internet</v>
          </cell>
        </row>
        <row r="8">
          <cell r="H8">
            <v>50</v>
          </cell>
          <cell r="I8" t="str">
            <v>Travel, accommodation and subsistence</v>
          </cell>
        </row>
        <row r="9">
          <cell r="H9">
            <v>50</v>
          </cell>
          <cell r="I9" t="str">
            <v>Travel, accommodation and subsistence</v>
          </cell>
        </row>
        <row r="10">
          <cell r="H10">
            <v>6440.32</v>
          </cell>
          <cell r="I10" t="str">
            <v>Wages and salaries</v>
          </cell>
        </row>
        <row r="11">
          <cell r="H11">
            <v>2408.19</v>
          </cell>
          <cell r="I11" t="str">
            <v>Petty cash drawn/reimbursed</v>
          </cell>
        </row>
        <row r="12">
          <cell r="H12">
            <v>27000</v>
          </cell>
          <cell r="I12" t="str">
            <v>Transfers to other accounts</v>
          </cell>
        </row>
        <row r="13">
          <cell r="H13">
            <v>3899.66</v>
          </cell>
          <cell r="I13" t="str">
            <v>PAYE/National Insurance paid</v>
          </cell>
        </row>
        <row r="14">
          <cell r="H14">
            <v>560</v>
          </cell>
          <cell r="I14" t="str">
            <v>Sundry expenses</v>
          </cell>
        </row>
        <row r="15">
          <cell r="H15">
            <v>5</v>
          </cell>
          <cell r="I15" t="str">
            <v>Bank and credit card charges</v>
          </cell>
        </row>
        <row r="16">
          <cell r="H16">
            <v>17.84</v>
          </cell>
          <cell r="I16" t="str">
            <v>Bank and credit card charges</v>
          </cell>
        </row>
        <row r="17">
          <cell r="H17">
            <v>10000</v>
          </cell>
          <cell r="I17" t="str">
            <v>Transfers to other accounts</v>
          </cell>
        </row>
        <row r="18">
          <cell r="H18">
            <v>2851.1</v>
          </cell>
          <cell r="I18" t="str">
            <v>Legal and professional fees</v>
          </cell>
        </row>
        <row r="19">
          <cell r="H19">
            <v>17.5</v>
          </cell>
          <cell r="I19" t="str">
            <v>Bank and credit card charges</v>
          </cell>
        </row>
        <row r="20">
          <cell r="H20">
            <v>0</v>
          </cell>
          <cell r="I20" t="str">
            <v>Travel, accommodation and subsistence</v>
          </cell>
        </row>
        <row r="21">
          <cell r="H21">
            <v>0</v>
          </cell>
          <cell r="I21" t="str">
            <v>Travel, accommodation and subsistence</v>
          </cell>
        </row>
        <row r="22">
          <cell r="H22">
            <v>0</v>
          </cell>
          <cell r="I22" t="str">
            <v>Entertaining</v>
          </cell>
        </row>
        <row r="23">
          <cell r="H23">
            <v>0</v>
          </cell>
          <cell r="I23" t="str">
            <v>Travel, accommodation and subsistence</v>
          </cell>
        </row>
        <row r="24">
          <cell r="H24">
            <v>0</v>
          </cell>
          <cell r="I24" t="str">
            <v>Travel, accommodation and subsistence</v>
          </cell>
        </row>
        <row r="25">
          <cell r="H25">
            <v>0</v>
          </cell>
          <cell r="I25" t="str">
            <v>Travel, accommodation and subsistence</v>
          </cell>
        </row>
        <row r="26">
          <cell r="H26">
            <v>0</v>
          </cell>
          <cell r="I26" t="str">
            <v>Motor Travel</v>
          </cell>
        </row>
        <row r="27">
          <cell r="H27">
            <v>0</v>
          </cell>
          <cell r="I27" t="str">
            <v>Travel, accommodation and subsistence</v>
          </cell>
        </row>
        <row r="28">
          <cell r="H28">
            <v>0</v>
          </cell>
          <cell r="I28" t="str">
            <v>Travel, accommodation and subsistence</v>
          </cell>
        </row>
        <row r="29">
          <cell r="H29">
            <v>0</v>
          </cell>
          <cell r="I29" t="str">
            <v>Travel, accommodation and subsistence</v>
          </cell>
        </row>
        <row r="30">
          <cell r="H30">
            <v>0</v>
          </cell>
          <cell r="I30" t="str">
            <v>Travel, accommodation and subsistence</v>
          </cell>
        </row>
        <row r="31">
          <cell r="H31">
            <v>0</v>
          </cell>
          <cell r="I31" t="str">
            <v>Travel, accommodation and subsistence</v>
          </cell>
        </row>
        <row r="32">
          <cell r="H32">
            <v>0</v>
          </cell>
          <cell r="I32" t="str">
            <v>Entertaining</v>
          </cell>
        </row>
        <row r="33">
          <cell r="H33">
            <v>0</v>
          </cell>
          <cell r="I33" t="str">
            <v>Travel, accommodation and subsistence</v>
          </cell>
        </row>
        <row r="34">
          <cell r="H34">
            <v>0</v>
          </cell>
          <cell r="I34" t="str">
            <v>Travel, accommodation and subsistence</v>
          </cell>
        </row>
        <row r="35">
          <cell r="H35">
            <v>0</v>
          </cell>
          <cell r="I35" t="str">
            <v>Travel, accommodation and subsistence</v>
          </cell>
        </row>
        <row r="36">
          <cell r="H36">
            <v>0</v>
          </cell>
          <cell r="I36" t="str">
            <v>Motor Travel</v>
          </cell>
        </row>
        <row r="37">
          <cell r="H37">
            <v>0</v>
          </cell>
          <cell r="I37" t="str">
            <v>Travel, accommodation and subsistence</v>
          </cell>
        </row>
        <row r="38">
          <cell r="H38">
            <v>0</v>
          </cell>
          <cell r="I38" t="str">
            <v>Travel, accommodation and subsistence</v>
          </cell>
        </row>
        <row r="39">
          <cell r="H39">
            <v>0</v>
          </cell>
          <cell r="I39" t="str">
            <v>Motor Travel</v>
          </cell>
        </row>
        <row r="40">
          <cell r="H40">
            <v>0</v>
          </cell>
          <cell r="I40" t="str">
            <v>Telephone &amp; Internet</v>
          </cell>
        </row>
        <row r="41">
          <cell r="H41">
            <v>0</v>
          </cell>
          <cell r="I41" t="str">
            <v>Telephone &amp; Internet</v>
          </cell>
        </row>
        <row r="42">
          <cell r="H42">
            <v>0</v>
          </cell>
          <cell r="I42" t="str">
            <v>Travel, accommodation and subsistence</v>
          </cell>
        </row>
        <row r="43">
          <cell r="H43">
            <v>0</v>
          </cell>
          <cell r="I43" t="str">
            <v>Travel, accommodation and subsistence</v>
          </cell>
        </row>
        <row r="44">
          <cell r="H44">
            <v>0</v>
          </cell>
          <cell r="I44" t="str">
            <v>Travel, accommodation and subsistence</v>
          </cell>
        </row>
        <row r="45">
          <cell r="H45">
            <v>0</v>
          </cell>
          <cell r="I45" t="str">
            <v>Travel, accommodation and subsistence</v>
          </cell>
        </row>
        <row r="46">
          <cell r="H46">
            <v>0</v>
          </cell>
          <cell r="I46" t="str">
            <v>Travel, accommodation and subsistence</v>
          </cell>
        </row>
        <row r="47">
          <cell r="F47">
            <v>53322.15</v>
          </cell>
          <cell r="G47">
            <v>3.35</v>
          </cell>
        </row>
      </sheetData>
      <sheetData sheetId="28">
        <row r="5">
          <cell r="D5" t="str">
            <v>Cassel Consulting Limited</v>
          </cell>
        </row>
        <row r="7">
          <cell r="H7">
            <v>341.5</v>
          </cell>
          <cell r="I7" t="str">
            <v>Travel, accommodation and subsistence</v>
          </cell>
        </row>
        <row r="8">
          <cell r="H8">
            <v>175.5</v>
          </cell>
          <cell r="I8" t="str">
            <v>Travel, accommodation and subsistence</v>
          </cell>
        </row>
        <row r="9">
          <cell r="H9">
            <v>5.05</v>
          </cell>
          <cell r="I9" t="str">
            <v>Travel, accommodation and subsistence</v>
          </cell>
        </row>
        <row r="10">
          <cell r="H10">
            <v>11.7</v>
          </cell>
          <cell r="I10" t="str">
            <v>Travel, accommodation and subsistence</v>
          </cell>
        </row>
        <row r="11">
          <cell r="H11">
            <v>9.36</v>
          </cell>
          <cell r="I11" t="str">
            <v>Travel, accommodation and subsistence</v>
          </cell>
        </row>
        <row r="12">
          <cell r="H12">
            <v>7.96</v>
          </cell>
          <cell r="I12" t="str">
            <v>Travel, accommodation and subsistence</v>
          </cell>
        </row>
        <row r="13">
          <cell r="H13">
            <v>1.03</v>
          </cell>
          <cell r="I13" t="str">
            <v>Travel, accommodation and subsistence</v>
          </cell>
        </row>
        <row r="14">
          <cell r="H14">
            <v>1.03</v>
          </cell>
          <cell r="I14" t="str">
            <v>Travel, accommodation and subsistence</v>
          </cell>
        </row>
        <row r="15">
          <cell r="H15">
            <v>3.84</v>
          </cell>
          <cell r="I15" t="str">
            <v>Travel, accommodation and subsistence</v>
          </cell>
        </row>
        <row r="16">
          <cell r="H16">
            <v>1.92</v>
          </cell>
          <cell r="I16" t="str">
            <v>Travel, accommodation and subsistence</v>
          </cell>
        </row>
        <row r="17">
          <cell r="H17">
            <v>3.23</v>
          </cell>
          <cell r="I17" t="str">
            <v>Travel, accommodation and subsistence</v>
          </cell>
        </row>
        <row r="18">
          <cell r="H18">
            <v>171.5</v>
          </cell>
          <cell r="I18" t="str">
            <v>Travel, accommodation and subsistence</v>
          </cell>
        </row>
        <row r="19">
          <cell r="H19">
            <v>74.5</v>
          </cell>
          <cell r="I19" t="str">
            <v>Travel, accommodation and subsistence</v>
          </cell>
        </row>
        <row r="20">
          <cell r="H20">
            <v>1.03</v>
          </cell>
          <cell r="I20" t="str">
            <v>Travel, accommodation and subsistence</v>
          </cell>
        </row>
        <row r="21">
          <cell r="H21">
            <v>1.03</v>
          </cell>
          <cell r="I21" t="str">
            <v>Travel, accommodation and subsistence</v>
          </cell>
        </row>
        <row r="22">
          <cell r="H22">
            <v>4.53</v>
          </cell>
          <cell r="I22" t="str">
            <v>Travel, accommodation and subsistence</v>
          </cell>
        </row>
        <row r="23">
          <cell r="H23">
            <v>8.19</v>
          </cell>
          <cell r="I23" t="str">
            <v>Travel, accommodation and subsistence</v>
          </cell>
        </row>
        <row r="24">
          <cell r="H24">
            <v>1.03</v>
          </cell>
          <cell r="I24" t="str">
            <v>Travel, accommodation and subsistence</v>
          </cell>
        </row>
        <row r="25">
          <cell r="H25">
            <v>1.03</v>
          </cell>
          <cell r="I25" t="str">
            <v>Travel, accommodation and subsistence</v>
          </cell>
        </row>
        <row r="26">
          <cell r="H26">
            <v>4.07</v>
          </cell>
          <cell r="I26" t="str">
            <v>Travel, accommodation and subsistence</v>
          </cell>
        </row>
        <row r="27">
          <cell r="H27">
            <v>7.09</v>
          </cell>
          <cell r="I27" t="str">
            <v>Travel, accommodation and subsistence</v>
          </cell>
        </row>
        <row r="28">
          <cell r="H28">
            <v>132</v>
          </cell>
          <cell r="I28" t="str">
            <v>Sundry expenses</v>
          </cell>
        </row>
        <row r="29">
          <cell r="H29">
            <v>75</v>
          </cell>
          <cell r="I29" t="str">
            <v>Sundry expenses</v>
          </cell>
        </row>
        <row r="30">
          <cell r="H30">
            <v>260</v>
          </cell>
          <cell r="I30" t="str">
            <v>Sundry expenses</v>
          </cell>
        </row>
        <row r="31">
          <cell r="H31">
            <v>1.03</v>
          </cell>
          <cell r="I31" t="str">
            <v>Travel, accommodation and subsistence</v>
          </cell>
        </row>
        <row r="32">
          <cell r="H32">
            <v>1.03</v>
          </cell>
          <cell r="I32" t="str">
            <v>Travel, accommodation and subsistence</v>
          </cell>
        </row>
        <row r="33">
          <cell r="H33">
            <v>4.45</v>
          </cell>
          <cell r="I33" t="str">
            <v>Travel, accommodation and subsistence</v>
          </cell>
        </row>
        <row r="34">
          <cell r="H34">
            <v>3.51</v>
          </cell>
          <cell r="I34" t="str">
            <v>Travel, accommodation and subsistence</v>
          </cell>
        </row>
        <row r="35">
          <cell r="H35">
            <v>68.09</v>
          </cell>
          <cell r="I35" t="str">
            <v>Travel, accommodation and subsistence</v>
          </cell>
        </row>
        <row r="36">
          <cell r="H36">
            <v>350</v>
          </cell>
          <cell r="I36" t="str">
            <v>Legal and professional fees</v>
          </cell>
        </row>
        <row r="37">
          <cell r="H37">
            <v>53.6</v>
          </cell>
          <cell r="I37" t="str">
            <v>Motor Travel</v>
          </cell>
        </row>
        <row r="38">
          <cell r="H38">
            <v>224.61</v>
          </cell>
          <cell r="I38" t="str">
            <v>Travel, accommodation and subsistence</v>
          </cell>
        </row>
        <row r="39">
          <cell r="H39">
            <v>146.30000000000001</v>
          </cell>
          <cell r="I39" t="str">
            <v>Travel, accommodation and subsistence</v>
          </cell>
        </row>
        <row r="40">
          <cell r="H40">
            <v>366.3</v>
          </cell>
          <cell r="I40" t="str">
            <v>Travel, accommodation and subsistence</v>
          </cell>
        </row>
        <row r="41">
          <cell r="H41">
            <v>5.5</v>
          </cell>
          <cell r="I41" t="str">
            <v>Travel, accommodation and subsistence</v>
          </cell>
        </row>
        <row r="42">
          <cell r="H42">
            <v>11.63</v>
          </cell>
          <cell r="I42" t="str">
            <v>Travel, accommodation and subsistence</v>
          </cell>
        </row>
        <row r="43">
          <cell r="H43">
            <v>1.02</v>
          </cell>
          <cell r="I43" t="str">
            <v>Travel, accommodation and subsistence</v>
          </cell>
        </row>
        <row r="44">
          <cell r="H44">
            <v>10.24</v>
          </cell>
          <cell r="I44" t="str">
            <v>Travel, accommodation and subsistence</v>
          </cell>
        </row>
        <row r="45">
          <cell r="H45">
            <v>5.58</v>
          </cell>
          <cell r="I45" t="str">
            <v>Travel, accommodation and subsistence</v>
          </cell>
        </row>
        <row r="46">
          <cell r="H46">
            <v>12.75</v>
          </cell>
          <cell r="I46" t="str">
            <v>Travel, accommodation and subsistence</v>
          </cell>
        </row>
        <row r="47">
          <cell r="F47">
            <v>2641.92</v>
          </cell>
          <cell r="G47">
            <v>73.16</v>
          </cell>
        </row>
      </sheetData>
      <sheetData sheetId="29">
        <row r="7">
          <cell r="H7">
            <v>5.05</v>
          </cell>
          <cell r="I7" t="str">
            <v>Travel, accommodation and subsistence</v>
          </cell>
        </row>
        <row r="8">
          <cell r="H8">
            <v>11.56</v>
          </cell>
          <cell r="I8" t="str">
            <v>Travel, accommodation and subsistence</v>
          </cell>
        </row>
        <row r="9">
          <cell r="H9">
            <v>1.02</v>
          </cell>
          <cell r="I9" t="str">
            <v>Travel, accommodation and subsistence</v>
          </cell>
        </row>
        <row r="10">
          <cell r="H10">
            <v>3.47</v>
          </cell>
          <cell r="I10" t="str">
            <v>Travel, accommodation and subsistence</v>
          </cell>
        </row>
        <row r="11">
          <cell r="H11">
            <v>5.57</v>
          </cell>
          <cell r="I11" t="str">
            <v>Travel, accommodation and subsistence</v>
          </cell>
        </row>
        <row r="12">
          <cell r="H12">
            <v>1.02</v>
          </cell>
          <cell r="I12" t="str">
            <v>Travel, accommodation and subsistence</v>
          </cell>
        </row>
        <row r="13">
          <cell r="H13">
            <v>1.02</v>
          </cell>
          <cell r="I13" t="str">
            <v>Travel, accommodation and subsistence</v>
          </cell>
        </row>
        <row r="14">
          <cell r="H14">
            <v>2.2200000000000002</v>
          </cell>
          <cell r="I14" t="str">
            <v>Travel, accommodation and subsistence</v>
          </cell>
        </row>
        <row r="15">
          <cell r="H15">
            <v>2.77</v>
          </cell>
          <cell r="I15" t="str">
            <v>Travel, accommodation and subsistence</v>
          </cell>
        </row>
        <row r="16">
          <cell r="H16">
            <v>1.94</v>
          </cell>
          <cell r="I16" t="str">
            <v>Travel, accommodation and subsistence</v>
          </cell>
        </row>
        <row r="17">
          <cell r="H17">
            <v>1.02</v>
          </cell>
          <cell r="I17" t="str">
            <v>Travel, accommodation and subsistence</v>
          </cell>
        </row>
        <row r="18">
          <cell r="H18">
            <v>1.02</v>
          </cell>
          <cell r="I18" t="str">
            <v>Travel, accommodation and subsistence</v>
          </cell>
        </row>
        <row r="19">
          <cell r="H19">
            <v>6.86</v>
          </cell>
          <cell r="I19" t="str">
            <v>Travel, accommodation and subsistence</v>
          </cell>
        </row>
        <row r="20">
          <cell r="H20">
            <v>4.04</v>
          </cell>
          <cell r="I20" t="str">
            <v>Travel, accommodation and subsistence</v>
          </cell>
        </row>
        <row r="21">
          <cell r="H21">
            <v>1.02</v>
          </cell>
          <cell r="I21" t="str">
            <v>Travel, accommodation and subsistence</v>
          </cell>
        </row>
        <row r="22">
          <cell r="H22">
            <v>1.02</v>
          </cell>
          <cell r="I22" t="str">
            <v>Travel, accommodation and subsistence</v>
          </cell>
        </row>
        <row r="23">
          <cell r="H23">
            <v>3.14</v>
          </cell>
          <cell r="I23" t="str">
            <v>Travel, accommodation and subsistence</v>
          </cell>
        </row>
        <row r="24">
          <cell r="H24">
            <v>2.2200000000000002</v>
          </cell>
          <cell r="I24" t="str">
            <v>Travel, accommodation and subsistence</v>
          </cell>
        </row>
        <row r="25">
          <cell r="H25">
            <v>2.08</v>
          </cell>
          <cell r="I25" t="str">
            <v>Travel, accommodation and subsistence</v>
          </cell>
        </row>
        <row r="26">
          <cell r="H26">
            <v>183.05</v>
          </cell>
          <cell r="I26" t="str">
            <v>Travel, accommodation and subsistence</v>
          </cell>
        </row>
        <row r="27">
          <cell r="H27">
            <v>1.02</v>
          </cell>
          <cell r="I27" t="str">
            <v>Travel, accommodation and subsistence</v>
          </cell>
        </row>
        <row r="28">
          <cell r="H28">
            <v>1.02</v>
          </cell>
          <cell r="I28" t="str">
            <v>Travel, accommodation and subsistence</v>
          </cell>
        </row>
        <row r="29">
          <cell r="H29">
            <v>2.13</v>
          </cell>
          <cell r="I29" t="str">
            <v>Travel, accommodation and subsistence</v>
          </cell>
        </row>
        <row r="30">
          <cell r="H30">
            <v>3.47</v>
          </cell>
          <cell r="I30" t="str">
            <v>Travel, accommodation and subsistence</v>
          </cell>
        </row>
        <row r="31">
          <cell r="H31">
            <v>72.34</v>
          </cell>
          <cell r="I31" t="str">
            <v>Travel, accommodation and subsistence</v>
          </cell>
        </row>
        <row r="32">
          <cell r="H32">
            <v>52.8</v>
          </cell>
          <cell r="I32" t="str">
            <v>Motor Travel</v>
          </cell>
        </row>
        <row r="33">
          <cell r="H33">
            <v>122.2</v>
          </cell>
          <cell r="I33" t="str">
            <v>Travel, accommodation and subsistence</v>
          </cell>
        </row>
        <row r="34">
          <cell r="H34">
            <v>102.2</v>
          </cell>
          <cell r="I34" t="str">
            <v>Travel, accommodation and subsistence</v>
          </cell>
        </row>
        <row r="35">
          <cell r="H35">
            <v>2.52</v>
          </cell>
          <cell r="I35" t="str">
            <v>Printing, postage and stationery</v>
          </cell>
        </row>
        <row r="36">
          <cell r="H36">
            <v>5.05</v>
          </cell>
          <cell r="I36" t="str">
            <v>Travel, accommodation and subsistence</v>
          </cell>
        </row>
        <row r="37">
          <cell r="H37">
            <v>11.52</v>
          </cell>
          <cell r="I37" t="str">
            <v>Travel, accommodation and subsistence</v>
          </cell>
        </row>
        <row r="38">
          <cell r="H38">
            <v>1.01</v>
          </cell>
          <cell r="I38" t="str">
            <v>Travel, accommodation and subsistence</v>
          </cell>
        </row>
        <row r="39">
          <cell r="H39">
            <v>1.01</v>
          </cell>
          <cell r="I39" t="str">
            <v>Travel, accommodation and subsistence</v>
          </cell>
        </row>
        <row r="40">
          <cell r="H40">
            <v>1.01</v>
          </cell>
          <cell r="I40" t="str">
            <v>Travel, accommodation and subsistence</v>
          </cell>
        </row>
        <row r="41">
          <cell r="H41">
            <v>3.13</v>
          </cell>
          <cell r="I41" t="str">
            <v>Travel, accommodation and subsistence</v>
          </cell>
        </row>
        <row r="42">
          <cell r="H42">
            <v>4.6100000000000003</v>
          </cell>
          <cell r="I42" t="str">
            <v>Travel, accommodation and subsistence</v>
          </cell>
        </row>
        <row r="43">
          <cell r="H43">
            <v>1.01</v>
          </cell>
          <cell r="I43" t="str">
            <v>Travel, accommodation and subsistence</v>
          </cell>
        </row>
        <row r="44">
          <cell r="H44">
            <v>1.01</v>
          </cell>
          <cell r="I44" t="str">
            <v>Travel, accommodation and subsistence</v>
          </cell>
        </row>
        <row r="45">
          <cell r="H45">
            <v>5.76</v>
          </cell>
          <cell r="I45" t="str">
            <v>Travel, accommodation and subsistence</v>
          </cell>
        </row>
        <row r="46">
          <cell r="H46">
            <v>3.46</v>
          </cell>
          <cell r="I46" t="str">
            <v>Travel, accommodation and subsistence</v>
          </cell>
        </row>
        <row r="47">
          <cell r="F47">
            <v>652.49</v>
          </cell>
          <cell r="G47">
            <v>13.1</v>
          </cell>
        </row>
      </sheetData>
      <sheetData sheetId="30">
        <row r="7">
          <cell r="H7">
            <v>11.21</v>
          </cell>
          <cell r="I7" t="str">
            <v>Travel, accommodation and subsistence</v>
          </cell>
        </row>
        <row r="8">
          <cell r="H8">
            <v>0.99</v>
          </cell>
          <cell r="I8" t="str">
            <v>Travel, accommodation and subsistence</v>
          </cell>
        </row>
        <row r="9">
          <cell r="H9">
            <v>5.65</v>
          </cell>
          <cell r="I9" t="str">
            <v>Travel, accommodation and subsistence</v>
          </cell>
        </row>
        <row r="10">
          <cell r="H10">
            <v>3.86</v>
          </cell>
          <cell r="I10" t="str">
            <v>Travel, accommodation and subsistence</v>
          </cell>
        </row>
        <row r="11">
          <cell r="H11">
            <v>0.99</v>
          </cell>
          <cell r="I11" t="str">
            <v>Travel, accommodation and subsistence</v>
          </cell>
        </row>
        <row r="12">
          <cell r="H12">
            <v>0.99</v>
          </cell>
          <cell r="I12" t="str">
            <v>Travel, accommodation and subsistence</v>
          </cell>
        </row>
        <row r="13">
          <cell r="H13">
            <v>1.52</v>
          </cell>
          <cell r="I13" t="str">
            <v>Travel, accommodation and subsistence</v>
          </cell>
        </row>
        <row r="14">
          <cell r="H14">
            <v>3.52</v>
          </cell>
          <cell r="I14" t="str">
            <v>Travel, accommodation and subsistence</v>
          </cell>
        </row>
        <row r="15">
          <cell r="H15">
            <v>0.99</v>
          </cell>
          <cell r="I15" t="str">
            <v>Travel, accommodation and subsistence</v>
          </cell>
        </row>
        <row r="16">
          <cell r="H16">
            <v>0.99</v>
          </cell>
          <cell r="I16" t="str">
            <v>Travel, accommodation and subsistence</v>
          </cell>
        </row>
        <row r="17">
          <cell r="H17">
            <v>2.69</v>
          </cell>
          <cell r="I17" t="str">
            <v>Travel, accommodation and subsistence</v>
          </cell>
        </row>
        <row r="18">
          <cell r="H18">
            <v>3.56</v>
          </cell>
          <cell r="I18" t="str">
            <v>Travel, accommodation and subsistence</v>
          </cell>
        </row>
        <row r="19">
          <cell r="H19">
            <v>0.99</v>
          </cell>
          <cell r="I19" t="str">
            <v>Travel, accommodation and subsistence</v>
          </cell>
        </row>
        <row r="20">
          <cell r="H20">
            <v>5.74</v>
          </cell>
          <cell r="I20" t="str">
            <v>Travel, accommodation and subsistence</v>
          </cell>
        </row>
        <row r="21">
          <cell r="H21">
            <v>14.34</v>
          </cell>
          <cell r="I21" t="str">
            <v>Travel, accommodation and subsistence</v>
          </cell>
        </row>
        <row r="22">
          <cell r="H22">
            <v>177.5</v>
          </cell>
          <cell r="I22" t="str">
            <v>Travel, accommodation and subsistence</v>
          </cell>
        </row>
        <row r="23">
          <cell r="H23">
            <v>0.99</v>
          </cell>
          <cell r="I23" t="str">
            <v>Travel, accommodation and subsistence</v>
          </cell>
        </row>
        <row r="24">
          <cell r="H24">
            <v>0.99</v>
          </cell>
          <cell r="I24" t="str">
            <v>Travel, accommodation and subsistence</v>
          </cell>
        </row>
        <row r="25">
          <cell r="H25">
            <v>4.4400000000000004</v>
          </cell>
          <cell r="I25" t="str">
            <v>Travel, accommodation and subsistence</v>
          </cell>
        </row>
        <row r="26">
          <cell r="H26">
            <v>2.42</v>
          </cell>
          <cell r="I26" t="str">
            <v>Travel, accommodation and subsistence</v>
          </cell>
        </row>
        <row r="27">
          <cell r="H27">
            <v>3.36</v>
          </cell>
          <cell r="I27" t="str">
            <v>Travel, accommodation and subsistence</v>
          </cell>
        </row>
        <row r="28">
          <cell r="H28">
            <v>72.34</v>
          </cell>
          <cell r="I28" t="str">
            <v>Travel, accommodation and subsistence</v>
          </cell>
        </row>
        <row r="29">
          <cell r="H29">
            <v>52.8</v>
          </cell>
          <cell r="I29" t="str">
            <v>Travel, accommodation and subsistence</v>
          </cell>
        </row>
        <row r="30">
          <cell r="H30">
            <v>11.22</v>
          </cell>
          <cell r="I30" t="str">
            <v>Travel, accommodation and subsistence</v>
          </cell>
        </row>
        <row r="31">
          <cell r="H31">
            <v>0.99</v>
          </cell>
          <cell r="I31" t="str">
            <v>Travel, accommodation and subsistence</v>
          </cell>
        </row>
        <row r="32">
          <cell r="H32">
            <v>0.99</v>
          </cell>
          <cell r="I32" t="str">
            <v>Travel, accommodation and subsistence</v>
          </cell>
        </row>
        <row r="33">
          <cell r="H33">
            <v>0.99</v>
          </cell>
          <cell r="I33" t="str">
            <v>Travel, accommodation and subsistence</v>
          </cell>
        </row>
        <row r="34">
          <cell r="H34">
            <v>2.15</v>
          </cell>
          <cell r="I34" t="str">
            <v>Travel, accommodation and subsistence</v>
          </cell>
        </row>
        <row r="35">
          <cell r="H35">
            <v>2.2400000000000002</v>
          </cell>
          <cell r="I35" t="str">
            <v>Travel, accommodation and subsistence</v>
          </cell>
        </row>
        <row r="36">
          <cell r="H36">
            <v>4.4000000000000004</v>
          </cell>
          <cell r="I36" t="str">
            <v>Travel, accommodation and subsistence</v>
          </cell>
        </row>
        <row r="37">
          <cell r="H37">
            <v>0.99</v>
          </cell>
          <cell r="I37" t="str">
            <v>Travel, accommodation and subsistence</v>
          </cell>
        </row>
        <row r="38">
          <cell r="H38">
            <v>0.99</v>
          </cell>
          <cell r="I38" t="str">
            <v>Travel, accommodation and subsistence</v>
          </cell>
        </row>
        <row r="39">
          <cell r="H39">
            <v>3.77</v>
          </cell>
          <cell r="I39" t="str">
            <v>Travel, accommodation and subsistence</v>
          </cell>
        </row>
        <row r="40">
          <cell r="H40">
            <v>3.05</v>
          </cell>
          <cell r="I40" t="str">
            <v>Travel, accommodation and subsistence</v>
          </cell>
        </row>
        <row r="41">
          <cell r="H41">
            <v>3.93</v>
          </cell>
          <cell r="I41" t="str">
            <v>Travel, accommodation and subsistence</v>
          </cell>
        </row>
        <row r="42">
          <cell r="H42">
            <v>0.99</v>
          </cell>
          <cell r="I42" t="str">
            <v>Travel, accommodation and subsistence</v>
          </cell>
        </row>
        <row r="43">
          <cell r="H43">
            <v>0.99</v>
          </cell>
          <cell r="I43" t="str">
            <v>Travel, accommodation and subsistence</v>
          </cell>
        </row>
        <row r="44">
          <cell r="H44">
            <v>2.06</v>
          </cell>
          <cell r="I44" t="str">
            <v>Travel, accommodation and subsistence</v>
          </cell>
        </row>
        <row r="45">
          <cell r="H45">
            <v>2.63</v>
          </cell>
          <cell r="I45" t="str">
            <v>Travel, accommodation and subsistence</v>
          </cell>
        </row>
        <row r="46">
          <cell r="H46">
            <v>3.37</v>
          </cell>
          <cell r="I46" t="str">
            <v>Travel, accommodation and subsistence</v>
          </cell>
        </row>
        <row r="47">
          <cell r="F47">
            <v>431.28000000000009</v>
          </cell>
          <cell r="G47">
            <v>12.66</v>
          </cell>
        </row>
      </sheetData>
      <sheetData sheetId="31">
        <row r="7">
          <cell r="H7">
            <v>7.8199999999999994</v>
          </cell>
          <cell r="I7" t="str">
            <v>Printing, postage and stationery</v>
          </cell>
        </row>
        <row r="8">
          <cell r="H8">
            <v>6.43</v>
          </cell>
          <cell r="I8" t="str">
            <v>Printing, postage and stationery</v>
          </cell>
        </row>
        <row r="9">
          <cell r="H9">
            <v>5.05</v>
          </cell>
          <cell r="I9" t="str">
            <v>Travel, accommodation and subsistence</v>
          </cell>
        </row>
        <row r="10">
          <cell r="H10">
            <v>11.24</v>
          </cell>
          <cell r="I10" t="str">
            <v>Travel, accommodation and subsistence</v>
          </cell>
        </row>
        <row r="11">
          <cell r="H11">
            <v>0.99</v>
          </cell>
          <cell r="I11" t="str">
            <v>Travel, accommodation and subsistence</v>
          </cell>
        </row>
        <row r="12">
          <cell r="H12">
            <v>5.87</v>
          </cell>
          <cell r="I12" t="str">
            <v>Travel, accommodation and subsistence</v>
          </cell>
        </row>
        <row r="13">
          <cell r="H13">
            <v>4.45</v>
          </cell>
          <cell r="I13" t="str">
            <v>Travel, accommodation and subsistence</v>
          </cell>
        </row>
        <row r="14">
          <cell r="H14">
            <v>0.99</v>
          </cell>
          <cell r="I14" t="str">
            <v>Travel, accommodation and subsistence</v>
          </cell>
        </row>
        <row r="15">
          <cell r="H15">
            <v>0.99</v>
          </cell>
          <cell r="I15" t="str">
            <v>Travel, accommodation and subsistence</v>
          </cell>
        </row>
        <row r="16">
          <cell r="H16">
            <v>2.88</v>
          </cell>
          <cell r="I16" t="str">
            <v>Travel, accommodation and subsistence</v>
          </cell>
        </row>
        <row r="17">
          <cell r="H17">
            <v>2.4500000000000002</v>
          </cell>
          <cell r="I17" t="str">
            <v>Travel, accommodation and subsistence</v>
          </cell>
        </row>
        <row r="18">
          <cell r="H18">
            <v>0.99</v>
          </cell>
          <cell r="I18" t="str">
            <v>Travel, accommodation and subsistence</v>
          </cell>
        </row>
        <row r="19">
          <cell r="H19">
            <v>0.99</v>
          </cell>
          <cell r="I19" t="str">
            <v>Travel, accommodation and subsistence</v>
          </cell>
        </row>
        <row r="20">
          <cell r="H20">
            <v>2.16</v>
          </cell>
          <cell r="I20" t="str">
            <v>Travel, accommodation and subsistence</v>
          </cell>
        </row>
        <row r="21">
          <cell r="H21">
            <v>2.83</v>
          </cell>
          <cell r="I21" t="str">
            <v>Travel, accommodation and subsistence</v>
          </cell>
        </row>
        <row r="22">
          <cell r="H22">
            <v>3.55</v>
          </cell>
          <cell r="I22" t="str">
            <v>Travel, accommodation and subsistence</v>
          </cell>
        </row>
        <row r="23">
          <cell r="H23">
            <v>133.54</v>
          </cell>
          <cell r="I23" t="str">
            <v>Travel, accommodation and subsistence</v>
          </cell>
        </row>
        <row r="24">
          <cell r="H24">
            <v>0.99</v>
          </cell>
          <cell r="I24" t="str">
            <v>Travel, accommodation and subsistence</v>
          </cell>
        </row>
        <row r="25">
          <cell r="H25">
            <v>0.99</v>
          </cell>
          <cell r="I25" t="str">
            <v>Travel, accommodation and subsistence</v>
          </cell>
        </row>
        <row r="26">
          <cell r="H26">
            <v>1.93</v>
          </cell>
          <cell r="I26" t="str">
            <v>Travel, accommodation and subsistence</v>
          </cell>
        </row>
        <row r="27">
          <cell r="H27">
            <v>3.37</v>
          </cell>
          <cell r="I27" t="str">
            <v>Travel, accommodation and subsistence</v>
          </cell>
        </row>
        <row r="28">
          <cell r="H28">
            <v>57.87</v>
          </cell>
          <cell r="I28" t="str">
            <v>Travel, accommodation and subsistence</v>
          </cell>
        </row>
        <row r="29">
          <cell r="H29">
            <v>53.6</v>
          </cell>
          <cell r="I29" t="str">
            <v>Motor Travel</v>
          </cell>
        </row>
        <row r="30">
          <cell r="H30">
            <v>1350.9399999999998</v>
          </cell>
          <cell r="I30" t="str">
            <v>Accountancy fees</v>
          </cell>
        </row>
        <row r="31">
          <cell r="H31">
            <v>411.25</v>
          </cell>
          <cell r="I31" t="str">
            <v>Sundry expenses</v>
          </cell>
        </row>
        <row r="32">
          <cell r="H32">
            <v>5.05</v>
          </cell>
          <cell r="I32" t="str">
            <v>Travel, accommodation and subsistence</v>
          </cell>
        </row>
        <row r="33">
          <cell r="H33">
            <v>11.39</v>
          </cell>
          <cell r="I33" t="str">
            <v>Travel, accommodation and subsistence</v>
          </cell>
        </row>
        <row r="34">
          <cell r="H34">
            <v>1</v>
          </cell>
          <cell r="I34" t="str">
            <v>Travel, accommodation and subsistence</v>
          </cell>
        </row>
        <row r="35">
          <cell r="H35">
            <v>4.53</v>
          </cell>
          <cell r="I35" t="str">
            <v>Travel, accommodation and subsistence</v>
          </cell>
        </row>
        <row r="36">
          <cell r="H36">
            <v>1</v>
          </cell>
          <cell r="I36" t="str">
            <v>Travel, accommodation and subsistence</v>
          </cell>
        </row>
        <row r="37">
          <cell r="H37">
            <v>2.1</v>
          </cell>
          <cell r="I37" t="str">
            <v>Travel, accommodation and subsistence</v>
          </cell>
        </row>
        <row r="38">
          <cell r="H38">
            <v>14.57</v>
          </cell>
          <cell r="I38" t="str">
            <v>Travel, accommodation and subsistence</v>
          </cell>
        </row>
        <row r="39">
          <cell r="H39">
            <v>1</v>
          </cell>
          <cell r="I39" t="str">
            <v>Travel, accommodation and subsistence</v>
          </cell>
        </row>
        <row r="40">
          <cell r="H40">
            <v>1</v>
          </cell>
          <cell r="I40" t="str">
            <v>Travel, accommodation and subsistence</v>
          </cell>
        </row>
        <row r="41">
          <cell r="H41">
            <v>6.31</v>
          </cell>
          <cell r="I41" t="str">
            <v>Travel, accommodation and subsistence</v>
          </cell>
        </row>
        <row r="42">
          <cell r="H42">
            <v>6.65</v>
          </cell>
          <cell r="I42" t="str">
            <v>Travel, accommodation and subsistence</v>
          </cell>
        </row>
        <row r="43">
          <cell r="H43">
            <v>1</v>
          </cell>
          <cell r="I43" t="str">
            <v>Travel, accommodation and subsistence</v>
          </cell>
        </row>
        <row r="44">
          <cell r="H44">
            <v>1</v>
          </cell>
          <cell r="I44" t="str">
            <v>Travel, accommodation and subsistence</v>
          </cell>
        </row>
        <row r="45">
          <cell r="H45">
            <v>5.01</v>
          </cell>
          <cell r="I45" t="str">
            <v>Travel, accommodation and subsistence</v>
          </cell>
        </row>
        <row r="46">
          <cell r="H46">
            <v>1.23</v>
          </cell>
          <cell r="I46" t="str">
            <v>Travel, accommodation and subsistence</v>
          </cell>
        </row>
        <row r="47">
          <cell r="F47">
            <v>2384.9100000000003</v>
          </cell>
          <cell r="G47">
            <v>247.91</v>
          </cell>
        </row>
      </sheetData>
      <sheetData sheetId="32">
        <row r="7">
          <cell r="H7">
            <v>8.5</v>
          </cell>
          <cell r="I7" t="str">
            <v>Telephone &amp; Internet</v>
          </cell>
        </row>
        <row r="8">
          <cell r="H8">
            <v>47.66</v>
          </cell>
          <cell r="I8" t="str">
            <v>Printing, postage and stationery</v>
          </cell>
        </row>
        <row r="9">
          <cell r="H9">
            <v>21.6</v>
          </cell>
          <cell r="I9" t="str">
            <v>Motor Travel</v>
          </cell>
        </row>
        <row r="10">
          <cell r="H10">
            <v>19.57</v>
          </cell>
          <cell r="I10" t="str">
            <v>Sundry expenses</v>
          </cell>
        </row>
        <row r="11">
          <cell r="H11">
            <v>346.4</v>
          </cell>
          <cell r="I11" t="str">
            <v>Travel, accommodation and subsistence</v>
          </cell>
        </row>
        <row r="12">
          <cell r="H12">
            <v>8.3000000000000007</v>
          </cell>
          <cell r="I12" t="str">
            <v>Telephone &amp; Internet</v>
          </cell>
        </row>
        <row r="13">
          <cell r="H13">
            <v>22</v>
          </cell>
          <cell r="I13" t="str">
            <v>Motor Travel</v>
          </cell>
        </row>
        <row r="14">
          <cell r="H14">
            <v>21.6</v>
          </cell>
          <cell r="I14" t="str">
            <v>Motor Travel</v>
          </cell>
        </row>
        <row r="15">
          <cell r="H15">
            <v>22.8</v>
          </cell>
          <cell r="I15" t="str">
            <v>Motor Travel</v>
          </cell>
        </row>
        <row r="16">
          <cell r="H16">
            <v>22</v>
          </cell>
          <cell r="I16" t="str">
            <v>Motor Travel</v>
          </cell>
        </row>
        <row r="17">
          <cell r="H17">
            <v>76.5</v>
          </cell>
          <cell r="I17" t="str">
            <v>Entertaining</v>
          </cell>
        </row>
        <row r="18">
          <cell r="H18">
            <v>35.200000000000003</v>
          </cell>
          <cell r="I18" t="str">
            <v>Travel, accommodation and subsistence</v>
          </cell>
        </row>
        <row r="19">
          <cell r="H19">
            <v>285.31</v>
          </cell>
          <cell r="I19" t="str">
            <v>Travel, accommodation and subsistence</v>
          </cell>
        </row>
        <row r="20">
          <cell r="H20">
            <v>10.88</v>
          </cell>
          <cell r="I20" t="str">
            <v>Travel, accommodation and subsistence</v>
          </cell>
        </row>
        <row r="21">
          <cell r="H21">
            <v>57.87</v>
          </cell>
          <cell r="I21" t="str">
            <v>Travel, accommodation and subsistence</v>
          </cell>
        </row>
        <row r="22">
          <cell r="H22">
            <v>52.4</v>
          </cell>
          <cell r="I22" t="str">
            <v>Travel, accommodation and subsistence</v>
          </cell>
        </row>
        <row r="23">
          <cell r="H23">
            <v>18.48</v>
          </cell>
          <cell r="I23" t="str">
            <v>Telephone &amp; Internet</v>
          </cell>
        </row>
        <row r="24">
          <cell r="H24">
            <v>136.32</v>
          </cell>
          <cell r="I24" t="str">
            <v>Telephone &amp; Internet</v>
          </cell>
        </row>
        <row r="25">
          <cell r="H25">
            <v>0</v>
          </cell>
          <cell r="I25" t="str">
            <v>Travel, accommodation and subsistence</v>
          </cell>
        </row>
        <row r="26">
          <cell r="H26">
            <v>0</v>
          </cell>
          <cell r="I26" t="str">
            <v>Travel, accommodation and subsistence</v>
          </cell>
        </row>
        <row r="27">
          <cell r="H27">
            <v>0</v>
          </cell>
          <cell r="I27" t="str">
            <v>Travel, accommodation and subsistence</v>
          </cell>
        </row>
        <row r="28">
          <cell r="H28">
            <v>0</v>
          </cell>
          <cell r="I28" t="str">
            <v>Motor Travel</v>
          </cell>
        </row>
        <row r="29">
          <cell r="H29">
            <v>0</v>
          </cell>
          <cell r="I29" t="str">
            <v>Telephone &amp; Internet</v>
          </cell>
        </row>
        <row r="30">
          <cell r="H30">
            <v>0</v>
          </cell>
          <cell r="I30" t="str">
            <v>Motor Travel</v>
          </cell>
        </row>
        <row r="31">
          <cell r="H31">
            <v>0</v>
          </cell>
          <cell r="I31" t="str">
            <v>Motor Travel</v>
          </cell>
        </row>
        <row r="32">
          <cell r="H32">
            <v>0</v>
          </cell>
          <cell r="I32" t="str">
            <v>Travel, accommodation and subsistence</v>
          </cell>
        </row>
        <row r="33">
          <cell r="H33">
            <v>0</v>
          </cell>
          <cell r="I33" t="str">
            <v>Travel, accommodation and subsistence</v>
          </cell>
        </row>
        <row r="34">
          <cell r="H34">
            <v>0</v>
          </cell>
          <cell r="I34" t="str">
            <v>Travel, accommodation and subsistence</v>
          </cell>
        </row>
        <row r="35">
          <cell r="H35">
            <v>0</v>
          </cell>
          <cell r="I35" t="str">
            <v>Travel, accommodation and subsistence</v>
          </cell>
        </row>
        <row r="36">
          <cell r="H36">
            <v>0</v>
          </cell>
          <cell r="I36" t="str">
            <v>Travel, accommodation and subsistence</v>
          </cell>
        </row>
        <row r="37">
          <cell r="H37">
            <v>0</v>
          </cell>
          <cell r="I37" t="str">
            <v>Travel, accommodation and subsistence</v>
          </cell>
        </row>
        <row r="38">
          <cell r="H38">
            <v>0</v>
          </cell>
          <cell r="I38" t="str">
            <v>Travel, accommodation and subsistence</v>
          </cell>
        </row>
        <row r="39">
          <cell r="H39">
            <v>0</v>
          </cell>
          <cell r="I39" t="str">
            <v>Travel, accommodation and subsistence</v>
          </cell>
        </row>
        <row r="40">
          <cell r="H40">
            <v>0</v>
          </cell>
          <cell r="I40" t="str">
            <v>Travel, accommodation and subsistence</v>
          </cell>
        </row>
        <row r="41">
          <cell r="H41">
            <v>0</v>
          </cell>
          <cell r="I41" t="str">
            <v>Travel, accommodation and subsistence</v>
          </cell>
        </row>
        <row r="42">
          <cell r="H42">
            <v>0</v>
          </cell>
          <cell r="I42" t="str">
            <v>Motor Travel</v>
          </cell>
        </row>
        <row r="43">
          <cell r="H43">
            <v>0</v>
          </cell>
          <cell r="I43" t="str">
            <v>Travel, accommodation and subsistence</v>
          </cell>
        </row>
        <row r="44">
          <cell r="H44">
            <v>0</v>
          </cell>
          <cell r="I44" t="str">
            <v>Motor Travel</v>
          </cell>
        </row>
        <row r="45">
          <cell r="H45">
            <v>0</v>
          </cell>
          <cell r="I45" t="str">
            <v>Travel, accommodation and subsistence</v>
          </cell>
        </row>
        <row r="46">
          <cell r="H46">
            <v>0</v>
          </cell>
          <cell r="I46" t="str">
            <v>Travel, accommodation and subsistence</v>
          </cell>
        </row>
        <row r="47">
          <cell r="F47">
            <v>1241.4600000000003</v>
          </cell>
          <cell r="G47">
            <v>28.07</v>
          </cell>
        </row>
      </sheetData>
      <sheetData sheetId="33">
        <row r="7">
          <cell r="H7">
            <v>21.6</v>
          </cell>
          <cell r="I7" t="str">
            <v>Motor Travel</v>
          </cell>
        </row>
        <row r="8">
          <cell r="H8">
            <v>21.6</v>
          </cell>
          <cell r="I8" t="str">
            <v>Motor Travel</v>
          </cell>
        </row>
        <row r="9">
          <cell r="H9">
            <v>186.4</v>
          </cell>
          <cell r="I9" t="str">
            <v>Travel, accommodation and subsistence</v>
          </cell>
        </row>
        <row r="10">
          <cell r="H10">
            <v>21.6</v>
          </cell>
          <cell r="I10" t="str">
            <v>Motor Travel</v>
          </cell>
        </row>
        <row r="11">
          <cell r="H11">
            <v>22</v>
          </cell>
          <cell r="I11" t="str">
            <v>Motor Travel</v>
          </cell>
        </row>
        <row r="12">
          <cell r="H12">
            <v>38.89</v>
          </cell>
          <cell r="I12" t="str">
            <v>Travel, accommodation and subsistence</v>
          </cell>
        </row>
        <row r="13">
          <cell r="H13">
            <v>13.58</v>
          </cell>
          <cell r="I13" t="str">
            <v>Entertaining</v>
          </cell>
        </row>
        <row r="14">
          <cell r="H14">
            <v>31.82</v>
          </cell>
          <cell r="I14" t="str">
            <v>Travel, accommodation and subsistence</v>
          </cell>
        </row>
        <row r="15">
          <cell r="H15">
            <v>407.29</v>
          </cell>
          <cell r="I15" t="str">
            <v>Travel, accommodation and subsistence</v>
          </cell>
        </row>
        <row r="16">
          <cell r="H16">
            <v>20.51</v>
          </cell>
          <cell r="I16" t="str">
            <v>Travel, accommodation and subsistence</v>
          </cell>
        </row>
        <row r="17">
          <cell r="H17">
            <v>31.82</v>
          </cell>
          <cell r="I17" t="str">
            <v>Travel, accommodation and subsistence</v>
          </cell>
        </row>
        <row r="18">
          <cell r="H18">
            <v>21.21</v>
          </cell>
          <cell r="I18" t="str">
            <v>Travel, accommodation and subsistence</v>
          </cell>
        </row>
        <row r="19">
          <cell r="H19">
            <v>12.02</v>
          </cell>
          <cell r="I19" t="str">
            <v>Travel, accommodation and subsistence</v>
          </cell>
        </row>
        <row r="20">
          <cell r="H20">
            <v>74.25</v>
          </cell>
          <cell r="I20" t="str">
            <v>Travel, accommodation and subsistence</v>
          </cell>
        </row>
        <row r="21">
          <cell r="H21">
            <v>12.52</v>
          </cell>
          <cell r="I21" t="str">
            <v>Entertaining</v>
          </cell>
        </row>
        <row r="22">
          <cell r="H22">
            <v>531.03</v>
          </cell>
          <cell r="I22" t="str">
            <v>Travel, accommodation and subsistence</v>
          </cell>
        </row>
        <row r="23">
          <cell r="H23">
            <v>21.21</v>
          </cell>
          <cell r="I23" t="str">
            <v>Travel, accommodation and subsistence</v>
          </cell>
        </row>
        <row r="24">
          <cell r="H24">
            <v>8.5</v>
          </cell>
          <cell r="I24" t="str">
            <v>Telephone &amp; Internet</v>
          </cell>
        </row>
        <row r="25">
          <cell r="H25">
            <v>9.8699999999999992</v>
          </cell>
          <cell r="I25" t="str">
            <v>Telephone &amp; Internet</v>
          </cell>
        </row>
        <row r="26">
          <cell r="H26">
            <v>54.830000000000005</v>
          </cell>
          <cell r="I26" t="str">
            <v>Telephone &amp; Internet</v>
          </cell>
        </row>
        <row r="27">
          <cell r="H27">
            <v>67.34</v>
          </cell>
          <cell r="I27" t="str">
            <v>Travel, accommodation and subsistence</v>
          </cell>
        </row>
        <row r="28">
          <cell r="H28">
            <v>15.2</v>
          </cell>
          <cell r="I28" t="str">
            <v>Motor Travel</v>
          </cell>
        </row>
        <row r="29">
          <cell r="H29">
            <v>52.74</v>
          </cell>
          <cell r="I29" t="str">
            <v>Travel, accommodation and subsistence</v>
          </cell>
        </row>
        <row r="30">
          <cell r="H30">
            <v>0</v>
          </cell>
          <cell r="I30" t="str">
            <v>Travel, accommodation and subsistence</v>
          </cell>
        </row>
        <row r="31">
          <cell r="H31">
            <v>0</v>
          </cell>
          <cell r="I31" t="str">
            <v>Telephone &amp; Internet</v>
          </cell>
        </row>
        <row r="32">
          <cell r="H32">
            <v>0</v>
          </cell>
          <cell r="I32" t="str">
            <v>Telephone &amp; Internet</v>
          </cell>
        </row>
        <row r="33">
          <cell r="H33">
            <v>0</v>
          </cell>
          <cell r="I33" t="str">
            <v>Software &amp; IT Consumables</v>
          </cell>
        </row>
        <row r="34">
          <cell r="H34">
            <v>0</v>
          </cell>
          <cell r="I34" t="str">
            <v>Telephone &amp; Internet</v>
          </cell>
        </row>
        <row r="35">
          <cell r="H35">
            <v>0</v>
          </cell>
          <cell r="I35" t="str">
            <v>Telephone &amp; Internet</v>
          </cell>
        </row>
        <row r="36">
          <cell r="H36">
            <v>0</v>
          </cell>
          <cell r="I36" t="str">
            <v>Telephone &amp; Internet</v>
          </cell>
        </row>
        <row r="37">
          <cell r="H37">
            <v>0</v>
          </cell>
          <cell r="I37" t="str">
            <v>Printing, postage and stationery</v>
          </cell>
        </row>
        <row r="38">
          <cell r="H38">
            <v>0</v>
          </cell>
          <cell r="I38" t="str">
            <v>Travel, accommodation and subsistence</v>
          </cell>
        </row>
        <row r="39">
          <cell r="H39">
            <v>0</v>
          </cell>
          <cell r="I39" t="str">
            <v>Travel, accommodation and subsistence</v>
          </cell>
        </row>
        <row r="40">
          <cell r="H40">
            <v>0</v>
          </cell>
          <cell r="I40" t="str">
            <v>Travel, accommodation and subsistence</v>
          </cell>
        </row>
        <row r="41">
          <cell r="H41">
            <v>0</v>
          </cell>
          <cell r="I41" t="str">
            <v>Travel, accommodation and subsistence</v>
          </cell>
        </row>
        <row r="42">
          <cell r="H42">
            <v>0</v>
          </cell>
          <cell r="I42" t="str">
            <v>Motor Travel</v>
          </cell>
        </row>
        <row r="43">
          <cell r="H43">
            <v>0</v>
          </cell>
          <cell r="I43" t="str">
            <v>Travel, accommodation and subsistence</v>
          </cell>
        </row>
        <row r="44">
          <cell r="H44">
            <v>0</v>
          </cell>
          <cell r="I44" t="str">
            <v>Motor Travel</v>
          </cell>
        </row>
        <row r="45">
          <cell r="H45">
            <v>0</v>
          </cell>
          <cell r="I45" t="str">
            <v>Travel, accommodation and subsistence</v>
          </cell>
        </row>
        <row r="46">
          <cell r="H46">
            <v>0</v>
          </cell>
          <cell r="I46" t="str">
            <v>Travel, accommodation and subsistence</v>
          </cell>
        </row>
        <row r="47">
          <cell r="F47">
            <v>1710.6499999999999</v>
          </cell>
          <cell r="G47">
            <v>12.82</v>
          </cell>
        </row>
      </sheetData>
      <sheetData sheetId="34">
        <row r="7">
          <cell r="H7">
            <v>202.51</v>
          </cell>
          <cell r="I7" t="str">
            <v>Travel, accommodation and subsistence</v>
          </cell>
        </row>
        <row r="8">
          <cell r="H8">
            <v>52.74</v>
          </cell>
          <cell r="I8" t="str">
            <v>Travel, accommodation and subsistence</v>
          </cell>
        </row>
        <row r="9">
          <cell r="H9">
            <v>45.96</v>
          </cell>
          <cell r="I9" t="str">
            <v>Travel, accommodation and subsistence</v>
          </cell>
        </row>
        <row r="10">
          <cell r="H10">
            <v>16</v>
          </cell>
          <cell r="I10" t="str">
            <v>Motor Travel</v>
          </cell>
        </row>
        <row r="11">
          <cell r="H11">
            <v>1235</v>
          </cell>
          <cell r="I11" t="str">
            <v>Travel, accommodation and subsistence</v>
          </cell>
        </row>
        <row r="12">
          <cell r="H12">
            <v>247.36</v>
          </cell>
          <cell r="I12" t="str">
            <v>Travel, accommodation and subsistence</v>
          </cell>
        </row>
        <row r="13">
          <cell r="H13">
            <v>3.95</v>
          </cell>
          <cell r="I13" t="str">
            <v>Travel, accommodation and subsistence</v>
          </cell>
        </row>
        <row r="14">
          <cell r="H14">
            <v>6.4</v>
          </cell>
          <cell r="I14" t="str">
            <v>Travel, accommodation and subsistence</v>
          </cell>
        </row>
        <row r="15">
          <cell r="H15">
            <v>21.96</v>
          </cell>
          <cell r="I15" t="str">
            <v>Entertaining</v>
          </cell>
        </row>
        <row r="16">
          <cell r="H16">
            <v>52</v>
          </cell>
          <cell r="I16" t="str">
            <v>Entertaining</v>
          </cell>
        </row>
        <row r="17">
          <cell r="H17">
            <v>17.34</v>
          </cell>
          <cell r="I17" t="str">
            <v>Travel, accommodation and subsistence</v>
          </cell>
        </row>
        <row r="18">
          <cell r="H18">
            <v>359.29</v>
          </cell>
          <cell r="I18" t="str">
            <v>Travel, accommodation and subsistence</v>
          </cell>
        </row>
        <row r="19">
          <cell r="H19">
            <v>15.2</v>
          </cell>
          <cell r="I19" t="str">
            <v>Motor Travel</v>
          </cell>
        </row>
        <row r="20">
          <cell r="H20">
            <v>52.57</v>
          </cell>
          <cell r="I20" t="str">
            <v>Travel, accommodation and subsistence</v>
          </cell>
        </row>
        <row r="21">
          <cell r="H21">
            <v>11.21</v>
          </cell>
          <cell r="I21" t="str">
            <v>Travel, accommodation and subsistence</v>
          </cell>
        </row>
        <row r="22">
          <cell r="H22">
            <v>167.28</v>
          </cell>
          <cell r="I22" t="str">
            <v>Travel, accommodation and subsistence</v>
          </cell>
        </row>
        <row r="23">
          <cell r="H23">
            <v>8.41</v>
          </cell>
          <cell r="I23" t="str">
            <v>Travel, accommodation and subsistence</v>
          </cell>
        </row>
        <row r="24">
          <cell r="H24">
            <v>8.41</v>
          </cell>
          <cell r="I24" t="str">
            <v>Travel, accommodation and subsistence</v>
          </cell>
        </row>
        <row r="25">
          <cell r="H25">
            <v>438.35</v>
          </cell>
          <cell r="I25" t="str">
            <v>Travel, accommodation and subsistence</v>
          </cell>
        </row>
        <row r="26">
          <cell r="H26">
            <v>52.57</v>
          </cell>
          <cell r="I26" t="str">
            <v>Travel, accommodation and subsistence</v>
          </cell>
        </row>
        <row r="27">
          <cell r="H27">
            <v>76.599999999999994</v>
          </cell>
          <cell r="I27" t="str">
            <v>Travel, accommodation and subsistence</v>
          </cell>
        </row>
        <row r="28">
          <cell r="H28">
            <v>16</v>
          </cell>
          <cell r="I28" t="str">
            <v>Motor Travel</v>
          </cell>
        </row>
        <row r="29">
          <cell r="H29">
            <v>8.5</v>
          </cell>
          <cell r="I29" t="str">
            <v>Telephone &amp; Internet</v>
          </cell>
        </row>
        <row r="30">
          <cell r="H30">
            <v>58.8</v>
          </cell>
          <cell r="I30" t="str">
            <v>Motor Travel</v>
          </cell>
        </row>
        <row r="31">
          <cell r="H31">
            <v>15.2</v>
          </cell>
          <cell r="I31" t="str">
            <v>Motor Travel</v>
          </cell>
        </row>
        <row r="32">
          <cell r="H32">
            <v>52.37</v>
          </cell>
          <cell r="I32" t="str">
            <v>Travel, accommodation and subsistence</v>
          </cell>
        </row>
        <row r="33">
          <cell r="H33">
            <v>12.57</v>
          </cell>
          <cell r="I33" t="str">
            <v>Travel, accommodation and subsistence</v>
          </cell>
        </row>
        <row r="34">
          <cell r="H34">
            <v>13.97</v>
          </cell>
          <cell r="I34" t="str">
            <v>Travel, accommodation and subsistence</v>
          </cell>
        </row>
        <row r="35">
          <cell r="H35">
            <v>3.94</v>
          </cell>
          <cell r="I35" t="str">
            <v>Travel, accommodation and subsistence</v>
          </cell>
        </row>
        <row r="36">
          <cell r="H36">
            <v>12.57</v>
          </cell>
          <cell r="I36" t="str">
            <v>Travel, accommodation and subsistence</v>
          </cell>
        </row>
        <row r="37">
          <cell r="H37">
            <v>3.02</v>
          </cell>
          <cell r="I37" t="str">
            <v>Travel, accommodation and subsistence</v>
          </cell>
        </row>
        <row r="38">
          <cell r="H38">
            <v>5.52</v>
          </cell>
          <cell r="I38" t="str">
            <v>Travel, accommodation and subsistence</v>
          </cell>
        </row>
        <row r="39">
          <cell r="H39">
            <v>402.23</v>
          </cell>
          <cell r="I39" t="str">
            <v>Travel, accommodation and subsistence</v>
          </cell>
        </row>
        <row r="40">
          <cell r="H40">
            <v>52.37</v>
          </cell>
          <cell r="I40" t="str">
            <v>Travel, accommodation and subsistence</v>
          </cell>
        </row>
        <row r="41">
          <cell r="H41">
            <v>76.599999999999994</v>
          </cell>
          <cell r="I41" t="str">
            <v>Travel, accommodation and subsistence</v>
          </cell>
        </row>
        <row r="42">
          <cell r="H42">
            <v>16</v>
          </cell>
          <cell r="I42" t="str">
            <v>Motor Travel</v>
          </cell>
        </row>
        <row r="43">
          <cell r="H43">
            <v>57.28</v>
          </cell>
          <cell r="I43" t="str">
            <v>Travel, accommodation and subsistence</v>
          </cell>
        </row>
        <row r="44">
          <cell r="H44">
            <v>15.2</v>
          </cell>
          <cell r="I44" t="str">
            <v>Motor Travel</v>
          </cell>
        </row>
        <row r="45">
          <cell r="H45">
            <v>53.11</v>
          </cell>
          <cell r="I45" t="str">
            <v>Travel, accommodation and subsistence</v>
          </cell>
        </row>
        <row r="46">
          <cell r="H46">
            <v>5.08</v>
          </cell>
          <cell r="I46" t="str">
            <v>Travel, accommodation and subsistence</v>
          </cell>
        </row>
        <row r="47">
          <cell r="F47">
            <v>4007.77</v>
          </cell>
          <cell r="G47">
            <v>36.33</v>
          </cell>
        </row>
      </sheetData>
      <sheetData sheetId="35">
        <row r="7">
          <cell r="H7">
            <v>47.24</v>
          </cell>
          <cell r="I7" t="str">
            <v>Travel, accommodation and subsistence</v>
          </cell>
        </row>
        <row r="8">
          <cell r="H8">
            <v>7.8</v>
          </cell>
          <cell r="I8" t="str">
            <v>Travel, accommodation and subsistence</v>
          </cell>
        </row>
        <row r="9">
          <cell r="H9">
            <v>534.32000000000005</v>
          </cell>
          <cell r="I9" t="str">
            <v>Software &amp; IT Consumables</v>
          </cell>
        </row>
        <row r="10">
          <cell r="H10">
            <v>11</v>
          </cell>
          <cell r="I10" t="str">
            <v>Sundry expenses</v>
          </cell>
        </row>
        <row r="11">
          <cell r="H11">
            <v>53.15</v>
          </cell>
          <cell r="I11" t="str">
            <v>Travel, accommodation and subsistence</v>
          </cell>
        </row>
        <row r="12">
          <cell r="H12">
            <v>3.1</v>
          </cell>
          <cell r="I12" t="str">
            <v>Travel, accommodation and subsistence</v>
          </cell>
        </row>
        <row r="13">
          <cell r="H13">
            <v>4.96</v>
          </cell>
          <cell r="I13" t="str">
            <v>Travel, accommodation and subsistence</v>
          </cell>
        </row>
        <row r="14">
          <cell r="H14">
            <v>5.32</v>
          </cell>
          <cell r="I14" t="str">
            <v>Travel, accommodation and subsistence</v>
          </cell>
        </row>
        <row r="15">
          <cell r="H15">
            <v>2.72</v>
          </cell>
          <cell r="I15" t="str">
            <v>Travel, accommodation and subsistence</v>
          </cell>
        </row>
        <row r="16">
          <cell r="H16">
            <v>2.91</v>
          </cell>
          <cell r="I16" t="str">
            <v>Travel, accommodation and subsistence</v>
          </cell>
        </row>
        <row r="17">
          <cell r="H17">
            <v>12.05</v>
          </cell>
          <cell r="I17" t="str">
            <v>Travel, accommodation and subsistence</v>
          </cell>
        </row>
        <row r="18">
          <cell r="H18">
            <v>5.67</v>
          </cell>
          <cell r="I18" t="str">
            <v>Travel, accommodation and subsistence</v>
          </cell>
        </row>
        <row r="19">
          <cell r="H19">
            <v>2.98</v>
          </cell>
          <cell r="I19" t="str">
            <v>Travel, accommodation and subsistence</v>
          </cell>
        </row>
        <row r="20">
          <cell r="H20">
            <v>924.95</v>
          </cell>
          <cell r="I20" t="str">
            <v>Travel, accommodation and subsistence</v>
          </cell>
        </row>
        <row r="21">
          <cell r="H21">
            <v>53.15</v>
          </cell>
          <cell r="I21" t="str">
            <v>Travel, accommodation and subsistence</v>
          </cell>
        </row>
        <row r="22">
          <cell r="H22">
            <v>3.54</v>
          </cell>
          <cell r="I22" t="str">
            <v>Travel, accommodation and subsistence</v>
          </cell>
        </row>
        <row r="23">
          <cell r="H23">
            <v>8.5</v>
          </cell>
          <cell r="I23" t="str">
            <v>Telephone &amp; Internet</v>
          </cell>
        </row>
        <row r="24">
          <cell r="H24">
            <v>829</v>
          </cell>
          <cell r="I24" t="str">
            <v>Purchase of fixed assets</v>
          </cell>
        </row>
        <row r="25">
          <cell r="H25">
            <v>34.950000000000003</v>
          </cell>
          <cell r="I25" t="str">
            <v>Purchase of fixed assets</v>
          </cell>
        </row>
        <row r="26">
          <cell r="H26">
            <v>169.36</v>
          </cell>
          <cell r="I26" t="str">
            <v>Software &amp; IT Consumables</v>
          </cell>
        </row>
        <row r="27">
          <cell r="H27">
            <v>9.43</v>
          </cell>
          <cell r="I27" t="str">
            <v>Sundry expenses</v>
          </cell>
        </row>
        <row r="28">
          <cell r="H28">
            <v>14.95</v>
          </cell>
          <cell r="I28" t="str">
            <v>Sundry expenses</v>
          </cell>
        </row>
        <row r="29">
          <cell r="H29">
            <v>56.99</v>
          </cell>
          <cell r="I29" t="str">
            <v>Travel, accommodation and subsistence</v>
          </cell>
        </row>
        <row r="30">
          <cell r="H30">
            <v>64.47</v>
          </cell>
          <cell r="I30" t="str">
            <v>Travel, accommodation and subsistence</v>
          </cell>
        </row>
        <row r="31">
          <cell r="H31">
            <v>50</v>
          </cell>
          <cell r="I31" t="str">
            <v>Telephone &amp; Internet</v>
          </cell>
        </row>
        <row r="32">
          <cell r="H32">
            <v>18.709999999999997</v>
          </cell>
          <cell r="I32" t="str">
            <v>Telephone &amp; Internet</v>
          </cell>
        </row>
        <row r="33">
          <cell r="H33">
            <v>59.56</v>
          </cell>
          <cell r="I33" t="str">
            <v>Software &amp; IT Consumables</v>
          </cell>
        </row>
        <row r="34">
          <cell r="H34">
            <v>102.39</v>
          </cell>
          <cell r="I34" t="str">
            <v>Telephone &amp; Internet</v>
          </cell>
        </row>
        <row r="35">
          <cell r="H35">
            <v>58.7</v>
          </cell>
          <cell r="I35" t="str">
            <v>Telephone &amp; Internet</v>
          </cell>
        </row>
        <row r="36">
          <cell r="H36">
            <v>76.55</v>
          </cell>
          <cell r="I36" t="str">
            <v>Telephone &amp; Internet</v>
          </cell>
        </row>
        <row r="37">
          <cell r="H37">
            <v>6.12</v>
          </cell>
          <cell r="I37" t="str">
            <v>Printing, postage and stationery</v>
          </cell>
        </row>
        <row r="38">
          <cell r="H38">
            <v>6</v>
          </cell>
          <cell r="I38" t="str">
            <v>Travel, accommodation and subsistence</v>
          </cell>
        </row>
        <row r="39">
          <cell r="H39">
            <v>6.94</v>
          </cell>
          <cell r="I39" t="str">
            <v>Travel, accommodation and subsistence</v>
          </cell>
        </row>
        <row r="40">
          <cell r="H40">
            <v>100.14</v>
          </cell>
          <cell r="I40" t="str">
            <v>Travel, accommodation and subsistence</v>
          </cell>
        </row>
        <row r="41">
          <cell r="H41">
            <v>14.54</v>
          </cell>
          <cell r="I41" t="str">
            <v>Travel, accommodation and subsistence</v>
          </cell>
        </row>
        <row r="42">
          <cell r="H42">
            <v>0</v>
          </cell>
          <cell r="I42" t="str">
            <v>Motor Travel</v>
          </cell>
        </row>
        <row r="43">
          <cell r="H43">
            <v>0</v>
          </cell>
          <cell r="I43" t="str">
            <v>Travel, accommodation and subsistence</v>
          </cell>
        </row>
        <row r="44">
          <cell r="H44">
            <v>0</v>
          </cell>
          <cell r="I44" t="str">
            <v>Motor Travel</v>
          </cell>
        </row>
        <row r="45">
          <cell r="H45">
            <v>0</v>
          </cell>
          <cell r="I45" t="str">
            <v>Travel, accommodation and subsistence</v>
          </cell>
        </row>
        <row r="46">
          <cell r="H46">
            <v>0</v>
          </cell>
          <cell r="I46" t="str">
            <v>Travel, accommodation and subsistence</v>
          </cell>
        </row>
        <row r="47">
          <cell r="F47">
            <v>3699.0199999999991</v>
          </cell>
          <cell r="G47">
            <v>336.85999999999996</v>
          </cell>
        </row>
      </sheetData>
      <sheetData sheetId="36">
        <row r="7">
          <cell r="H7">
            <v>2.85</v>
          </cell>
          <cell r="I7" t="str">
            <v>Travel, accommodation and subsistence</v>
          </cell>
        </row>
        <row r="8">
          <cell r="H8">
            <v>12.83</v>
          </cell>
          <cell r="I8" t="str">
            <v>Travel, accommodation and subsistence</v>
          </cell>
        </row>
        <row r="9">
          <cell r="H9">
            <v>4.6399999999999997</v>
          </cell>
          <cell r="I9" t="str">
            <v>Travel, accommodation and subsistence</v>
          </cell>
        </row>
        <row r="10">
          <cell r="H10">
            <v>14.44</v>
          </cell>
          <cell r="I10" t="str">
            <v>Travel, accommodation and subsistence</v>
          </cell>
        </row>
        <row r="11">
          <cell r="H11">
            <v>346.17</v>
          </cell>
          <cell r="I11" t="str">
            <v>Travel, accommodation and subsistence</v>
          </cell>
        </row>
        <row r="12">
          <cell r="H12">
            <v>12.12</v>
          </cell>
          <cell r="I12" t="str">
            <v>Travel, accommodation and subsistence</v>
          </cell>
        </row>
        <row r="13">
          <cell r="H13">
            <v>3.29</v>
          </cell>
          <cell r="I13" t="str">
            <v>Travel, accommodation and subsistence</v>
          </cell>
        </row>
        <row r="14">
          <cell r="H14">
            <v>53.48</v>
          </cell>
          <cell r="I14" t="str">
            <v>Travel, accommodation and subsistence</v>
          </cell>
        </row>
        <row r="15">
          <cell r="H15">
            <v>3.57</v>
          </cell>
          <cell r="I15" t="str">
            <v>Travel, accommodation and subsistence</v>
          </cell>
        </row>
        <row r="16">
          <cell r="H16">
            <v>50</v>
          </cell>
          <cell r="I16" t="str">
            <v>Travel, accommodation and subsistence</v>
          </cell>
        </row>
        <row r="17">
          <cell r="H17">
            <v>144.97999999999999</v>
          </cell>
          <cell r="I17" t="str">
            <v>Travel, accommodation and subsistence</v>
          </cell>
        </row>
        <row r="18">
          <cell r="H18">
            <v>4.24</v>
          </cell>
          <cell r="I18" t="str">
            <v>Travel, accommodation and subsistence</v>
          </cell>
        </row>
        <row r="19">
          <cell r="H19">
            <v>2.38</v>
          </cell>
          <cell r="I19" t="str">
            <v>Travel, accommodation and subsistence</v>
          </cell>
        </row>
        <row r="20">
          <cell r="H20">
            <v>33.299999999999997</v>
          </cell>
          <cell r="I20" t="str">
            <v>Travel, accommodation and subsistence</v>
          </cell>
        </row>
        <row r="21">
          <cell r="H21">
            <v>21.41</v>
          </cell>
          <cell r="I21" t="str">
            <v>Travel, accommodation and subsistence</v>
          </cell>
        </row>
        <row r="22">
          <cell r="H22">
            <v>177.63</v>
          </cell>
          <cell r="I22" t="str">
            <v>Travel, accommodation and subsistence</v>
          </cell>
        </row>
        <row r="23">
          <cell r="H23">
            <v>35.68</v>
          </cell>
          <cell r="I23" t="str">
            <v>Travel, accommodation and subsistence</v>
          </cell>
        </row>
        <row r="24">
          <cell r="H24">
            <v>3.33</v>
          </cell>
          <cell r="I24" t="str">
            <v>Travel, accommodation and subsistence</v>
          </cell>
        </row>
        <row r="25">
          <cell r="H25">
            <v>44.68</v>
          </cell>
          <cell r="I25" t="str">
            <v>Travel, accommodation and subsistence</v>
          </cell>
        </row>
        <row r="26">
          <cell r="H26">
            <v>44.4</v>
          </cell>
          <cell r="I26" t="str">
            <v>Motor Travel</v>
          </cell>
        </row>
        <row r="27">
          <cell r="H27">
            <v>167.56</v>
          </cell>
          <cell r="I27" t="str">
            <v>Travel, accommodation and subsistence</v>
          </cell>
        </row>
        <row r="28">
          <cell r="H28">
            <v>18.709999999999997</v>
          </cell>
          <cell r="I28" t="str">
            <v>Telephone &amp; Internet</v>
          </cell>
        </row>
        <row r="29">
          <cell r="H29">
            <v>84.26</v>
          </cell>
          <cell r="I29" t="str">
            <v>Sundry expenses</v>
          </cell>
        </row>
        <row r="30">
          <cell r="H30">
            <v>414.5</v>
          </cell>
          <cell r="I30" t="str">
            <v>Travel, accommodation and subsistence</v>
          </cell>
        </row>
        <row r="31">
          <cell r="H31">
            <v>53.81</v>
          </cell>
          <cell r="I31" t="str">
            <v>Travel, accommodation and subsistence</v>
          </cell>
        </row>
        <row r="32">
          <cell r="H32">
            <v>3.16</v>
          </cell>
          <cell r="I32" t="str">
            <v>Travel, accommodation and subsistence</v>
          </cell>
        </row>
        <row r="33">
          <cell r="H33">
            <v>2.2400000000000002</v>
          </cell>
          <cell r="I33" t="str">
            <v>Travel, accommodation and subsistence</v>
          </cell>
        </row>
        <row r="34">
          <cell r="H34">
            <v>212</v>
          </cell>
          <cell r="I34" t="str">
            <v>Travel, accommodation and subsistence</v>
          </cell>
        </row>
        <row r="35">
          <cell r="H35">
            <v>20.8</v>
          </cell>
          <cell r="I35" t="str">
            <v>Travel, accommodation and subsistence</v>
          </cell>
        </row>
        <row r="36">
          <cell r="H36">
            <v>3.26</v>
          </cell>
          <cell r="I36" t="str">
            <v>Travel, accommodation and subsistence</v>
          </cell>
        </row>
        <row r="37">
          <cell r="H37">
            <v>2.33</v>
          </cell>
          <cell r="I37" t="str">
            <v>Travel, accommodation and subsistence</v>
          </cell>
        </row>
        <row r="38">
          <cell r="H38">
            <v>33.96</v>
          </cell>
          <cell r="I38" t="str">
            <v>Travel, accommodation and subsistence</v>
          </cell>
        </row>
        <row r="39">
          <cell r="H39">
            <v>74.430000000000007</v>
          </cell>
          <cell r="I39" t="str">
            <v>Travel, accommodation and subsistence</v>
          </cell>
        </row>
        <row r="40">
          <cell r="H40">
            <v>7.07</v>
          </cell>
          <cell r="I40" t="str">
            <v>Travel, accommodation and subsistence</v>
          </cell>
        </row>
        <row r="41">
          <cell r="H41">
            <v>36.75</v>
          </cell>
          <cell r="I41" t="str">
            <v>Travel, accommodation and subsistence</v>
          </cell>
        </row>
        <row r="42">
          <cell r="H42">
            <v>129.79</v>
          </cell>
          <cell r="I42" t="str">
            <v>Travel, accommodation and subsistence</v>
          </cell>
        </row>
        <row r="43">
          <cell r="H43">
            <v>2.14</v>
          </cell>
          <cell r="I43" t="str">
            <v>Travel, accommodation and subsistence</v>
          </cell>
        </row>
        <row r="44">
          <cell r="H44">
            <v>2.33</v>
          </cell>
          <cell r="I44" t="str">
            <v>Travel, accommodation and subsistence</v>
          </cell>
        </row>
        <row r="45">
          <cell r="H45">
            <v>21.52</v>
          </cell>
          <cell r="I45" t="str">
            <v>Travel, accommodation and subsistence</v>
          </cell>
        </row>
        <row r="46">
          <cell r="H46">
            <v>1.99</v>
          </cell>
          <cell r="I46" t="str">
            <v>Travel, accommodation and subsistence</v>
          </cell>
        </row>
        <row r="47">
          <cell r="F47">
            <v>2333.8699999999994</v>
          </cell>
          <cell r="G47">
            <v>25.84</v>
          </cell>
        </row>
      </sheetData>
      <sheetData sheetId="37">
        <row r="5">
          <cell r="D5" t="str">
            <v>Cassel Consulting Limited</v>
          </cell>
        </row>
        <row r="7">
          <cell r="H7">
            <v>191.56</v>
          </cell>
          <cell r="I7" t="str">
            <v>Travel, accommodation and subsistence</v>
          </cell>
        </row>
        <row r="8">
          <cell r="H8">
            <v>132.56</v>
          </cell>
          <cell r="I8" t="str">
            <v>Travel, accommodation and subsistence</v>
          </cell>
        </row>
        <row r="9">
          <cell r="H9">
            <v>145.9</v>
          </cell>
          <cell r="I9" t="str">
            <v>Travel, accommodation and subsistence</v>
          </cell>
        </row>
        <row r="10">
          <cell r="H10">
            <v>54.34</v>
          </cell>
          <cell r="I10" t="str">
            <v>Travel, accommodation and subsistence</v>
          </cell>
        </row>
        <row r="11">
          <cell r="H11">
            <v>389.05</v>
          </cell>
          <cell r="I11" t="str">
            <v>Travel, accommodation and subsistence</v>
          </cell>
        </row>
        <row r="12">
          <cell r="H12">
            <v>61.28</v>
          </cell>
          <cell r="I12" t="str">
            <v>Travel, accommodation and subsistence</v>
          </cell>
        </row>
        <row r="13">
          <cell r="H13">
            <v>31.6</v>
          </cell>
          <cell r="I13" t="str">
            <v>Motor Travel</v>
          </cell>
        </row>
        <row r="14">
          <cell r="H14">
            <v>18.709999999999997</v>
          </cell>
          <cell r="I14" t="str">
            <v>Telephone &amp; Internet</v>
          </cell>
        </row>
        <row r="15">
          <cell r="H15">
            <v>144.9</v>
          </cell>
          <cell r="I15" t="str">
            <v>Travel, accommodation and subsistence</v>
          </cell>
        </row>
        <row r="16">
          <cell r="H16">
            <v>2.2400000000000002</v>
          </cell>
          <cell r="I16" t="str">
            <v>Travel, accommodation and subsistence</v>
          </cell>
        </row>
        <row r="17">
          <cell r="H17">
            <v>11.94</v>
          </cell>
          <cell r="I17" t="str">
            <v>Travel, accommodation and subsistence</v>
          </cell>
        </row>
        <row r="18">
          <cell r="H18">
            <v>27.17</v>
          </cell>
          <cell r="I18" t="str">
            <v>Travel, accommodation and subsistence</v>
          </cell>
        </row>
        <row r="19">
          <cell r="H19">
            <v>3.98</v>
          </cell>
          <cell r="I19" t="str">
            <v>Travel, accommodation and subsistence</v>
          </cell>
        </row>
        <row r="20">
          <cell r="H20">
            <v>14.49</v>
          </cell>
          <cell r="I20" t="str">
            <v>Travel, accommodation and subsistence</v>
          </cell>
        </row>
        <row r="21">
          <cell r="H21">
            <v>4.16</v>
          </cell>
          <cell r="I21" t="str">
            <v>Travel, accommodation and subsistence</v>
          </cell>
        </row>
        <row r="22">
          <cell r="H22">
            <v>86.94</v>
          </cell>
          <cell r="I22" t="str">
            <v>Entertaining</v>
          </cell>
        </row>
        <row r="23">
          <cell r="H23">
            <v>427.66</v>
          </cell>
          <cell r="I23" t="str">
            <v>Travel, accommodation and subsistence</v>
          </cell>
        </row>
        <row r="24">
          <cell r="H24">
            <v>13.04</v>
          </cell>
          <cell r="I24" t="str">
            <v>Travel, accommodation and subsistence</v>
          </cell>
        </row>
        <row r="25">
          <cell r="H25">
            <v>76.599999999999994</v>
          </cell>
          <cell r="I25" t="str">
            <v>Travel, accommodation and subsistence</v>
          </cell>
        </row>
        <row r="26">
          <cell r="H26">
            <v>32.799999999999997</v>
          </cell>
          <cell r="I26" t="str">
            <v>Motor Travel</v>
          </cell>
        </row>
        <row r="27">
          <cell r="H27">
            <v>354.1</v>
          </cell>
          <cell r="I27" t="str">
            <v>Travel, accommodation and subsistence</v>
          </cell>
        </row>
        <row r="28">
          <cell r="H28">
            <v>12.48</v>
          </cell>
          <cell r="I28" t="str">
            <v>Travel, accommodation and subsistence</v>
          </cell>
        </row>
        <row r="29">
          <cell r="H29">
            <v>4.8099999999999996</v>
          </cell>
          <cell r="I29" t="str">
            <v>Travel, accommodation and subsistence</v>
          </cell>
        </row>
        <row r="30">
          <cell r="H30">
            <v>0.99</v>
          </cell>
          <cell r="I30" t="str">
            <v>Travel, accommodation and subsistence</v>
          </cell>
        </row>
        <row r="31">
          <cell r="H31">
            <v>11</v>
          </cell>
          <cell r="I31" t="str">
            <v>Travel, accommodation and subsistence</v>
          </cell>
        </row>
        <row r="32">
          <cell r="H32">
            <v>110.09</v>
          </cell>
          <cell r="I32" t="str">
            <v>Entertaining</v>
          </cell>
        </row>
        <row r="33">
          <cell r="H33">
            <v>323.3</v>
          </cell>
          <cell r="I33" t="str">
            <v>Travel, accommodation and subsistence</v>
          </cell>
        </row>
        <row r="34">
          <cell r="H34">
            <v>11.74</v>
          </cell>
          <cell r="I34" t="str">
            <v>Travel, accommodation and subsistence</v>
          </cell>
        </row>
        <row r="35">
          <cell r="H35">
            <v>57.87</v>
          </cell>
          <cell r="I35" t="str">
            <v>Travel, accommodation and subsistence</v>
          </cell>
        </row>
        <row r="36">
          <cell r="H36">
            <v>52.8</v>
          </cell>
          <cell r="I36" t="str">
            <v>Motor Travel</v>
          </cell>
        </row>
        <row r="37">
          <cell r="H37">
            <v>210.59</v>
          </cell>
          <cell r="I37" t="str">
            <v>Travel, accommodation and subsistence</v>
          </cell>
        </row>
        <row r="38">
          <cell r="H38">
            <v>57.87</v>
          </cell>
          <cell r="I38" t="str">
            <v>Travel, accommodation and subsistence</v>
          </cell>
        </row>
        <row r="39">
          <cell r="H39">
            <v>53.2</v>
          </cell>
          <cell r="I39" t="str">
            <v>Motor Travel</v>
          </cell>
        </row>
        <row r="40">
          <cell r="H40">
            <v>151.69</v>
          </cell>
          <cell r="I40" t="str">
            <v>Telephone &amp; Internet</v>
          </cell>
        </row>
        <row r="41">
          <cell r="H41">
            <v>399.37</v>
          </cell>
          <cell r="I41" t="str">
            <v>Telephone &amp; Internet</v>
          </cell>
        </row>
        <row r="42">
          <cell r="H42">
            <v>0</v>
          </cell>
          <cell r="I42" t="str">
            <v>Travel, accommodation and subsistence</v>
          </cell>
        </row>
        <row r="43">
          <cell r="H43">
            <v>0</v>
          </cell>
          <cell r="I43" t="str">
            <v>Travel, accommodation and subsistence</v>
          </cell>
        </row>
        <row r="44">
          <cell r="H44">
            <v>0</v>
          </cell>
          <cell r="I44" t="str">
            <v>Travel, accommodation and subsistence</v>
          </cell>
        </row>
        <row r="45">
          <cell r="H45">
            <v>0</v>
          </cell>
          <cell r="I45" t="str">
            <v>Travel, accommodation and subsistence</v>
          </cell>
        </row>
        <row r="46">
          <cell r="H46">
            <v>0</v>
          </cell>
          <cell r="I46" t="str">
            <v>Travel, accommodation and subsistence</v>
          </cell>
        </row>
        <row r="47">
          <cell r="F47">
            <v>3757.0200000000004</v>
          </cell>
          <cell r="G47">
            <v>74.2</v>
          </cell>
        </row>
      </sheetData>
      <sheetData sheetId="38">
        <row r="5">
          <cell r="D5" t="str">
            <v>Cassel Consulting Limited</v>
          </cell>
        </row>
        <row r="7">
          <cell r="H7">
            <v>1.36</v>
          </cell>
          <cell r="I7" t="str">
            <v>Travel, accommodation and subsistence</v>
          </cell>
        </row>
        <row r="8">
          <cell r="H8">
            <v>147.88999999999999</v>
          </cell>
          <cell r="I8" t="str">
            <v>Entertaining</v>
          </cell>
        </row>
        <row r="9">
          <cell r="H9">
            <v>4.4400000000000004</v>
          </cell>
          <cell r="I9" t="str">
            <v>Travel, accommodation and subsistence</v>
          </cell>
        </row>
        <row r="10">
          <cell r="H10">
            <v>9.24</v>
          </cell>
          <cell r="I10" t="str">
            <v>Entertaining</v>
          </cell>
        </row>
        <row r="11">
          <cell r="H11">
            <v>6.49</v>
          </cell>
          <cell r="I11" t="str">
            <v>Entertaining</v>
          </cell>
        </row>
        <row r="12">
          <cell r="H12">
            <v>155.28</v>
          </cell>
          <cell r="I12" t="str">
            <v>Entertaining</v>
          </cell>
        </row>
        <row r="13">
          <cell r="H13">
            <v>5.18</v>
          </cell>
          <cell r="I13" t="str">
            <v>Travel, accommodation and subsistence</v>
          </cell>
        </row>
        <row r="14">
          <cell r="H14">
            <v>11.83</v>
          </cell>
          <cell r="I14" t="str">
            <v>Travel, accommodation and subsistence</v>
          </cell>
        </row>
        <row r="15">
          <cell r="H15">
            <v>68.03</v>
          </cell>
          <cell r="I15" t="str">
            <v>Entertaining</v>
          </cell>
        </row>
        <row r="16">
          <cell r="H16">
            <v>2.2200000000000002</v>
          </cell>
          <cell r="I16" t="str">
            <v>Travel, accommodation and subsistence</v>
          </cell>
        </row>
        <row r="17">
          <cell r="H17">
            <v>2.9</v>
          </cell>
          <cell r="I17" t="str">
            <v>Travel, accommodation and subsistence</v>
          </cell>
        </row>
        <row r="18">
          <cell r="H18">
            <v>3.97</v>
          </cell>
          <cell r="I18" t="str">
            <v>Entertaining</v>
          </cell>
        </row>
        <row r="19">
          <cell r="H19">
            <v>1315.14</v>
          </cell>
          <cell r="I19" t="str">
            <v>Travel, accommodation and subsistence</v>
          </cell>
        </row>
        <row r="20">
          <cell r="H20">
            <v>6.17</v>
          </cell>
          <cell r="I20" t="str">
            <v>Entertaining</v>
          </cell>
        </row>
        <row r="21">
          <cell r="H21">
            <v>56.58</v>
          </cell>
          <cell r="I21" t="str">
            <v>Travel, accommodation and subsistence</v>
          </cell>
        </row>
        <row r="22">
          <cell r="H22">
            <v>18.709999999999997</v>
          </cell>
          <cell r="I22" t="str">
            <v>Telephone &amp; Internet</v>
          </cell>
        </row>
        <row r="23">
          <cell r="H23">
            <v>10.620000000000001</v>
          </cell>
          <cell r="I23" t="str">
            <v>Printing, postage and stationery</v>
          </cell>
        </row>
        <row r="24">
          <cell r="H24">
            <v>33.799999999999997</v>
          </cell>
          <cell r="I24" t="str">
            <v>Printing, postage and stationery</v>
          </cell>
        </row>
        <row r="25">
          <cell r="H25">
            <v>3.36</v>
          </cell>
          <cell r="I25" t="str">
            <v>Printing, postage and stationery</v>
          </cell>
        </row>
        <row r="26">
          <cell r="H26">
            <v>7.8</v>
          </cell>
          <cell r="I26" t="str">
            <v>Travel, accommodation and subsistence</v>
          </cell>
        </row>
        <row r="27">
          <cell r="H27">
            <v>3.35</v>
          </cell>
          <cell r="I27" t="str">
            <v>Travel, accommodation and subsistence</v>
          </cell>
        </row>
        <row r="28">
          <cell r="H28">
            <v>80.86</v>
          </cell>
          <cell r="I28" t="str">
            <v>Entertaining</v>
          </cell>
        </row>
        <row r="29">
          <cell r="H29">
            <v>326.02999999999997</v>
          </cell>
          <cell r="I29" t="str">
            <v>Travel, accommodation and subsistence</v>
          </cell>
        </row>
        <row r="30">
          <cell r="H30">
            <v>61.28</v>
          </cell>
          <cell r="I30" t="str">
            <v>Travel, accommodation and subsistence</v>
          </cell>
        </row>
        <row r="31">
          <cell r="H31">
            <v>31.2</v>
          </cell>
          <cell r="I31" t="str">
            <v>Motor Travel</v>
          </cell>
        </row>
        <row r="32">
          <cell r="H32">
            <v>116.56</v>
          </cell>
          <cell r="I32" t="str">
            <v>Travel, accommodation and subsistence</v>
          </cell>
        </row>
        <row r="33">
          <cell r="H33">
            <v>107.56</v>
          </cell>
          <cell r="I33" t="str">
            <v>Travel, accommodation and subsistence</v>
          </cell>
        </row>
        <row r="34">
          <cell r="H34">
            <v>55.56</v>
          </cell>
          <cell r="I34" t="str">
            <v>Travel, accommodation and subsistence</v>
          </cell>
        </row>
        <row r="35">
          <cell r="H35">
            <v>4.21</v>
          </cell>
          <cell r="I35" t="str">
            <v>Travel, accommodation and subsistence</v>
          </cell>
        </row>
        <row r="36">
          <cell r="H36">
            <v>2.65</v>
          </cell>
          <cell r="I36" t="str">
            <v>Travel, accommodation and subsistence</v>
          </cell>
        </row>
        <row r="37">
          <cell r="H37">
            <v>3.14</v>
          </cell>
          <cell r="I37" t="str">
            <v>Travel, accommodation and subsistence</v>
          </cell>
        </row>
        <row r="38">
          <cell r="H38">
            <v>13.23</v>
          </cell>
          <cell r="I38" t="str">
            <v>Travel, accommodation and subsistence</v>
          </cell>
        </row>
        <row r="39">
          <cell r="H39">
            <v>2.41</v>
          </cell>
          <cell r="I39" t="str">
            <v>Travel, accommodation and subsistence</v>
          </cell>
        </row>
        <row r="40">
          <cell r="H40">
            <v>14.7</v>
          </cell>
          <cell r="I40" t="str">
            <v>Travel, accommodation and subsistence</v>
          </cell>
        </row>
        <row r="41">
          <cell r="H41">
            <v>33.08</v>
          </cell>
          <cell r="I41" t="str">
            <v>Travel, accommodation and subsistence</v>
          </cell>
        </row>
        <row r="42">
          <cell r="H42">
            <v>14.7</v>
          </cell>
          <cell r="I42" t="str">
            <v>Travel, accommodation and subsistence</v>
          </cell>
        </row>
        <row r="43">
          <cell r="H43">
            <v>4.3899999999999997</v>
          </cell>
          <cell r="I43" t="str">
            <v>Travel, accommodation and subsistence</v>
          </cell>
        </row>
        <row r="44">
          <cell r="H44">
            <v>33.450000000000003</v>
          </cell>
          <cell r="I44" t="str">
            <v>Travel, accommodation and subsistence</v>
          </cell>
        </row>
        <row r="45">
          <cell r="H45">
            <v>446.23</v>
          </cell>
          <cell r="I45" t="str">
            <v>Travel, accommodation and subsistence</v>
          </cell>
        </row>
        <row r="46">
          <cell r="H46">
            <v>12.5</v>
          </cell>
          <cell r="I46" t="str">
            <v>Travel, accommodation and subsistence</v>
          </cell>
        </row>
        <row r="47">
          <cell r="F47">
            <v>3260.1199999999985</v>
          </cell>
          <cell r="G47">
            <v>22.020000000000003</v>
          </cell>
        </row>
      </sheetData>
      <sheetData sheetId="39">
        <row r="7">
          <cell r="H7">
            <v>101.56</v>
          </cell>
          <cell r="I7" t="str">
            <v>Travel, accommodation and subsistence</v>
          </cell>
        </row>
        <row r="8">
          <cell r="H8">
            <v>249.67</v>
          </cell>
          <cell r="I8" t="str">
            <v>Entertaining</v>
          </cell>
        </row>
        <row r="9">
          <cell r="H9">
            <v>7.6</v>
          </cell>
          <cell r="I9" t="str">
            <v>Travel, accommodation and subsistence</v>
          </cell>
        </row>
        <row r="10">
          <cell r="H10">
            <v>422.9</v>
          </cell>
          <cell r="I10" t="str">
            <v>Travel, accommodation and subsistence</v>
          </cell>
        </row>
        <row r="11">
          <cell r="H11">
            <v>13.22</v>
          </cell>
          <cell r="I11" t="str">
            <v>Travel, accommodation and subsistence</v>
          </cell>
        </row>
        <row r="12">
          <cell r="H12">
            <v>76.59</v>
          </cell>
          <cell r="I12" t="str">
            <v>Travel, accommodation and subsistence</v>
          </cell>
        </row>
        <row r="13">
          <cell r="H13">
            <v>32.799999999999997</v>
          </cell>
          <cell r="I13" t="str">
            <v>Motor Travel</v>
          </cell>
        </row>
        <row r="14">
          <cell r="H14">
            <v>37.56</v>
          </cell>
          <cell r="I14" t="str">
            <v>Travel, accommodation and subsistence</v>
          </cell>
        </row>
        <row r="15">
          <cell r="H15">
            <v>3.7</v>
          </cell>
          <cell r="I15" t="str">
            <v>Travel, accommodation and subsistence</v>
          </cell>
        </row>
        <row r="16">
          <cell r="H16">
            <v>13.77</v>
          </cell>
          <cell r="I16" t="str">
            <v>Travel, accommodation and subsistence</v>
          </cell>
        </row>
        <row r="17">
          <cell r="H17">
            <v>3.02</v>
          </cell>
          <cell r="I17" t="str">
            <v>Travel, accommodation and subsistence</v>
          </cell>
        </row>
        <row r="18">
          <cell r="H18">
            <v>13.77</v>
          </cell>
          <cell r="I18" t="str">
            <v>Travel, accommodation and subsistence</v>
          </cell>
        </row>
        <row r="19">
          <cell r="H19">
            <v>1.96</v>
          </cell>
          <cell r="I19" t="str">
            <v>Travel, accommodation and subsistence</v>
          </cell>
        </row>
        <row r="20">
          <cell r="H20">
            <v>374.25</v>
          </cell>
          <cell r="I20" t="str">
            <v>Travel, accommodation and subsistence</v>
          </cell>
        </row>
        <row r="21">
          <cell r="H21">
            <v>13.05</v>
          </cell>
          <cell r="I21" t="str">
            <v>Travel, accommodation and subsistence</v>
          </cell>
        </row>
        <row r="22">
          <cell r="H22">
            <v>5.94</v>
          </cell>
          <cell r="I22" t="str">
            <v>Travel, accommodation and subsistence</v>
          </cell>
        </row>
        <row r="23">
          <cell r="H23">
            <v>61.269999999999996</v>
          </cell>
          <cell r="I23" t="str">
            <v>Travel, accommodation and subsistence</v>
          </cell>
        </row>
        <row r="24">
          <cell r="H24">
            <v>32.4</v>
          </cell>
          <cell r="I24" t="str">
            <v>Motor Travel</v>
          </cell>
        </row>
        <row r="25">
          <cell r="H25">
            <v>18.709999999999997</v>
          </cell>
          <cell r="I25" t="str">
            <v>Telephone &amp; Internet</v>
          </cell>
        </row>
        <row r="26">
          <cell r="H26">
            <v>45.089999999999996</v>
          </cell>
          <cell r="I26" t="str">
            <v>Printing, postage and stationery</v>
          </cell>
        </row>
        <row r="27">
          <cell r="H27">
            <v>4.91</v>
          </cell>
          <cell r="I27" t="str">
            <v>Travel, accommodation and subsistence</v>
          </cell>
        </row>
        <row r="28">
          <cell r="H28">
            <v>76.099999999999994</v>
          </cell>
          <cell r="I28" t="str">
            <v>Entertaining</v>
          </cell>
        </row>
        <row r="29">
          <cell r="H29">
            <v>5.07</v>
          </cell>
          <cell r="I29" t="str">
            <v>Travel, accommodation and subsistence</v>
          </cell>
        </row>
        <row r="30">
          <cell r="H30">
            <v>2.23</v>
          </cell>
          <cell r="I30" t="str">
            <v>Travel, accommodation and subsistence</v>
          </cell>
        </row>
        <row r="31">
          <cell r="H31">
            <v>2.31</v>
          </cell>
          <cell r="I31" t="str">
            <v>Travel, accommodation and subsistence</v>
          </cell>
        </row>
        <row r="32">
          <cell r="H32">
            <v>13.05</v>
          </cell>
          <cell r="I32" t="str">
            <v>Travel, accommodation and subsistence</v>
          </cell>
        </row>
        <row r="33">
          <cell r="H33">
            <v>457.35</v>
          </cell>
          <cell r="I33" t="str">
            <v>Travel, accommodation and subsistence</v>
          </cell>
        </row>
        <row r="34">
          <cell r="H34">
            <v>12.32</v>
          </cell>
          <cell r="I34" t="str">
            <v>Travel, accommodation and subsistence</v>
          </cell>
        </row>
        <row r="35">
          <cell r="H35">
            <v>4.6399999999999997</v>
          </cell>
          <cell r="I35" t="str">
            <v>Travel, accommodation and subsistence</v>
          </cell>
        </row>
        <row r="36">
          <cell r="H36">
            <v>735.4</v>
          </cell>
          <cell r="I36" t="str">
            <v>Travel, accommodation and subsistence</v>
          </cell>
        </row>
        <row r="37">
          <cell r="H37">
            <v>735.4</v>
          </cell>
          <cell r="I37" t="str">
            <v>Travel, accommodation and subsistence</v>
          </cell>
        </row>
        <row r="38">
          <cell r="H38">
            <v>121.77</v>
          </cell>
          <cell r="I38" t="str">
            <v>Telephone &amp; Internet</v>
          </cell>
        </row>
        <row r="39">
          <cell r="H39">
            <v>0</v>
          </cell>
          <cell r="I39" t="str">
            <v>Travel, accommodation and subsistence</v>
          </cell>
        </row>
        <row r="40">
          <cell r="H40">
            <v>0</v>
          </cell>
          <cell r="I40" t="str">
            <v>Travel, accommodation and subsistence</v>
          </cell>
        </row>
        <row r="41">
          <cell r="H41">
            <v>0</v>
          </cell>
          <cell r="I41" t="str">
            <v>Travel, accommodation and subsistence</v>
          </cell>
        </row>
        <row r="42">
          <cell r="H42">
            <v>0</v>
          </cell>
          <cell r="I42" t="str">
            <v>Travel, accommodation and subsistence</v>
          </cell>
        </row>
        <row r="43">
          <cell r="H43">
            <v>0</v>
          </cell>
          <cell r="I43" t="str">
            <v>Travel, accommodation and subsistence</v>
          </cell>
        </row>
        <row r="44">
          <cell r="H44">
            <v>0</v>
          </cell>
          <cell r="I44" t="str">
            <v>Travel, accommodation and subsistence</v>
          </cell>
        </row>
        <row r="45">
          <cell r="H45">
            <v>0</v>
          </cell>
          <cell r="I45" t="str">
            <v>Travel, accommodation and subsistence</v>
          </cell>
        </row>
        <row r="46">
          <cell r="H46">
            <v>0</v>
          </cell>
          <cell r="I46" t="str">
            <v>Travel, accommodation and subsistence</v>
          </cell>
        </row>
        <row r="47">
          <cell r="F47">
            <v>3755.9900000000002</v>
          </cell>
          <cell r="G47">
            <v>56.61</v>
          </cell>
        </row>
      </sheetData>
      <sheetData sheetId="40">
        <row r="3">
          <cell r="C3" t="str">
            <v>August 2004</v>
          </cell>
        </row>
        <row r="73">
          <cell r="C73" t="str">
            <v>1 January 2004</v>
          </cell>
        </row>
        <row r="74">
          <cell r="C74" t="str">
            <v>1 February 2004</v>
          </cell>
        </row>
        <row r="75">
          <cell r="C75" t="str">
            <v>1 March 2004</v>
          </cell>
        </row>
        <row r="76">
          <cell r="C76" t="str">
            <v>1 April 2004</v>
          </cell>
        </row>
        <row r="77">
          <cell r="C77" t="str">
            <v>1 May 2004</v>
          </cell>
        </row>
        <row r="78">
          <cell r="C78" t="str">
            <v>1 June 2004</v>
          </cell>
        </row>
        <row r="79">
          <cell r="C79" t="str">
            <v>1 July 2004</v>
          </cell>
        </row>
        <row r="80">
          <cell r="C80" t="str">
            <v>1 August 2004</v>
          </cell>
        </row>
        <row r="81">
          <cell r="C81" t="str">
            <v>1 September 2004</v>
          </cell>
        </row>
        <row r="82">
          <cell r="C82" t="str">
            <v>1 October 2004</v>
          </cell>
        </row>
        <row r="83">
          <cell r="C83" t="str">
            <v>1 November 2004</v>
          </cell>
        </row>
        <row r="84">
          <cell r="C84" t="str">
            <v>1 December 2004</v>
          </cell>
        </row>
      </sheetData>
      <sheetData sheetId="41">
        <row r="6">
          <cell r="E6">
            <v>12</v>
          </cell>
        </row>
      </sheetData>
      <sheetData sheetId="42">
        <row r="6">
          <cell r="E6">
            <v>12</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
          <cell r="D5" t="str">
            <v>Cassel Consulting Limited</v>
          </cell>
        </row>
      </sheetData>
      <sheetData sheetId="59">
        <row r="6">
          <cell r="E6">
            <v>12</v>
          </cell>
        </row>
      </sheetData>
      <sheetData sheetId="60">
        <row r="6">
          <cell r="E6">
            <v>12</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5">
          <cell r="D5" t="str">
            <v>Cassel Consulting Limited</v>
          </cell>
        </row>
      </sheetData>
      <sheetData sheetId="77">
        <row r="6">
          <cell r="E6">
            <v>12</v>
          </cell>
        </row>
      </sheetData>
      <sheetData sheetId="78">
        <row r="6">
          <cell r="E6">
            <v>12</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5">
          <cell r="D5" t="str">
            <v>Cassel Consulting Limited</v>
          </cell>
        </row>
      </sheetData>
      <sheetData sheetId="95">
        <row r="6">
          <cell r="E6">
            <v>12</v>
          </cell>
        </row>
      </sheetData>
      <sheetData sheetId="96">
        <row r="6">
          <cell r="E6">
            <v>12</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Introduction"/>
      <sheetName val="Instructions"/>
      <sheetName val="Company information"/>
      <sheetName val="BR1"/>
      <sheetName val="BR2"/>
      <sheetName val="BR3"/>
      <sheetName val="BR4"/>
      <sheetName val="BR5"/>
      <sheetName val="BR6"/>
      <sheetName val="BR7"/>
      <sheetName val="BR8"/>
      <sheetName val="BR9"/>
      <sheetName val="BR10"/>
      <sheetName val="BR11"/>
      <sheetName val="BR12"/>
      <sheetName val="BP1"/>
      <sheetName val="BP2"/>
      <sheetName val="BP3"/>
      <sheetName val="BP4"/>
      <sheetName val="BP5"/>
      <sheetName val="BP6"/>
      <sheetName val="BP7"/>
      <sheetName val="BP8"/>
      <sheetName val="BP9"/>
      <sheetName val="BP10"/>
      <sheetName val="BP11"/>
      <sheetName val="BP12"/>
      <sheetName val="PC1"/>
      <sheetName val="PC2"/>
      <sheetName val="PC3"/>
      <sheetName val="PC4"/>
      <sheetName val="PC5"/>
      <sheetName val="PC6"/>
      <sheetName val="PC7"/>
      <sheetName val="PC8"/>
      <sheetName val="PC9"/>
      <sheetName val="PC10"/>
      <sheetName val="PC11"/>
      <sheetName val="PC12"/>
      <sheetName val="Summary"/>
      <sheetName val="Bank summary"/>
      <sheetName val="VAT return"/>
      <sheetName val="IR35 Calc Instructions"/>
      <sheetName val="IR35 Calculator 2003 - 04"/>
    </sheetNames>
    <sheetDataSet>
      <sheetData sheetId="0" refreshError="1"/>
      <sheetData sheetId="1" refreshError="1"/>
      <sheetData sheetId="2" refreshError="1"/>
      <sheetData sheetId="3">
        <row r="7">
          <cell r="E7" t="str">
            <v>Yes</v>
          </cell>
        </row>
      </sheetData>
      <sheetData sheetId="4">
        <row r="7">
          <cell r="E7" t="str">
            <v>Yes</v>
          </cell>
        </row>
      </sheetData>
      <sheetData sheetId="5">
        <row r="7">
          <cell r="E7" t="str">
            <v>Yes</v>
          </cell>
        </row>
      </sheetData>
      <sheetData sheetId="6">
        <row r="7">
          <cell r="E7" t="str">
            <v>Yes</v>
          </cell>
        </row>
      </sheetData>
      <sheetData sheetId="7">
        <row r="7">
          <cell r="E7" t="str">
            <v>Yes</v>
          </cell>
        </row>
      </sheetData>
      <sheetData sheetId="8">
        <row r="7">
          <cell r="E7" t="str">
            <v>Yes</v>
          </cell>
        </row>
      </sheetData>
      <sheetData sheetId="9">
        <row r="7">
          <cell r="E7" t="str">
            <v>Yes</v>
          </cell>
        </row>
      </sheetData>
      <sheetData sheetId="10">
        <row r="7">
          <cell r="E7" t="str">
            <v>Yes</v>
          </cell>
        </row>
      </sheetData>
      <sheetData sheetId="11">
        <row r="7">
          <cell r="E7" t="str">
            <v>Yes</v>
          </cell>
        </row>
      </sheetData>
      <sheetData sheetId="12">
        <row r="7">
          <cell r="E7" t="str">
            <v>Yes</v>
          </cell>
        </row>
      </sheetData>
      <sheetData sheetId="13">
        <row r="7">
          <cell r="E7" t="str">
            <v>Yes</v>
          </cell>
        </row>
      </sheetData>
      <sheetData sheetId="14">
        <row r="7">
          <cell r="E7" t="str">
            <v>Yes</v>
          </cell>
        </row>
      </sheetData>
      <sheetData sheetId="15">
        <row r="7">
          <cell r="E7" t="str">
            <v>Yes</v>
          </cell>
        </row>
      </sheetData>
      <sheetData sheetId="16">
        <row r="7">
          <cell r="E7" t="str">
            <v>Yes</v>
          </cell>
        </row>
        <row r="8">
          <cell r="E8" t="str">
            <v>Yes</v>
          </cell>
        </row>
        <row r="9">
          <cell r="E9" t="str">
            <v>Yes</v>
          </cell>
        </row>
        <row r="10">
          <cell r="E10" t="str">
            <v>Yes</v>
          </cell>
        </row>
      </sheetData>
      <sheetData sheetId="17">
        <row r="7">
          <cell r="E7" t="str">
            <v>yes</v>
          </cell>
        </row>
      </sheetData>
      <sheetData sheetId="18">
        <row r="7">
          <cell r="E7" t="str">
            <v>Yes</v>
          </cell>
        </row>
      </sheetData>
      <sheetData sheetId="19">
        <row r="7">
          <cell r="E7" t="str">
            <v>Yes</v>
          </cell>
        </row>
      </sheetData>
      <sheetData sheetId="20">
        <row r="7">
          <cell r="E7" t="str">
            <v>Yes</v>
          </cell>
        </row>
      </sheetData>
      <sheetData sheetId="21">
        <row r="7">
          <cell r="E7" t="str">
            <v>Yes</v>
          </cell>
        </row>
      </sheetData>
      <sheetData sheetId="22">
        <row r="7">
          <cell r="E7" t="str">
            <v>Yes</v>
          </cell>
        </row>
      </sheetData>
      <sheetData sheetId="23">
        <row r="7">
          <cell r="E7" t="str">
            <v>Yes</v>
          </cell>
        </row>
      </sheetData>
      <sheetData sheetId="24">
        <row r="7">
          <cell r="E7" t="str">
            <v>Yes</v>
          </cell>
        </row>
      </sheetData>
      <sheetData sheetId="25">
        <row r="7">
          <cell r="E7" t="str">
            <v>Yes</v>
          </cell>
        </row>
      </sheetData>
      <sheetData sheetId="26">
        <row r="7">
          <cell r="E7" t="str">
            <v>Yes</v>
          </cell>
        </row>
      </sheetData>
      <sheetData sheetId="27">
        <row r="7">
          <cell r="E7" t="str">
            <v>Yes</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Introduction"/>
      <sheetName val="Instructions"/>
      <sheetName val="Company information"/>
      <sheetName val="BR1"/>
      <sheetName val="BR2"/>
      <sheetName val="BR3"/>
      <sheetName val="BR4"/>
      <sheetName val="BR5"/>
      <sheetName val="BR6"/>
      <sheetName val="BR7"/>
      <sheetName val="BR8"/>
      <sheetName val="BR9"/>
      <sheetName val="BR10"/>
      <sheetName val="BR11"/>
      <sheetName val="BR12"/>
      <sheetName val="BP1"/>
      <sheetName val="BP2"/>
      <sheetName val="BP3"/>
      <sheetName val="BP4"/>
      <sheetName val="BP5"/>
      <sheetName val="BP6"/>
      <sheetName val="BP7"/>
      <sheetName val="BP8"/>
      <sheetName val="BP9"/>
      <sheetName val="BP10"/>
      <sheetName val="BP11"/>
      <sheetName val="BP12"/>
      <sheetName val="PC1"/>
      <sheetName val="PC2"/>
      <sheetName val="PC3"/>
      <sheetName val="PC4"/>
      <sheetName val="PC5"/>
      <sheetName val="PC6"/>
      <sheetName val="PC7"/>
      <sheetName val="PC8"/>
      <sheetName val="PC9"/>
      <sheetName val="PC10"/>
      <sheetName val="PC11"/>
      <sheetName val="PC12"/>
      <sheetName val="Summary"/>
      <sheetName val="Bank summary"/>
      <sheetName val="VAT return"/>
      <sheetName val="IR35 Calc Instructions"/>
      <sheetName val="IR35 Calculator 2003 - 04"/>
    </sheetNames>
    <sheetDataSet>
      <sheetData sheetId="0" refreshError="1"/>
      <sheetData sheetId="1" refreshError="1"/>
      <sheetData sheetId="2" refreshError="1"/>
      <sheetData sheetId="3"/>
      <sheetData sheetId="4">
        <row r="8">
          <cell r="E8" t="str">
            <v>Yes</v>
          </cell>
          <cell r="F8">
            <v>1299.55</v>
          </cell>
        </row>
        <row r="9">
          <cell r="E9" t="str">
            <v>Yes</v>
          </cell>
          <cell r="F9">
            <v>31.84</v>
          </cell>
        </row>
      </sheetData>
      <sheetData sheetId="5">
        <row r="7">
          <cell r="E7" t="str">
            <v>Yes</v>
          </cell>
          <cell r="F7">
            <v>25.34</v>
          </cell>
        </row>
      </sheetData>
      <sheetData sheetId="6">
        <row r="7">
          <cell r="E7" t="str">
            <v>Yes</v>
          </cell>
          <cell r="F7">
            <v>12.76</v>
          </cell>
        </row>
      </sheetData>
      <sheetData sheetId="7">
        <row r="7">
          <cell r="E7" t="str">
            <v>Yes</v>
          </cell>
          <cell r="F7">
            <v>9.34</v>
          </cell>
        </row>
      </sheetData>
      <sheetData sheetId="8"/>
      <sheetData sheetId="9">
        <row r="7">
          <cell r="E7" t="str">
            <v>Yes</v>
          </cell>
          <cell r="F7">
            <v>2941.85</v>
          </cell>
        </row>
        <row r="8">
          <cell r="E8" t="str">
            <v>Yes</v>
          </cell>
          <cell r="F8">
            <v>530.04999999999995</v>
          </cell>
        </row>
      </sheetData>
      <sheetData sheetId="10">
        <row r="7">
          <cell r="E7" t="str">
            <v>Yes</v>
          </cell>
          <cell r="F7">
            <v>3059.94</v>
          </cell>
        </row>
        <row r="8">
          <cell r="E8" t="str">
            <v>Yes</v>
          </cell>
          <cell r="F8">
            <v>3663.3</v>
          </cell>
        </row>
        <row r="9">
          <cell r="E9" t="str">
            <v>Yes</v>
          </cell>
          <cell r="F9">
            <v>4.21</v>
          </cell>
        </row>
      </sheetData>
      <sheetData sheetId="11">
        <row r="7">
          <cell r="E7" t="str">
            <v>Yes</v>
          </cell>
          <cell r="F7">
            <v>4800.46</v>
          </cell>
        </row>
        <row r="8">
          <cell r="E8" t="str">
            <v>Yes</v>
          </cell>
          <cell r="F8">
            <v>3036.79</v>
          </cell>
        </row>
        <row r="9">
          <cell r="E9" t="str">
            <v>Yes</v>
          </cell>
          <cell r="F9">
            <v>146.88</v>
          </cell>
        </row>
        <row r="10">
          <cell r="E10" t="str">
            <v>Yes</v>
          </cell>
          <cell r="F10">
            <v>17.95</v>
          </cell>
        </row>
      </sheetData>
      <sheetData sheetId="12">
        <row r="7">
          <cell r="E7" t="str">
            <v>Yes</v>
          </cell>
          <cell r="F7">
            <v>2958.65</v>
          </cell>
        </row>
        <row r="8">
          <cell r="E8" t="str">
            <v>Yes</v>
          </cell>
          <cell r="F8">
            <v>3057.31</v>
          </cell>
        </row>
        <row r="9">
          <cell r="E9" t="str">
            <v>Yes</v>
          </cell>
          <cell r="F9">
            <v>37.130000000000003</v>
          </cell>
        </row>
      </sheetData>
      <sheetData sheetId="13">
        <row r="7">
          <cell r="E7" t="str">
            <v>Yes</v>
          </cell>
          <cell r="F7">
            <v>1597.3</v>
          </cell>
        </row>
        <row r="8">
          <cell r="E8" t="str">
            <v>Yes</v>
          </cell>
          <cell r="F8">
            <v>8225</v>
          </cell>
        </row>
        <row r="9">
          <cell r="E9" t="str">
            <v>Yes</v>
          </cell>
          <cell r="F9">
            <v>3489.63</v>
          </cell>
        </row>
        <row r="10">
          <cell r="E10" t="str">
            <v>Yes</v>
          </cell>
          <cell r="F10">
            <v>64.069999999999993</v>
          </cell>
        </row>
      </sheetData>
      <sheetData sheetId="14">
        <row r="7">
          <cell r="E7" t="str">
            <v>Yes</v>
          </cell>
          <cell r="F7">
            <v>3.38</v>
          </cell>
        </row>
        <row r="8">
          <cell r="E8" t="str">
            <v>Yes</v>
          </cell>
          <cell r="F8">
            <v>881.25</v>
          </cell>
        </row>
        <row r="9">
          <cell r="E9" t="str">
            <v>Yes</v>
          </cell>
          <cell r="F9">
            <v>5291.26</v>
          </cell>
        </row>
        <row r="10">
          <cell r="E10" t="str">
            <v>Yes</v>
          </cell>
          <cell r="F10">
            <v>3435</v>
          </cell>
        </row>
        <row r="11">
          <cell r="E11" t="str">
            <v>Yes</v>
          </cell>
          <cell r="F11">
            <v>67.599999999999994</v>
          </cell>
        </row>
      </sheetData>
      <sheetData sheetId="15">
        <row r="7">
          <cell r="E7" t="str">
            <v>Yes</v>
          </cell>
          <cell r="F7">
            <v>3092.6</v>
          </cell>
        </row>
        <row r="8">
          <cell r="E8" t="str">
            <v>Yes</v>
          </cell>
          <cell r="F8">
            <v>4168.78</v>
          </cell>
        </row>
        <row r="9">
          <cell r="E9" t="str">
            <v>Yes</v>
          </cell>
          <cell r="F9">
            <v>1365.84</v>
          </cell>
        </row>
        <row r="10">
          <cell r="E10" t="str">
            <v>Yes</v>
          </cell>
          <cell r="F10">
            <v>41.71</v>
          </cell>
        </row>
      </sheetData>
      <sheetData sheetId="16">
        <row r="7">
          <cell r="F7">
            <v>40.200000000000003</v>
          </cell>
        </row>
        <row r="8">
          <cell r="F8">
            <v>38.49</v>
          </cell>
        </row>
        <row r="9">
          <cell r="F9">
            <v>145.4</v>
          </cell>
        </row>
        <row r="10">
          <cell r="F10">
            <v>1000</v>
          </cell>
        </row>
      </sheetData>
      <sheetData sheetId="17">
        <row r="7">
          <cell r="E7" t="str">
            <v>yes</v>
          </cell>
          <cell r="F7">
            <v>1315.5</v>
          </cell>
        </row>
        <row r="8">
          <cell r="E8" t="str">
            <v>Yes</v>
          </cell>
          <cell r="F8">
            <v>6.4</v>
          </cell>
        </row>
        <row r="9">
          <cell r="E9" t="str">
            <v>Yes</v>
          </cell>
          <cell r="F9">
            <v>925.95</v>
          </cell>
        </row>
        <row r="10">
          <cell r="E10" t="str">
            <v>Yes</v>
          </cell>
          <cell r="F10">
            <v>36.840000000000003</v>
          </cell>
        </row>
        <row r="11">
          <cell r="E11" t="str">
            <v>Yes</v>
          </cell>
          <cell r="F11">
            <v>822.29</v>
          </cell>
        </row>
        <row r="12">
          <cell r="E12" t="str">
            <v>Yes</v>
          </cell>
          <cell r="F12">
            <v>38.49</v>
          </cell>
        </row>
        <row r="13">
          <cell r="E13" t="str">
            <v>Yes</v>
          </cell>
          <cell r="F13">
            <v>139.53</v>
          </cell>
        </row>
        <row r="14">
          <cell r="E14" t="str">
            <v>Yes</v>
          </cell>
          <cell r="F14">
            <v>1000</v>
          </cell>
        </row>
      </sheetData>
      <sheetData sheetId="18">
        <row r="7">
          <cell r="E7" t="str">
            <v>Yes</v>
          </cell>
          <cell r="F7">
            <v>27.08</v>
          </cell>
        </row>
        <row r="8">
          <cell r="E8" t="str">
            <v>Yes</v>
          </cell>
          <cell r="F8">
            <v>633.05999999999995</v>
          </cell>
        </row>
        <row r="9">
          <cell r="E9" t="str">
            <v>Yes</v>
          </cell>
          <cell r="F9">
            <v>731.32</v>
          </cell>
        </row>
        <row r="10">
          <cell r="E10" t="str">
            <v>Yes</v>
          </cell>
          <cell r="F10">
            <v>35.479999999999997</v>
          </cell>
        </row>
        <row r="11">
          <cell r="E11" t="str">
            <v>Yes</v>
          </cell>
          <cell r="F11">
            <v>139.53</v>
          </cell>
        </row>
        <row r="12">
          <cell r="E12" t="str">
            <v>Yes</v>
          </cell>
          <cell r="F12">
            <v>481.75</v>
          </cell>
        </row>
        <row r="13">
          <cell r="E13" t="str">
            <v>Yes</v>
          </cell>
          <cell r="F13">
            <v>1000</v>
          </cell>
        </row>
        <row r="14">
          <cell r="E14" t="str">
            <v>Yes</v>
          </cell>
          <cell r="F14">
            <v>116.33</v>
          </cell>
        </row>
      </sheetData>
      <sheetData sheetId="19">
        <row r="7">
          <cell r="E7" t="str">
            <v>Yes</v>
          </cell>
          <cell r="F7">
            <v>40.659999999999997</v>
          </cell>
        </row>
        <row r="8">
          <cell r="E8" t="str">
            <v>Yes</v>
          </cell>
          <cell r="F8">
            <v>388.44</v>
          </cell>
        </row>
        <row r="9">
          <cell r="E9" t="str">
            <v>Yes</v>
          </cell>
          <cell r="F9">
            <v>35.479999999999997</v>
          </cell>
        </row>
        <row r="10">
          <cell r="E10" t="str">
            <v>Yes</v>
          </cell>
          <cell r="F10">
            <v>139.53</v>
          </cell>
        </row>
        <row r="11">
          <cell r="E11" t="str">
            <v>Yes</v>
          </cell>
          <cell r="F11">
            <v>708.62</v>
          </cell>
        </row>
        <row r="12">
          <cell r="E12" t="str">
            <v>Yes</v>
          </cell>
          <cell r="F12">
            <v>1000</v>
          </cell>
        </row>
      </sheetData>
      <sheetData sheetId="20">
        <row r="7">
          <cell r="E7" t="str">
            <v>Yes</v>
          </cell>
          <cell r="F7">
            <v>39.729999999999997</v>
          </cell>
        </row>
        <row r="8">
          <cell r="E8" t="str">
            <v>Yes</v>
          </cell>
          <cell r="F8">
            <v>569.29</v>
          </cell>
        </row>
        <row r="9">
          <cell r="E9" t="str">
            <v>Yes</v>
          </cell>
          <cell r="F9">
            <v>35.6</v>
          </cell>
        </row>
        <row r="10">
          <cell r="E10" t="str">
            <v>Yes</v>
          </cell>
          <cell r="F10">
            <v>139.53</v>
          </cell>
        </row>
        <row r="11">
          <cell r="E11" t="str">
            <v>Yes</v>
          </cell>
          <cell r="F11">
            <v>1000</v>
          </cell>
        </row>
      </sheetData>
      <sheetData sheetId="21">
        <row r="7">
          <cell r="E7" t="str">
            <v>Yes</v>
          </cell>
          <cell r="F7">
            <v>30.53</v>
          </cell>
        </row>
        <row r="8">
          <cell r="E8" t="str">
            <v>Yes</v>
          </cell>
          <cell r="F8">
            <v>1422.68</v>
          </cell>
        </row>
        <row r="9">
          <cell r="E9" t="str">
            <v>Yes</v>
          </cell>
          <cell r="F9">
            <v>533</v>
          </cell>
        </row>
        <row r="10">
          <cell r="E10" t="str">
            <v>Yes</v>
          </cell>
          <cell r="F10">
            <v>35.479999999999997</v>
          </cell>
        </row>
        <row r="11">
          <cell r="E11" t="str">
            <v>Yes</v>
          </cell>
          <cell r="F11">
            <v>139.53</v>
          </cell>
        </row>
        <row r="12">
          <cell r="E12" t="str">
            <v>Yes</v>
          </cell>
          <cell r="F12">
            <v>1000</v>
          </cell>
        </row>
      </sheetData>
      <sheetData sheetId="22">
        <row r="7">
          <cell r="E7" t="str">
            <v>Yes</v>
          </cell>
          <cell r="F7">
            <v>39.78</v>
          </cell>
        </row>
        <row r="8">
          <cell r="E8" t="str">
            <v>Yes</v>
          </cell>
          <cell r="F8">
            <v>441.67</v>
          </cell>
        </row>
        <row r="9">
          <cell r="E9" t="str">
            <v>Yes</v>
          </cell>
          <cell r="F9">
            <v>35.479999999999997</v>
          </cell>
        </row>
        <row r="10">
          <cell r="E10" t="str">
            <v>Yes</v>
          </cell>
          <cell r="F10">
            <v>433.99</v>
          </cell>
        </row>
        <row r="11">
          <cell r="E11" t="str">
            <v>Yes</v>
          </cell>
          <cell r="F11">
            <v>1000</v>
          </cell>
        </row>
        <row r="12">
          <cell r="E12" t="str">
            <v>yes</v>
          </cell>
          <cell r="F12">
            <v>139.53</v>
          </cell>
        </row>
      </sheetData>
      <sheetData sheetId="23">
        <row r="7">
          <cell r="E7" t="str">
            <v>Yes</v>
          </cell>
          <cell r="F7">
            <v>3.2</v>
          </cell>
        </row>
        <row r="8">
          <cell r="E8" t="str">
            <v>Yes</v>
          </cell>
          <cell r="F8">
            <v>333</v>
          </cell>
        </row>
        <row r="9">
          <cell r="E9" t="str">
            <v>Yes</v>
          </cell>
          <cell r="F9">
            <v>35.479999999999997</v>
          </cell>
        </row>
        <row r="10">
          <cell r="E10" t="str">
            <v>Yes</v>
          </cell>
          <cell r="F10">
            <v>139.53</v>
          </cell>
        </row>
        <row r="11">
          <cell r="E11" t="str">
            <v>Yes</v>
          </cell>
          <cell r="F11">
            <v>1000</v>
          </cell>
        </row>
      </sheetData>
      <sheetData sheetId="24">
        <row r="7">
          <cell r="E7" t="str">
            <v>Yes</v>
          </cell>
          <cell r="F7">
            <v>152</v>
          </cell>
        </row>
        <row r="8">
          <cell r="E8" t="str">
            <v>Yes</v>
          </cell>
          <cell r="F8">
            <v>36.17</v>
          </cell>
        </row>
        <row r="9">
          <cell r="E9" t="str">
            <v>Yes</v>
          </cell>
          <cell r="F9">
            <v>1771.06</v>
          </cell>
        </row>
        <row r="10">
          <cell r="E10" t="str">
            <v>Yes</v>
          </cell>
          <cell r="F10">
            <v>750.69</v>
          </cell>
        </row>
        <row r="11">
          <cell r="E11" t="str">
            <v>Yes</v>
          </cell>
          <cell r="F11">
            <v>32.549999999999997</v>
          </cell>
        </row>
        <row r="12">
          <cell r="E12" t="str">
            <v>Yes</v>
          </cell>
          <cell r="F12">
            <v>1612.37</v>
          </cell>
        </row>
        <row r="13">
          <cell r="E13" t="str">
            <v>Yes</v>
          </cell>
          <cell r="F13">
            <v>35.479999999999997</v>
          </cell>
        </row>
        <row r="14">
          <cell r="E14" t="str">
            <v>Yes</v>
          </cell>
          <cell r="F14">
            <v>139.53</v>
          </cell>
        </row>
        <row r="15">
          <cell r="E15" t="str">
            <v>Yes</v>
          </cell>
          <cell r="F15">
            <v>1000</v>
          </cell>
        </row>
      </sheetData>
      <sheetData sheetId="25">
        <row r="7">
          <cell r="E7" t="str">
            <v>Yes</v>
          </cell>
          <cell r="F7">
            <v>46.93</v>
          </cell>
        </row>
        <row r="8">
          <cell r="E8" t="str">
            <v>Yes</v>
          </cell>
          <cell r="F8">
            <v>716.05</v>
          </cell>
        </row>
        <row r="9">
          <cell r="E9" t="str">
            <v>Yes</v>
          </cell>
          <cell r="F9">
            <v>95</v>
          </cell>
        </row>
        <row r="10">
          <cell r="E10" t="str">
            <v>Yes</v>
          </cell>
          <cell r="F10">
            <v>35.479999999999997</v>
          </cell>
        </row>
        <row r="11">
          <cell r="E11" t="str">
            <v>Yes</v>
          </cell>
          <cell r="F11">
            <v>139.53</v>
          </cell>
        </row>
        <row r="12">
          <cell r="E12" t="str">
            <v>Yes</v>
          </cell>
          <cell r="F12">
            <v>2572</v>
          </cell>
        </row>
        <row r="13">
          <cell r="E13" t="str">
            <v>Yes</v>
          </cell>
          <cell r="F13">
            <v>1000</v>
          </cell>
        </row>
      </sheetData>
      <sheetData sheetId="26">
        <row r="7">
          <cell r="E7" t="str">
            <v>Yes</v>
          </cell>
          <cell r="F7">
            <v>132.18</v>
          </cell>
        </row>
        <row r="8">
          <cell r="E8" t="str">
            <v>Yes</v>
          </cell>
          <cell r="F8">
            <v>1279.5</v>
          </cell>
        </row>
        <row r="9">
          <cell r="E9" t="str">
            <v>Yes</v>
          </cell>
          <cell r="F9">
            <v>49.13</v>
          </cell>
        </row>
        <row r="10">
          <cell r="E10" t="str">
            <v>Yes</v>
          </cell>
          <cell r="F10">
            <v>35.6</v>
          </cell>
        </row>
        <row r="11">
          <cell r="E11" t="str">
            <v>Yes</v>
          </cell>
          <cell r="F11">
            <v>139.53</v>
          </cell>
        </row>
        <row r="12">
          <cell r="E12" t="str">
            <v>Yes</v>
          </cell>
          <cell r="F12">
            <v>1000</v>
          </cell>
        </row>
      </sheetData>
      <sheetData sheetId="27">
        <row r="7">
          <cell r="E7" t="str">
            <v>Yes</v>
          </cell>
          <cell r="F7">
            <v>10000</v>
          </cell>
        </row>
        <row r="8">
          <cell r="E8" t="str">
            <v>Yes</v>
          </cell>
          <cell r="F8">
            <v>1771.06</v>
          </cell>
        </row>
        <row r="9">
          <cell r="E9" t="str">
            <v>Yes</v>
          </cell>
          <cell r="F9">
            <v>1767.81</v>
          </cell>
        </row>
        <row r="10">
          <cell r="E10" t="str">
            <v>Yes</v>
          </cell>
          <cell r="F10">
            <v>51.24</v>
          </cell>
        </row>
        <row r="11">
          <cell r="E11" t="str">
            <v>Yes</v>
          </cell>
          <cell r="F11">
            <v>70</v>
          </cell>
        </row>
        <row r="12">
          <cell r="E12" t="str">
            <v>Yes</v>
          </cell>
          <cell r="F12">
            <v>10000</v>
          </cell>
        </row>
        <row r="13">
          <cell r="E13" t="str">
            <v>Yes</v>
          </cell>
          <cell r="F13">
            <v>413.62</v>
          </cell>
        </row>
        <row r="14">
          <cell r="E14" t="str">
            <v>Yes</v>
          </cell>
          <cell r="F14">
            <v>35.479999999999997</v>
          </cell>
        </row>
        <row r="15">
          <cell r="E15" t="str">
            <v>Yes</v>
          </cell>
          <cell r="F15">
            <v>37.6</v>
          </cell>
        </row>
        <row r="16">
          <cell r="E16" t="str">
            <v>Yes</v>
          </cell>
          <cell r="F16">
            <v>139.53</v>
          </cell>
        </row>
        <row r="17">
          <cell r="E17" t="str">
            <v>Yes</v>
          </cell>
          <cell r="F17">
            <v>1000</v>
          </cell>
        </row>
        <row r="18">
          <cell r="E18" t="str">
            <v>No</v>
          </cell>
          <cell r="F18">
            <v>303.20999999999998</v>
          </cell>
        </row>
        <row r="19">
          <cell r="E19" t="str">
            <v>No</v>
          </cell>
          <cell r="F19">
            <v>3943.25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Introduction"/>
      <sheetName val="Instructions"/>
      <sheetName val="Company information"/>
      <sheetName val="BR1"/>
      <sheetName val="BR2"/>
      <sheetName val="BR3"/>
      <sheetName val="BR4"/>
      <sheetName val="BR5"/>
      <sheetName val="BR6"/>
      <sheetName val="BR7"/>
      <sheetName val="BR8"/>
      <sheetName val="BR9"/>
      <sheetName val="BR10"/>
      <sheetName val="BR11"/>
      <sheetName val="BR12"/>
      <sheetName val="BP1"/>
      <sheetName val="BP2"/>
      <sheetName val="BP3"/>
      <sheetName val="BP4"/>
      <sheetName val="BP5"/>
      <sheetName val="BP6"/>
      <sheetName val="BP7"/>
      <sheetName val="BP8"/>
      <sheetName val="BP9"/>
      <sheetName val="BP10"/>
      <sheetName val="BP11"/>
      <sheetName val="BP12"/>
      <sheetName val="PC1"/>
      <sheetName val="PC2"/>
      <sheetName val="PC3"/>
      <sheetName val="PC4"/>
      <sheetName val="PC5"/>
      <sheetName val="PC6"/>
      <sheetName val="PC7"/>
      <sheetName val="PC8"/>
      <sheetName val="PC9"/>
      <sheetName val="PC10"/>
      <sheetName val="PC11"/>
      <sheetName val="PC12"/>
      <sheetName val="Summary"/>
      <sheetName val="Bank summary"/>
      <sheetName val="VAT return"/>
      <sheetName val="IR35 Calc Instructions"/>
      <sheetName val="IR35 Calculator 2003 - 04"/>
    </sheetNames>
    <sheetDataSet>
      <sheetData sheetId="0" refreshError="1"/>
      <sheetData sheetId="1" refreshError="1"/>
      <sheetData sheetId="2" refreshError="1"/>
      <sheetData sheetId="3"/>
      <sheetData sheetId="4">
        <row r="8">
          <cell r="E8" t="str">
            <v>Yes</v>
          </cell>
          <cell r="F8">
            <v>1299.55</v>
          </cell>
        </row>
        <row r="9">
          <cell r="E9" t="str">
            <v>Yes</v>
          </cell>
          <cell r="F9">
            <v>31.84</v>
          </cell>
        </row>
      </sheetData>
      <sheetData sheetId="5">
        <row r="7">
          <cell r="E7" t="str">
            <v>Yes</v>
          </cell>
          <cell r="F7">
            <v>25.34</v>
          </cell>
        </row>
      </sheetData>
      <sheetData sheetId="6">
        <row r="7">
          <cell r="E7" t="str">
            <v>Yes</v>
          </cell>
          <cell r="F7">
            <v>12.76</v>
          </cell>
        </row>
      </sheetData>
      <sheetData sheetId="7">
        <row r="7">
          <cell r="E7" t="str">
            <v>Yes</v>
          </cell>
          <cell r="F7">
            <v>9.34</v>
          </cell>
        </row>
      </sheetData>
      <sheetData sheetId="8"/>
      <sheetData sheetId="9">
        <row r="7">
          <cell r="E7" t="str">
            <v>Yes</v>
          </cell>
          <cell r="F7">
            <v>2941.85</v>
          </cell>
        </row>
        <row r="8">
          <cell r="E8" t="str">
            <v>Yes</v>
          </cell>
          <cell r="F8">
            <v>530.04999999999995</v>
          </cell>
        </row>
      </sheetData>
      <sheetData sheetId="10">
        <row r="7">
          <cell r="E7" t="str">
            <v>Yes</v>
          </cell>
          <cell r="F7">
            <v>3059.94</v>
          </cell>
        </row>
        <row r="8">
          <cell r="E8" t="str">
            <v>Yes</v>
          </cell>
          <cell r="F8">
            <v>3663.3</v>
          </cell>
        </row>
        <row r="9">
          <cell r="E9" t="str">
            <v>Yes</v>
          </cell>
          <cell r="F9">
            <v>4.21</v>
          </cell>
        </row>
      </sheetData>
      <sheetData sheetId="11">
        <row r="7">
          <cell r="E7" t="str">
            <v>Yes</v>
          </cell>
          <cell r="F7">
            <v>4800.46</v>
          </cell>
        </row>
        <row r="8">
          <cell r="E8" t="str">
            <v>Yes</v>
          </cell>
          <cell r="F8">
            <v>3036.79</v>
          </cell>
        </row>
        <row r="9">
          <cell r="E9" t="str">
            <v>Yes</v>
          </cell>
          <cell r="F9">
            <v>146.88</v>
          </cell>
        </row>
        <row r="10">
          <cell r="E10" t="str">
            <v>Yes</v>
          </cell>
          <cell r="F10">
            <v>17.95</v>
          </cell>
        </row>
      </sheetData>
      <sheetData sheetId="12">
        <row r="7">
          <cell r="E7" t="str">
            <v>Yes</v>
          </cell>
          <cell r="F7">
            <v>2958.65</v>
          </cell>
        </row>
        <row r="8">
          <cell r="E8" t="str">
            <v>Yes</v>
          </cell>
          <cell r="F8">
            <v>3057.31</v>
          </cell>
        </row>
        <row r="9">
          <cell r="E9" t="str">
            <v>Yes</v>
          </cell>
          <cell r="F9">
            <v>37.130000000000003</v>
          </cell>
        </row>
      </sheetData>
      <sheetData sheetId="13">
        <row r="7">
          <cell r="E7" t="str">
            <v>Yes</v>
          </cell>
          <cell r="F7">
            <v>1597.3</v>
          </cell>
        </row>
        <row r="8">
          <cell r="E8" t="str">
            <v>Yes</v>
          </cell>
          <cell r="F8">
            <v>8225</v>
          </cell>
        </row>
        <row r="9">
          <cell r="E9" t="str">
            <v>Yes</v>
          </cell>
          <cell r="F9">
            <v>3489.63</v>
          </cell>
        </row>
        <row r="10">
          <cell r="E10" t="str">
            <v>Yes</v>
          </cell>
          <cell r="F10">
            <v>64.069999999999993</v>
          </cell>
        </row>
      </sheetData>
      <sheetData sheetId="14">
        <row r="7">
          <cell r="E7" t="str">
            <v>Yes</v>
          </cell>
          <cell r="F7">
            <v>3.38</v>
          </cell>
        </row>
        <row r="8">
          <cell r="E8" t="str">
            <v>Yes</v>
          </cell>
          <cell r="F8">
            <v>881.25</v>
          </cell>
        </row>
        <row r="9">
          <cell r="E9" t="str">
            <v>Yes</v>
          </cell>
          <cell r="F9">
            <v>5291.26</v>
          </cell>
        </row>
        <row r="10">
          <cell r="E10" t="str">
            <v>Yes</v>
          </cell>
          <cell r="F10">
            <v>3435</v>
          </cell>
        </row>
        <row r="11">
          <cell r="E11" t="str">
            <v>Yes</v>
          </cell>
          <cell r="F11">
            <v>67.599999999999994</v>
          </cell>
        </row>
      </sheetData>
      <sheetData sheetId="15">
        <row r="7">
          <cell r="E7" t="str">
            <v>Yes</v>
          </cell>
          <cell r="F7">
            <v>3092.6</v>
          </cell>
        </row>
        <row r="8">
          <cell r="E8" t="str">
            <v>Yes</v>
          </cell>
          <cell r="F8">
            <v>4168.78</v>
          </cell>
        </row>
        <row r="9">
          <cell r="E9" t="str">
            <v>Yes</v>
          </cell>
          <cell r="F9">
            <v>1365.84</v>
          </cell>
        </row>
        <row r="10">
          <cell r="E10" t="str">
            <v>Yes</v>
          </cell>
          <cell r="F10">
            <v>41.71</v>
          </cell>
        </row>
      </sheetData>
      <sheetData sheetId="16">
        <row r="7">
          <cell r="F7">
            <v>40.200000000000003</v>
          </cell>
        </row>
        <row r="8">
          <cell r="F8">
            <v>38.49</v>
          </cell>
        </row>
        <row r="9">
          <cell r="F9">
            <v>145.4</v>
          </cell>
        </row>
        <row r="10">
          <cell r="F10">
            <v>1000</v>
          </cell>
        </row>
      </sheetData>
      <sheetData sheetId="17">
        <row r="7">
          <cell r="E7" t="str">
            <v>yes</v>
          </cell>
          <cell r="F7">
            <v>1315.5</v>
          </cell>
        </row>
        <row r="8">
          <cell r="E8" t="str">
            <v>Yes</v>
          </cell>
          <cell r="F8">
            <v>6.4</v>
          </cell>
        </row>
        <row r="9">
          <cell r="E9" t="str">
            <v>Yes</v>
          </cell>
          <cell r="F9">
            <v>925.95</v>
          </cell>
        </row>
        <row r="10">
          <cell r="E10" t="str">
            <v>Yes</v>
          </cell>
          <cell r="F10">
            <v>36.840000000000003</v>
          </cell>
        </row>
        <row r="11">
          <cell r="E11" t="str">
            <v>Yes</v>
          </cell>
          <cell r="F11">
            <v>822.29</v>
          </cell>
        </row>
        <row r="12">
          <cell r="E12" t="str">
            <v>Yes</v>
          </cell>
          <cell r="F12">
            <v>38.49</v>
          </cell>
        </row>
        <row r="13">
          <cell r="E13" t="str">
            <v>Yes</v>
          </cell>
          <cell r="F13">
            <v>139.53</v>
          </cell>
        </row>
        <row r="14">
          <cell r="E14" t="str">
            <v>Yes</v>
          </cell>
          <cell r="F14">
            <v>1000</v>
          </cell>
        </row>
      </sheetData>
      <sheetData sheetId="18">
        <row r="7">
          <cell r="E7" t="str">
            <v>Yes</v>
          </cell>
          <cell r="F7">
            <v>27.08</v>
          </cell>
        </row>
        <row r="8">
          <cell r="E8" t="str">
            <v>Yes</v>
          </cell>
          <cell r="F8">
            <v>633.05999999999995</v>
          </cell>
        </row>
        <row r="9">
          <cell r="E9" t="str">
            <v>Yes</v>
          </cell>
          <cell r="F9">
            <v>731.32</v>
          </cell>
        </row>
        <row r="10">
          <cell r="E10" t="str">
            <v>Yes</v>
          </cell>
          <cell r="F10">
            <v>35.479999999999997</v>
          </cell>
        </row>
        <row r="11">
          <cell r="E11" t="str">
            <v>Yes</v>
          </cell>
          <cell r="F11">
            <v>139.53</v>
          </cell>
        </row>
        <row r="12">
          <cell r="E12" t="str">
            <v>Yes</v>
          </cell>
          <cell r="F12">
            <v>481.75</v>
          </cell>
        </row>
        <row r="13">
          <cell r="E13" t="str">
            <v>Yes</v>
          </cell>
          <cell r="F13">
            <v>1000</v>
          </cell>
        </row>
        <row r="14">
          <cell r="E14" t="str">
            <v>Yes</v>
          </cell>
          <cell r="F14">
            <v>116.33</v>
          </cell>
        </row>
      </sheetData>
      <sheetData sheetId="19">
        <row r="7">
          <cell r="E7" t="str">
            <v>Yes</v>
          </cell>
          <cell r="F7">
            <v>40.659999999999997</v>
          </cell>
        </row>
        <row r="8">
          <cell r="E8" t="str">
            <v>Yes</v>
          </cell>
          <cell r="F8">
            <v>388.44</v>
          </cell>
        </row>
        <row r="9">
          <cell r="E9" t="str">
            <v>Yes</v>
          </cell>
          <cell r="F9">
            <v>35.479999999999997</v>
          </cell>
        </row>
        <row r="10">
          <cell r="E10" t="str">
            <v>Yes</v>
          </cell>
          <cell r="F10">
            <v>139.53</v>
          </cell>
        </row>
        <row r="11">
          <cell r="E11" t="str">
            <v>Yes</v>
          </cell>
          <cell r="F11">
            <v>708.62</v>
          </cell>
        </row>
        <row r="12">
          <cell r="E12" t="str">
            <v>Yes</v>
          </cell>
          <cell r="F12">
            <v>1000</v>
          </cell>
        </row>
      </sheetData>
      <sheetData sheetId="20">
        <row r="7">
          <cell r="E7" t="str">
            <v>Yes</v>
          </cell>
          <cell r="F7">
            <v>39.729999999999997</v>
          </cell>
        </row>
        <row r="8">
          <cell r="E8" t="str">
            <v>Yes</v>
          </cell>
          <cell r="F8">
            <v>569.29</v>
          </cell>
        </row>
        <row r="9">
          <cell r="E9" t="str">
            <v>Yes</v>
          </cell>
          <cell r="F9">
            <v>35.6</v>
          </cell>
        </row>
        <row r="10">
          <cell r="E10" t="str">
            <v>Yes</v>
          </cell>
          <cell r="F10">
            <v>139.53</v>
          </cell>
        </row>
        <row r="11">
          <cell r="E11" t="str">
            <v>Yes</v>
          </cell>
          <cell r="F11">
            <v>1000</v>
          </cell>
        </row>
      </sheetData>
      <sheetData sheetId="21">
        <row r="7">
          <cell r="E7" t="str">
            <v>Yes</v>
          </cell>
          <cell r="F7">
            <v>30.53</v>
          </cell>
        </row>
        <row r="8">
          <cell r="E8" t="str">
            <v>Yes</v>
          </cell>
          <cell r="F8">
            <v>1422.68</v>
          </cell>
        </row>
        <row r="9">
          <cell r="E9" t="str">
            <v>Yes</v>
          </cell>
          <cell r="F9">
            <v>533</v>
          </cell>
        </row>
        <row r="10">
          <cell r="E10" t="str">
            <v>Yes</v>
          </cell>
          <cell r="F10">
            <v>35.479999999999997</v>
          </cell>
        </row>
        <row r="11">
          <cell r="E11" t="str">
            <v>Yes</v>
          </cell>
          <cell r="F11">
            <v>139.53</v>
          </cell>
        </row>
        <row r="12">
          <cell r="E12" t="str">
            <v>Yes</v>
          </cell>
          <cell r="F12">
            <v>1000</v>
          </cell>
        </row>
      </sheetData>
      <sheetData sheetId="22">
        <row r="7">
          <cell r="E7" t="str">
            <v>Yes</v>
          </cell>
          <cell r="F7">
            <v>39.78</v>
          </cell>
        </row>
        <row r="8">
          <cell r="E8" t="str">
            <v>Yes</v>
          </cell>
          <cell r="F8">
            <v>441.67</v>
          </cell>
        </row>
        <row r="9">
          <cell r="E9" t="str">
            <v>Yes</v>
          </cell>
          <cell r="F9">
            <v>35.479999999999997</v>
          </cell>
        </row>
        <row r="10">
          <cell r="E10" t="str">
            <v>Yes</v>
          </cell>
          <cell r="F10">
            <v>433.99</v>
          </cell>
        </row>
        <row r="11">
          <cell r="E11" t="str">
            <v>Yes</v>
          </cell>
          <cell r="F11">
            <v>1000</v>
          </cell>
        </row>
        <row r="12">
          <cell r="E12" t="str">
            <v>yes</v>
          </cell>
          <cell r="F12">
            <v>139.53</v>
          </cell>
        </row>
      </sheetData>
      <sheetData sheetId="23">
        <row r="7">
          <cell r="E7" t="str">
            <v>Yes</v>
          </cell>
          <cell r="F7">
            <v>3.2</v>
          </cell>
        </row>
        <row r="8">
          <cell r="E8" t="str">
            <v>Yes</v>
          </cell>
          <cell r="F8">
            <v>333</v>
          </cell>
        </row>
        <row r="9">
          <cell r="E9" t="str">
            <v>Yes</v>
          </cell>
          <cell r="F9">
            <v>35.479999999999997</v>
          </cell>
        </row>
        <row r="10">
          <cell r="E10" t="str">
            <v>Yes</v>
          </cell>
          <cell r="F10">
            <v>139.53</v>
          </cell>
        </row>
        <row r="11">
          <cell r="E11" t="str">
            <v>Yes</v>
          </cell>
          <cell r="F11">
            <v>1000</v>
          </cell>
        </row>
      </sheetData>
      <sheetData sheetId="24">
        <row r="7">
          <cell r="E7" t="str">
            <v>Yes</v>
          </cell>
          <cell r="F7">
            <v>152</v>
          </cell>
        </row>
        <row r="8">
          <cell r="E8" t="str">
            <v>Yes</v>
          </cell>
          <cell r="F8">
            <v>36.17</v>
          </cell>
        </row>
        <row r="9">
          <cell r="E9" t="str">
            <v>Yes</v>
          </cell>
          <cell r="F9">
            <v>1771.06</v>
          </cell>
        </row>
        <row r="10">
          <cell r="E10" t="str">
            <v>Yes</v>
          </cell>
          <cell r="F10">
            <v>750.69</v>
          </cell>
        </row>
        <row r="11">
          <cell r="E11" t="str">
            <v>Yes</v>
          </cell>
          <cell r="F11">
            <v>32.549999999999997</v>
          </cell>
        </row>
        <row r="12">
          <cell r="E12" t="str">
            <v>Yes</v>
          </cell>
          <cell r="F12">
            <v>1612.37</v>
          </cell>
        </row>
        <row r="13">
          <cell r="E13" t="str">
            <v>Yes</v>
          </cell>
          <cell r="F13">
            <v>35.479999999999997</v>
          </cell>
        </row>
        <row r="14">
          <cell r="E14" t="str">
            <v>Yes</v>
          </cell>
          <cell r="F14">
            <v>139.53</v>
          </cell>
        </row>
        <row r="15">
          <cell r="E15" t="str">
            <v>Yes</v>
          </cell>
          <cell r="F15">
            <v>1000</v>
          </cell>
        </row>
      </sheetData>
      <sheetData sheetId="25">
        <row r="7">
          <cell r="E7" t="str">
            <v>Yes</v>
          </cell>
          <cell r="F7">
            <v>46.93</v>
          </cell>
        </row>
        <row r="8">
          <cell r="E8" t="str">
            <v>Yes</v>
          </cell>
          <cell r="F8">
            <v>716.05</v>
          </cell>
        </row>
        <row r="9">
          <cell r="E9" t="str">
            <v>Yes</v>
          </cell>
          <cell r="F9">
            <v>95</v>
          </cell>
        </row>
        <row r="10">
          <cell r="E10" t="str">
            <v>Yes</v>
          </cell>
          <cell r="F10">
            <v>35.479999999999997</v>
          </cell>
        </row>
        <row r="11">
          <cell r="E11" t="str">
            <v>Yes</v>
          </cell>
          <cell r="F11">
            <v>139.53</v>
          </cell>
        </row>
        <row r="12">
          <cell r="E12" t="str">
            <v>Yes</v>
          </cell>
          <cell r="F12">
            <v>2572</v>
          </cell>
        </row>
        <row r="13">
          <cell r="E13" t="str">
            <v>Yes</v>
          </cell>
          <cell r="F13">
            <v>1000</v>
          </cell>
        </row>
      </sheetData>
      <sheetData sheetId="26">
        <row r="7">
          <cell r="E7" t="str">
            <v>Yes</v>
          </cell>
          <cell r="F7">
            <v>132.18</v>
          </cell>
        </row>
        <row r="8">
          <cell r="E8" t="str">
            <v>Yes</v>
          </cell>
          <cell r="F8">
            <v>1279.5</v>
          </cell>
        </row>
        <row r="9">
          <cell r="E9" t="str">
            <v>Yes</v>
          </cell>
          <cell r="F9">
            <v>49.13</v>
          </cell>
        </row>
        <row r="10">
          <cell r="E10" t="str">
            <v>Yes</v>
          </cell>
          <cell r="F10">
            <v>35.6</v>
          </cell>
        </row>
        <row r="11">
          <cell r="E11" t="str">
            <v>Yes</v>
          </cell>
          <cell r="F11">
            <v>139.53</v>
          </cell>
        </row>
        <row r="12">
          <cell r="E12" t="str">
            <v>Yes</v>
          </cell>
          <cell r="F12">
            <v>1000</v>
          </cell>
        </row>
      </sheetData>
      <sheetData sheetId="27">
        <row r="7">
          <cell r="E7" t="str">
            <v>Yes</v>
          </cell>
          <cell r="F7">
            <v>10000</v>
          </cell>
        </row>
        <row r="8">
          <cell r="E8" t="str">
            <v>Yes</v>
          </cell>
          <cell r="F8">
            <v>1771.06</v>
          </cell>
        </row>
        <row r="9">
          <cell r="E9" t="str">
            <v>Yes</v>
          </cell>
          <cell r="F9">
            <v>1767.81</v>
          </cell>
        </row>
        <row r="10">
          <cell r="E10" t="str">
            <v>Yes</v>
          </cell>
          <cell r="F10">
            <v>51.24</v>
          </cell>
        </row>
        <row r="11">
          <cell r="E11" t="str">
            <v>Yes</v>
          </cell>
          <cell r="F11">
            <v>70</v>
          </cell>
        </row>
        <row r="12">
          <cell r="E12" t="str">
            <v>Yes</v>
          </cell>
          <cell r="F12">
            <v>10000</v>
          </cell>
        </row>
        <row r="13">
          <cell r="E13" t="str">
            <v>Yes</v>
          </cell>
          <cell r="F13">
            <v>413.62</v>
          </cell>
        </row>
        <row r="14">
          <cell r="E14" t="str">
            <v>Yes</v>
          </cell>
          <cell r="F14">
            <v>35.479999999999997</v>
          </cell>
        </row>
        <row r="15">
          <cell r="E15" t="str">
            <v>Yes</v>
          </cell>
          <cell r="F15">
            <v>37.6</v>
          </cell>
        </row>
        <row r="16">
          <cell r="E16" t="str">
            <v>Yes</v>
          </cell>
          <cell r="F16">
            <v>139.53</v>
          </cell>
        </row>
        <row r="17">
          <cell r="E17" t="str">
            <v>Yes</v>
          </cell>
          <cell r="F17">
            <v>1000</v>
          </cell>
        </row>
        <row r="18">
          <cell r="E18" t="str">
            <v>No</v>
          </cell>
          <cell r="F18">
            <v>303.20999999999998</v>
          </cell>
        </row>
        <row r="19">
          <cell r="E19" t="str">
            <v>No</v>
          </cell>
          <cell r="F19">
            <v>3943.25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Report Setup Sheet"/>
      <sheetName val="Business Summary Financial"/>
      <sheetName val="Unit Breakup"/>
      <sheetName val="Segment"/>
      <sheetName val="Ughai"/>
      <sheetName val="KPM"/>
      <sheetName val="Project Progress"/>
      <sheetName val="Initiative Progress"/>
      <sheetName val="Business Position Paper"/>
      <sheetName val="Consolidated Business"/>
      <sheetName val="Unit1"/>
      <sheetName val="Unit2"/>
      <sheetName val="Unit3"/>
      <sheetName val="Unit4"/>
      <sheetName val="Unit5"/>
      <sheetName val="Unit6"/>
      <sheetName val="Unit7"/>
      <sheetName val="Unit8"/>
      <sheetName val="Unit9"/>
      <sheetName val="Unit10"/>
      <sheetName val="Unit11"/>
      <sheetName val="Unit12"/>
      <sheetName val="Unit13"/>
      <sheetName val="Unit14"/>
      <sheetName val="Unit15"/>
      <sheetName val="Report_Setup_Sheet1"/>
      <sheetName val="Business_Summary_Financial1"/>
      <sheetName val="Unit_Breakup1"/>
      <sheetName val="Project_Progress1"/>
      <sheetName val="Initiative_Progress1"/>
      <sheetName val="Business_Position_Paper1"/>
      <sheetName val="Consolidated_Business1"/>
      <sheetName val="Report_Setup_Sheet"/>
      <sheetName val="Business_Summary_Financial"/>
      <sheetName val="Unit_Breakup"/>
      <sheetName val="Project_Progress"/>
      <sheetName val="Initiative_Progress"/>
      <sheetName val="Business_Position_Paper"/>
      <sheetName val="Consolidated_Business"/>
      <sheetName val="Masters"/>
      <sheetName val="bloomberg Data"/>
      <sheetName val="Working"/>
      <sheetName val="FG"/>
      <sheetName val="Input"/>
      <sheetName val="Valuation"/>
      <sheetName val="IRR"/>
      <sheetName val="Assumptions"/>
      <sheetName val="Detail Grouping"/>
      <sheetName val="LEDGER"/>
      <sheetName val="COA-IPCL"/>
      <sheetName val="Report_Setup_Sheet2"/>
      <sheetName val="Business_Summary_Financial2"/>
      <sheetName val="Unit_Breakup2"/>
      <sheetName val="Project_Progress2"/>
      <sheetName val="Initiative_Progress2"/>
      <sheetName val="Business_Position_Paper2"/>
      <sheetName val="Consolidated_Business2"/>
      <sheetName val="bloomberg_Data"/>
      <sheetName val="Detail_Grouping"/>
      <sheetName val="1956 Rates"/>
      <sheetName val="2013 Rates"/>
      <sheetName val="SLM_Illustration"/>
      <sheetName val="SLM_Schedule"/>
      <sheetName val="Additions_SLM"/>
      <sheetName val="Entries to be passed"/>
      <sheetName val="Sheet1"/>
      <sheetName val="#REF"/>
      <sheetName val="Intro"/>
      <sheetName val="tb"/>
      <sheetName val="FPS"/>
      <sheetName val="Exchange Rate"/>
      <sheetName val="Exchange_Rate"/>
      <sheetName val="Versions"/>
    </sheetNames>
    <sheetDataSet>
      <sheetData sheetId="0" refreshError="1"/>
      <sheetData sheetId="1" refreshError="1">
        <row r="50">
          <cell r="B50" t="str">
            <v>Carbon Black</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0">
          <cell r="B50" t="str">
            <v>Carbon Black</v>
          </cell>
        </row>
      </sheetData>
      <sheetData sheetId="27"/>
      <sheetData sheetId="28"/>
      <sheetData sheetId="29"/>
      <sheetData sheetId="30"/>
      <sheetData sheetId="31"/>
      <sheetData sheetId="32"/>
      <sheetData sheetId="33">
        <row r="50">
          <cell r="B50" t="str">
            <v>Carbon Black</v>
          </cell>
        </row>
      </sheetData>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50">
          <cell r="B50" t="str">
            <v>Carbon Black</v>
          </cell>
        </row>
      </sheetData>
      <sheetData sheetId="52"/>
      <sheetData sheetId="53"/>
      <sheetData sheetId="54"/>
      <sheetData sheetId="55"/>
      <sheetData sheetId="56"/>
      <sheetData sheetId="57"/>
      <sheetData sheetId="58"/>
      <sheetData sheetId="59"/>
      <sheetData sheetId="60">
        <row r="6">
          <cell r="E6">
            <v>0</v>
          </cell>
        </row>
      </sheetData>
      <sheetData sheetId="61">
        <row r="5">
          <cell r="F5">
            <v>0</v>
          </cell>
        </row>
      </sheetData>
      <sheetData sheetId="62">
        <row r="5">
          <cell r="F5">
            <v>0</v>
          </cell>
        </row>
      </sheetData>
      <sheetData sheetId="63"/>
      <sheetData sheetId="64">
        <row r="6">
          <cell r="E6">
            <v>0</v>
          </cell>
        </row>
      </sheetData>
      <sheetData sheetId="65">
        <row r="5">
          <cell r="F5">
            <v>0</v>
          </cell>
        </row>
      </sheetData>
      <sheetData sheetId="66" refreshError="1"/>
      <sheetData sheetId="67" refreshError="1"/>
      <sheetData sheetId="68" refreshError="1"/>
      <sheetData sheetId="69" refreshError="1"/>
      <sheetData sheetId="70" refreshError="1"/>
      <sheetData sheetId="71" refreshError="1"/>
      <sheetData sheetId="72">
        <row r="5">
          <cell r="F5">
            <v>0</v>
          </cell>
        </row>
      </sheetData>
      <sheetData sheetId="7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sheetName val="P&amp;L"/>
      <sheetName val="BS"/>
      <sheetName val="Cash Flow"/>
      <sheetName val="Stks"/>
      <sheetName val="Stk Stm"/>
      <sheetName val="CPC"/>
      <sheetName val="PwPf-Company"/>
      <sheetName val="Manu Exp-Co"/>
      <sheetName val="S&amp;D-Co"/>
      <sheetName val="Admin Exp-Co"/>
      <sheetName val="Salary"/>
      <sheetName val="PwPf-Depot"/>
      <sheetName val="S&amp;D-Oh"/>
      <sheetName val="S&amp;D-Sales"/>
      <sheetName val="Field Staff"/>
      <sheetName val="R&amp;D-Exp"/>
      <sheetName val="Factory"/>
      <sheetName val="Costing"/>
      <sheetName val="Factory-OH"/>
      <sheetName val="Wages"/>
      <sheetName val="Out-Std"/>
      <sheetName val="Cost Os"/>
      <sheetName val="capax summ"/>
      <sheetName val="projec_detail"/>
      <sheetName val="control cwip"/>
      <sheetName val="Csa Inv"/>
      <sheetName val="R&amp;D"/>
      <sheetName val="Advt"/>
      <sheetName val="NPC-CPC"/>
      <sheetName val="State Summ"/>
      <sheetName val="Unit Summ"/>
      <sheetName val="State Vol"/>
      <sheetName val="Volumes"/>
      <sheetName val="Cash_Flow1"/>
      <sheetName val="Stk_Stm1"/>
      <sheetName val="Manu_Exp-Co1"/>
      <sheetName val="Admin_Exp-Co1"/>
      <sheetName val="Field_Staff1"/>
      <sheetName val="Cost_Os1"/>
      <sheetName val="capax_summ1"/>
      <sheetName val="control_cwip1"/>
      <sheetName val="Csa_Inv1"/>
      <sheetName val="State_Summ1"/>
      <sheetName val="Unit_Summ1"/>
      <sheetName val="State_Vol1"/>
      <sheetName val="Cash_Flow"/>
      <sheetName val="Stk_Stm"/>
      <sheetName val="Manu_Exp-Co"/>
      <sheetName val="Admin_Exp-Co"/>
      <sheetName val="Field_Staff"/>
      <sheetName val="Cost_Os"/>
      <sheetName val="capax_summ"/>
      <sheetName val="control_cwip"/>
      <sheetName val="Csa_Inv"/>
      <sheetName val="State_Summ"/>
      <sheetName val="Unit_Summ"/>
      <sheetName val="State_Vol"/>
      <sheetName val="Cash_Flow2"/>
      <sheetName val="Stk_Stm2"/>
      <sheetName val="Manu_Exp-Co2"/>
      <sheetName val="Admin_Exp-Co2"/>
      <sheetName val="Field_Staff2"/>
      <sheetName val="Cost_Os2"/>
      <sheetName val="capax_summ2"/>
      <sheetName val="control_cwip2"/>
      <sheetName val="Csa_Inv2"/>
      <sheetName val="State_Summ2"/>
      <sheetName val="Unit_Summ2"/>
      <sheetName val="State_Vol2"/>
      <sheetName val="working"/>
      <sheetName val="Customize Your Invo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refreshError="1"/>
      <sheetData sheetId="1" refreshError="1"/>
      <sheetData sheetId="2">
        <row r="7">
          <cell r="A7">
            <v>1</v>
          </cell>
          <cell r="B7" t="str">
            <v>94C</v>
          </cell>
          <cell r="C7">
            <v>13711</v>
          </cell>
          <cell r="D7">
            <v>0</v>
          </cell>
          <cell r="E7">
            <v>0</v>
          </cell>
          <cell r="F7">
            <v>0</v>
          </cell>
          <cell r="G7">
            <v>0</v>
          </cell>
          <cell r="I7">
            <v>13711</v>
          </cell>
          <cell r="J7" t="str">
            <v>0</v>
          </cell>
          <cell r="L7">
            <v>533</v>
          </cell>
          <cell r="N7">
            <v>39094</v>
          </cell>
          <cell r="P7">
            <v>58</v>
          </cell>
          <cell r="Q7" t="str">
            <v>No</v>
          </cell>
          <cell r="R7">
            <v>0</v>
          </cell>
          <cell r="S7">
            <v>0</v>
          </cell>
        </row>
        <row r="8">
          <cell r="A8">
            <v>2</v>
          </cell>
          <cell r="B8" t="str">
            <v>94J</v>
          </cell>
          <cell r="C8">
            <v>5610</v>
          </cell>
          <cell r="D8">
            <v>0</v>
          </cell>
          <cell r="E8">
            <v>0</v>
          </cell>
          <cell r="F8">
            <v>0</v>
          </cell>
          <cell r="G8">
            <v>0</v>
          </cell>
          <cell r="I8">
            <v>5610</v>
          </cell>
          <cell r="J8" t="str">
            <v>0</v>
          </cell>
          <cell r="L8">
            <v>533</v>
          </cell>
          <cell r="N8">
            <v>39094</v>
          </cell>
          <cell r="P8">
            <v>56</v>
          </cell>
          <cell r="Q8" t="str">
            <v>No</v>
          </cell>
          <cell r="R8">
            <v>0</v>
          </cell>
          <cell r="S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A58" t="str">
            <v>Total</v>
          </cell>
          <cell r="C58">
            <v>19321</v>
          </cell>
          <cell r="D58">
            <v>0</v>
          </cell>
          <cell r="E58">
            <v>0</v>
          </cell>
          <cell r="F58">
            <v>0</v>
          </cell>
          <cell r="G58">
            <v>0</v>
          </cell>
          <cell r="H58">
            <v>0</v>
          </cell>
          <cell r="I58">
            <v>19321</v>
          </cell>
          <cell r="R58">
            <v>0</v>
          </cell>
          <cell r="S58">
            <v>0</v>
          </cell>
        </row>
      </sheetData>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sheetData sheetId="1"/>
      <sheetData sheetId="2">
        <row r="7">
          <cell r="A7">
            <v>1</v>
          </cell>
          <cell r="B7" t="str">
            <v>94C</v>
          </cell>
          <cell r="G7">
            <v>0</v>
          </cell>
        </row>
        <row r="8">
          <cell r="A8">
            <v>2</v>
          </cell>
          <cell r="B8" t="str">
            <v>94C</v>
          </cell>
        </row>
        <row r="9">
          <cell r="A9">
            <v>3</v>
          </cell>
          <cell r="B9" t="str">
            <v>94C</v>
          </cell>
        </row>
        <row r="10">
          <cell r="A10">
            <v>4</v>
          </cell>
          <cell r="B10" t="str">
            <v>94J</v>
          </cell>
        </row>
        <row r="11">
          <cell r="A11">
            <v>5</v>
          </cell>
          <cell r="B11" t="str">
            <v>94H</v>
          </cell>
        </row>
        <row r="12">
          <cell r="A12">
            <v>6</v>
          </cell>
          <cell r="B12" t="str">
            <v>94A</v>
          </cell>
        </row>
        <row r="13">
          <cell r="A13">
            <v>7</v>
          </cell>
          <cell r="B13" t="str">
            <v>94A</v>
          </cell>
        </row>
        <row r="14">
          <cell r="I14">
            <v>0</v>
          </cell>
        </row>
        <row r="15">
          <cell r="A15" t="str">
            <v>Total</v>
          </cell>
          <cell r="C15">
            <v>0</v>
          </cell>
          <cell r="D15">
            <v>0</v>
          </cell>
          <cell r="E15">
            <v>0</v>
          </cell>
          <cell r="F15">
            <v>0</v>
          </cell>
          <cell r="G15">
            <v>0</v>
          </cell>
          <cell r="H15">
            <v>0</v>
          </cell>
          <cell r="I15">
            <v>0</v>
          </cell>
          <cell r="R15">
            <v>0</v>
          </cell>
          <cell r="S15">
            <v>0</v>
          </cell>
        </row>
      </sheetData>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tart"/>
      <sheetName val="Sum"/>
      <sheetName val="Upgrade"/>
      <sheetName val="M_S"/>
      <sheetName val="M_M"/>
      <sheetName val="M_C"/>
      <sheetName val="M_O"/>
      <sheetName val="M_A"/>
      <sheetName val="M_F"/>
      <sheetName val="M_B"/>
      <sheetName val="M_T"/>
      <sheetName val="M_Charts"/>
      <sheetName val="M_IS"/>
      <sheetName val="M_CF"/>
      <sheetName val="M_BS"/>
      <sheetName val="M_PR"/>
      <sheetName val="M_SY"/>
      <sheetName val="Q_A1"/>
      <sheetName val="Q_A2"/>
      <sheetName val="Q_Charts"/>
      <sheetName val="67_A"/>
      <sheetName val="A_Charts"/>
      <sheetName val="Q_IS"/>
      <sheetName val="Q_CF"/>
      <sheetName val="Q_BS"/>
      <sheetName val="Q_PR"/>
      <sheetName val="Text"/>
      <sheetName val="Quik"/>
      <sheetName val="Sens"/>
      <sheetName val="What-If"/>
      <sheetName val="Profit"/>
      <sheetName val="Cash"/>
      <sheetName val="Track"/>
      <sheetName val="Trends"/>
      <sheetName val="Check"/>
      <sheetName val="Calc"/>
      <sheetName val="MAIN"/>
      <sheetName val="COMMERCIAL"/>
      <sheetName val="SHARE"/>
      <sheetName val="ASS"/>
      <sheetName val="PROT"/>
      <sheetName val="PRINT-ASS"/>
      <sheetName val="OUT"/>
      <sheetName val="PRINT-OUT"/>
      <sheetName val="CHARTS"/>
      <sheetName val="PRINT-CHARTS"/>
      <sheetName val="TOOLS-SETUP"/>
      <sheetName val="HELP"/>
      <sheetName val="ADDITIONS"/>
      <sheetName val="DESCRIPTION"/>
      <sheetName val="BASICINFO"/>
      <sheetName val="PRINT"/>
      <sheetName val="ABOUT"/>
      <sheetName val="VIEW"/>
      <sheetName val="CHAR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ow r="6">
          <cell r="H6" t="str">
            <v>Sales tax</v>
          </cell>
        </row>
      </sheetData>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ow r="173">
          <cell r="H173" t="str">
            <v>000</v>
          </cell>
        </row>
        <row r="174">
          <cell r="H174" t="str">
            <v xml:space="preserve"> - Product A</v>
          </cell>
        </row>
        <row r="175">
          <cell r="H175" t="str">
            <v xml:space="preserve"> - Product B</v>
          </cell>
        </row>
        <row r="176">
          <cell r="H176" t="str">
            <v xml:space="preserve"> - Product C</v>
          </cell>
        </row>
        <row r="177">
          <cell r="H177" t="str">
            <v xml:space="preserve"> - Product D</v>
          </cell>
        </row>
        <row r="178">
          <cell r="H178" t="str">
            <v xml:space="preserve"> - Service A</v>
          </cell>
        </row>
        <row r="179">
          <cell r="H179" t="str">
            <v xml:space="preserve"> - Service B</v>
          </cell>
        </row>
        <row r="180">
          <cell r="H180" t="str">
            <v xml:space="preserve"> - Service C</v>
          </cell>
        </row>
        <row r="181">
          <cell r="H181" t="str">
            <v xml:space="preserve"> - Service D</v>
          </cell>
        </row>
        <row r="182">
          <cell r="H182" t="str">
            <v xml:space="preserve"> - Exports</v>
          </cell>
        </row>
        <row r="183">
          <cell r="H183" t="str">
            <v xml:space="preserve"> - Spares</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erian Jvmar06"/>
      <sheetName val="BS"/>
      <sheetName val="cashflow"/>
      <sheetName val="PL"/>
      <sheetName val="Schedules"/>
      <sheetName val="FA schedule"/>
      <sheetName val="Sch22"/>
      <sheetName val="Inv"/>
      <sheetName val="BS sub sh"/>
      <sheetName val="Invest. thousand"/>
      <sheetName val="Investments"/>
      <sheetName val="pubres"/>
      <sheetName val="Sheet1"/>
      <sheetName val="Income"/>
      <sheetName val="Exp"/>
      <sheetName val="Leave encashement"/>
      <sheetName val="TB APJ"/>
      <sheetName val="Variance"/>
      <sheetName val="vari-1"/>
      <sheetName val="TB WORLI"/>
      <sheetName val="deftax"/>
      <sheetName val="Quar ABNL"/>
      <sheetName val="it depr."/>
      <sheetName val="FASCHEDULE"/>
      <sheetName val="G SecST&amp;LT "/>
      <sheetName val="itcomp"/>
      <sheetName val="ratio analysis"/>
      <sheetName val="Hyperian_Jvmar061"/>
      <sheetName val="FA_schedule1"/>
      <sheetName val="BS_sub_sh1"/>
      <sheetName val="Invest__thousand1"/>
      <sheetName val="Leave_encashement1"/>
      <sheetName val="TB_APJ1"/>
      <sheetName val="TB_WORLI1"/>
      <sheetName val="Quar_ABNL1"/>
      <sheetName val="it_depr_1"/>
      <sheetName val="G_SecST&amp;LT_1"/>
      <sheetName val="ratio_analysis1"/>
      <sheetName val="Hyperian_Jvmar06"/>
      <sheetName val="FA_schedule"/>
      <sheetName val="BS_sub_sh"/>
      <sheetName val="Invest__thousand"/>
      <sheetName val="Leave_encashement"/>
      <sheetName val="TB_APJ"/>
      <sheetName val="TB_WORLI"/>
      <sheetName val="Quar_ABNL"/>
      <sheetName val="it_depr_"/>
      <sheetName val="G_SecST&amp;LT_"/>
      <sheetName val="ratio_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7">
          <cell r="B67">
            <v>125873</v>
          </cell>
        </row>
        <row r="85">
          <cell r="B85">
            <v>53508</v>
          </cell>
        </row>
        <row r="97">
          <cell r="B97">
            <v>4803530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67">
          <cell r="B67">
            <v>125873</v>
          </cell>
        </row>
      </sheetData>
      <sheetData sheetId="33"/>
      <sheetData sheetId="34"/>
      <sheetData sheetId="35"/>
      <sheetData sheetId="36"/>
      <sheetData sheetId="37"/>
      <sheetData sheetId="38"/>
      <sheetData sheetId="39"/>
      <sheetData sheetId="40"/>
      <sheetData sheetId="41"/>
      <sheetData sheetId="42"/>
      <sheetData sheetId="43">
        <row r="67">
          <cell r="B67">
            <v>125873</v>
          </cell>
        </row>
      </sheetData>
      <sheetData sheetId="44"/>
      <sheetData sheetId="45"/>
      <sheetData sheetId="46"/>
      <sheetData sheetId="47"/>
      <sheetData sheetId="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s"/>
      <sheetName val="tds"/>
      <sheetName val="43b"/>
      <sheetName val="depjc1&amp;2"/>
      <sheetName val="dep 99"/>
      <sheetName val="dep1&amp;2&amp;pla"/>
      <sheetName val="80IA"/>
      <sheetName val="80HHC"/>
      <sheetName val="80IA 2"/>
      <sheetName val="capgain"/>
      <sheetName val="ind"/>
      <sheetName val="dep_991"/>
      <sheetName val="80IA_21"/>
      <sheetName val="dep_99"/>
      <sheetName val="80IA_2"/>
      <sheetName val="dep_992"/>
      <sheetName val="80IA_22"/>
      <sheetName val="RJ)"/>
      <sheetName val="tb"/>
      <sheetName val="CRITERIA1"/>
      <sheetName val="BS-DET"/>
      <sheetName val="TB APJ"/>
      <sheetName val="July"/>
      <sheetName val="WORK TABLE"/>
      <sheetName val="Ranges"/>
      <sheetName val="Financials"/>
      <sheetName val="HOUSE RENT DEPO."/>
      <sheetName val="Monthly Break Up"/>
      <sheetName val="OC 17-04-06"/>
      <sheetName val="Customize Your Invoice"/>
      <sheetName val="Data"/>
      <sheetName val="SUM-WDV"/>
      <sheetName val="TB_APJ"/>
      <sheetName val="Customize_Your_Invoice"/>
    </sheetNames>
    <sheetDataSet>
      <sheetData sheetId="0">
        <row r="28">
          <cell r="H28">
            <v>540967</v>
          </cell>
        </row>
      </sheetData>
      <sheetData sheetId="1">
        <row r="28">
          <cell r="H28">
            <v>540967</v>
          </cell>
        </row>
      </sheetData>
      <sheetData sheetId="2">
        <row r="28">
          <cell r="H28">
            <v>540967</v>
          </cell>
        </row>
      </sheetData>
      <sheetData sheetId="3" refreshError="1">
        <row r="28">
          <cell r="H28">
            <v>540967</v>
          </cell>
        </row>
        <row r="33">
          <cell r="H33">
            <v>2453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D FORM C "/>
      <sheetName val="FORM C ASD "/>
      <sheetName val="FORM C ASD"/>
      <sheetName val="MIS REPORT April 16 ~DEC 16"/>
    </sheetNames>
    <definedNames>
      <definedName name="End_Bal" refersTo="#REF!"/>
      <definedName name="Interest_Rate" refersTo="#REF!"/>
      <definedName name="Loan_Amount" refersTo="#REF!"/>
      <definedName name="Loan_Start" refersTo="#REF!"/>
      <definedName name="Loan_Years" refersTo="#REF!"/>
    </definedNames>
    <sheetDataSet>
      <sheetData sheetId="0"/>
      <sheetData sheetId="1"/>
      <sheetData sheetId="2"/>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D FORM C "/>
      <sheetName val="FORM C ASD "/>
      <sheetName val="FORM C ASD"/>
      <sheetName val="MIS REPORT April 16 ~DEC 16"/>
    </sheetNames>
    <definedNames>
      <definedName name="End_Bal" refersTo="#REF!"/>
      <definedName name="Interest_Rate" refersTo="#REF!"/>
      <definedName name="Loan_Amount" refersTo="#REF!"/>
      <definedName name="Loan_Start" refersTo="#REF!"/>
      <definedName name="Loan_Years" refersTo="#REF!"/>
    </definedNames>
    <sheetDataSet>
      <sheetData sheetId="0"/>
      <sheetData sheetId="1"/>
      <sheetData sheetId="2"/>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rialbal"/>
      <sheetName val="expcfd"/>
      <sheetName val="defentry"/>
      <sheetName val="taxfree"/>
      <sheetName val="roi"/>
      <sheetName val="depre"/>
      <sheetName val="SHOW"/>
      <sheetName val="OPS_asia"/>
      <sheetName val="Production"/>
      <sheetName val="PRICE"/>
      <sheetName val="Data"/>
      <sheetName val="OPS_SIMPLIFIE"/>
      <sheetName val="CESSION"/>
      <sheetName val="ORDER"/>
      <sheetName val="income"/>
      <sheetName val="AP RA99-06"/>
      <sheetName val="HV RA99-06"/>
      <sheetName val="IN RA99-06"/>
      <sheetName val="CH RA99-06"/>
      <sheetName val="TH RA99-06"/>
      <sheetName val="HZ RA99-06"/>
      <sheetName val="Total MG "/>
      <sheetName val="Rates"/>
      <sheetName val="TB"/>
      <sheetName val="Schedule"/>
      <sheetName val="IOPlan"/>
      <sheetName val="Consol"/>
      <sheetName val="MAPPINGS"/>
      <sheetName val="Op Plan Sales"/>
      <sheetName val="Lists"/>
      <sheetName val="IT Only"/>
      <sheetName val="Comp"/>
      <sheetName val="Risco-Accts"/>
      <sheetName val="Payroll_Statement"/>
      <sheetName val="Annexure"/>
      <sheetName val="3 Yr Revenue Analysis(old)"/>
      <sheetName val="Trial Balance"/>
      <sheetName val="Input schedule"/>
      <sheetName val="Sales &amp; Marketing Dashboard"/>
      <sheetName val="LIC"/>
      <sheetName val="PropertyList"/>
      <sheetName val="IT-accruals"/>
      <sheetName val="TPM Tot"/>
      <sheetName val="StdMarginRegQtr"/>
      <sheetName val="Sept '99"/>
      <sheetName val="Control"/>
      <sheetName val="Opening Balance"/>
      <sheetName val="Jodalli-P&amp;L"/>
      <sheetName val="Graphdata"/>
      <sheetName val="Masters"/>
      <sheetName val="M B-QtyRecn"/>
      <sheetName val="AP_RA99-06"/>
      <sheetName val="HV_RA99-06"/>
      <sheetName val="IN_RA99-06"/>
      <sheetName val="CH_RA99-06"/>
      <sheetName val="TH_RA99-06"/>
      <sheetName val="HZ_RA99-06"/>
      <sheetName val="Op_Plan_Sales"/>
      <sheetName val="M_B-QtyRecn"/>
      <sheetName val="RES"/>
      <sheetName val="FBT Full"/>
      <sheetName val="Rollup_Summary"/>
      <sheetName val="Other notes"/>
      <sheetName val="AP_RA99-061"/>
      <sheetName val="HV_RA99-061"/>
      <sheetName val="IN_RA99-061"/>
      <sheetName val="CH_RA99-061"/>
      <sheetName val="TH_RA99-061"/>
      <sheetName val="HZ_RA99-061"/>
      <sheetName val="Total_MG_"/>
      <sheetName val="Op_Plan_Sales1"/>
      <sheetName val="IT_Only"/>
      <sheetName val="POFG"/>
      <sheetName val="List"/>
      <sheetName val="Cash Flow.7"/>
      <sheetName val="COA-IPCL"/>
      <sheetName val="Chart of Accounts"/>
      <sheetName val="Trial_Balance"/>
      <sheetName val="Sales_&amp;_Marketing_Dashboard"/>
      <sheetName val="Input_schedule"/>
      <sheetName val="TPM_Tot"/>
      <sheetName val="Sept_'99"/>
      <sheetName val="Params"/>
      <sheetName val="MAIN"/>
      <sheetName val="Macro1"/>
      <sheetName val="Other"/>
      <sheetName val="Summary"/>
      <sheetName val="consolidated Budget"/>
      <sheetName val="New form 3CD A"/>
      <sheetName val="Push Diag on Premise"/>
      <sheetName val="CChannel Attract Input"/>
      <sheetName val="FStratPlan"/>
      <sheetName val="EXPENSES"/>
      <sheetName val="AP_RA99-062"/>
      <sheetName val="HV_RA99-062"/>
      <sheetName val="IN_RA99-062"/>
      <sheetName val="CH_RA99-062"/>
      <sheetName val="TH_RA99-062"/>
      <sheetName val="HZ_RA99-062"/>
      <sheetName val="Total_MG_1"/>
      <sheetName val="Op_Plan_Sales2"/>
      <sheetName val="IT_Only1"/>
      <sheetName val="Main-Material"/>
      <sheetName val="IS"/>
      <sheetName val="May 09"/>
      <sheetName val="43b"/>
      <sheetName val="Monthly Break Up"/>
      <sheetName val="DATAENTRY"/>
      <sheetName val="dlvoid"/>
      <sheetName val="FedEx_Rates"/>
      <sheetName val="Design"/>
      <sheetName val="TRIAL_BALANCE1"/>
      <sheetName val="Introduction"/>
      <sheetName val="2 - I (Capex)"/>
      <sheetName val="analysis"/>
      <sheetName val="PRECAST lightconc-II"/>
      <sheetName val="Monthly_Break_Up"/>
      <sheetName val="2_-_I_(Capex)"/>
      <sheetName val="PRECAST_lightconc-II"/>
    </sheetNames>
    <sheetDataSet>
      <sheetData sheetId="0">
        <row r="145">
          <cell r="B145">
            <v>1204916880.8</v>
          </cell>
        </row>
      </sheetData>
      <sheetData sheetId="1">
        <row r="145">
          <cell r="B145">
            <v>1204916880.8</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refreshError="1"/>
      <sheetData sheetId="85" refreshError="1"/>
      <sheetData sheetId="86"/>
      <sheetData sheetId="87"/>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sheetData sheetId="105"/>
      <sheetData sheetId="106" refreshError="1"/>
      <sheetData sheetId="107" refreshError="1"/>
      <sheetData sheetId="108" refreshError="1"/>
      <sheetData sheetId="109" refreshError="1"/>
      <sheetData sheetId="110" refreshError="1"/>
      <sheetData sheetId="111"/>
      <sheetData sheetId="112" refreshError="1"/>
      <sheetData sheetId="113" refreshError="1"/>
      <sheetData sheetId="114" refreshError="1"/>
      <sheetData sheetId="115" refreshError="1"/>
      <sheetData sheetId="116" refreshError="1"/>
      <sheetData sheetId="117"/>
      <sheetData sheetId="118"/>
      <sheetData sheetId="11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 analysis"/>
      <sheetName val="pubres"/>
      <sheetName val="BS"/>
      <sheetName val="PL"/>
      <sheetName val="Schedules"/>
      <sheetName val="Liab"/>
      <sheetName val="Assets"/>
      <sheetName val="Income"/>
      <sheetName val="Exp"/>
      <sheetName val="TB"/>
      <sheetName val="deftax"/>
      <sheetName val="wndeftax"/>
      <sheetName val="G SecST&amp;LT "/>
      <sheetName val="FA"/>
      <sheetName val="itcomp"/>
      <sheetName val="Recon"/>
      <sheetName val="BREAKUP"/>
      <sheetName val="ratio_analysis1"/>
      <sheetName val="G_SecST&amp;LT_1"/>
      <sheetName val="ratio_analysis"/>
      <sheetName val="G_SecST&amp;LT_"/>
    </sheetNames>
    <sheetDataSet>
      <sheetData sheetId="0"/>
      <sheetData sheetId="1"/>
      <sheetData sheetId="2"/>
      <sheetData sheetId="3"/>
      <sheetData sheetId="4"/>
      <sheetData sheetId="5"/>
      <sheetData sheetId="6"/>
      <sheetData sheetId="7"/>
      <sheetData sheetId="8"/>
      <sheetData sheetId="9">
        <row r="185">
          <cell r="B185">
            <v>2529</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Amortization Schedule"/>
    </sheetNames>
    <sheetDataSet>
      <sheetData sheetId="0">
        <row r="5">
          <cell r="D5">
            <v>430000</v>
          </cell>
        </row>
        <row r="6">
          <cell r="D6">
            <v>0.13865</v>
          </cell>
        </row>
        <row r="7">
          <cell r="D7">
            <v>3</v>
          </cell>
        </row>
        <row r="9">
          <cell r="D9">
            <v>39203</v>
          </cell>
        </row>
        <row r="18">
          <cell r="I18">
            <v>420300.08945914567</v>
          </cell>
        </row>
        <row r="19">
          <cell r="I19">
            <v>410488.10453525058</v>
          </cell>
        </row>
        <row r="20">
          <cell r="I20">
            <v>400562.75030221394</v>
          </cell>
        </row>
        <row r="21">
          <cell r="I21">
            <v>390522.71687214309</v>
          </cell>
        </row>
        <row r="22">
          <cell r="I22">
            <v>380366.67922248231</v>
          </cell>
        </row>
        <row r="23">
          <cell r="I23">
            <v>370093.29702114442</v>
          </cell>
        </row>
        <row r="24">
          <cell r="I24">
            <v>359701.21444962191</v>
          </cell>
        </row>
        <row r="25">
          <cell r="I25">
            <v>349189.06002405426</v>
          </cell>
        </row>
        <row r="26">
          <cell r="I26">
            <v>338555.44641422789</v>
          </cell>
        </row>
        <row r="27">
          <cell r="I27">
            <v>327798.97026048461</v>
          </cell>
        </row>
        <row r="28">
          <cell r="I28">
            <v>316918.21198851499</v>
          </cell>
        </row>
        <row r="29">
          <cell r="I29">
            <v>305911.7356220113</v>
          </cell>
        </row>
        <row r="30">
          <cell r="I30">
            <v>294778.08859315631</v>
          </cell>
        </row>
        <row r="31">
          <cell r="I31">
            <v>283515.8015509221</v>
          </cell>
        </row>
        <row r="32">
          <cell r="I32">
            <v>272123.38816715404</v>
          </cell>
        </row>
        <row r="33">
          <cell r="I33">
            <v>260599.34494041439</v>
          </cell>
        </row>
        <row r="34">
          <cell r="I34">
            <v>248942.1509975591</v>
          </cell>
        </row>
        <row r="35">
          <cell r="I35">
            <v>237150.26789302242</v>
          </cell>
        </row>
        <row r="36">
          <cell r="I36">
            <v>225222.13940578207</v>
          </cell>
        </row>
        <row r="37">
          <cell r="I37">
            <v>213156.19133397873</v>
          </cell>
        </row>
        <row r="38">
          <cell r="I38">
            <v>200950.83128716244</v>
          </cell>
        </row>
        <row r="39">
          <cell r="I39">
            <v>188604.44847613855</v>
          </cell>
        </row>
        <row r="40">
          <cell r="I40">
            <v>176115.41350038562</v>
          </cell>
        </row>
        <row r="41">
          <cell r="I41">
            <v>163482.078133017</v>
          </cell>
        </row>
        <row r="42">
          <cell r="I42">
            <v>150702.77510325791</v>
          </cell>
        </row>
        <row r="43">
          <cell r="I43">
            <v>137775.81787640916</v>
          </cell>
        </row>
        <row r="44">
          <cell r="I44">
            <v>124699.50043126852</v>
          </cell>
        </row>
        <row r="45">
          <cell r="I45">
            <v>111472.09703498048</v>
          </cell>
        </row>
        <row r="46">
          <cell r="I46">
            <v>98091.862015284511</v>
          </cell>
        </row>
        <row r="47">
          <cell r="I47">
            <v>84557.029530131796</v>
          </cell>
        </row>
        <row r="48">
          <cell r="I48">
            <v>70865.813334640203</v>
          </cell>
        </row>
        <row r="49">
          <cell r="I49">
            <v>57016.406545356542</v>
          </cell>
        </row>
        <row r="50">
          <cell r="I50">
            <v>43006.981401795027</v>
          </cell>
        </row>
        <row r="51">
          <cell r="I51">
            <v>28835.689025220614</v>
          </cell>
        </row>
        <row r="52">
          <cell r="I52">
            <v>14500.6591746452</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Amortization Schedule"/>
    </sheetNames>
    <sheetDataSet>
      <sheetData sheetId="0">
        <row r="5">
          <cell r="D5">
            <v>430000</v>
          </cell>
        </row>
        <row r="6">
          <cell r="D6">
            <v>0.13865</v>
          </cell>
        </row>
        <row r="7">
          <cell r="D7">
            <v>3</v>
          </cell>
        </row>
        <row r="9">
          <cell r="D9">
            <v>39203</v>
          </cell>
        </row>
        <row r="18">
          <cell r="I18">
            <v>420300.08945914567</v>
          </cell>
        </row>
        <row r="19">
          <cell r="I19">
            <v>410488.10453525058</v>
          </cell>
        </row>
        <row r="20">
          <cell r="I20">
            <v>400562.75030221394</v>
          </cell>
        </row>
        <row r="21">
          <cell r="I21">
            <v>390522.71687214309</v>
          </cell>
        </row>
        <row r="22">
          <cell r="I22">
            <v>380366.67922248231</v>
          </cell>
        </row>
        <row r="23">
          <cell r="I23">
            <v>370093.29702114442</v>
          </cell>
        </row>
        <row r="24">
          <cell r="I24">
            <v>359701.21444962191</v>
          </cell>
        </row>
        <row r="25">
          <cell r="I25">
            <v>349189.06002405426</v>
          </cell>
        </row>
        <row r="26">
          <cell r="I26">
            <v>338555.44641422789</v>
          </cell>
        </row>
        <row r="27">
          <cell r="I27">
            <v>327798.97026048461</v>
          </cell>
        </row>
        <row r="28">
          <cell r="I28">
            <v>316918.21198851499</v>
          </cell>
        </row>
        <row r="29">
          <cell r="I29">
            <v>305911.7356220113</v>
          </cell>
        </row>
        <row r="30">
          <cell r="I30">
            <v>294778.08859315631</v>
          </cell>
        </row>
        <row r="31">
          <cell r="I31">
            <v>283515.8015509221</v>
          </cell>
        </row>
        <row r="32">
          <cell r="I32">
            <v>272123.38816715404</v>
          </cell>
        </row>
        <row r="33">
          <cell r="I33">
            <v>260599.34494041439</v>
          </cell>
        </row>
        <row r="34">
          <cell r="I34">
            <v>248942.1509975591</v>
          </cell>
        </row>
        <row r="35">
          <cell r="I35">
            <v>237150.26789302242</v>
          </cell>
        </row>
        <row r="36">
          <cell r="I36">
            <v>225222.13940578207</v>
          </cell>
        </row>
        <row r="37">
          <cell r="I37">
            <v>213156.19133397873</v>
          </cell>
        </row>
        <row r="38">
          <cell r="I38">
            <v>200950.83128716244</v>
          </cell>
        </row>
        <row r="39">
          <cell r="I39">
            <v>188604.44847613855</v>
          </cell>
        </row>
        <row r="40">
          <cell r="I40">
            <v>176115.41350038562</v>
          </cell>
        </row>
        <row r="41">
          <cell r="I41">
            <v>163482.078133017</v>
          </cell>
        </row>
        <row r="42">
          <cell r="I42">
            <v>150702.77510325791</v>
          </cell>
        </row>
        <row r="43">
          <cell r="I43">
            <v>137775.81787640916</v>
          </cell>
        </row>
        <row r="44">
          <cell r="I44">
            <v>124699.50043126852</v>
          </cell>
        </row>
        <row r="45">
          <cell r="I45">
            <v>111472.09703498048</v>
          </cell>
        </row>
        <row r="46">
          <cell r="I46">
            <v>98091.862015284511</v>
          </cell>
        </row>
        <row r="47">
          <cell r="I47">
            <v>84557.029530131796</v>
          </cell>
        </row>
        <row r="48">
          <cell r="I48">
            <v>70865.813334640203</v>
          </cell>
        </row>
        <row r="49">
          <cell r="I49">
            <v>57016.406545356542</v>
          </cell>
        </row>
        <row r="50">
          <cell r="I50">
            <v>43006.981401795027</v>
          </cell>
        </row>
        <row r="51">
          <cell r="I51">
            <v>28835.689025220614</v>
          </cell>
        </row>
        <row r="52">
          <cell r="I52">
            <v>14500.6591746452</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fluctuation"/>
      <sheetName val="Debtors Bal.con"/>
      <sheetName val="Sheet2"/>
      <sheetName val="Sheet3"/>
      <sheetName val="depreciation"/>
      <sheetName val="final  Bsheet &amp; P&amp; L "/>
      <sheetName val="Calc"/>
      <sheetName val="M_T"/>
      <sheetName val="exchange_fluctuation1"/>
      <sheetName val="Debtors_Bal_con1"/>
      <sheetName val="final__Bsheet_&amp;_P&amp;_L_1"/>
      <sheetName val="exchange_fluctuation"/>
      <sheetName val="Debtors_Bal_con"/>
      <sheetName val="final__Bsheet_&amp;_P&amp;_L_"/>
      <sheetName val="exchange_fluctuation2"/>
      <sheetName val="Debtors_Bal_con2"/>
      <sheetName val="final__Bsheet_&amp;_P&amp;_L_2"/>
    </sheetNames>
    <sheetDataSet>
      <sheetData sheetId="0">
        <row r="178">
          <cell r="U178" t="str">
            <v>AMOL PHARMACEUTICALS PRIVATE LIMITED</v>
          </cell>
        </row>
        <row r="180">
          <cell r="U180" t="str">
            <v>CALCULATION OF EXCHANGE FLUCTUATION AS ON 31.3.2001</v>
          </cell>
        </row>
        <row r="182">
          <cell r="U182" t="str">
            <v>Invoice</v>
          </cell>
          <cell r="V182" t="str">
            <v xml:space="preserve">Date of </v>
          </cell>
          <cell r="W182" t="str">
            <v xml:space="preserve">Amount in </v>
          </cell>
          <cell r="X182" t="str">
            <v>Rate</v>
          </cell>
          <cell r="Y182" t="str">
            <v xml:space="preserve">Amount </v>
          </cell>
          <cell r="Z182" t="str">
            <v xml:space="preserve">Amount </v>
          </cell>
          <cell r="AA182" t="str">
            <v xml:space="preserve">Exchange </v>
          </cell>
        </row>
        <row r="183">
          <cell r="V183" t="str">
            <v>Receipt</v>
          </cell>
          <cell r="W183" t="str">
            <v>$</v>
          </cell>
          <cell r="Y183" t="str">
            <v>Receivable</v>
          </cell>
          <cell r="Z183" t="str">
            <v>Accounted</v>
          </cell>
          <cell r="AA183" t="str">
            <v>Difference</v>
          </cell>
        </row>
        <row r="184">
          <cell r="U184" t="str">
            <v>AP/2001/USA/089</v>
          </cell>
          <cell r="V184" t="str">
            <v>12.04.2001</v>
          </cell>
          <cell r="W184">
            <v>35000</v>
          </cell>
          <cell r="X184">
            <v>46.77</v>
          </cell>
          <cell r="Y184">
            <v>1636950</v>
          </cell>
          <cell r="Z184">
            <v>1629250</v>
          </cell>
          <cell r="AA184">
            <v>7700</v>
          </cell>
        </row>
        <row r="185">
          <cell r="U185" t="str">
            <v>AP/2001/USA/90</v>
          </cell>
          <cell r="V185" t="str">
            <v>28.05.2001</v>
          </cell>
          <cell r="W185">
            <v>19223.75</v>
          </cell>
          <cell r="X185">
            <v>46.77</v>
          </cell>
          <cell r="Y185">
            <v>899094.78750000009</v>
          </cell>
          <cell r="Z185">
            <v>894865.5625</v>
          </cell>
          <cell r="AA185">
            <v>4229.2250000000931</v>
          </cell>
        </row>
        <row r="186">
          <cell r="U186" t="str">
            <v>AP/2001/HBL/07</v>
          </cell>
          <cell r="V186" t="str">
            <v>18.05.2001</v>
          </cell>
          <cell r="W186">
            <v>45000</v>
          </cell>
          <cell r="X186">
            <v>46.77</v>
          </cell>
          <cell r="Y186">
            <v>2104650</v>
          </cell>
          <cell r="Z186">
            <v>2094750</v>
          </cell>
          <cell r="AA186">
            <v>9900</v>
          </cell>
        </row>
        <row r="187">
          <cell r="U187" t="str">
            <v>AP/2000/TRA/09</v>
          </cell>
          <cell r="V187" t="str">
            <v>28.05.2001</v>
          </cell>
          <cell r="W187">
            <v>7600</v>
          </cell>
          <cell r="X187">
            <v>46.77</v>
          </cell>
          <cell r="Y187">
            <v>355452</v>
          </cell>
          <cell r="Z187">
            <v>353780</v>
          </cell>
          <cell r="AA187">
            <v>1672</v>
          </cell>
        </row>
        <row r="188">
          <cell r="U188" t="str">
            <v>AP/2001/USA/91</v>
          </cell>
          <cell r="V188" t="str">
            <v>09.05.2001</v>
          </cell>
          <cell r="W188">
            <v>1.3</v>
          </cell>
          <cell r="X188">
            <v>46.77</v>
          </cell>
          <cell r="Y188">
            <v>60.801000000000009</v>
          </cell>
          <cell r="Z188">
            <v>60.515000000000001</v>
          </cell>
          <cell r="AA188">
            <v>0.28600000000000847</v>
          </cell>
        </row>
        <row r="189">
          <cell r="U189" t="str">
            <v>AP/2001/USA/91</v>
          </cell>
          <cell r="V189" t="str">
            <v>18.05.2001</v>
          </cell>
          <cell r="W189">
            <v>398.7</v>
          </cell>
          <cell r="X189">
            <v>46.77</v>
          </cell>
          <cell r="Y189">
            <v>18647.199000000001</v>
          </cell>
          <cell r="Z189">
            <v>18559.484999999997</v>
          </cell>
          <cell r="AA189">
            <v>87.71400000000358</v>
          </cell>
        </row>
        <row r="190">
          <cell r="U190" t="str">
            <v>AP/2001/HBL/08</v>
          </cell>
          <cell r="V190" t="str">
            <v>19.04.2001</v>
          </cell>
          <cell r="W190">
            <v>19325</v>
          </cell>
          <cell r="X190">
            <v>46.77</v>
          </cell>
          <cell r="Y190">
            <v>903830.25000000012</v>
          </cell>
          <cell r="Z190">
            <v>899578.75</v>
          </cell>
          <cell r="AA190">
            <v>4251.5000000001164</v>
          </cell>
        </row>
        <row r="191">
          <cell r="U191" t="str">
            <v>AP/2000/TRA/10</v>
          </cell>
          <cell r="V191" t="str">
            <v>19.04.2001</v>
          </cell>
          <cell r="W191">
            <v>14700</v>
          </cell>
          <cell r="X191">
            <v>46.77</v>
          </cell>
          <cell r="Y191">
            <v>687519</v>
          </cell>
          <cell r="Z191">
            <v>684285</v>
          </cell>
          <cell r="AA191">
            <v>3234</v>
          </cell>
        </row>
        <row r="192">
          <cell r="U192" t="str">
            <v>AP/2001/USA/92</v>
          </cell>
          <cell r="V192" t="str">
            <v>09.05.2001</v>
          </cell>
          <cell r="W192">
            <v>45398.7</v>
          </cell>
          <cell r="X192">
            <v>46.77</v>
          </cell>
          <cell r="Y192">
            <v>2123297.199</v>
          </cell>
          <cell r="Z192">
            <v>2097419.94</v>
          </cell>
          <cell r="AA192">
            <v>25877.259000000078</v>
          </cell>
        </row>
        <row r="193">
          <cell r="U193" t="str">
            <v>AP/2001/USA/93</v>
          </cell>
          <cell r="V193" t="str">
            <v>06.06.2001</v>
          </cell>
          <cell r="W193">
            <v>30000</v>
          </cell>
          <cell r="X193">
            <v>46.77</v>
          </cell>
          <cell r="Y193">
            <v>1403100</v>
          </cell>
          <cell r="Z193">
            <v>1386000</v>
          </cell>
          <cell r="AA193">
            <v>17100</v>
          </cell>
        </row>
        <row r="194">
          <cell r="U194" t="str">
            <v>AP/2001/USA/93</v>
          </cell>
          <cell r="V194" t="str">
            <v>08.06.2001</v>
          </cell>
          <cell r="W194">
            <v>6303.3</v>
          </cell>
          <cell r="X194">
            <v>46.77</v>
          </cell>
          <cell r="Y194">
            <v>294805.34100000001</v>
          </cell>
          <cell r="Z194">
            <v>291212.46000000002</v>
          </cell>
          <cell r="AA194">
            <v>3592.8809999999939</v>
          </cell>
        </row>
        <row r="195">
          <cell r="U195" t="str">
            <v>AP/2001/USA/94</v>
          </cell>
          <cell r="V195" t="str">
            <v>08.06.2001</v>
          </cell>
          <cell r="W195">
            <v>12856.5</v>
          </cell>
          <cell r="X195">
            <v>46.77</v>
          </cell>
          <cell r="Y195">
            <v>601298.505</v>
          </cell>
          <cell r="Z195">
            <v>593970.30000000005</v>
          </cell>
          <cell r="AA195">
            <v>7328.2049999999581</v>
          </cell>
        </row>
        <row r="196">
          <cell r="U196" t="str">
            <v>AP/2001/HBL/09</v>
          </cell>
          <cell r="V196" t="str">
            <v>08.06.2001</v>
          </cell>
          <cell r="W196">
            <v>6948.75</v>
          </cell>
          <cell r="X196">
            <v>46.77</v>
          </cell>
          <cell r="Y196">
            <v>324993.03750000003</v>
          </cell>
          <cell r="Z196">
            <v>321032.25</v>
          </cell>
          <cell r="AA196">
            <v>3960.7875000000349</v>
          </cell>
        </row>
        <row r="197">
          <cell r="U197" t="str">
            <v>AP/2001/HBL/10</v>
          </cell>
          <cell r="V197" t="str">
            <v>08.06.2001</v>
          </cell>
          <cell r="W197">
            <v>10337</v>
          </cell>
          <cell r="X197">
            <v>46.77</v>
          </cell>
          <cell r="Y197">
            <v>483461.49000000005</v>
          </cell>
          <cell r="Z197">
            <v>480670.5</v>
          </cell>
          <cell r="AA197">
            <v>2790.9900000000489</v>
          </cell>
        </row>
        <row r="198">
          <cell r="U198" t="str">
            <v>AP/2000/TRA/11</v>
          </cell>
          <cell r="V198" t="str">
            <v>08.06.2001</v>
          </cell>
          <cell r="W198">
            <v>7600</v>
          </cell>
          <cell r="X198">
            <v>46.77</v>
          </cell>
          <cell r="Y198">
            <v>355452</v>
          </cell>
          <cell r="Z198">
            <v>353400</v>
          </cell>
          <cell r="AA198">
            <v>2052</v>
          </cell>
        </row>
        <row r="199">
          <cell r="U199" t="str">
            <v>AP/2001/USA/95</v>
          </cell>
          <cell r="V199" t="str">
            <v>21.06.2001</v>
          </cell>
          <cell r="W199">
            <v>12099.9</v>
          </cell>
          <cell r="X199">
            <v>46.77</v>
          </cell>
          <cell r="Y199">
            <v>565912.32299999997</v>
          </cell>
          <cell r="Z199">
            <v>562645.35</v>
          </cell>
          <cell r="AA199">
            <v>3266.9729999999981</v>
          </cell>
        </row>
        <row r="200">
          <cell r="U200" t="str">
            <v>AP/2001/USA/96</v>
          </cell>
          <cell r="V200" t="str">
            <v>21.06.2001</v>
          </cell>
          <cell r="W200">
            <v>7987.6</v>
          </cell>
          <cell r="X200">
            <v>46.77</v>
          </cell>
          <cell r="Y200">
            <v>373580.05200000003</v>
          </cell>
          <cell r="Z200">
            <v>371423.4</v>
          </cell>
          <cell r="AA200">
            <v>2156.6520000000019</v>
          </cell>
        </row>
        <row r="201">
          <cell r="U201" t="str">
            <v>AP/2001/HBL/11</v>
          </cell>
          <cell r="V201" t="str">
            <v>4.7.2001</v>
          </cell>
          <cell r="W201">
            <v>25000</v>
          </cell>
          <cell r="X201">
            <v>46.77</v>
          </cell>
          <cell r="Y201">
            <v>1169250</v>
          </cell>
          <cell r="Z201">
            <v>1162500</v>
          </cell>
          <cell r="AA201">
            <v>6750</v>
          </cell>
        </row>
        <row r="202">
          <cell r="U202" t="str">
            <v>AP/2001/HBL/11</v>
          </cell>
          <cell r="V202" t="str">
            <v>Prov</v>
          </cell>
          <cell r="W202">
            <v>19960</v>
          </cell>
          <cell r="X202">
            <v>46.77</v>
          </cell>
          <cell r="Y202">
            <v>933529.20000000007</v>
          </cell>
          <cell r="Z202">
            <v>928140</v>
          </cell>
          <cell r="AA202">
            <v>5389.2000000000698</v>
          </cell>
        </row>
        <row r="203">
          <cell r="U203" t="str">
            <v>AP/2000/TRA/12</v>
          </cell>
          <cell r="V203" t="str">
            <v>21.06.2001</v>
          </cell>
          <cell r="W203">
            <v>2623.25</v>
          </cell>
          <cell r="X203">
            <v>46.77</v>
          </cell>
          <cell r="Y203">
            <v>122689.40250000001</v>
          </cell>
          <cell r="Z203">
            <v>121981.125</v>
          </cell>
          <cell r="AA203">
            <v>708.27750000001106</v>
          </cell>
        </row>
        <row r="204">
          <cell r="U204" t="str">
            <v>AP/2001/USA/97</v>
          </cell>
          <cell r="V204" t="str">
            <v>Prov</v>
          </cell>
          <cell r="W204">
            <v>6822</v>
          </cell>
          <cell r="X204">
            <v>46.77</v>
          </cell>
          <cell r="Y204">
            <v>319064.94</v>
          </cell>
          <cell r="Z204">
            <v>317223</v>
          </cell>
          <cell r="AA204">
            <v>1841.9400000000023</v>
          </cell>
        </row>
        <row r="205">
          <cell r="U205" t="str">
            <v>AP/2000/TRA/13</v>
          </cell>
          <cell r="V205" t="str">
            <v>Prov</v>
          </cell>
          <cell r="W205">
            <v>15000</v>
          </cell>
          <cell r="X205">
            <v>46.77</v>
          </cell>
          <cell r="Y205">
            <v>701550</v>
          </cell>
          <cell r="Z205">
            <v>697500</v>
          </cell>
          <cell r="AA205">
            <v>4050</v>
          </cell>
        </row>
        <row r="206">
          <cell r="U206" t="str">
            <v>AP/2001/USA/98</v>
          </cell>
          <cell r="V206" t="str">
            <v>Prov</v>
          </cell>
          <cell r="W206">
            <v>37235</v>
          </cell>
          <cell r="X206">
            <v>46.77</v>
          </cell>
          <cell r="Y206">
            <v>1741480.9500000002</v>
          </cell>
          <cell r="Z206">
            <v>1731432.15</v>
          </cell>
          <cell r="AA206">
            <v>10048.800000000279</v>
          </cell>
        </row>
        <row r="207">
          <cell r="U207" t="str">
            <v>AP/2001/HBL/12</v>
          </cell>
          <cell r="V207" t="str">
            <v>Prov</v>
          </cell>
          <cell r="W207">
            <v>23100</v>
          </cell>
          <cell r="X207">
            <v>46.77</v>
          </cell>
          <cell r="Y207">
            <v>1080387</v>
          </cell>
          <cell r="Z207">
            <v>1074150</v>
          </cell>
          <cell r="AA207">
            <v>6237</v>
          </cell>
        </row>
        <row r="208">
          <cell r="U208" t="str">
            <v>AP/2000/TRA/11(M)</v>
          </cell>
          <cell r="V208" t="str">
            <v>Prov</v>
          </cell>
          <cell r="W208">
            <v>17453.900000000001</v>
          </cell>
          <cell r="X208">
            <v>46.77</v>
          </cell>
          <cell r="Y208">
            <v>816318.90300000017</v>
          </cell>
          <cell r="Z208">
            <v>811606.35</v>
          </cell>
          <cell r="AA208">
            <v>4712.5530000001891</v>
          </cell>
        </row>
        <row r="209">
          <cell r="U209" t="str">
            <v>AP/2000/TRA/12(M)</v>
          </cell>
          <cell r="V209" t="str">
            <v>Prov</v>
          </cell>
          <cell r="W209">
            <v>15000</v>
          </cell>
          <cell r="X209">
            <v>46.77</v>
          </cell>
          <cell r="Y209">
            <v>701550</v>
          </cell>
          <cell r="Z209">
            <v>697500</v>
          </cell>
          <cell r="AA209">
            <v>4050</v>
          </cell>
        </row>
        <row r="210">
          <cell r="V210">
            <v>0</v>
          </cell>
          <cell r="W210">
            <v>442974.65</v>
          </cell>
          <cell r="X210">
            <v>1216.0199999999998</v>
          </cell>
          <cell r="Y210">
            <v>20717924.3805</v>
          </cell>
          <cell r="Z210">
            <v>20574936.137500003</v>
          </cell>
          <cell r="AA210">
            <v>142988.24300000089</v>
          </cell>
        </row>
      </sheetData>
      <sheetData sheetId="1"/>
      <sheetData sheetId="2"/>
      <sheetData sheetId="3"/>
      <sheetData sheetId="4" refreshError="1"/>
      <sheetData sheetId="5" refreshError="1"/>
      <sheetData sheetId="6" refreshError="1"/>
      <sheetData sheetId="7" refreshError="1"/>
      <sheetData sheetId="8">
        <row r="178">
          <cell r="U178" t="str">
            <v>AMOL PHARMACEUTICALS PRIVATE LIMITED</v>
          </cell>
        </row>
      </sheetData>
      <sheetData sheetId="9"/>
      <sheetData sheetId="10"/>
      <sheetData sheetId="11">
        <row r="178">
          <cell r="U178" t="str">
            <v>AMOL PHARMACEUTICALS PRIVATE LIMITED</v>
          </cell>
        </row>
      </sheetData>
      <sheetData sheetId="12"/>
      <sheetData sheetId="13"/>
      <sheetData sheetId="14">
        <row r="178">
          <cell r="U178" t="str">
            <v>AMOL PHARMACEUTICALS PRIVATE LIMITED</v>
          </cell>
        </row>
      </sheetData>
      <sheetData sheetId="15"/>
      <sheetData sheetId="1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MATERIAL"/>
      <sheetName val="JOB WORK"/>
      <sheetName val="rough"/>
      <sheetName val="exchange fluctuation"/>
      <sheetName val="RAW_MATERIAL1"/>
      <sheetName val="JOB_WORK1"/>
      <sheetName val="exchange_fluctuation1"/>
      <sheetName val="RAW_MATERIAL"/>
      <sheetName val="JOB_WORK"/>
      <sheetName val="exchange_fluctuation"/>
      <sheetName val="RAW_MATERIAL2"/>
      <sheetName val="JOB_WORK2"/>
      <sheetName val="exchange_fluctuation2"/>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u-gau"/>
      <sheetName val="INT WORKING"/>
      <sheetName val="80 HHC-gau"/>
      <sheetName val="80IB+80 HHC"/>
      <sheetName val="ins, freight,excise"/>
      <sheetName val="BS &amp; Pr &amp; Loss"/>
      <sheetName val="ratios"/>
      <sheetName val="depreication"/>
      <sheetName val="Stock Reco."/>
      <sheetName val="RETROSPECTIVE DEPN"/>
      <sheetName val="gau"/>
      <sheetName val="JOB WORK"/>
      <sheetName val="rough"/>
      <sheetName val="INT_WORKING1"/>
      <sheetName val="80_HHC-gau1"/>
      <sheetName val="80IB+80_HHC1"/>
      <sheetName val="ins,_freight,excise1"/>
      <sheetName val="BS_&amp;_Pr_&amp;_Loss1"/>
      <sheetName val="Stock_Reco_1"/>
      <sheetName val="RETROSPECTIVE_DEPN1"/>
      <sheetName val="JOB_WORK1"/>
      <sheetName val="INT_WORKING"/>
      <sheetName val="80_HHC-gau"/>
      <sheetName val="80IB+80_HHC"/>
      <sheetName val="ins,_freight,excise"/>
      <sheetName val="BS_&amp;_Pr_&amp;_Loss"/>
      <sheetName val="Stock_Reco_"/>
      <sheetName val="RETROSPECTIVE_DEPN"/>
      <sheetName val="JOB_WORK"/>
      <sheetName val="INT_WORKING2"/>
      <sheetName val="80_HHC-gau2"/>
      <sheetName val="80IB+80_HHC2"/>
      <sheetName val="ins,_freight,excise2"/>
      <sheetName val="BS_&amp;_Pr_&amp;_Loss2"/>
      <sheetName val="Stock_Reco_2"/>
      <sheetName val="RETROSPECTIVE_DEPN2"/>
      <sheetName val="JOB_WORK2"/>
    </sheetNames>
    <sheetDataSet>
      <sheetData sheetId="0"/>
      <sheetData sheetId="1"/>
      <sheetData sheetId="2"/>
      <sheetData sheetId="3"/>
      <sheetData sheetId="4">
        <row r="434">
          <cell r="B434" t="str">
            <v>AMOL PHARMACEUTICALS P. LTD.</v>
          </cell>
        </row>
      </sheetData>
      <sheetData sheetId="5">
        <row r="434">
          <cell r="B434" t="str">
            <v>AMOL PHARMACEUTICALS P. LTD.</v>
          </cell>
        </row>
        <row r="436">
          <cell r="B436" t="str">
            <v>GROUPING TO THE BALANCE SHEET AND PROFIT &amp; LOSS ACCOUNT</v>
          </cell>
        </row>
        <row r="437">
          <cell r="B437" t="str">
            <v>FOR THE YEAR ENDED 2001</v>
          </cell>
        </row>
        <row r="439">
          <cell r="B439" t="str">
            <v>PARTICULARS</v>
          </cell>
          <cell r="C439">
            <v>0</v>
          </cell>
          <cell r="D439" t="str">
            <v>31.03.01</v>
          </cell>
        </row>
        <row r="441">
          <cell r="B441" t="str">
            <v>INTEREST ACCRUED</v>
          </cell>
        </row>
        <row r="442">
          <cell r="B442" t="str">
            <v>On National Saving Certificates</v>
          </cell>
          <cell r="D442">
            <v>2724</v>
          </cell>
        </row>
        <row r="443">
          <cell r="B443" t="str">
            <v>On Fixed Deposit with Bank</v>
          </cell>
          <cell r="D443">
            <v>25368</v>
          </cell>
        </row>
        <row r="444">
          <cell r="B444" t="str">
            <v>On F.D. with Llyod Finance</v>
          </cell>
          <cell r="D444" t="str">
            <v>-</v>
          </cell>
        </row>
        <row r="445">
          <cell r="D445">
            <v>28092</v>
          </cell>
        </row>
        <row r="448">
          <cell r="B448" t="str">
            <v>PREPAID EXPENSES</v>
          </cell>
        </row>
        <row r="449">
          <cell r="B449" t="str">
            <v>Insurance</v>
          </cell>
          <cell r="D449">
            <v>21866</v>
          </cell>
        </row>
        <row r="450">
          <cell r="B450" t="str">
            <v>Annual Maintainence Contract</v>
          </cell>
          <cell r="D450">
            <v>575</v>
          </cell>
        </row>
        <row r="452">
          <cell r="D452">
            <v>22441</v>
          </cell>
        </row>
        <row r="454">
          <cell r="B454" t="str">
            <v>CREDITORS FOR GOODS</v>
          </cell>
        </row>
        <row r="455">
          <cell r="B455" t="str">
            <v>Aahan Engineerrs P. Ltd.</v>
          </cell>
          <cell r="D455">
            <v>375000</v>
          </cell>
        </row>
        <row r="456">
          <cell r="B456" t="str">
            <v>Bansal  Metalic Oxides</v>
          </cell>
        </row>
        <row r="457">
          <cell r="B457" t="str">
            <v>Bectochem Engineers</v>
          </cell>
          <cell r="D457">
            <v>462392</v>
          </cell>
        </row>
        <row r="458">
          <cell r="B458" t="str">
            <v>Delite Medical Agencies</v>
          </cell>
        </row>
        <row r="459">
          <cell r="B459" t="str">
            <v>Harshad Agencies.</v>
          </cell>
        </row>
        <row r="460">
          <cell r="B460" t="str">
            <v>Kanara Industrial Corp.</v>
          </cell>
          <cell r="D460">
            <v>86527</v>
          </cell>
        </row>
        <row r="461">
          <cell r="B461" t="str">
            <v>Mool Chand &amp; Sons</v>
          </cell>
          <cell r="D461">
            <v>10439</v>
          </cell>
        </row>
        <row r="462">
          <cell r="B462" t="str">
            <v>Nupur Herbal P. Ltd.</v>
          </cell>
          <cell r="D462">
            <v>171080</v>
          </cell>
        </row>
        <row r="463">
          <cell r="B463" t="str">
            <v>Nandu Chemicals P.Ltd.</v>
          </cell>
        </row>
        <row r="464">
          <cell r="B464" t="str">
            <v>Northern Herbals P. Ltd.</v>
          </cell>
        </row>
        <row r="465">
          <cell r="B465" t="str">
            <v>Pankaj Industries</v>
          </cell>
          <cell r="D465">
            <v>251014.39999999999</v>
          </cell>
        </row>
        <row r="466">
          <cell r="B466" t="str">
            <v>Radhika Containers P.Ltd.</v>
          </cell>
          <cell r="D466">
            <v>92334</v>
          </cell>
        </row>
        <row r="467">
          <cell r="B467" t="str">
            <v>Raj Scientific Agencies</v>
          </cell>
        </row>
        <row r="468">
          <cell r="B468" t="str">
            <v>S.J. Chemicals Industries</v>
          </cell>
          <cell r="D468">
            <v>142256</v>
          </cell>
        </row>
        <row r="469">
          <cell r="B469" t="str">
            <v>Savita Scientific &amp; Plastic Product</v>
          </cell>
          <cell r="D469">
            <v>16842</v>
          </cell>
        </row>
        <row r="470">
          <cell r="B470" t="str">
            <v>Science House</v>
          </cell>
        </row>
        <row r="471">
          <cell r="B471" t="str">
            <v>Scientific Sales Syndicate</v>
          </cell>
        </row>
        <row r="472">
          <cell r="B472" t="str">
            <v>Shashi Phytochemical Industries</v>
          </cell>
          <cell r="D472">
            <v>550000</v>
          </cell>
        </row>
        <row r="473">
          <cell r="B473" t="str">
            <v>Spark Chem</v>
          </cell>
        </row>
        <row r="474">
          <cell r="B474" t="str">
            <v>The Gwalior Forest Product</v>
          </cell>
          <cell r="D474">
            <v>802723</v>
          </cell>
        </row>
        <row r="475">
          <cell r="B475" t="str">
            <v>The Scientific &amp; General Agencies</v>
          </cell>
        </row>
        <row r="476">
          <cell r="B476" t="str">
            <v>Themis Laboratories</v>
          </cell>
        </row>
        <row r="477">
          <cell r="B477" t="str">
            <v>Welworth Sales &amp; Services P.Ltd.</v>
          </cell>
          <cell r="D477">
            <v>608000</v>
          </cell>
        </row>
        <row r="479">
          <cell r="D479">
            <v>3568607.4</v>
          </cell>
        </row>
        <row r="481">
          <cell r="B481" t="str">
            <v>CREDITORS FOR EXPENSES</v>
          </cell>
        </row>
        <row r="482">
          <cell r="B482" t="str">
            <v>Abhinandan Associates</v>
          </cell>
        </row>
        <row r="483">
          <cell r="B483" t="str">
            <v>Adron Interior</v>
          </cell>
        </row>
        <row r="484">
          <cell r="B484" t="str">
            <v>Ajmera &amp; Associates</v>
          </cell>
        </row>
        <row r="485">
          <cell r="B485" t="str">
            <v>Abhinandan Associates</v>
          </cell>
        </row>
        <row r="486">
          <cell r="B486" t="str">
            <v>Ajmera &amp; Associates</v>
          </cell>
        </row>
        <row r="487">
          <cell r="B487" t="str">
            <v>Avantika Cooling Services</v>
          </cell>
          <cell r="D487">
            <v>16500</v>
          </cell>
        </row>
        <row r="488">
          <cell r="B488" t="str">
            <v>General Scientific Co.</v>
          </cell>
          <cell r="D488">
            <v>14915</v>
          </cell>
        </row>
        <row r="489">
          <cell r="B489" t="str">
            <v>Oasis Test House</v>
          </cell>
          <cell r="D489">
            <v>600</v>
          </cell>
        </row>
        <row r="490">
          <cell r="B490" t="str">
            <v>Prime Pharmaceuticals</v>
          </cell>
          <cell r="D490">
            <v>14270.85</v>
          </cell>
        </row>
        <row r="491">
          <cell r="B491" t="str">
            <v>American Express Card</v>
          </cell>
          <cell r="D491">
            <v>17458.54</v>
          </cell>
        </row>
        <row r="492">
          <cell r="B492" t="str">
            <v>Amirchand Arjundas</v>
          </cell>
        </row>
        <row r="493">
          <cell r="B493" t="str">
            <v>Audit fees Payable</v>
          </cell>
        </row>
        <row r="494">
          <cell r="B494" t="str">
            <v>Chitter Painter</v>
          </cell>
        </row>
        <row r="495">
          <cell r="B495" t="str">
            <v>Computer Growth</v>
          </cell>
          <cell r="D495">
            <v>1912</v>
          </cell>
        </row>
        <row r="496">
          <cell r="B496" t="str">
            <v>ECGC Payable</v>
          </cell>
        </row>
        <row r="497">
          <cell r="B497" t="str">
            <v>Expeditiors Internatioonal India P. Ltd.</v>
          </cell>
          <cell r="D497">
            <v>320629</v>
          </cell>
        </row>
        <row r="498">
          <cell r="B498" t="str">
            <v>Electric Charges Payable</v>
          </cell>
        </row>
        <row r="499">
          <cell r="B499" t="str">
            <v>Frieght Payable</v>
          </cell>
        </row>
        <row r="500">
          <cell r="B500" t="str">
            <v>Geeta Enterprises</v>
          </cell>
        </row>
        <row r="501">
          <cell r="B501" t="str">
            <v>Jaipur Golden Transport Co.</v>
          </cell>
        </row>
        <row r="502">
          <cell r="B502" t="str">
            <v>Jaipur Publicity Center</v>
          </cell>
        </row>
        <row r="503">
          <cell r="B503" t="str">
            <v>M.Sharma &amp; Associates</v>
          </cell>
        </row>
        <row r="504">
          <cell r="B504" t="str">
            <v>Misc. Expenses Payable</v>
          </cell>
        </row>
        <row r="505">
          <cell r="B505" t="str">
            <v>Nupur Harbals</v>
          </cell>
        </row>
        <row r="506">
          <cell r="B506" t="str">
            <v>Oasis Cellular</v>
          </cell>
        </row>
        <row r="507">
          <cell r="B507" t="str">
            <v>Oasis Test house</v>
          </cell>
        </row>
        <row r="508">
          <cell r="B508" t="str">
            <v>Pest Control Co.</v>
          </cell>
        </row>
        <row r="509">
          <cell r="B509" t="str">
            <v>Pinkcity Marbles</v>
          </cell>
        </row>
        <row r="510">
          <cell r="B510" t="str">
            <v>Postage &amp; Telegraph payable</v>
          </cell>
        </row>
        <row r="511">
          <cell r="B511" t="str">
            <v>Salary &amp; Wages Payable</v>
          </cell>
        </row>
        <row r="512">
          <cell r="B512" t="str">
            <v>Sea Star Services</v>
          </cell>
        </row>
        <row r="513">
          <cell r="B513" t="str">
            <v xml:space="preserve">Sita World Travels </v>
          </cell>
        </row>
        <row r="514">
          <cell r="B514" t="str">
            <v>Superwave Computer</v>
          </cell>
        </row>
        <row r="515">
          <cell r="B515" t="str">
            <v>Telephone Charges Payable</v>
          </cell>
        </row>
        <row r="516">
          <cell r="B516" t="str">
            <v>Utkarsh System Ltd.</v>
          </cell>
        </row>
        <row r="517">
          <cell r="B517" t="str">
            <v>Vinod General Store</v>
          </cell>
        </row>
        <row r="518">
          <cell r="B518" t="str">
            <v>Outstanding Expenses</v>
          </cell>
          <cell r="D518">
            <v>735535.79</v>
          </cell>
        </row>
        <row r="520">
          <cell r="D520">
            <v>1121821.1800000002</v>
          </cell>
        </row>
        <row r="522">
          <cell r="B522" t="str">
            <v>OUTSTANDING EXPENSES</v>
          </cell>
        </row>
        <row r="523">
          <cell r="B523" t="str">
            <v>Electricity</v>
          </cell>
          <cell r="D523">
            <v>97785</v>
          </cell>
        </row>
        <row r="524">
          <cell r="B524" t="str">
            <v>Salary</v>
          </cell>
          <cell r="D524">
            <v>182087</v>
          </cell>
        </row>
        <row r="525">
          <cell r="B525" t="str">
            <v>Wages</v>
          </cell>
          <cell r="D525">
            <v>59375</v>
          </cell>
        </row>
        <row r="526">
          <cell r="B526" t="str">
            <v>Garden Maintainence</v>
          </cell>
          <cell r="D526">
            <v>800</v>
          </cell>
        </row>
        <row r="527">
          <cell r="B527" t="str">
            <v>Professional; &amp; Consulatancy</v>
          </cell>
          <cell r="D527">
            <v>500</v>
          </cell>
        </row>
        <row r="528">
          <cell r="B528" t="str">
            <v>SalaryDeduction</v>
          </cell>
          <cell r="D528">
            <v>25868</v>
          </cell>
        </row>
        <row r="529">
          <cell r="B529" t="str">
            <v>Salary Deduction</v>
          </cell>
          <cell r="D529">
            <v>19637</v>
          </cell>
        </row>
        <row r="530">
          <cell r="B530" t="str">
            <v>Travelling</v>
          </cell>
          <cell r="D530">
            <v>1960</v>
          </cell>
        </row>
        <row r="531">
          <cell r="B531" t="str">
            <v>Power</v>
          </cell>
          <cell r="D531">
            <v>414</v>
          </cell>
        </row>
        <row r="532">
          <cell r="B532" t="str">
            <v>Telephone</v>
          </cell>
          <cell r="D532">
            <v>10000</v>
          </cell>
        </row>
        <row r="533">
          <cell r="B533" t="str">
            <v>Audit Fees</v>
          </cell>
          <cell r="D533">
            <v>52500</v>
          </cell>
        </row>
        <row r="534">
          <cell r="B534" t="str">
            <v>Ecgc Charges</v>
          </cell>
          <cell r="D534">
            <v>2906</v>
          </cell>
        </row>
        <row r="535">
          <cell r="B535" t="str">
            <v>Commission on Purchase</v>
          </cell>
          <cell r="D535">
            <v>159564</v>
          </cell>
        </row>
        <row r="536">
          <cell r="B536" t="str">
            <v>Service Charges</v>
          </cell>
          <cell r="D536">
            <v>12706</v>
          </cell>
        </row>
        <row r="537">
          <cell r="B537" t="str">
            <v>Staff Bonus</v>
          </cell>
          <cell r="D537">
            <v>109433.79</v>
          </cell>
        </row>
        <row r="539">
          <cell r="D539">
            <v>735535.79</v>
          </cell>
        </row>
        <row r="541">
          <cell r="B541" t="str">
            <v>T.D.S. PAYABLE</v>
          </cell>
        </row>
        <row r="542">
          <cell r="B542" t="str">
            <v>On Salary</v>
          </cell>
          <cell r="D542">
            <v>26264</v>
          </cell>
        </row>
        <row r="543">
          <cell r="B543" t="str">
            <v>On Professionals</v>
          </cell>
          <cell r="D543">
            <v>1250</v>
          </cell>
        </row>
        <row r="545">
          <cell r="D545">
            <v>27514</v>
          </cell>
        </row>
        <row r="547">
          <cell r="B547" t="str">
            <v>Steam Pure Chemicals</v>
          </cell>
          <cell r="D547">
            <v>0</v>
          </cell>
        </row>
        <row r="548">
          <cell r="B548" t="str">
            <v>Forbes Pharmaceuticals</v>
          </cell>
        </row>
        <row r="549">
          <cell r="B549" t="str">
            <v>Lason Engineering Co. Ltd.</v>
          </cell>
        </row>
        <row r="550">
          <cell r="B550" t="str">
            <v>Unimex</v>
          </cell>
          <cell r="D550">
            <v>0</v>
          </cell>
        </row>
        <row r="551">
          <cell r="B551" t="str">
            <v>Alta Laboratories</v>
          </cell>
          <cell r="D551">
            <v>0</v>
          </cell>
        </row>
        <row r="552">
          <cell r="B552" t="str">
            <v>S.d.Fine Chem Ltd.</v>
          </cell>
        </row>
        <row r="553">
          <cell r="D553">
            <v>0</v>
          </cell>
        </row>
      </sheetData>
      <sheetData sheetId="6"/>
      <sheetData sheetId="7"/>
      <sheetData sheetId="8"/>
      <sheetData sheetId="9"/>
      <sheetData sheetId="10"/>
      <sheetData sheetId="11" refreshError="1"/>
      <sheetData sheetId="12" refreshError="1"/>
      <sheetData sheetId="13"/>
      <sheetData sheetId="14"/>
      <sheetData sheetId="15"/>
      <sheetData sheetId="16">
        <row r="434">
          <cell r="B434" t="str">
            <v>AMOL PHARMACEUTICALS P. LTD.</v>
          </cell>
        </row>
      </sheetData>
      <sheetData sheetId="17">
        <row r="434">
          <cell r="B434" t="str">
            <v>AMOL PHARMACEUTICALS P. LTD.</v>
          </cell>
        </row>
      </sheetData>
      <sheetData sheetId="18"/>
      <sheetData sheetId="19"/>
      <sheetData sheetId="20"/>
      <sheetData sheetId="21"/>
      <sheetData sheetId="22"/>
      <sheetData sheetId="23"/>
      <sheetData sheetId="24">
        <row r="434">
          <cell r="B434" t="str">
            <v>AMOL PHARMACEUTICALS P. LTD.</v>
          </cell>
        </row>
      </sheetData>
      <sheetData sheetId="25">
        <row r="434">
          <cell r="B434" t="str">
            <v>AMOL PHARMACEUTICALS P. LTD.</v>
          </cell>
        </row>
      </sheetData>
      <sheetData sheetId="26"/>
      <sheetData sheetId="27"/>
      <sheetData sheetId="28"/>
      <sheetData sheetId="29"/>
      <sheetData sheetId="30"/>
      <sheetData sheetId="31"/>
      <sheetData sheetId="32">
        <row r="434">
          <cell r="B434" t="str">
            <v>AMOL PHARMACEUTICALS P. LTD.</v>
          </cell>
        </row>
      </sheetData>
      <sheetData sheetId="33">
        <row r="434">
          <cell r="B434" t="str">
            <v>AMOL PHARMACEUTICALS P. LTD.</v>
          </cell>
        </row>
      </sheetData>
      <sheetData sheetId="34"/>
      <sheetData sheetId="35"/>
      <sheetData sheetId="3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0HHC"/>
      <sheetName val="80"/>
      <sheetName val="80HHC- final"/>
      <sheetName val="FAAMOL"/>
      <sheetName val="rough"/>
      <sheetName val="BS &amp; Pr &amp; Loss"/>
      <sheetName val="80HHC-_final1"/>
      <sheetName val="BS_&amp;_Pr_&amp;_Loss1"/>
      <sheetName val="80HHC-_final"/>
      <sheetName val="BS_&amp;_Pr_&amp;_Loss"/>
      <sheetName val="80HHC-_final2"/>
      <sheetName val="BS_&amp;_Pr_&amp;_Loss2"/>
    </sheetNames>
    <sheetDataSet>
      <sheetData sheetId="0"/>
      <sheetData sheetId="1"/>
      <sheetData sheetId="2">
        <row r="3">
          <cell r="B3" t="str">
            <v>JASICA IMPEX</v>
          </cell>
        </row>
        <row r="5">
          <cell r="B5" t="str">
            <v>ASSESSMENT YEAR 2001-2002</v>
          </cell>
        </row>
        <row r="7">
          <cell r="B7" t="str">
            <v>ANNEXURE TO CALCULATION OF DEDUCTION UNDER SECTION 80HHC</v>
          </cell>
        </row>
        <row r="9">
          <cell r="B9" t="str">
            <v>EXPORT TUNOVER</v>
          </cell>
          <cell r="G9" t="str">
            <v>TRADED</v>
          </cell>
          <cell r="H9" t="str">
            <v>MANU.</v>
          </cell>
          <cell r="I9" t="str">
            <v>TOTAL</v>
          </cell>
        </row>
        <row r="10">
          <cell r="G10" t="str">
            <v>GOODS</v>
          </cell>
          <cell r="H10" t="str">
            <v>GOODS</v>
          </cell>
          <cell r="I10" t="str">
            <v>TURNOVER</v>
          </cell>
        </row>
        <row r="12">
          <cell r="B12" t="str">
            <v xml:space="preserve">Turnover As Per Balance Sheet </v>
          </cell>
          <cell r="G12">
            <v>37484055</v>
          </cell>
          <cell r="H12">
            <v>116802</v>
          </cell>
          <cell r="I12">
            <v>37600857</v>
          </cell>
        </row>
        <row r="13">
          <cell r="B13" t="str">
            <v>Add: Exchange Fluctuation</v>
          </cell>
          <cell r="G13">
            <v>241671</v>
          </cell>
          <cell r="H13">
            <v>0</v>
          </cell>
          <cell r="I13">
            <v>241671</v>
          </cell>
        </row>
        <row r="14">
          <cell r="C14" t="str">
            <v>(A)</v>
          </cell>
          <cell r="G14">
            <v>37725726</v>
          </cell>
          <cell r="H14">
            <v>116802</v>
          </cell>
          <cell r="I14">
            <v>37842528</v>
          </cell>
        </row>
        <row r="15">
          <cell r="B15" t="str">
            <v xml:space="preserve">Less : Expenses </v>
          </cell>
        </row>
        <row r="16">
          <cell r="B16" t="str">
            <v xml:space="preserve">   Freight &amp; Insurance Attributed to Transport Of</v>
          </cell>
        </row>
        <row r="17">
          <cell r="B17" t="str">
            <v xml:space="preserve">      Goods Beyond the Custom Limit</v>
          </cell>
          <cell r="F17">
            <v>0</v>
          </cell>
        </row>
        <row r="18">
          <cell r="D18" t="str">
            <v>Freight</v>
          </cell>
          <cell r="G18">
            <v>2374777</v>
          </cell>
          <cell r="H18">
            <v>6991</v>
          </cell>
          <cell r="I18">
            <v>2381768</v>
          </cell>
        </row>
        <row r="19">
          <cell r="D19" t="str">
            <v>Insurance</v>
          </cell>
          <cell r="G19">
            <v>35448</v>
          </cell>
          <cell r="H19">
            <v>0</v>
          </cell>
          <cell r="I19">
            <v>35448</v>
          </cell>
        </row>
        <row r="20">
          <cell r="D20" t="str">
            <v>(B)</v>
          </cell>
          <cell r="G20">
            <v>2410225</v>
          </cell>
          <cell r="H20">
            <v>6991</v>
          </cell>
          <cell r="I20">
            <v>2417216</v>
          </cell>
        </row>
        <row r="21">
          <cell r="C21" t="str">
            <v>Total Turnover (A-B)</v>
          </cell>
          <cell r="G21">
            <v>35315501</v>
          </cell>
          <cell r="H21">
            <v>109811</v>
          </cell>
          <cell r="I21">
            <v>35425312</v>
          </cell>
        </row>
        <row r="22">
          <cell r="C22" t="str">
            <v xml:space="preserve">Export Turnover </v>
          </cell>
          <cell r="G22">
            <v>35315501</v>
          </cell>
          <cell r="H22">
            <v>109811</v>
          </cell>
          <cell r="I22">
            <v>35425312</v>
          </cell>
        </row>
        <row r="25">
          <cell r="B25" t="str">
            <v>DIRECT COST</v>
          </cell>
          <cell r="G25">
            <v>36097615.441343293</v>
          </cell>
          <cell r="H25">
            <v>184146.58235386317</v>
          </cell>
          <cell r="I25">
            <v>36281762.023697153</v>
          </cell>
        </row>
        <row r="28">
          <cell r="B28" t="str">
            <v>INDIRECT COST</v>
          </cell>
        </row>
        <row r="30">
          <cell r="B30" t="str">
            <v>Administrative Expenses</v>
          </cell>
          <cell r="I30">
            <v>574394.53</v>
          </cell>
        </row>
        <row r="31">
          <cell r="B31" t="str">
            <v>Selling Expenses</v>
          </cell>
          <cell r="I31">
            <v>542614.5</v>
          </cell>
        </row>
        <row r="32">
          <cell r="B32" t="str">
            <v>Financial Expenses</v>
          </cell>
          <cell r="I32">
            <v>548391.67999999993</v>
          </cell>
        </row>
        <row r="34">
          <cell r="E34" t="str">
            <v>Indirect Cost</v>
          </cell>
          <cell r="I34">
            <v>1665400.71</v>
          </cell>
        </row>
        <row r="36">
          <cell r="B36" t="str">
            <v>PROFIT OF TRADING GOODS</v>
          </cell>
        </row>
        <row r="38">
          <cell r="B38" t="str">
            <v>Export Sale (Trading Goods)</v>
          </cell>
          <cell r="I38">
            <v>35315501</v>
          </cell>
        </row>
        <row r="39">
          <cell r="B39" t="str">
            <v>Less : Direct Cost</v>
          </cell>
          <cell r="I39">
            <v>36097615.441343293</v>
          </cell>
        </row>
        <row r="40">
          <cell r="B40" t="str">
            <v>Less  :  Indirect Cost</v>
          </cell>
          <cell r="I40">
            <v>1660238.3188440432</v>
          </cell>
        </row>
        <row r="42">
          <cell r="B42" t="str">
            <v>PROFIT OF TRADING GOODS</v>
          </cell>
          <cell r="I42">
            <v>-2442352.7601873358</v>
          </cell>
        </row>
        <row r="44">
          <cell r="B44" t="str">
            <v>PROFIT OF THE BUSINESS</v>
          </cell>
        </row>
        <row r="46">
          <cell r="B46" t="str">
            <v>Net Profit As Per P&amp;L Account</v>
          </cell>
          <cell r="I46">
            <v>3566371.6300000027</v>
          </cell>
        </row>
        <row r="47">
          <cell r="B47" t="str">
            <v>Add  :  Depreciation As Per Companies Act</v>
          </cell>
          <cell r="I47">
            <v>0</v>
          </cell>
        </row>
        <row r="48">
          <cell r="I48">
            <v>3566371.6300000027</v>
          </cell>
        </row>
        <row r="49">
          <cell r="B49" t="str">
            <v>Less  :  Depriciation As per Income Tax Act</v>
          </cell>
          <cell r="H49">
            <v>0</v>
          </cell>
        </row>
        <row r="50">
          <cell r="B50" t="str">
            <v xml:space="preserve">               90% of Export Incentives</v>
          </cell>
          <cell r="H50">
            <v>5629104</v>
          </cell>
        </row>
        <row r="51">
          <cell r="I51">
            <v>5629104</v>
          </cell>
        </row>
        <row r="52">
          <cell r="D52" t="str">
            <v>Profit of the business</v>
          </cell>
          <cell r="I52">
            <v>-2062732.3699999973</v>
          </cell>
        </row>
        <row r="54">
          <cell r="B54" t="str">
            <v>ADJUSTED PROFIT OF THE BUSINESS</v>
          </cell>
        </row>
        <row r="56">
          <cell r="B56" t="str">
            <v>Profit of the business</v>
          </cell>
          <cell r="I56">
            <v>-2062732.3699999973</v>
          </cell>
        </row>
        <row r="57">
          <cell r="B57" t="str">
            <v>Less  :  Profit of trading goods</v>
          </cell>
          <cell r="I57">
            <v>-2442352.7601873358</v>
          </cell>
        </row>
        <row r="59">
          <cell r="C59" t="str">
            <v>ADJUSTED PROFIT OF THE BUSINESS</v>
          </cell>
          <cell r="I59">
            <v>379620.39018733846</v>
          </cell>
        </row>
        <row r="61">
          <cell r="B61" t="str">
            <v>DEDUCTION AVAILABLE UNDER SECTION 80HHC</v>
          </cell>
        </row>
        <row r="63">
          <cell r="B63" t="str">
            <v>Profit Of Trading Goods</v>
          </cell>
          <cell r="I63">
            <v>0</v>
          </cell>
        </row>
        <row r="64">
          <cell r="B64" t="str">
            <v>Adjusted Profit Of The Business</v>
          </cell>
          <cell r="I64">
            <v>379620.39018733846</v>
          </cell>
        </row>
        <row r="65">
          <cell r="B65" t="str">
            <v>90% of Export Incentives</v>
          </cell>
          <cell r="I65">
            <v>5629104</v>
          </cell>
        </row>
        <row r="67">
          <cell r="B67" t="str">
            <v>DEDUCTION UNDER SECTION 80HHC</v>
          </cell>
          <cell r="I67">
            <v>6008724.390187338</v>
          </cell>
        </row>
        <row r="69">
          <cell r="B69" t="str">
            <v>80% of DEDUCTION AVAILABLE UNDER SECTION 80HHC</v>
          </cell>
          <cell r="I69">
            <v>4806979.5121498704</v>
          </cell>
        </row>
      </sheetData>
      <sheetData sheetId="3"/>
      <sheetData sheetId="4" refreshError="1"/>
      <sheetData sheetId="5" refreshError="1"/>
      <sheetData sheetId="6">
        <row r="3">
          <cell r="B3" t="str">
            <v>JASICA IMPEX</v>
          </cell>
        </row>
      </sheetData>
      <sheetData sheetId="7"/>
      <sheetData sheetId="8">
        <row r="3">
          <cell r="B3" t="str">
            <v>JASICA IMPEX</v>
          </cell>
        </row>
      </sheetData>
      <sheetData sheetId="9"/>
      <sheetData sheetId="10">
        <row r="3">
          <cell r="B3" t="str">
            <v>JASICA IMPEX</v>
          </cell>
        </row>
      </sheetData>
      <sheetData sheetId="1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stic molded furniture"/>
      <sheetName val=" jobwork-val."/>
      <sheetName val="jobwork detail"/>
      <sheetName val="Rework"/>
      <sheetName val="bank stock 31.3.03"/>
      <sheetName val="rm &amp; pm Reco.&amp; val"/>
      <sheetName val="stock reco - excise"/>
      <sheetName val="FG valuation"/>
      <sheetName val="WORKING OF TDS"/>
      <sheetName val="TDS"/>
      <sheetName val="AS 31.3.2003"/>
      <sheetName val="AS 22 1.4.2002"/>
      <sheetName val="COMPENSATION"/>
      <sheetName val="bal sheet  31.3.03."/>
      <sheetName val="RATIOS"/>
      <sheetName val="COMPUTATION"/>
      <sheetName val="CO-DEP"/>
      <sheetName val="DEPN TAX"/>
      <sheetName val="Excise Reco.- duty"/>
      <sheetName val="I.T.Workings"/>
      <sheetName val="ELECTRICITY"/>
      <sheetName val="Stock"/>
      <sheetName val="workin"/>
      <sheetName val="Sheet2"/>
      <sheetName val="rough"/>
      <sheetName val="(EVL) compens."/>
      <sheetName val="work"/>
      <sheetName val="sch E ( a)"/>
      <sheetName val="working"/>
      <sheetName val="80HHC- final"/>
      <sheetName val="plastic_molded_furniture1"/>
      <sheetName val="_jobwork-val_1"/>
      <sheetName val="jobwork_detail1"/>
      <sheetName val="bank_stock_31_3_031"/>
      <sheetName val="rm_&amp;_pm_Reco_&amp;_val1"/>
      <sheetName val="stock_reco_-_excise1"/>
      <sheetName val="FG_valuation1"/>
      <sheetName val="WORKING_OF_TDS1"/>
      <sheetName val="AS_31_3_20031"/>
      <sheetName val="AS_22_1_4_20021"/>
      <sheetName val="bal_sheet__31_3_03_1"/>
      <sheetName val="DEPN_TAX1"/>
      <sheetName val="Excise_Reco_-_duty1"/>
      <sheetName val="I_T_Workings1"/>
      <sheetName val="(EVL)_compens_1"/>
      <sheetName val="sch_E_(_a)1"/>
      <sheetName val="80HHC-_final1"/>
      <sheetName val="plastic_molded_furniture"/>
      <sheetName val="_jobwork-val_"/>
      <sheetName val="jobwork_detail"/>
      <sheetName val="bank_stock_31_3_03"/>
      <sheetName val="rm_&amp;_pm_Reco_&amp;_val"/>
      <sheetName val="stock_reco_-_excise"/>
      <sheetName val="FG_valuation"/>
      <sheetName val="WORKING_OF_TDS"/>
      <sheetName val="AS_31_3_2003"/>
      <sheetName val="AS_22_1_4_2002"/>
      <sheetName val="bal_sheet__31_3_03_"/>
      <sheetName val="DEPN_TAX"/>
      <sheetName val="Excise_Reco_-_duty"/>
      <sheetName val="I_T_Workings"/>
      <sheetName val="(EVL)_compens_"/>
      <sheetName val="sch_E_(_a)"/>
      <sheetName val="80HHC-_final"/>
      <sheetName val="plastic_molded_furniture2"/>
      <sheetName val="_jobwork-val_2"/>
      <sheetName val="jobwork_detail2"/>
      <sheetName val="bank_stock_31_3_032"/>
      <sheetName val="rm_&amp;_pm_Reco_&amp;_val2"/>
      <sheetName val="stock_reco_-_excise2"/>
      <sheetName val="FG_valuation2"/>
      <sheetName val="WORKING_OF_TDS2"/>
      <sheetName val="AS_31_3_20032"/>
      <sheetName val="AS_22_1_4_20022"/>
      <sheetName val="bal_sheet__31_3_03_2"/>
      <sheetName val="DEPN_TAX2"/>
      <sheetName val="Excise_Reco_-_duty2"/>
      <sheetName val="I_T_Workings2"/>
      <sheetName val="(EVL)_compens_2"/>
      <sheetName val="sch_E_(_a)2"/>
      <sheetName val="80HHC-_fin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69SS (final)"/>
      <sheetName val="269T(final)"/>
      <sheetName val="269T_final_"/>
      <sheetName val="Data for Multiple &amp; ratios"/>
      <sheetName val="269SS_(final)1"/>
      <sheetName val="Data_for_Multiple_&amp;_ratios1"/>
      <sheetName val="269SS_(final)"/>
      <sheetName val="Data_for_Multiple_&amp;_ratios"/>
      <sheetName val="269SS_(final)2"/>
      <sheetName val="Data_for_Multiple_&amp;_ratios2"/>
      <sheetName val="CONSOLIDATED"/>
      <sheetName val="Input"/>
      <sheetName val="Assumptions"/>
      <sheetName val="Anx-M"/>
      <sheetName val="bloomberg Data"/>
      <sheetName val="Contribution"/>
      <sheetName val="Rx"/>
      <sheetName val="#REF"/>
      <sheetName val="Rates"/>
      <sheetName val="NOTES"/>
      <sheetName val="MCORP USA"/>
      <sheetName val="Company"/>
      <sheetName val="dump"/>
      <sheetName val="Prodn Report"/>
      <sheetName val="Assmpt"/>
      <sheetName val="SODA02"/>
      <sheetName val="InterCoBala"/>
      <sheetName val="Lead"/>
      <sheetName val="RES-PLANNING"/>
      <sheetName val="Detail"/>
      <sheetName val="Library Procedures"/>
      <sheetName val="FBT Compu"/>
      <sheetName val="TB"/>
      <sheetName val="Project Budget Worksheet"/>
      <sheetName val="Links"/>
      <sheetName val="Front Sheet"/>
      <sheetName val="PARAMETERS"/>
      <sheetName val="Approved MTD Proj #'s"/>
      <sheetName val="Inputs"/>
      <sheetName val="bloomberg_Data"/>
      <sheetName val="Project_Budget_Worksheet"/>
      <sheetName val="Front_Sheet"/>
      <sheetName val="Approved_MTD_Proj_#'s"/>
      <sheetName val="MCORP_USA"/>
      <sheetName val="DJ1"/>
      <sheetName val="Mohali_Rate"/>
      <sheetName val="BHANDUP"/>
      <sheetName val="Collection"/>
      <sheetName val=" "/>
      <sheetName val="URD-s"/>
      <sheetName val="Transaction"/>
      <sheetName val="Break up Sheet"/>
      <sheetName val="인사현황(부서)"/>
      <sheetName val="TemplateTest"/>
      <sheetName val="Params"/>
      <sheetName val="KEY"/>
      <sheetName val="RATE SHEET"/>
      <sheetName val="YTD"/>
      <sheetName val="Permanent info"/>
      <sheetName val="fa"/>
      <sheetName val="Sheet2"/>
      <sheetName val="NewCo"/>
      <sheetName val="Balance Sheet "/>
      <sheetName val="Ass&amp;Returns"/>
      <sheetName val="Roll-up"/>
      <sheetName val="Trial Balance"/>
      <sheetName val="Area"/>
      <sheetName val="Detailed"/>
      <sheetName val="W2 FOB _Exports"/>
      <sheetName val="Sheet1"/>
      <sheetName val="bloomberg_Data1"/>
      <sheetName val="bloomberg_Data2"/>
      <sheetName val="269SS_(final)3"/>
      <sheetName val="Data_for_Multiple_&amp;_ratios3"/>
      <sheetName val="bloomberg_Data3"/>
      <sheetName val="269SS_(final)4"/>
      <sheetName val="Data_for_Multiple_&amp;_ratios4"/>
      <sheetName val="bloomberg_Data4"/>
      <sheetName val="269SS_(final)5"/>
      <sheetName val="Data_for_Multiple_&amp;_ratios5"/>
      <sheetName val="bloomberg_Data5"/>
      <sheetName val="269SS_(final)6"/>
      <sheetName val="Data_for_Multiple_&amp;_ratios6"/>
      <sheetName val="bloomberg_Data6"/>
      <sheetName val="269SS_(final)7"/>
      <sheetName val="Data_for_Multiple_&amp;_ratios7"/>
      <sheetName val="bloomberg_Data7"/>
      <sheetName val="269SS_(final)8"/>
      <sheetName val="Data_for_Multiple_&amp;_ratios8"/>
      <sheetName val="bloomberg_Data8"/>
      <sheetName val="07-08"/>
      <sheetName val="exp-m"/>
      <sheetName val="Sheet4"/>
      <sheetName val="HI-TARGE"/>
      <sheetName val="VAR STORE_CONS"/>
      <sheetName val="EAW Final Accounts - 99"/>
      <sheetName val="Profit and Loss"/>
    </sheetNames>
    <sheetDataSet>
      <sheetData sheetId="0"/>
      <sheetData sheetId="1"/>
      <sheetData sheetId="2"/>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J)"/>
      <sheetName val="tb"/>
      <sheetName val="RAJNI01"/>
      <sheetName val="CRITERIA1"/>
      <sheetName val="269T(final)"/>
      <sheetName val="master"/>
      <sheetName val="BS SCH A-D"/>
      <sheetName val="ASSUMPTIONS"/>
      <sheetName val="FPS"/>
      <sheetName val="PBCLIST"/>
      <sheetName val="Sheet3 (2)"/>
      <sheetName val="DAMAGE"/>
      <sheetName val="Total ACA"/>
      <sheetName val="BIPR"/>
      <sheetName val="BPCA"/>
      <sheetName val="BBRS"/>
      <sheetName val="3-5"/>
      <sheetName val="tb31-03-03"/>
      <sheetName val="LE-FTE-Nos"/>
      <sheetName val="VCS - Dec - G&amp;T"/>
      <sheetName val="gen ledger data"/>
      <sheetName val="A"/>
      <sheetName val="INPUTMISC"/>
      <sheetName val="FAR Dec 15"/>
      <sheetName val="Insight 23-5-00"/>
      <sheetName val="Parameter_sheet"/>
      <sheetName val="A-D"/>
      <sheetName val="Plant Master"/>
      <sheetName val="Must Fill"/>
      <sheetName val="Sheet2"/>
      <sheetName val="RMPGR"/>
      <sheetName val="1"/>
      <sheetName val="2"/>
      <sheetName val="3"/>
      <sheetName val="4"/>
      <sheetName val="5"/>
      <sheetName val="6"/>
      <sheetName val="7"/>
      <sheetName val="8"/>
      <sheetName val="9"/>
      <sheetName val="10"/>
      <sheetName val="11"/>
      <sheetName val="12"/>
      <sheetName val="YTD"/>
      <sheetName val="Comp"/>
      <sheetName val="UPLA"/>
      <sheetName val="Cost Model"/>
      <sheetName val="Ledger"/>
      <sheetName val="HONOTES"/>
      <sheetName val="BS_SCH_A-D1"/>
      <sheetName val="Sheet3_(2)1"/>
      <sheetName val="Total_ACA1"/>
      <sheetName val="VCS_-_Dec_-_G&amp;T1"/>
      <sheetName val="gen_ledger_data1"/>
      <sheetName val="FAR_Dec_151"/>
      <sheetName val="Insight_23-5-001"/>
      <sheetName val="Plant_Master1"/>
      <sheetName val="Must_Fill1"/>
      <sheetName val="Cost_Model1"/>
      <sheetName val="BS_SCH_A-D"/>
      <sheetName val="Sheet3_(2)"/>
      <sheetName val="Total_ACA"/>
      <sheetName val="VCS_-_Dec_-_G&amp;T"/>
      <sheetName val="gen_ledger_data"/>
      <sheetName val="FAR_Dec_15"/>
      <sheetName val="Insight_23-5-00"/>
      <sheetName val="Plant_Master"/>
      <sheetName val="Must_Fill"/>
      <sheetName val="Cost_Model"/>
      <sheetName val="BS_SCH_A-D2"/>
      <sheetName val="Sheet3_(2)2"/>
      <sheetName val="Total_ACA2"/>
      <sheetName val="VCS_-_Dec_-_G&amp;T2"/>
      <sheetName val="gen_ledger_data2"/>
      <sheetName val="FAR_Dec_152"/>
      <sheetName val="Insight_23-5-002"/>
      <sheetName val="Plant_Master2"/>
      <sheetName val="Must_Fill2"/>
      <sheetName val="Cost_Model2"/>
      <sheetName val="Rates"/>
      <sheetName val="BS Rec Control Sheet"/>
      <sheetName val="Ann.II"/>
      <sheetName val="ras"/>
      <sheetName val="Credit Ratings"/>
      <sheetName val="Keys"/>
      <sheetName val="Sheet1"/>
      <sheetName val="Prodn Report"/>
      <sheetName val="inventories"/>
      <sheetName val="Lists"/>
      <sheetName val="PL"/>
      <sheetName val="FA"/>
      <sheetName val="EMPLOYEE MASTER"/>
      <sheetName val="Payslips_0610"/>
      <sheetName val="Reimbursements"/>
      <sheetName val="744_Gaurav"/>
      <sheetName val="743_Ansul Kala"/>
      <sheetName val="742_ Viral"/>
      <sheetName val="741_ Sivadasan"/>
      <sheetName val="740_ Mohd Riyas"/>
      <sheetName val="739_ Prasanna Kumar"/>
      <sheetName val="738_ Leju"/>
      <sheetName val="737_Upendra"/>
      <sheetName val="736_Bhaskar"/>
      <sheetName val="735_Stallin"/>
      <sheetName val="734_Prasad"/>
      <sheetName val="733_Harish"/>
      <sheetName val="732_Himanshu"/>
      <sheetName val="731_Javed"/>
      <sheetName val="730_Anitha"/>
      <sheetName val="729_Aamod"/>
      <sheetName val="728_John"/>
      <sheetName val="727_Agustine"/>
      <sheetName val="726_Srikant"/>
      <sheetName val="Harihara_725"/>
      <sheetName val="724_Priyanka"/>
      <sheetName val="723_Upendra"/>
      <sheetName val="722_Vikram"/>
      <sheetName val="721_Charu"/>
      <sheetName val="720_Sachendra"/>
      <sheetName val="719_Sai"/>
      <sheetName val="718_Gokul"/>
      <sheetName val="Karn_717"/>
      <sheetName val="716_John"/>
      <sheetName val="715_Sheik"/>
      <sheetName val="714_Mohnish"/>
      <sheetName val="713_Ashutosh"/>
      <sheetName val="712_Guru"/>
      <sheetName val="711_Ramya"/>
      <sheetName val="710_Archana"/>
      <sheetName val="Vikram_709"/>
      <sheetName val="V.adhavan_708"/>
      <sheetName val="Prabeetsoy_706"/>
      <sheetName val="Krishna Kumar_705"/>
      <sheetName val="Uday_703"/>
      <sheetName val="Ramdas_702"/>
      <sheetName val="Venkatesan_701"/>
      <sheetName val="Stephen_700"/>
      <sheetName val="Sheejan_699"/>
      <sheetName val="697_Pankaj"/>
      <sheetName val="sukesh_696"/>
      <sheetName val="Shiva_695"/>
      <sheetName val="Anil_693"/>
      <sheetName val="Tejas_692"/>
      <sheetName val="Gururaja_688"/>
      <sheetName val="Smita_687"/>
      <sheetName val="Karthik_686"/>
      <sheetName val="Madhav_683"/>
      <sheetName val="Sunil_682"/>
      <sheetName val="Maheswari_681"/>
      <sheetName val="Mrinal_679"/>
      <sheetName val="Shah_677"/>
      <sheetName val="Ritesh_675"/>
      <sheetName val="vishnuvardhan_673"/>
      <sheetName val="Seshadri V_672"/>
      <sheetName val="suresha_670"/>
      <sheetName val="nagendra_669"/>
      <sheetName val="mithun_668"/>
      <sheetName val="rama_667"/>
      <sheetName val="kishore_666"/>
      <sheetName val="660_Rajendra"/>
      <sheetName val="dinabandhu_654"/>
      <sheetName val="bhavani_647"/>
      <sheetName val="mumtaz_643"/>
      <sheetName val="sanakara_638"/>
      <sheetName val="deepak_637"/>
      <sheetName val="nilesh_636"/>
      <sheetName val="chetan_635"/>
      <sheetName val="chaitanya_634"/>
      <sheetName val="manjunath_630"/>
      <sheetName val="dilip_628"/>
      <sheetName val="irshad_623"/>
      <sheetName val="ganesh_622"/>
      <sheetName val="angshuman_620"/>
      <sheetName val="hattiangadi_618"/>
      <sheetName val="thirath_614"/>
      <sheetName val="venkat_609"/>
      <sheetName val="kanan_605"/>
      <sheetName val="ankur_602"/>
      <sheetName val="sandeep_601"/>
      <sheetName val="nithin_600"/>
      <sheetName val="ramu_598"/>
      <sheetName val="anoop_596"/>
      <sheetName val="sunil_592"/>
      <sheetName val="sunil_591"/>
      <sheetName val="kiran_588"/>
      <sheetName val="muthu_585"/>
      <sheetName val="vishal_573"/>
      <sheetName val="virendra_569"/>
      <sheetName val="chinmay_567"/>
      <sheetName val="ajay_566"/>
      <sheetName val="roshan_564"/>
      <sheetName val="arun_563"/>
      <sheetName val="jina_562"/>
      <sheetName val="shahnaz_557"/>
      <sheetName val="aaron_554"/>
      <sheetName val="roshan_553"/>
      <sheetName val="Maria_542"/>
      <sheetName val="chakrapani_540"/>
      <sheetName val="prashant_539"/>
      <sheetName val="paramanand_525"/>
      <sheetName val="mohammed_524"/>
      <sheetName val="sobhan_518"/>
      <sheetName val="senthil_508"/>
      <sheetName val="Ashish_505"/>
      <sheetName val="Vasanth_497"/>
      <sheetName val="rajesh_486"/>
      <sheetName val="Purvi_483"/>
      <sheetName val="Deepti_482"/>
      <sheetName val="Hitesh_479"/>
      <sheetName val="Jay_475"/>
      <sheetName val="Vijay_474"/>
      <sheetName val="Rajesh_471"/>
      <sheetName val="Karthik_469"/>
      <sheetName val="Nagamalliah_464"/>
      <sheetName val="Josy_458"/>
      <sheetName val="Rajesh_457"/>
      <sheetName val="Ramakanth_439"/>
      <sheetName val="Thangaraj_435"/>
      <sheetName val="susanta_429"/>
      <sheetName val="Dilip_ks_425"/>
      <sheetName val="422_Prem"/>
      <sheetName val="417_Nitin"/>
      <sheetName val="415_Vinod"/>
      <sheetName val="396_Pramood"/>
      <sheetName val="365_Hariharan"/>
      <sheetName val="357_Dharani"/>
      <sheetName val="352_Magesh"/>
      <sheetName val="340_Mujahid"/>
      <sheetName val="322_Rajesh"/>
      <sheetName val="297_Sai Jith"/>
      <sheetName val="281_Vinay"/>
      <sheetName val="255_Aditya"/>
      <sheetName val="246_Naveen"/>
      <sheetName val="198_Pradeep"/>
      <sheetName val="194_Savio"/>
      <sheetName val="161_Ramprasad"/>
      <sheetName val="140_Thejesh"/>
      <sheetName val="119_Sundara"/>
      <sheetName val="116_Binu"/>
      <sheetName val="089_Narender"/>
      <sheetName val="070_Girish"/>
      <sheetName val="048_Eswara"/>
      <sheetName val="639_Abineni"/>
      <sheetName val="462_Poornima"/>
      <sheetName val="Payslips_0410"/>
      <sheetName val="Payslips_0510"/>
      <sheetName val="Consolidation"/>
      <sheetName val="TRIAL BALANCE"/>
      <sheetName val="Balance Sheet "/>
      <sheetName val="Consol240909"/>
      <sheetName val="SCH 5"/>
      <sheetName val="data list"/>
      <sheetName val="ref. data"/>
      <sheetName val="uren"/>
      <sheetName val="June Reserve - Far East"/>
      <sheetName val="Bal Sheet"/>
      <sheetName val="Notes"/>
      <sheetName val="Sch-4 Dep"/>
      <sheetName val="M. Value"/>
      <sheetName val="HO Provision_AF"/>
      <sheetName val="SCH4"/>
      <sheetName val="Note-35-DEF"/>
      <sheetName val="Note-36"/>
      <sheetName val="Note-37"/>
      <sheetName val="Note-38"/>
      <sheetName val="Note-45"/>
      <sheetName val="Note-46-C"/>
      <sheetName val="Income Statement"/>
      <sheetName val="Ratios"/>
      <sheetName val="Balance Sheet"/>
      <sheetName val="mkg"/>
      <sheetName val="12 31 06 ee data"/>
      <sheetName val="MGT REP"/>
      <sheetName val="UA.5"/>
      <sheetName val="Earnings"/>
      <sheetName val="TRIAL_BALANCE"/>
      <sheetName val="BS_Rec_Control_Sheet"/>
      <sheetName val="TB-2015"/>
      <sheetName val="Redelvery provision changed"/>
      <sheetName val="Menu item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refreshError="1"/>
      <sheetData sheetId="278" refreshError="1"/>
      <sheetData sheetId="27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stic"/>
      <sheetName val="jobwork reco"/>
      <sheetName val=" jobwork-val."/>
      <sheetName val="RM"/>
      <sheetName val="FG valuation(nos.)"/>
      <sheetName val="Stock"/>
      <sheetName val="workin"/>
      <sheetName val="Sheet2"/>
      <sheetName val="rough"/>
      <sheetName val="(EVL) compens."/>
      <sheetName val="work"/>
      <sheetName val="sch E ( a)"/>
      <sheetName val="working"/>
      <sheetName val="BS &amp; Pr &amp; Loss"/>
      <sheetName val="BS 590"/>
      <sheetName val="jobwork_reco1"/>
      <sheetName val="_jobwork-val_1"/>
      <sheetName val="FG_valuation(nos_)1"/>
      <sheetName val="(EVL)_compens_1"/>
      <sheetName val="sch_E_(_a)1"/>
      <sheetName val="BS_&amp;_Pr_&amp;_Loss1"/>
      <sheetName val="BS_5901"/>
      <sheetName val="jobwork_reco"/>
      <sheetName val="_jobwork-val_"/>
      <sheetName val="FG_valuation(nos_)"/>
      <sheetName val="(EVL)_compens_"/>
      <sheetName val="sch_E_(_a)"/>
      <sheetName val="BS_&amp;_Pr_&amp;_Loss"/>
      <sheetName val="BS_590"/>
      <sheetName val="jobwork_reco2"/>
      <sheetName val="_jobwork-val_2"/>
      <sheetName val="FG_valuation(nos_)2"/>
      <sheetName val="(EVL)_compens_2"/>
      <sheetName val="sch_E_(_a)2"/>
      <sheetName val="BS_&amp;_Pr_&amp;_Loss2"/>
      <sheetName val="BS_5902"/>
    </sheetNames>
    <sheetDataSet>
      <sheetData sheetId="0"/>
      <sheetData sheetId="1"/>
      <sheetData sheetId="2"/>
      <sheetData sheetId="3"/>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stic molded furniture"/>
      <sheetName val=" jobwork-val."/>
      <sheetName val="jobwork detail"/>
      <sheetName val="Rework"/>
      <sheetName val="bank stock 31.3.03"/>
      <sheetName val="rm &amp; pm Reco.&amp; val"/>
      <sheetName val="stock reco - excise"/>
      <sheetName val="FG valuation"/>
      <sheetName val="WORKING OF TDS"/>
      <sheetName val="TDS"/>
      <sheetName val="AS 31.3.2003"/>
      <sheetName val="AS 22 1.4.2002"/>
      <sheetName val="COMPENSATION"/>
      <sheetName val="bal sheet  31.3.03."/>
      <sheetName val="RATIOS"/>
      <sheetName val="COMPUTATION"/>
      <sheetName val="CO-DEP"/>
      <sheetName val="DEPN TAX"/>
      <sheetName val="Excise Reco.- duty"/>
      <sheetName val="I.T.Workings"/>
      <sheetName val="ELECTRICITY"/>
      <sheetName val="Stock"/>
      <sheetName val="workin"/>
      <sheetName val="Sheet2"/>
      <sheetName val="rough"/>
      <sheetName val="(EVL) compens."/>
      <sheetName val="work"/>
      <sheetName val="sch E ( a)"/>
      <sheetName val="working"/>
      <sheetName val="80HHC- final"/>
      <sheetName val="plastic_molded_furniture1"/>
      <sheetName val="_jobwork-val_1"/>
      <sheetName val="jobwork_detail1"/>
      <sheetName val="bank_stock_31_3_031"/>
      <sheetName val="rm_&amp;_pm_Reco_&amp;_val1"/>
      <sheetName val="stock_reco_-_excise1"/>
      <sheetName val="FG_valuation1"/>
      <sheetName val="WORKING_OF_TDS1"/>
      <sheetName val="AS_31_3_20031"/>
      <sheetName val="AS_22_1_4_20021"/>
      <sheetName val="bal_sheet__31_3_03_1"/>
      <sheetName val="DEPN_TAX1"/>
      <sheetName val="Excise_Reco_-_duty1"/>
      <sheetName val="I_T_Workings1"/>
      <sheetName val="(EVL)_compens_1"/>
      <sheetName val="sch_E_(_a)1"/>
      <sheetName val="80HHC-_final1"/>
      <sheetName val="plastic_molded_furniture"/>
      <sheetName val="_jobwork-val_"/>
      <sheetName val="jobwork_detail"/>
      <sheetName val="bank_stock_31_3_03"/>
      <sheetName val="rm_&amp;_pm_Reco_&amp;_val"/>
      <sheetName val="stock_reco_-_excise"/>
      <sheetName val="FG_valuation"/>
      <sheetName val="WORKING_OF_TDS"/>
      <sheetName val="AS_31_3_2003"/>
      <sheetName val="AS_22_1_4_2002"/>
      <sheetName val="bal_sheet__31_3_03_"/>
      <sheetName val="DEPN_TAX"/>
      <sheetName val="Excise_Reco_-_duty"/>
      <sheetName val="I_T_Workings"/>
      <sheetName val="(EVL)_compens_"/>
      <sheetName val="sch_E_(_a)"/>
      <sheetName val="80HHC-_final"/>
      <sheetName val="plastic_molded_furniture2"/>
      <sheetName val="_jobwork-val_2"/>
      <sheetName val="jobwork_detail2"/>
      <sheetName val="bank_stock_31_3_032"/>
      <sheetName val="rm_&amp;_pm_Reco_&amp;_val2"/>
      <sheetName val="stock_reco_-_excise2"/>
      <sheetName val="FG_valuation2"/>
      <sheetName val="WORKING_OF_TDS2"/>
      <sheetName val="AS_31_3_20032"/>
      <sheetName val="AS_22_1_4_20022"/>
      <sheetName val="bal_sheet__31_3_03_2"/>
      <sheetName val="DEPN_TAX2"/>
      <sheetName val="Excise_Reco_-_duty2"/>
      <sheetName val="I_T_Workings2"/>
      <sheetName val="(EVL)_compens_2"/>
      <sheetName val="sch_E_(_a)2"/>
      <sheetName val="80HHC-_fin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
      <sheetName val="BS"/>
      <sheetName val="Control"/>
      <sheetName val="Agency BS"/>
    </sheetNames>
    <sheetDataSet>
      <sheetData sheetId="0" refreshError="1">
        <row r="540">
          <cell r="A540">
            <v>200000</v>
          </cell>
          <cell r="B540" t="str">
            <v>Loss On Sales Of Fixed Assets</v>
          </cell>
          <cell r="C540">
            <v>15657.47</v>
          </cell>
        </row>
        <row r="541">
          <cell r="A541">
            <v>201000</v>
          </cell>
          <cell r="B541" t="str">
            <v>Other non operating expenses</v>
          </cell>
          <cell r="C541">
            <v>13950</v>
          </cell>
        </row>
        <row r="542">
          <cell r="A542">
            <v>203000</v>
          </cell>
          <cell r="B542" t="str">
            <v>Bad Debts written off</v>
          </cell>
          <cell r="C542">
            <v>2482968.1800000002</v>
          </cell>
        </row>
        <row r="543">
          <cell r="A543">
            <v>203100</v>
          </cell>
          <cell r="B543" t="str">
            <v>Balances Written Off</v>
          </cell>
          <cell r="C543">
            <v>55200.2</v>
          </cell>
        </row>
        <row r="544">
          <cell r="A544">
            <v>203101</v>
          </cell>
          <cell r="B544" t="str">
            <v>Balances Written Back</v>
          </cell>
          <cell r="C544">
            <v>-1333882.21</v>
          </cell>
        </row>
        <row r="545">
          <cell r="A545">
            <v>211130</v>
          </cell>
          <cell r="B545" t="str">
            <v>Depreciation-plant and machinery</v>
          </cell>
          <cell r="C545">
            <v>1259185.01</v>
          </cell>
        </row>
        <row r="546">
          <cell r="A546">
            <v>211150</v>
          </cell>
          <cell r="B546" t="str">
            <v>Depreciation-Vehicles</v>
          </cell>
          <cell r="C546">
            <v>512313.66</v>
          </cell>
        </row>
        <row r="547">
          <cell r="A547">
            <v>211160</v>
          </cell>
          <cell r="B547" t="str">
            <v>Depreciation-office equipment</v>
          </cell>
          <cell r="C547">
            <v>594911.77</v>
          </cell>
        </row>
        <row r="548">
          <cell r="A548">
            <v>211180</v>
          </cell>
          <cell r="B548" t="str">
            <v>Depreciation -Computers</v>
          </cell>
          <cell r="C548">
            <v>4349481.34</v>
          </cell>
        </row>
        <row r="549">
          <cell r="A549">
            <v>211190</v>
          </cell>
          <cell r="B549" t="str">
            <v>Depreciation on furniture</v>
          </cell>
          <cell r="C549">
            <v>831805.58</v>
          </cell>
        </row>
        <row r="550">
          <cell r="A550">
            <v>211300</v>
          </cell>
          <cell r="B550" t="str">
            <v>Goodwill Written Off</v>
          </cell>
          <cell r="C550">
            <v>7692300</v>
          </cell>
        </row>
        <row r="551">
          <cell r="A551">
            <v>211310</v>
          </cell>
          <cell r="B551" t="str">
            <v>Business value W/Off</v>
          </cell>
          <cell r="C551">
            <v>13643100</v>
          </cell>
        </row>
        <row r="552">
          <cell r="A552">
            <v>211320</v>
          </cell>
          <cell r="B552" t="str">
            <v>Non-Compete fees W/off</v>
          </cell>
          <cell r="C552">
            <v>34463269.299999997</v>
          </cell>
        </row>
        <row r="553">
          <cell r="A553">
            <v>211330</v>
          </cell>
          <cell r="B553" t="str">
            <v>Software Written Off</v>
          </cell>
          <cell r="C553">
            <v>1216045.05</v>
          </cell>
        </row>
        <row r="554">
          <cell r="A554">
            <v>211340</v>
          </cell>
          <cell r="B554" t="str">
            <v>Comm.righ Written Off</v>
          </cell>
          <cell r="C554">
            <v>5563880.2300000004</v>
          </cell>
        </row>
        <row r="555">
          <cell r="A555">
            <v>220100</v>
          </cell>
          <cell r="B555" t="str">
            <v>Interest Foreign Currency Loans. (Group</v>
          </cell>
          <cell r="C555">
            <v>7408030.9900000002</v>
          </cell>
        </row>
        <row r="556">
          <cell r="A556">
            <v>220210</v>
          </cell>
          <cell r="B556" t="str">
            <v>Interest Term Loan</v>
          </cell>
          <cell r="C556">
            <v>14430890.359999999</v>
          </cell>
        </row>
        <row r="557">
          <cell r="A557">
            <v>220220</v>
          </cell>
          <cell r="B557" t="str">
            <v>Interest Packing Credit</v>
          </cell>
          <cell r="C557">
            <v>848394.46</v>
          </cell>
        </row>
        <row r="558">
          <cell r="A558">
            <v>220230</v>
          </cell>
          <cell r="B558" t="str">
            <v>Interest Cash Credit</v>
          </cell>
          <cell r="C558">
            <v>107741.02</v>
          </cell>
        </row>
        <row r="559">
          <cell r="A559">
            <v>220300</v>
          </cell>
          <cell r="B559" t="str">
            <v>Interest - Others</v>
          </cell>
          <cell r="C559">
            <v>-2475375.92</v>
          </cell>
        </row>
        <row r="560">
          <cell r="A560">
            <v>220301</v>
          </cell>
          <cell r="B560" t="str">
            <v>interest subsidy for staff welfare</v>
          </cell>
          <cell r="C560">
            <v>2651</v>
          </cell>
        </row>
        <row r="561">
          <cell r="A561">
            <v>220310</v>
          </cell>
          <cell r="B561" t="str">
            <v>Int.on Security Dep.</v>
          </cell>
          <cell r="C561">
            <v>2334353</v>
          </cell>
        </row>
        <row r="562">
          <cell r="A562">
            <v>221010</v>
          </cell>
          <cell r="B562" t="str">
            <v>Interest on Bills Discounted/Purchased</v>
          </cell>
          <cell r="C562">
            <v>703416.84</v>
          </cell>
        </row>
        <row r="563">
          <cell r="A563">
            <v>221020</v>
          </cell>
          <cell r="B563" t="str">
            <v>Bank collection charges</v>
          </cell>
          <cell r="C563">
            <v>155504.14000000001</v>
          </cell>
        </row>
        <row r="564">
          <cell r="A564">
            <v>221030</v>
          </cell>
          <cell r="B564" t="str">
            <v>Bank Charges D/D.</v>
          </cell>
          <cell r="C564">
            <v>167325.81</v>
          </cell>
        </row>
        <row r="565">
          <cell r="A565">
            <v>221040</v>
          </cell>
          <cell r="B565" t="str">
            <v>Bank Charges Remittances.</v>
          </cell>
          <cell r="C565">
            <v>383883.28</v>
          </cell>
        </row>
        <row r="566">
          <cell r="A566">
            <v>221050</v>
          </cell>
          <cell r="B566" t="str">
            <v>Bank Charges Others.</v>
          </cell>
          <cell r="C566">
            <v>1210983.94</v>
          </cell>
        </row>
        <row r="567">
          <cell r="A567">
            <v>230000</v>
          </cell>
          <cell r="B567" t="str">
            <v>Exchange loss  operating activities - r</v>
          </cell>
          <cell r="C567">
            <v>2908771.96</v>
          </cell>
        </row>
        <row r="568">
          <cell r="A568">
            <v>230010</v>
          </cell>
          <cell r="B568" t="str">
            <v>Valuation Loss-Operating activities</v>
          </cell>
          <cell r="C568">
            <v>355598.29</v>
          </cell>
        </row>
        <row r="569">
          <cell r="A569">
            <v>230011</v>
          </cell>
          <cell r="B569" t="str">
            <v>Exchange Loss Non Operating Unrealised</v>
          </cell>
          <cell r="C569">
            <v>6780000.8100000005</v>
          </cell>
        </row>
        <row r="570">
          <cell r="A570">
            <v>231000</v>
          </cell>
          <cell r="B570" t="str">
            <v>Price Diffrences - Raw Materials</v>
          </cell>
          <cell r="C570">
            <v>-141985.79</v>
          </cell>
        </row>
        <row r="571">
          <cell r="A571">
            <v>231030</v>
          </cell>
          <cell r="B571" t="str">
            <v>Price Difference-TRADING</v>
          </cell>
          <cell r="C571">
            <v>-3132304.12</v>
          </cell>
        </row>
        <row r="572">
          <cell r="A572">
            <v>231500</v>
          </cell>
          <cell r="B572" t="str">
            <v>Loss-internal product price differences</v>
          </cell>
          <cell r="C572">
            <v>754290.06</v>
          </cell>
        </row>
        <row r="573">
          <cell r="A573">
            <v>231600</v>
          </cell>
          <cell r="B573" t="str">
            <v>Repacking Charges-CCL</v>
          </cell>
          <cell r="C573">
            <v>149000</v>
          </cell>
        </row>
        <row r="574">
          <cell r="A574">
            <v>231800</v>
          </cell>
          <cell r="B574" t="str">
            <v>DEPB Utilised account - Trading</v>
          </cell>
          <cell r="C574">
            <v>4210947.71</v>
          </cell>
        </row>
        <row r="575">
          <cell r="A575">
            <v>231900</v>
          </cell>
          <cell r="B575" t="str">
            <v>Material Small Differences Rm PM Traded</v>
          </cell>
          <cell r="C575">
            <v>-15.75</v>
          </cell>
        </row>
        <row r="576">
          <cell r="A576">
            <v>232000</v>
          </cell>
          <cell r="B576" t="str">
            <v>NRV-W/off RM &amp; Trading</v>
          </cell>
          <cell r="C576">
            <v>-1136860</v>
          </cell>
        </row>
        <row r="577">
          <cell r="A577">
            <v>232500</v>
          </cell>
          <cell r="B577" t="str">
            <v>NRV-W/off-FG &amp;SFG</v>
          </cell>
          <cell r="C577">
            <v>2630654.25</v>
          </cell>
        </row>
        <row r="578">
          <cell r="A578">
            <v>233000</v>
          </cell>
          <cell r="B578" t="str">
            <v>Physical Stock Difference Raw Materials</v>
          </cell>
          <cell r="C578">
            <v>-2191838.7999999998</v>
          </cell>
        </row>
        <row r="579">
          <cell r="A579">
            <v>233792</v>
          </cell>
          <cell r="B579" t="str">
            <v>Physical Stock Difference Finished Good</v>
          </cell>
          <cell r="C579">
            <v>13439.18</v>
          </cell>
        </row>
        <row r="580">
          <cell r="A580">
            <v>241000</v>
          </cell>
          <cell r="B580" t="str">
            <v>Corporate income tax expense</v>
          </cell>
          <cell r="C580">
            <v>27845000</v>
          </cell>
        </row>
        <row r="581">
          <cell r="A581">
            <v>241002</v>
          </cell>
          <cell r="B581" t="str">
            <v>Deferred Tax Expense 2000</v>
          </cell>
          <cell r="C581">
            <v>-605000</v>
          </cell>
        </row>
        <row r="582">
          <cell r="A582">
            <v>250000</v>
          </cell>
          <cell r="B582" t="str">
            <v>Gain-fixed asset retirement</v>
          </cell>
          <cell r="C582">
            <v>-63443.08</v>
          </cell>
        </row>
        <row r="583">
          <cell r="A583">
            <v>251000</v>
          </cell>
          <cell r="B583" t="str">
            <v>Other Non Operating Income</v>
          </cell>
          <cell r="C583">
            <v>37178.19</v>
          </cell>
        </row>
        <row r="584">
          <cell r="A584">
            <v>274000</v>
          </cell>
          <cell r="B584" t="str">
            <v>Int.Received Banks</v>
          </cell>
          <cell r="C584">
            <v>-13427.27</v>
          </cell>
        </row>
        <row r="585">
          <cell r="A585">
            <v>274100</v>
          </cell>
          <cell r="B585" t="str">
            <v>Int Received-Deposit</v>
          </cell>
          <cell r="C585">
            <v>-105569</v>
          </cell>
        </row>
        <row r="586">
          <cell r="A586">
            <v>275120</v>
          </cell>
          <cell r="B586" t="str">
            <v>Interest on overdue bills -customers</v>
          </cell>
          <cell r="C586">
            <v>-3495664.94</v>
          </cell>
        </row>
        <row r="587">
          <cell r="A587">
            <v>276000</v>
          </cell>
          <cell r="B587" t="str">
            <v>Cash discount received</v>
          </cell>
          <cell r="C587">
            <v>-1258422.8799999999</v>
          </cell>
        </row>
        <row r="588">
          <cell r="A588">
            <v>276001</v>
          </cell>
          <cell r="B588" t="str">
            <v>Trade Discount Recd.-frm Germany(Purcha</v>
          </cell>
          <cell r="C588">
            <v>-4722160.8600000003</v>
          </cell>
        </row>
        <row r="589">
          <cell r="A589">
            <v>276002</v>
          </cell>
          <cell r="B589" t="str">
            <v>Trade Discount Recd.-on stock taken ove</v>
          </cell>
          <cell r="C589">
            <v>-898995.92</v>
          </cell>
        </row>
        <row r="590">
          <cell r="A590">
            <v>280000</v>
          </cell>
          <cell r="B590" t="str">
            <v>Gain-exchange rate differences</v>
          </cell>
          <cell r="C590">
            <v>-2239701.2799999998</v>
          </cell>
        </row>
        <row r="591">
          <cell r="A591">
            <v>280001</v>
          </cell>
          <cell r="B591" t="str">
            <v>Exchange Gains from non operating activ</v>
          </cell>
          <cell r="C591">
            <v>-336206.76</v>
          </cell>
        </row>
        <row r="592">
          <cell r="A592">
            <v>280010</v>
          </cell>
          <cell r="B592" t="str">
            <v>Exchange Rate Gains from operating acti</v>
          </cell>
          <cell r="C592">
            <v>155514.35999999999</v>
          </cell>
        </row>
        <row r="593">
          <cell r="A593">
            <v>280011</v>
          </cell>
          <cell r="B593" t="str">
            <v>Exc.gains Non-Op.Unrealized</v>
          </cell>
          <cell r="C593">
            <v>0</v>
          </cell>
        </row>
        <row r="594">
          <cell r="A594">
            <v>299010</v>
          </cell>
          <cell r="B594" t="str">
            <v>Insurance claim Received</v>
          </cell>
          <cell r="C594">
            <v>-242214</v>
          </cell>
        </row>
        <row r="595">
          <cell r="A595">
            <v>400000</v>
          </cell>
          <cell r="B595" t="str">
            <v>Consumption-Raw Material</v>
          </cell>
          <cell r="C595">
            <v>195748707.42000002</v>
          </cell>
        </row>
        <row r="596">
          <cell r="A596">
            <v>400010</v>
          </cell>
          <cell r="B596" t="str">
            <v>Consumption-Raw Material Imported</v>
          </cell>
          <cell r="C596">
            <v>3345976.35</v>
          </cell>
        </row>
        <row r="597">
          <cell r="A597">
            <v>400020</v>
          </cell>
          <cell r="B597" t="str">
            <v>Mater. consumed-R.M AND P.M W/O COST EL</v>
          </cell>
          <cell r="C597">
            <v>6667166.0200000005</v>
          </cell>
        </row>
        <row r="598">
          <cell r="A598">
            <v>400040</v>
          </cell>
          <cell r="B598" t="str">
            <v>Cost of purchase-BASF</v>
          </cell>
          <cell r="C598">
            <v>-784332</v>
          </cell>
        </row>
        <row r="599">
          <cell r="A599">
            <v>405000</v>
          </cell>
          <cell r="B599" t="str">
            <v>Consumption - Packing Material</v>
          </cell>
          <cell r="C599">
            <v>13575950.300000001</v>
          </cell>
        </row>
        <row r="600">
          <cell r="A600">
            <v>417000</v>
          </cell>
          <cell r="B600" t="str">
            <v>Conversion Cost - Variable</v>
          </cell>
          <cell r="C600">
            <v>33772000</v>
          </cell>
        </row>
        <row r="601">
          <cell r="A601">
            <v>417001</v>
          </cell>
          <cell r="B601" t="str">
            <v>Conversion Cost - Fixed</v>
          </cell>
          <cell r="C601">
            <v>78731000</v>
          </cell>
        </row>
        <row r="602">
          <cell r="A602">
            <v>430000</v>
          </cell>
          <cell r="B602" t="str">
            <v>Salaries</v>
          </cell>
          <cell r="C602">
            <v>6427686</v>
          </cell>
        </row>
        <row r="603">
          <cell r="A603">
            <v>430010</v>
          </cell>
          <cell r="B603" t="str">
            <v>Stipends</v>
          </cell>
          <cell r="C603">
            <v>11000</v>
          </cell>
        </row>
        <row r="604">
          <cell r="A604">
            <v>430020</v>
          </cell>
          <cell r="B604" t="str">
            <v>M.D's Salary</v>
          </cell>
          <cell r="C604">
            <v>974280</v>
          </cell>
        </row>
        <row r="605">
          <cell r="A605">
            <v>430040</v>
          </cell>
          <cell r="B605" t="str">
            <v>M.D's Leave Travelling</v>
          </cell>
          <cell r="C605">
            <v>190755</v>
          </cell>
        </row>
        <row r="606">
          <cell r="A606">
            <v>430050</v>
          </cell>
          <cell r="B606" t="str">
            <v>M.D's Electricity</v>
          </cell>
          <cell r="C606">
            <v>165478.1</v>
          </cell>
        </row>
        <row r="607">
          <cell r="A607">
            <v>430060</v>
          </cell>
          <cell r="B607" t="str">
            <v>Managing Directors Remuneration -Others</v>
          </cell>
          <cell r="C607">
            <v>197933</v>
          </cell>
        </row>
        <row r="608">
          <cell r="A608">
            <v>430070</v>
          </cell>
          <cell r="B608" t="str">
            <v>M.D's HRA</v>
          </cell>
          <cell r="C608">
            <v>486410</v>
          </cell>
        </row>
        <row r="609">
          <cell r="A609">
            <v>430090</v>
          </cell>
          <cell r="B609" t="str">
            <v>gifts</v>
          </cell>
          <cell r="C609">
            <v>100000</v>
          </cell>
        </row>
        <row r="610">
          <cell r="A610">
            <v>430100</v>
          </cell>
          <cell r="B610" t="str">
            <v>Conveyance-Salaries</v>
          </cell>
          <cell r="C610">
            <v>414773</v>
          </cell>
        </row>
        <row r="611">
          <cell r="A611">
            <v>430110</v>
          </cell>
          <cell r="B611" t="str">
            <v>HRA</v>
          </cell>
          <cell r="C611">
            <v>1269677</v>
          </cell>
        </row>
        <row r="612">
          <cell r="A612">
            <v>430120</v>
          </cell>
          <cell r="B612" t="str">
            <v>Lunch</v>
          </cell>
          <cell r="C612">
            <v>240455</v>
          </cell>
        </row>
        <row r="613">
          <cell r="A613">
            <v>430130</v>
          </cell>
          <cell r="B613" t="str">
            <v>Reimbursement of Interest cost to Emplo</v>
          </cell>
          <cell r="C613">
            <v>34844</v>
          </cell>
        </row>
        <row r="614">
          <cell r="A614">
            <v>432000</v>
          </cell>
          <cell r="B614" t="str">
            <v>Leave Encashment</v>
          </cell>
          <cell r="C614">
            <v>-588955</v>
          </cell>
        </row>
        <row r="615">
          <cell r="A615">
            <v>433000</v>
          </cell>
          <cell r="B615" t="str">
            <v>Reimbursement of Medical Staff.</v>
          </cell>
          <cell r="C615">
            <v>535452.97</v>
          </cell>
        </row>
        <row r="616">
          <cell r="A616">
            <v>433020</v>
          </cell>
          <cell r="B616" t="str">
            <v>Medical Aid Medicines.</v>
          </cell>
          <cell r="C616">
            <v>5800</v>
          </cell>
        </row>
        <row r="617">
          <cell r="A617">
            <v>433030</v>
          </cell>
          <cell r="B617" t="str">
            <v>Welfare Expenses Parties.</v>
          </cell>
          <cell r="C617">
            <v>329874.44</v>
          </cell>
        </row>
        <row r="618">
          <cell r="A618">
            <v>433040</v>
          </cell>
          <cell r="B618" t="str">
            <v>Welfare Exp.canteen</v>
          </cell>
          <cell r="C618">
            <v>141306.5</v>
          </cell>
        </row>
        <row r="619">
          <cell r="A619">
            <v>433050</v>
          </cell>
          <cell r="B619" t="str">
            <v>Welfare ExpTransport</v>
          </cell>
          <cell r="C619">
            <v>818825.5</v>
          </cell>
        </row>
        <row r="620">
          <cell r="A620">
            <v>433060</v>
          </cell>
          <cell r="B620" t="str">
            <v>Welfare Exp.Other</v>
          </cell>
          <cell r="C620">
            <v>348195.32</v>
          </cell>
        </row>
        <row r="621">
          <cell r="A621">
            <v>434000</v>
          </cell>
          <cell r="B621" t="str">
            <v>LTA-Staff</v>
          </cell>
          <cell r="C621">
            <v>604937</v>
          </cell>
        </row>
        <row r="622">
          <cell r="A622">
            <v>435000</v>
          </cell>
          <cell r="B622" t="str">
            <v>Ex-Gratia</v>
          </cell>
          <cell r="C622">
            <v>2842904</v>
          </cell>
        </row>
        <row r="623">
          <cell r="A623">
            <v>445000</v>
          </cell>
          <cell r="B623" t="str">
            <v>Company Cont. to Family Pension Fund</v>
          </cell>
          <cell r="C623">
            <v>108193</v>
          </cell>
        </row>
        <row r="624">
          <cell r="A624">
            <v>445010</v>
          </cell>
          <cell r="B624" t="str">
            <v>Contribution to P.F</v>
          </cell>
          <cell r="C624">
            <v>236768</v>
          </cell>
        </row>
        <row r="625">
          <cell r="A625">
            <v>445020</v>
          </cell>
          <cell r="B625" t="str">
            <v>Cont. to Gratuity</v>
          </cell>
          <cell r="C625">
            <v>228149</v>
          </cell>
        </row>
        <row r="626">
          <cell r="A626">
            <v>445030</v>
          </cell>
          <cell r="B626" t="str">
            <v>Admn.chg. P.F</v>
          </cell>
          <cell r="C626">
            <v>31752</v>
          </cell>
        </row>
        <row r="627">
          <cell r="A627">
            <v>445040</v>
          </cell>
          <cell r="B627" t="str">
            <v>EDLI ContributionPF</v>
          </cell>
          <cell r="C627">
            <v>7264</v>
          </cell>
        </row>
        <row r="628">
          <cell r="A628">
            <v>445050</v>
          </cell>
          <cell r="B628" t="str">
            <v>Cont.superannuation</v>
          </cell>
          <cell r="C628">
            <v>1148880</v>
          </cell>
        </row>
        <row r="629">
          <cell r="A629">
            <v>445060</v>
          </cell>
          <cell r="B629" t="str">
            <v>E.S.I.C Contribution</v>
          </cell>
          <cell r="C629">
            <v>6582</v>
          </cell>
        </row>
        <row r="630">
          <cell r="A630">
            <v>447000</v>
          </cell>
          <cell r="B630" t="str">
            <v>Reimbursement Mediclaim</v>
          </cell>
          <cell r="C630">
            <v>135596</v>
          </cell>
        </row>
        <row r="631">
          <cell r="A631">
            <v>447010</v>
          </cell>
          <cell r="B631" t="str">
            <v>Welfare expInsurance</v>
          </cell>
          <cell r="C631">
            <v>84638</v>
          </cell>
        </row>
        <row r="632">
          <cell r="A632">
            <v>451000</v>
          </cell>
          <cell r="B632" t="str">
            <v>Repairs Building(Office)</v>
          </cell>
          <cell r="C632">
            <v>168764</v>
          </cell>
        </row>
        <row r="633">
          <cell r="A633">
            <v>451100</v>
          </cell>
          <cell r="B633" t="str">
            <v>Repairs-Building-Res</v>
          </cell>
          <cell r="C633">
            <v>1225</v>
          </cell>
        </row>
        <row r="634">
          <cell r="A634">
            <v>452010</v>
          </cell>
          <cell r="B634" t="str">
            <v>Repairs &amp; Maintenance - Vehicles</v>
          </cell>
          <cell r="C634">
            <v>202479</v>
          </cell>
        </row>
        <row r="635">
          <cell r="A635">
            <v>452020</v>
          </cell>
          <cell r="B635" t="str">
            <v>R&amp;M Office Equipmen</v>
          </cell>
          <cell r="C635">
            <v>168418.8</v>
          </cell>
        </row>
        <row r="636">
          <cell r="A636">
            <v>452030</v>
          </cell>
          <cell r="B636" t="str">
            <v>R&amp;M Computers</v>
          </cell>
          <cell r="C636">
            <v>177880</v>
          </cell>
        </row>
        <row r="637">
          <cell r="A637">
            <v>452040</v>
          </cell>
          <cell r="B637" t="str">
            <v>R&amp;M Others</v>
          </cell>
          <cell r="C637">
            <v>100736</v>
          </cell>
        </row>
        <row r="638">
          <cell r="A638">
            <v>452050</v>
          </cell>
          <cell r="B638" t="str">
            <v>Software modification chg -for connecti</v>
          </cell>
          <cell r="C638">
            <v>1053740</v>
          </cell>
        </row>
        <row r="639">
          <cell r="A639">
            <v>460200</v>
          </cell>
          <cell r="B639" t="str">
            <v>Sales Tax Expense</v>
          </cell>
          <cell r="C639">
            <v>-271335</v>
          </cell>
        </row>
        <row r="640">
          <cell r="A640">
            <v>464000</v>
          </cell>
          <cell r="B640" t="str">
            <v>Motor Vehicle Expenses Taxes.</v>
          </cell>
          <cell r="C640">
            <v>9927</v>
          </cell>
        </row>
        <row r="641">
          <cell r="A641">
            <v>465000</v>
          </cell>
          <cell r="B641" t="str">
            <v>Excise duty paid</v>
          </cell>
          <cell r="C641">
            <v>48131814.890000001</v>
          </cell>
        </row>
        <row r="642">
          <cell r="A642">
            <v>465050</v>
          </cell>
          <cell r="B642" t="str">
            <v>Rates &amp; Taxes Others</v>
          </cell>
          <cell r="C642">
            <v>153522</v>
          </cell>
        </row>
        <row r="643">
          <cell r="A643">
            <v>466010</v>
          </cell>
          <cell r="B643" t="str">
            <v>Insurance Fixed Assets- Fire policy 'A'</v>
          </cell>
          <cell r="C643">
            <v>89406</v>
          </cell>
        </row>
        <row r="644">
          <cell r="A644">
            <v>466020</v>
          </cell>
          <cell r="B644" t="str">
            <v>Fire insurance - Finished Goods - fire</v>
          </cell>
          <cell r="C644">
            <v>897161</v>
          </cell>
        </row>
        <row r="645">
          <cell r="A645">
            <v>466030</v>
          </cell>
          <cell r="B645" t="str">
            <v>Transit Insurance - Exports- Marine &amp; A</v>
          </cell>
          <cell r="C645">
            <v>25015</v>
          </cell>
        </row>
        <row r="646">
          <cell r="A646">
            <v>466040</v>
          </cell>
          <cell r="B646" t="str">
            <v>Transit Insurance - Local-special decla</v>
          </cell>
          <cell r="C646">
            <v>308438</v>
          </cell>
        </row>
        <row r="647">
          <cell r="A647">
            <v>470050</v>
          </cell>
          <cell r="B647" t="str">
            <v>Operating Cost-CCL</v>
          </cell>
          <cell r="C647">
            <v>240000</v>
          </cell>
        </row>
        <row r="648">
          <cell r="A648">
            <v>471010</v>
          </cell>
          <cell r="B648" t="str">
            <v>Rent-Office Building</v>
          </cell>
          <cell r="C648">
            <v>4142130</v>
          </cell>
        </row>
        <row r="649">
          <cell r="A649">
            <v>471030</v>
          </cell>
          <cell r="B649" t="str">
            <v>Lease Rent Vehicles.</v>
          </cell>
          <cell r="C649">
            <v>2114273</v>
          </cell>
        </row>
        <row r="650">
          <cell r="A650">
            <v>471040</v>
          </cell>
          <cell r="B650" t="str">
            <v>Lease Rent Computers</v>
          </cell>
          <cell r="C650">
            <v>85176</v>
          </cell>
        </row>
        <row r="651">
          <cell r="A651">
            <v>471050</v>
          </cell>
          <cell r="B651" t="str">
            <v>Vehicle Hire Charges.</v>
          </cell>
          <cell r="C651">
            <v>63262</v>
          </cell>
        </row>
        <row r="652">
          <cell r="A652">
            <v>472000</v>
          </cell>
          <cell r="B652" t="str">
            <v>Freight Charge-FG</v>
          </cell>
          <cell r="C652">
            <v>3097718.78</v>
          </cell>
        </row>
        <row r="653">
          <cell r="A653">
            <v>472010</v>
          </cell>
          <cell r="B653" t="str">
            <v>Octroi on FG</v>
          </cell>
          <cell r="C653">
            <v>2170895.27</v>
          </cell>
        </row>
        <row r="654">
          <cell r="A654">
            <v>472020</v>
          </cell>
          <cell r="B654" t="str">
            <v>Freight Chg-others</v>
          </cell>
          <cell r="C654">
            <v>190690.24</v>
          </cell>
        </row>
        <row r="655">
          <cell r="A655">
            <v>472030</v>
          </cell>
          <cell r="B655" t="str">
            <v>Freight Chg.Exports</v>
          </cell>
          <cell r="C655">
            <v>1688777</v>
          </cell>
        </row>
        <row r="656">
          <cell r="A656">
            <v>472040</v>
          </cell>
          <cell r="B656" t="str">
            <v>C&amp;Fagents Commission</v>
          </cell>
          <cell r="C656">
            <v>6841582</v>
          </cell>
        </row>
        <row r="657">
          <cell r="A657">
            <v>472050</v>
          </cell>
          <cell r="B657" t="str">
            <v>C&amp;F Agents Charges</v>
          </cell>
          <cell r="C657">
            <v>93235.85</v>
          </cell>
        </row>
        <row r="658">
          <cell r="A658">
            <v>472060</v>
          </cell>
          <cell r="B658" t="str">
            <v>Export expenses</v>
          </cell>
          <cell r="C658">
            <v>1618410.22</v>
          </cell>
        </row>
        <row r="659">
          <cell r="A659">
            <v>472080</v>
          </cell>
          <cell r="B659" t="str">
            <v>C&amp;F agent Chg.Exports</v>
          </cell>
          <cell r="C659">
            <v>377339</v>
          </cell>
        </row>
        <row r="660">
          <cell r="A660">
            <v>473000</v>
          </cell>
          <cell r="B660" t="str">
            <v>Postage Courier.</v>
          </cell>
          <cell r="C660">
            <v>643144.54</v>
          </cell>
        </row>
        <row r="661">
          <cell r="A661">
            <v>473120</v>
          </cell>
          <cell r="B661" t="str">
            <v>Telecommunication Telephone</v>
          </cell>
          <cell r="C661">
            <v>2190153.09</v>
          </cell>
        </row>
        <row r="662">
          <cell r="A662">
            <v>473130</v>
          </cell>
          <cell r="B662" t="str">
            <v>E-mail/Internet  Charges</v>
          </cell>
          <cell r="C662">
            <v>24926</v>
          </cell>
        </row>
        <row r="663">
          <cell r="A663">
            <v>474210</v>
          </cell>
          <cell r="B663" t="str">
            <v>Travelling Boarding &amp; Lodging.</v>
          </cell>
          <cell r="C663">
            <v>1042819.13</v>
          </cell>
        </row>
        <row r="664">
          <cell r="A664">
            <v>474220</v>
          </cell>
          <cell r="B664" t="str">
            <v>Travelling Outstation Allowance</v>
          </cell>
          <cell r="C664">
            <v>3365</v>
          </cell>
        </row>
        <row r="665">
          <cell r="A665">
            <v>474230</v>
          </cell>
          <cell r="B665" t="str">
            <v>Travelling Foreign Fare.</v>
          </cell>
          <cell r="C665">
            <v>1329090.75</v>
          </cell>
        </row>
        <row r="666">
          <cell r="A666">
            <v>474235</v>
          </cell>
          <cell r="B666" t="str">
            <v>Travelling Local Fare.</v>
          </cell>
          <cell r="C666">
            <v>2196982.23</v>
          </cell>
        </row>
        <row r="667">
          <cell r="A667">
            <v>474240</v>
          </cell>
          <cell r="B667" t="str">
            <v>Travelling Expenses Others</v>
          </cell>
          <cell r="C667">
            <v>158299.76</v>
          </cell>
        </row>
        <row r="668">
          <cell r="A668">
            <v>474260</v>
          </cell>
          <cell r="B668" t="str">
            <v>Travelling Foreign Exchange.</v>
          </cell>
          <cell r="C668">
            <v>555275.72</v>
          </cell>
        </row>
        <row r="669">
          <cell r="A669">
            <v>474270</v>
          </cell>
          <cell r="B669" t="str">
            <v>Conveyance Local</v>
          </cell>
          <cell r="C669">
            <v>925281</v>
          </cell>
        </row>
        <row r="670">
          <cell r="A670">
            <v>474275</v>
          </cell>
          <cell r="B670" t="str">
            <v>Conveyance Outstation.</v>
          </cell>
          <cell r="C670">
            <v>120523</v>
          </cell>
        </row>
        <row r="671">
          <cell r="A671">
            <v>474500</v>
          </cell>
          <cell r="B671" t="str">
            <v>Lunch on Office Duty.</v>
          </cell>
          <cell r="C671">
            <v>26967</v>
          </cell>
        </row>
        <row r="672">
          <cell r="A672">
            <v>474510</v>
          </cell>
          <cell r="B672" t="str">
            <v>M.D's House main</v>
          </cell>
          <cell r="C672">
            <v>14400</v>
          </cell>
        </row>
        <row r="673">
          <cell r="A673">
            <v>474520</v>
          </cell>
          <cell r="B673" t="str">
            <v>Entertainment Exp.</v>
          </cell>
          <cell r="C673">
            <v>284116</v>
          </cell>
        </row>
        <row r="674">
          <cell r="A674">
            <v>474530</v>
          </cell>
          <cell r="B674" t="str">
            <v>Credit Card Fees</v>
          </cell>
          <cell r="C674">
            <v>22168</v>
          </cell>
        </row>
        <row r="675">
          <cell r="A675">
            <v>475000</v>
          </cell>
          <cell r="B675" t="str">
            <v>Vehicle costs</v>
          </cell>
          <cell r="C675">
            <v>0</v>
          </cell>
        </row>
        <row r="676">
          <cell r="A676">
            <v>476000</v>
          </cell>
          <cell r="B676" t="str">
            <v>Printing  - Invoices &amp; Forms.</v>
          </cell>
          <cell r="C676">
            <v>241305</v>
          </cell>
        </row>
        <row r="677">
          <cell r="A677">
            <v>476010</v>
          </cell>
          <cell r="B677" t="str">
            <v>Printing -Xerox.</v>
          </cell>
          <cell r="C677">
            <v>839</v>
          </cell>
        </row>
        <row r="678">
          <cell r="A678">
            <v>476020</v>
          </cell>
          <cell r="B678" t="str">
            <v>Printing -Others.</v>
          </cell>
          <cell r="C678">
            <v>8982</v>
          </cell>
        </row>
        <row r="679">
          <cell r="A679">
            <v>476030</v>
          </cell>
          <cell r="B679" t="str">
            <v>Stationery Computer</v>
          </cell>
          <cell r="C679">
            <v>239332</v>
          </cell>
        </row>
        <row r="680">
          <cell r="A680">
            <v>476040</v>
          </cell>
          <cell r="B680" t="str">
            <v>Stationery Pre-printed</v>
          </cell>
          <cell r="C680">
            <v>210362</v>
          </cell>
        </row>
        <row r="681">
          <cell r="A681">
            <v>476050</v>
          </cell>
          <cell r="B681" t="str">
            <v>stationery-others</v>
          </cell>
          <cell r="C681">
            <v>225344.25</v>
          </cell>
        </row>
        <row r="682">
          <cell r="A682">
            <v>476200</v>
          </cell>
          <cell r="B682" t="str">
            <v>Office &amp; Other Expenses House keeping.</v>
          </cell>
          <cell r="C682">
            <v>752531.5</v>
          </cell>
        </row>
        <row r="683">
          <cell r="A683">
            <v>476210</v>
          </cell>
          <cell r="B683" t="str">
            <v>Office &amp; Other Expenses Petty Purchases</v>
          </cell>
          <cell r="C683">
            <v>176888.28</v>
          </cell>
        </row>
        <row r="684">
          <cell r="A684">
            <v>476300</v>
          </cell>
          <cell r="B684" t="str">
            <v>Books&amp;Subs-Books</v>
          </cell>
          <cell r="C684">
            <v>8260</v>
          </cell>
        </row>
        <row r="685">
          <cell r="A685">
            <v>476310</v>
          </cell>
          <cell r="B685" t="str">
            <v>Books&amp;Subs-Memb.Fees</v>
          </cell>
          <cell r="C685">
            <v>60029.63</v>
          </cell>
        </row>
        <row r="686">
          <cell r="A686">
            <v>476420</v>
          </cell>
          <cell r="B686" t="str">
            <v>Prof.Chg.EDP</v>
          </cell>
          <cell r="C686">
            <v>1738446.83</v>
          </cell>
        </row>
        <row r="687">
          <cell r="A687">
            <v>476430</v>
          </cell>
          <cell r="B687" t="str">
            <v>Prof.chg.recruitment</v>
          </cell>
          <cell r="C687">
            <v>45675</v>
          </cell>
        </row>
        <row r="688">
          <cell r="A688">
            <v>476440</v>
          </cell>
          <cell r="B688" t="str">
            <v>Prof.chg-Sales tax</v>
          </cell>
          <cell r="C688">
            <v>0</v>
          </cell>
        </row>
        <row r="689">
          <cell r="A689">
            <v>476450</v>
          </cell>
          <cell r="B689" t="str">
            <v>ProfChgcertification</v>
          </cell>
          <cell r="C689">
            <v>500</v>
          </cell>
        </row>
        <row r="690">
          <cell r="A690">
            <v>476460</v>
          </cell>
          <cell r="B690" t="str">
            <v>Prof.Chg.Consultants</v>
          </cell>
          <cell r="C690">
            <v>495509</v>
          </cell>
        </row>
        <row r="691">
          <cell r="A691">
            <v>476470</v>
          </cell>
          <cell r="B691" t="str">
            <v>Professional Charges-Others</v>
          </cell>
          <cell r="C691">
            <v>0</v>
          </cell>
        </row>
        <row r="692">
          <cell r="A692">
            <v>476600</v>
          </cell>
          <cell r="B692" t="str">
            <v>Electricity Charges.</v>
          </cell>
          <cell r="C692">
            <v>766603</v>
          </cell>
        </row>
        <row r="693">
          <cell r="A693">
            <v>476610</v>
          </cell>
          <cell r="B693" t="str">
            <v>Water Charges</v>
          </cell>
          <cell r="C693">
            <v>91704</v>
          </cell>
        </row>
        <row r="694">
          <cell r="A694">
            <v>476690</v>
          </cell>
          <cell r="B694" t="str">
            <v>Filing Fee&amp;StampDuty</v>
          </cell>
          <cell r="C694">
            <v>272545</v>
          </cell>
        </row>
        <row r="695">
          <cell r="A695">
            <v>476700</v>
          </cell>
          <cell r="B695" t="str">
            <v>Statutory audit fees</v>
          </cell>
          <cell r="C695">
            <v>1118250</v>
          </cell>
        </row>
        <row r="696">
          <cell r="A696">
            <v>476710</v>
          </cell>
          <cell r="B696" t="str">
            <v>Statutory audit-Exp</v>
          </cell>
          <cell r="C696">
            <v>30623</v>
          </cell>
        </row>
        <row r="697">
          <cell r="A697">
            <v>476720</v>
          </cell>
          <cell r="B697" t="str">
            <v>Tax Audit fees</v>
          </cell>
          <cell r="C697">
            <v>42250</v>
          </cell>
        </row>
        <row r="698">
          <cell r="A698">
            <v>476740</v>
          </cell>
          <cell r="B698" t="str">
            <v>Audit Expenses - other fees</v>
          </cell>
          <cell r="C698">
            <v>-3400</v>
          </cell>
        </row>
        <row r="699">
          <cell r="A699">
            <v>476800</v>
          </cell>
          <cell r="B699" t="str">
            <v>Lab Testing material</v>
          </cell>
          <cell r="C699">
            <v>288033</v>
          </cell>
        </row>
        <row r="700">
          <cell r="A700">
            <v>476810</v>
          </cell>
          <cell r="B700" t="str">
            <v>Vendor Dev.CCl</v>
          </cell>
          <cell r="C700">
            <v>188805</v>
          </cell>
        </row>
        <row r="701">
          <cell r="A701">
            <v>477000</v>
          </cell>
          <cell r="B701" t="str">
            <v>Advertising Calendars</v>
          </cell>
          <cell r="C701">
            <v>157635</v>
          </cell>
        </row>
        <row r="702">
          <cell r="A702">
            <v>477001</v>
          </cell>
          <cell r="B702" t="str">
            <v>Adv.Exhibitions</v>
          </cell>
          <cell r="C702">
            <v>110357</v>
          </cell>
        </row>
        <row r="703">
          <cell r="A703">
            <v>477030</v>
          </cell>
          <cell r="B703" t="str">
            <v>Adv.news papers</v>
          </cell>
          <cell r="C703">
            <v>307924.55</v>
          </cell>
        </row>
        <row r="704">
          <cell r="A704">
            <v>477040</v>
          </cell>
          <cell r="B704" t="str">
            <v>printing shade cards</v>
          </cell>
          <cell r="C704">
            <v>69420</v>
          </cell>
        </row>
        <row r="705">
          <cell r="A705">
            <v>477050</v>
          </cell>
          <cell r="B705" t="str">
            <v>Printing -Product Literature.</v>
          </cell>
          <cell r="C705">
            <v>0</v>
          </cell>
        </row>
        <row r="706">
          <cell r="A706">
            <v>477060</v>
          </cell>
          <cell r="B706" t="str">
            <v>Corporate ser.CCL</v>
          </cell>
          <cell r="C706">
            <v>41400</v>
          </cell>
        </row>
        <row r="707">
          <cell r="A707">
            <v>477070</v>
          </cell>
          <cell r="B707" t="str">
            <v>Ent.exp.Customer</v>
          </cell>
          <cell r="C707">
            <v>111706.67</v>
          </cell>
        </row>
        <row r="708">
          <cell r="A708">
            <v>477080</v>
          </cell>
          <cell r="B708" t="str">
            <v>Ent.exp.stockist</v>
          </cell>
          <cell r="C708">
            <v>2922</v>
          </cell>
        </row>
        <row r="709">
          <cell r="A709">
            <v>477100</v>
          </cell>
          <cell r="B709" t="str">
            <v>information technology services</v>
          </cell>
          <cell r="C709">
            <v>123000</v>
          </cell>
        </row>
        <row r="710">
          <cell r="A710">
            <v>477200</v>
          </cell>
          <cell r="B710" t="str">
            <v>Advertising gifts</v>
          </cell>
          <cell r="C710">
            <v>11260</v>
          </cell>
        </row>
        <row r="711">
          <cell r="A711">
            <v>477400</v>
          </cell>
          <cell r="B711" t="str">
            <v>Cost of samples received</v>
          </cell>
          <cell r="C711">
            <v>765777.12</v>
          </cell>
        </row>
        <row r="712">
          <cell r="A712">
            <v>477410</v>
          </cell>
          <cell r="B712" t="str">
            <v>Cost of samples from Stock</v>
          </cell>
          <cell r="C712">
            <v>289402.31</v>
          </cell>
        </row>
        <row r="713">
          <cell r="A713">
            <v>477900</v>
          </cell>
          <cell r="B713" t="str">
            <v>Sales commission (brokerage)</v>
          </cell>
          <cell r="C713">
            <v>2896822.9</v>
          </cell>
        </row>
        <row r="714">
          <cell r="A714">
            <v>477910</v>
          </cell>
          <cell r="B714" t="str">
            <v>Comm.to sub-indent</v>
          </cell>
          <cell r="C714">
            <v>294222.51</v>
          </cell>
        </row>
        <row r="715">
          <cell r="A715">
            <v>800000</v>
          </cell>
          <cell r="B715" t="str">
            <v>Local Sales</v>
          </cell>
          <cell r="C715">
            <v>-636906883.39999998</v>
          </cell>
        </row>
        <row r="716">
          <cell r="A716">
            <v>800005</v>
          </cell>
          <cell r="B716" t="str">
            <v>Local Sales</v>
          </cell>
          <cell r="C716">
            <v>-33211.410000000003</v>
          </cell>
        </row>
        <row r="717">
          <cell r="A717">
            <v>800010</v>
          </cell>
          <cell r="B717" t="str">
            <v>Raw Mat. Local Sale</v>
          </cell>
          <cell r="C717">
            <v>-1484762.6</v>
          </cell>
        </row>
        <row r="718">
          <cell r="A718">
            <v>800100</v>
          </cell>
          <cell r="B718" t="str">
            <v>Handling charges</v>
          </cell>
          <cell r="C718">
            <v>-569591.38</v>
          </cell>
        </row>
        <row r="719">
          <cell r="A719">
            <v>800110</v>
          </cell>
          <cell r="B719" t="str">
            <v>Freight Recovered</v>
          </cell>
          <cell r="C719">
            <v>-72141.100000000006</v>
          </cell>
        </row>
        <row r="720">
          <cell r="A720">
            <v>800120</v>
          </cell>
          <cell r="B720" t="str">
            <v>Insurance Recovered</v>
          </cell>
          <cell r="C720">
            <v>-699171.23</v>
          </cell>
        </row>
        <row r="721">
          <cell r="A721">
            <v>800130</v>
          </cell>
          <cell r="B721" t="str">
            <v>Octroi Recovered-L</v>
          </cell>
          <cell r="C721">
            <v>-2151284.75</v>
          </cell>
        </row>
        <row r="722">
          <cell r="A722">
            <v>800150</v>
          </cell>
          <cell r="B722" t="str">
            <v>Excise Recovered on sales</v>
          </cell>
          <cell r="C722">
            <v>-92794475.75</v>
          </cell>
        </row>
        <row r="723">
          <cell r="A723">
            <v>801000</v>
          </cell>
          <cell r="B723" t="str">
            <v>Export Sales</v>
          </cell>
          <cell r="C723">
            <v>-100089981.04000001</v>
          </cell>
        </row>
        <row r="724">
          <cell r="A724">
            <v>802010</v>
          </cell>
          <cell r="B724" t="str">
            <v>Indent Comm.Foreign</v>
          </cell>
          <cell r="C724">
            <v>-7509837.3900000006</v>
          </cell>
        </row>
        <row r="725">
          <cell r="A725">
            <v>802020</v>
          </cell>
          <cell r="B725" t="str">
            <v>Reverse Indent Commission-Foreign</v>
          </cell>
          <cell r="C725">
            <v>-30546715.060000002</v>
          </cell>
        </row>
        <row r="726">
          <cell r="A726">
            <v>803000</v>
          </cell>
          <cell r="B726" t="str">
            <v>Service Charges</v>
          </cell>
          <cell r="C726">
            <v>-5633304.29</v>
          </cell>
        </row>
        <row r="727">
          <cell r="A727">
            <v>860010</v>
          </cell>
          <cell r="B727" t="str">
            <v>Duty drawback</v>
          </cell>
          <cell r="C727">
            <v>602991.15</v>
          </cell>
        </row>
        <row r="728">
          <cell r="A728">
            <v>860020</v>
          </cell>
          <cell r="B728" t="str">
            <v>Brand duty received</v>
          </cell>
          <cell r="C728">
            <v>497030.67</v>
          </cell>
        </row>
        <row r="729">
          <cell r="A729">
            <v>860030</v>
          </cell>
          <cell r="B729" t="str">
            <v>D.E.P.B. Income</v>
          </cell>
          <cell r="C729">
            <v>-3764545.15</v>
          </cell>
        </row>
        <row r="730">
          <cell r="A730">
            <v>860040</v>
          </cell>
          <cell r="B730" t="str">
            <v>Brand duty received on imports (1% S.V.B)</v>
          </cell>
          <cell r="C730">
            <v>-85492</v>
          </cell>
        </row>
        <row r="731">
          <cell r="A731">
            <v>880000</v>
          </cell>
          <cell r="B731" t="str">
            <v>Customer discounts(Cash Discount)</v>
          </cell>
          <cell r="C731">
            <v>8861119.0399999991</v>
          </cell>
        </row>
        <row r="732">
          <cell r="A732">
            <v>881000</v>
          </cell>
          <cell r="B732" t="str">
            <v>Payment Differences (Rounding Off Diffe</v>
          </cell>
          <cell r="C732">
            <v>446.16</v>
          </cell>
        </row>
        <row r="733">
          <cell r="A733">
            <v>883000</v>
          </cell>
          <cell r="B733" t="str">
            <v>Discount on Sales-Packing Material Disc</v>
          </cell>
          <cell r="C733">
            <v>12849.71</v>
          </cell>
        </row>
        <row r="734">
          <cell r="A734">
            <v>883010</v>
          </cell>
          <cell r="B734" t="str">
            <v>Shortage,Leakage W/o</v>
          </cell>
          <cell r="C734">
            <v>208942.43</v>
          </cell>
        </row>
        <row r="735">
          <cell r="A735">
            <v>883020</v>
          </cell>
          <cell r="B735" t="str">
            <v>Excise/octroi Written Off</v>
          </cell>
          <cell r="C735">
            <v>228921.83</v>
          </cell>
        </row>
        <row r="736">
          <cell r="A736">
            <v>884000</v>
          </cell>
          <cell r="B736" t="str">
            <v>Rebate on Sales-Trade Discount, Qty dis</v>
          </cell>
          <cell r="C736">
            <v>11520973.59</v>
          </cell>
        </row>
        <row r="737">
          <cell r="A737">
            <v>889000</v>
          </cell>
          <cell r="B737" t="str">
            <v>Other sales deductions</v>
          </cell>
          <cell r="C737">
            <v>315497.11</v>
          </cell>
        </row>
        <row r="738">
          <cell r="A738">
            <v>890000</v>
          </cell>
          <cell r="B738" t="str">
            <v>Inventory change-SFG Issue to Prod. Ord</v>
          </cell>
          <cell r="C738">
            <v>382080329.37</v>
          </cell>
        </row>
        <row r="739">
          <cell r="A739">
            <v>891000</v>
          </cell>
          <cell r="B739" t="str">
            <v>Inventory change-work in process</v>
          </cell>
          <cell r="C739">
            <v>-967548.68</v>
          </cell>
        </row>
        <row r="740">
          <cell r="A740">
            <v>892000</v>
          </cell>
          <cell r="B740" t="str">
            <v>Inventory change-F.G.-Reprocessing</v>
          </cell>
          <cell r="C740">
            <v>4210344.32</v>
          </cell>
        </row>
        <row r="741">
          <cell r="A741">
            <v>893100</v>
          </cell>
          <cell r="B741" t="str">
            <v>Inv.Chg.cost MFG/SF Sold</v>
          </cell>
          <cell r="C741">
            <v>626680.34</v>
          </cell>
        </row>
        <row r="742">
          <cell r="A742">
            <v>893150</v>
          </cell>
          <cell r="B742" t="str">
            <v>Inv.Chg.-Valuation for excis etc</v>
          </cell>
          <cell r="C742">
            <v>0</v>
          </cell>
        </row>
        <row r="743">
          <cell r="A743">
            <v>893200</v>
          </cell>
          <cell r="B743" t="str">
            <v>Inv.Chg.Cost MfG/FG Sold</v>
          </cell>
          <cell r="C743">
            <v>325102023.63999999</v>
          </cell>
        </row>
        <row r="744">
          <cell r="A744">
            <v>894005</v>
          </cell>
          <cell r="B744" t="str">
            <v>Cost of RM Sold</v>
          </cell>
          <cell r="C744">
            <v>1884410.17</v>
          </cell>
        </row>
        <row r="745">
          <cell r="A745">
            <v>894010</v>
          </cell>
          <cell r="B745" t="str">
            <v>Inventory change-cost of Trading Goods</v>
          </cell>
          <cell r="C745">
            <v>285429072.79000002</v>
          </cell>
        </row>
        <row r="746">
          <cell r="A746">
            <v>894020</v>
          </cell>
          <cell r="B746" t="str">
            <v>Inventory change-Trading Goods(High Sea</v>
          </cell>
          <cell r="C746">
            <v>3885217.67</v>
          </cell>
        </row>
        <row r="747">
          <cell r="A747">
            <v>895000</v>
          </cell>
          <cell r="B747" t="str">
            <v>Inventory change-SFG-Receipt from Prod.</v>
          </cell>
          <cell r="C747">
            <v>-384459592.77999997</v>
          </cell>
        </row>
        <row r="748">
          <cell r="A748">
            <v>895200</v>
          </cell>
          <cell r="B748" t="str">
            <v>Inventory change-FG-Receipt from Produc</v>
          </cell>
          <cell r="C748">
            <v>-309160446.94</v>
          </cell>
        </row>
        <row r="749">
          <cell r="A749" t="str">
            <v>Administration Cost</v>
          </cell>
        </row>
        <row r="750">
          <cell r="A750" t="str">
            <v>Administration Cost</v>
          </cell>
          <cell r="C750">
            <v>108955421.69</v>
          </cell>
        </row>
        <row r="751">
          <cell r="A751" t="str">
            <v>Audit Expenses</v>
          </cell>
        </row>
        <row r="752">
          <cell r="A752" t="str">
            <v>Audit Expenses</v>
          </cell>
          <cell r="C752">
            <v>1187723</v>
          </cell>
        </row>
        <row r="753">
          <cell r="A753" t="str">
            <v>Consumption Raw Materials</v>
          </cell>
        </row>
        <row r="754">
          <cell r="A754" t="str">
            <v>Consumption Raw Materials</v>
          </cell>
          <cell r="C754">
            <v>218553468.09000003</v>
          </cell>
        </row>
        <row r="755">
          <cell r="A755" t="str">
            <v>Consumption Trading Goods</v>
          </cell>
        </row>
        <row r="756">
          <cell r="A756" t="str">
            <v>Consumption Trading Goods</v>
          </cell>
          <cell r="C756">
            <v>289314290.46000004</v>
          </cell>
        </row>
        <row r="757">
          <cell r="A757" t="str">
            <v>Conversion Charges</v>
          </cell>
        </row>
        <row r="758">
          <cell r="A758" t="str">
            <v>Conversion Charges</v>
          </cell>
          <cell r="C758">
            <v>112652000</v>
          </cell>
        </row>
        <row r="759">
          <cell r="A759" t="str">
            <v>Depreciation</v>
          </cell>
        </row>
        <row r="760">
          <cell r="A760" t="str">
            <v>Depreciation</v>
          </cell>
          <cell r="C760">
            <v>70126291.939999998</v>
          </cell>
        </row>
        <row r="761">
          <cell r="A761" t="str">
            <v>Excise Duty paid</v>
          </cell>
        </row>
        <row r="762">
          <cell r="A762" t="str">
            <v>Excise Duty paid</v>
          </cell>
          <cell r="C762">
            <v>48131814.890000001</v>
          </cell>
        </row>
        <row r="763">
          <cell r="A763" t="str">
            <v>Expenditure</v>
          </cell>
        </row>
        <row r="764">
          <cell r="A764" t="str">
            <v>Expenditure</v>
          </cell>
          <cell r="C764">
            <v>1598078735.4299998</v>
          </cell>
        </row>
        <row r="765">
          <cell r="A765" t="str">
            <v>Income</v>
          </cell>
          <cell r="C765">
            <v>-1583390919.79</v>
          </cell>
        </row>
        <row r="766">
          <cell r="A766" t="str">
            <v>Income-tax paid</v>
          </cell>
        </row>
        <row r="767">
          <cell r="A767" t="str">
            <v>Income-tax paid</v>
          </cell>
          <cell r="C767">
            <v>27240000</v>
          </cell>
        </row>
        <row r="768">
          <cell r="A768" t="str">
            <v>Interest</v>
          </cell>
        </row>
        <row r="769">
          <cell r="A769" t="str">
            <v>Interest</v>
          </cell>
          <cell r="C769">
            <v>23360101.750000004</v>
          </cell>
        </row>
        <row r="770">
          <cell r="A770" t="str">
            <v>Inventory Changes</v>
          </cell>
        </row>
        <row r="771">
          <cell r="A771" t="str">
            <v>Inventory Changes</v>
          </cell>
          <cell r="C771">
            <v>-694587588.39999998</v>
          </cell>
        </row>
        <row r="772">
          <cell r="A772" t="str">
            <v>Inventory Changes</v>
          </cell>
        </row>
        <row r="773">
          <cell r="A773" t="str">
            <v>Inventory Changes</v>
          </cell>
          <cell r="C773">
            <v>713903787.83999991</v>
          </cell>
        </row>
        <row r="774">
          <cell r="A774" t="str">
            <v>Micellaneous expenses</v>
          </cell>
        </row>
        <row r="775">
          <cell r="A775" t="str">
            <v>Micellaneous expenses</v>
          </cell>
          <cell r="C775">
            <v>38283896.520000003</v>
          </cell>
        </row>
        <row r="776">
          <cell r="A776" t="str">
            <v>Other Income</v>
          </cell>
        </row>
        <row r="777">
          <cell r="A777" t="str">
            <v>Other Income</v>
          </cell>
          <cell r="C777">
            <v>-57494017.189999998</v>
          </cell>
        </row>
        <row r="778">
          <cell r="A778" t="str">
            <v>Others Expenditure</v>
          </cell>
        </row>
        <row r="779">
          <cell r="A779" t="str">
            <v>Others Expenditure</v>
          </cell>
          <cell r="C779">
            <v>21148749.869999997</v>
          </cell>
        </row>
        <row r="780">
          <cell r="A780" t="str">
            <v>Personnel cost</v>
          </cell>
        </row>
        <row r="781">
          <cell r="A781" t="str">
            <v>Personnel cost</v>
          </cell>
          <cell r="C781">
            <v>17439453.829999998</v>
          </cell>
        </row>
        <row r="782">
          <cell r="A782" t="str">
            <v>Postage and communication cost</v>
          </cell>
        </row>
        <row r="783">
          <cell r="A783" t="str">
            <v>Postage and communication cost</v>
          </cell>
          <cell r="C783">
            <v>2858223.63</v>
          </cell>
        </row>
        <row r="784">
          <cell r="A784" t="str">
            <v>Printing &amp; Stationery</v>
          </cell>
        </row>
        <row r="785">
          <cell r="A785" t="str">
            <v>Printing &amp; Stationery</v>
          </cell>
          <cell r="C785">
            <v>1471798.43</v>
          </cell>
        </row>
        <row r="786">
          <cell r="A786" t="str">
            <v>Professional Charges</v>
          </cell>
        </row>
        <row r="787">
          <cell r="A787" t="str">
            <v>Professional Charges</v>
          </cell>
          <cell r="C787">
            <v>2280130.83</v>
          </cell>
        </row>
        <row r="788">
          <cell r="A788" t="str">
            <v>Profit &amp; Loss Account</v>
          </cell>
          <cell r="C788">
            <v>14687815.639999866</v>
          </cell>
        </row>
        <row r="789">
          <cell r="A789" t="str">
            <v>Rent Rates and Taxes</v>
          </cell>
        </row>
        <row r="790">
          <cell r="A790" t="str">
            <v>Rent Rates and Taxes</v>
          </cell>
          <cell r="C790">
            <v>6536955</v>
          </cell>
        </row>
        <row r="791">
          <cell r="A791" t="str">
            <v>Repairs &amp; Maintainence</v>
          </cell>
        </row>
        <row r="792">
          <cell r="A792" t="str">
            <v>Repairs &amp; Maintainence</v>
          </cell>
          <cell r="C792">
            <v>1873242.8</v>
          </cell>
        </row>
        <row r="793">
          <cell r="A793" t="str">
            <v>Sales</v>
          </cell>
        </row>
        <row r="794">
          <cell r="A794" t="str">
            <v>Sales</v>
          </cell>
          <cell r="C794">
            <v>-831309314.19999993</v>
          </cell>
        </row>
        <row r="795">
          <cell r="A795" t="str">
            <v>Stock Adjustments</v>
          </cell>
        </row>
        <row r="796">
          <cell r="A796" t="str">
            <v>Stock Adjustments</v>
          </cell>
          <cell r="C796">
            <v>-4614830.04</v>
          </cell>
        </row>
        <row r="797">
          <cell r="A797" t="str">
            <v>Travelling</v>
          </cell>
        </row>
        <row r="798">
          <cell r="A798" t="str">
            <v>Travelling</v>
          </cell>
          <cell r="C798">
            <v>6331636.5899999989</v>
          </cell>
        </row>
        <row r="799">
          <cell r="C799">
            <v>-638424857.40999997</v>
          </cell>
        </row>
        <row r="800">
          <cell r="C800">
            <v>-92794475.75</v>
          </cell>
        </row>
        <row r="801">
          <cell r="C801">
            <v>-731219333.15999997</v>
          </cell>
        </row>
        <row r="802">
          <cell r="C802">
            <v>-100089981.04000001</v>
          </cell>
        </row>
        <row r="804">
          <cell r="C804">
            <v>-38056552.450000003</v>
          </cell>
        </row>
        <row r="805">
          <cell r="C805">
            <v>-3492188.46</v>
          </cell>
        </row>
        <row r="806">
          <cell r="C806">
            <v>-2664523.33</v>
          </cell>
        </row>
        <row r="807">
          <cell r="C807">
            <v>-3614661.21</v>
          </cell>
        </row>
        <row r="808">
          <cell r="C808">
            <v>-63443.08</v>
          </cell>
        </row>
        <row r="809">
          <cell r="C809">
            <v>-9602648.6600000001</v>
          </cell>
        </row>
        <row r="811">
          <cell r="C811">
            <v>-384459592.77999997</v>
          </cell>
        </row>
        <row r="812">
          <cell r="C812">
            <v>-309160446.94</v>
          </cell>
        </row>
        <row r="813">
          <cell r="C813">
            <v>-967548.68</v>
          </cell>
        </row>
      </sheetData>
      <sheetData sheetId="1" refreshError="1"/>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OW"/>
      <sheetName val="OPS_asia"/>
      <sheetName val="Production"/>
      <sheetName val="PRICE"/>
      <sheetName val="Data"/>
      <sheetName val="OPS_SIMPLIFIE"/>
      <sheetName val="CESSION"/>
      <sheetName val="ORDER"/>
      <sheetName val="income"/>
      <sheetName val="AP RA99-06"/>
      <sheetName val="HV RA99-06"/>
      <sheetName val="IN RA99-06"/>
      <sheetName val="CH RA99-06"/>
      <sheetName val="TH RA99-06"/>
      <sheetName val="HZ RA99-06"/>
      <sheetName val="Total MG "/>
      <sheetName val="AP_RA99-061"/>
      <sheetName val="HV_RA99-061"/>
      <sheetName val="IN_RA99-061"/>
      <sheetName val="CH_RA99-061"/>
      <sheetName val="TH_RA99-061"/>
      <sheetName val="HZ_RA99-061"/>
      <sheetName val="Total_MG_1"/>
      <sheetName val="AP_RA99-06"/>
      <sheetName val="HV_RA99-06"/>
      <sheetName val="IN_RA99-06"/>
      <sheetName val="CH_RA99-06"/>
      <sheetName val="TH_RA99-06"/>
      <sheetName val="HZ_RA99-06"/>
      <sheetName val="Total_MG_"/>
      <sheetName val="AP_RA99-062"/>
      <sheetName val="HV_RA99-062"/>
      <sheetName val="IN_RA99-062"/>
      <sheetName val="CH_RA99-062"/>
      <sheetName val="TH_RA99-062"/>
      <sheetName val="HZ_RA99-062"/>
      <sheetName val="Total_MG_2"/>
      <sheetName val="consolidated Budget"/>
      <sheetName val="Sheet1"/>
      <sheetName val="MAPPINGS"/>
      <sheetName val="RES"/>
      <sheetName val="Params"/>
      <sheetName val="Masters"/>
      <sheetName val="Price Testing - Used - 1"/>
      <sheetName val="Price_Testing_-_Used_-_11"/>
      <sheetName val="Price_Testing_-_Used_-_1"/>
      <sheetName val="Rates"/>
      <sheetName val="COA-IPCL"/>
      <sheetName val="TB"/>
      <sheetName val="Schedule"/>
      <sheetName val="Chart of Accounts"/>
      <sheetName val="Op Plan Sales"/>
      <sheetName val="M B-QtyRecn"/>
      <sheetName val="India"/>
      <sheetName val="BAL96-97"/>
      <sheetName val="Other notes"/>
      <sheetName val="MAIN"/>
      <sheetName val="IOPlan"/>
      <sheetName val="Lists"/>
      <sheetName val="Consol"/>
      <sheetName val="IT Only"/>
      <sheetName val="Sales &amp; Marketing Dashboard"/>
      <sheetName val="LIC"/>
      <sheetName val="PropertyList"/>
      <sheetName val="IT-accruals"/>
      <sheetName val="Input schedule"/>
      <sheetName val="TPM Tot"/>
      <sheetName val="StdMarginRegQtr"/>
      <sheetName val="Sept '99"/>
      <sheetName val="Trial Balance"/>
      <sheetName val="Control"/>
      <sheetName val="Op_Plan_Sales"/>
      <sheetName val="M_B-QtyRecn"/>
      <sheetName val="FBT Full"/>
      <sheetName val="Comp"/>
      <sheetName val="Risco-Accts"/>
      <sheetName val="Payroll_Statement"/>
      <sheetName val="Cash Flow.7"/>
      <sheetName val="Rollup_Summary"/>
      <sheetName val="Op_Plan_Sales1"/>
      <sheetName val="IT_Only"/>
      <sheetName val="Annexure"/>
      <sheetName val="New form 3CD A"/>
      <sheetName val="All Data"/>
      <sheetName val="POFG"/>
      <sheetName val="未着品BALANCE"/>
      <sheetName val="データシート"/>
      <sheetName val="3 Yr Revenue Analysis(old)"/>
      <sheetName val="List"/>
      <sheetName val="Opening Balance"/>
      <sheetName val="Jodalli-P&amp;L"/>
      <sheetName val="Graphdata"/>
      <sheetName val="Macro1"/>
      <sheetName val="Other"/>
      <sheetName val="Summary"/>
      <sheetName val="Categ"/>
      <sheetName val="Amortization Table"/>
      <sheetName val="riola don't know 9-26-99"/>
      <sheetName val="Spiltrates-Latest"/>
      <sheetName val="Travel Expense Report(1week)"/>
      <sheetName val="CRITERIA1"/>
      <sheetName val=""/>
      <sheetName val="d"/>
      <sheetName val="5Y_v2.14"/>
      <sheetName val="Cover"/>
      <sheetName val="Consolidated"/>
      <sheetName val="BAL0301"/>
      <sheetName val="Rate_dec02"/>
      <sheetName val="Push Diag on Premise"/>
      <sheetName val="CChannel Attract Input"/>
      <sheetName val="FStratPlan"/>
      <sheetName val="BS"/>
      <sheetName val="Aseet1998"/>
      <sheetName val="Assum"/>
      <sheetName val="VARFCST"/>
      <sheetName val="Trial_Balance"/>
      <sheetName val="Sales_&amp;_Marketing_Dashboard"/>
      <sheetName val="Input_schedule"/>
      <sheetName val="TPM_Tot"/>
      <sheetName val="Sept_'99"/>
      <sheetName val="EXPENSES"/>
      <sheetName val="Op_Plan_Sales2"/>
      <sheetName val="IT_Only1"/>
      <sheetName val="FINAL SHEET"/>
      <sheetName val="Results"/>
      <sheetName val="Main-Material"/>
      <sheetName val="MR08' Cost Manag"/>
      <sheetName val="List_ratios"/>
      <sheetName val="IS"/>
      <sheetName val="May 09"/>
      <sheetName val="Page1"/>
      <sheetName val="Wavg RM"/>
      <sheetName val="COV"/>
      <sheetName val="exp-m"/>
      <sheetName val="PAP"/>
      <sheetName val="Keyratios"/>
      <sheetName val="Facility"/>
      <sheetName val="P L"/>
      <sheetName val="1 - A (Narrative)"/>
      <sheetName val="Notes"/>
      <sheetName val="Cash Flows"/>
      <sheetName val="Val &amp; Multp"/>
      <sheetName val="Options"/>
      <sheetName val="Heating Div"/>
      <sheetName val="All other Div's"/>
      <sheetName val="CoCapital"/>
      <sheetName val="EPS"/>
      <sheetName val="Mult"/>
      <sheetName val="Synergies"/>
      <sheetName val="Mkt Mult"/>
      <sheetName val="Trans Mult"/>
      <sheetName val="Module1"/>
      <sheetName val="Project Resource Details"/>
      <sheetName val="Assets"/>
      <sheetName val="CLP_Value_Driver (14) Dec Old"/>
      <sheetName val="Other_notes"/>
      <sheetName val="M_B-QtyRecn1"/>
      <sheetName val="FBT_Full"/>
      <sheetName val="Chart_of_Accounts"/>
      <sheetName val="consolidated_Budget"/>
      <sheetName val="Other_notes1"/>
      <sheetName val="M_B-QtyRecn2"/>
      <sheetName val="Sales_&amp;_Marketing_Dashboard1"/>
      <sheetName val="Trial_Balance1"/>
      <sheetName val="Input_schedule1"/>
      <sheetName val="TPM_Tot1"/>
      <sheetName val="Sept_'991"/>
      <sheetName val="FBT_Full1"/>
      <sheetName val="Chart_of_Accounts1"/>
      <sheetName val="consolidated_Budget1"/>
      <sheetName val="AP_RA99-063"/>
      <sheetName val="HV_RA99-063"/>
      <sheetName val="IN_RA99-063"/>
      <sheetName val="CH_RA99-063"/>
      <sheetName val="TH_RA99-063"/>
      <sheetName val="HZ_RA99-063"/>
      <sheetName val="Op_Plan_Sales3"/>
      <sheetName val="Other_notes2"/>
      <sheetName val="M_B-QtyRecn3"/>
      <sheetName val="IT_Only2"/>
      <sheetName val="Sales_&amp;_Marketing_Dashboard2"/>
      <sheetName val="Trial_Balance2"/>
      <sheetName val="Input_schedule2"/>
      <sheetName val="TPM_Tot2"/>
      <sheetName val="Sept_'992"/>
      <sheetName val="FBT_Full2"/>
      <sheetName val="Chart_of_Accounts2"/>
      <sheetName val="consolidated_Budget2"/>
      <sheetName val="AP_RA99-064"/>
      <sheetName val="HV_RA99-064"/>
      <sheetName val="IN_RA99-064"/>
      <sheetName val="CH_RA99-064"/>
      <sheetName val="TH_RA99-064"/>
      <sheetName val="HZ_RA99-064"/>
      <sheetName val="Op_Plan_Sales4"/>
      <sheetName val="Other_notes3"/>
      <sheetName val="M_B-QtyRecn4"/>
      <sheetName val="IT_Only3"/>
      <sheetName val="Sales_&amp;_Marketing_Dashboard3"/>
      <sheetName val="Total_MG_3"/>
      <sheetName val="Trial_Balance3"/>
      <sheetName val="Input_schedule3"/>
      <sheetName val="TPM_Tot3"/>
      <sheetName val="Sept_'993"/>
      <sheetName val="FBT_Full3"/>
      <sheetName val="Chart_of_Accounts3"/>
      <sheetName val="consolidated_Budget3"/>
      <sheetName val="5Y_v2_14"/>
      <sheetName val="Price_Testing_-_Used_-_12"/>
      <sheetName val="Push_Diag_on_Premise"/>
      <sheetName val="CChannel_Attract_Input"/>
      <sheetName val="Cash_Flow_7"/>
      <sheetName val="Opening_Balance"/>
      <sheetName val="AP_RA99-065"/>
      <sheetName val="HV_RA99-065"/>
      <sheetName val="IN_RA99-065"/>
      <sheetName val="CH_RA99-065"/>
      <sheetName val="TH_RA99-065"/>
      <sheetName val="HZ_RA99-065"/>
      <sheetName val="Op_Plan_Sales5"/>
      <sheetName val="Other_notes4"/>
      <sheetName val="M_B-QtyRecn5"/>
      <sheetName val="IT_Only4"/>
      <sheetName val="Sales_&amp;_Marketing_Dashboard4"/>
      <sheetName val="Total_MG_4"/>
      <sheetName val="Trial_Balance4"/>
      <sheetName val="Input_schedule4"/>
      <sheetName val="TPM_Tot4"/>
      <sheetName val="Sept_'994"/>
      <sheetName val="FBT_Full4"/>
      <sheetName val="Chart_of_Accounts4"/>
      <sheetName val="consolidated_Budget4"/>
      <sheetName val="5Y_v2_141"/>
      <sheetName val="Price_Testing_-_Used_-_13"/>
      <sheetName val="Push_Diag_on_Premise1"/>
      <sheetName val="CChannel_Attract_Input1"/>
      <sheetName val="Cash_Flow_71"/>
      <sheetName val="Opening_Balance1"/>
      <sheetName val="AP_RA99-067"/>
      <sheetName val="HV_RA99-067"/>
      <sheetName val="IN_RA99-067"/>
      <sheetName val="CH_RA99-067"/>
      <sheetName val="TH_RA99-067"/>
      <sheetName val="HZ_RA99-067"/>
      <sheetName val="Op_Plan_Sales7"/>
      <sheetName val="Other_notes6"/>
      <sheetName val="M_B-QtyRecn7"/>
      <sheetName val="IT_Only6"/>
      <sheetName val="Sales_&amp;_Marketing_Dashboard6"/>
      <sheetName val="Total_MG_6"/>
      <sheetName val="Trial_Balance6"/>
      <sheetName val="Input_schedule6"/>
      <sheetName val="TPM_Tot6"/>
      <sheetName val="Sept_'996"/>
      <sheetName val="FBT_Full6"/>
      <sheetName val="Chart_of_Accounts6"/>
      <sheetName val="consolidated_Budget6"/>
      <sheetName val="5Y_v2_143"/>
      <sheetName val="Price_Testing_-_Used_-_15"/>
      <sheetName val="Push_Diag_on_Premise3"/>
      <sheetName val="CChannel_Attract_Input3"/>
      <sheetName val="Cash_Flow_73"/>
      <sheetName val="Opening_Balance3"/>
      <sheetName val="AP_RA99-066"/>
      <sheetName val="HV_RA99-066"/>
      <sheetName val="IN_RA99-066"/>
      <sheetName val="CH_RA99-066"/>
      <sheetName val="TH_RA99-066"/>
      <sheetName val="HZ_RA99-066"/>
      <sheetName val="Op_Plan_Sales6"/>
      <sheetName val="Other_notes5"/>
      <sheetName val="M_B-QtyRecn6"/>
      <sheetName val="IT_Only5"/>
      <sheetName val="Sales_&amp;_Marketing_Dashboard5"/>
      <sheetName val="Total_MG_5"/>
      <sheetName val="Trial_Balance5"/>
      <sheetName val="Input_schedule5"/>
      <sheetName val="TPM_Tot5"/>
      <sheetName val="Sept_'995"/>
      <sheetName val="FBT_Full5"/>
      <sheetName val="Chart_of_Accounts5"/>
      <sheetName val="consolidated_Budget5"/>
      <sheetName val="5Y_v2_142"/>
      <sheetName val="Price_Testing_-_Used_-_14"/>
      <sheetName val="Push_Diag_on_Premise2"/>
      <sheetName val="CChannel_Attract_Input2"/>
      <sheetName val="Cash_Flow_72"/>
      <sheetName val="Opening_Balance2"/>
      <sheetName val="AP_RA99-068"/>
      <sheetName val="HV_RA99-068"/>
      <sheetName val="IN_RA99-068"/>
      <sheetName val="CH_RA99-068"/>
      <sheetName val="TH_RA99-068"/>
      <sheetName val="HZ_RA99-068"/>
      <sheetName val="Op_Plan_Sales8"/>
      <sheetName val="Other_notes7"/>
      <sheetName val="M_B-QtyRecn8"/>
      <sheetName val="IT_Only7"/>
      <sheetName val="Sales_&amp;_Marketing_Dashboard7"/>
      <sheetName val="Total_MG_7"/>
      <sheetName val="Trial_Balance7"/>
      <sheetName val="Input_schedule7"/>
      <sheetName val="TPM_Tot7"/>
      <sheetName val="Sept_'997"/>
      <sheetName val="FBT_Full7"/>
      <sheetName val="Chart_of_Accounts7"/>
      <sheetName val="consolidated_Budget7"/>
      <sheetName val="5Y_v2_144"/>
      <sheetName val="Price_Testing_-_Used_-_16"/>
      <sheetName val="Push_Diag_on_Premise4"/>
      <sheetName val="CChannel_Attract_Input4"/>
      <sheetName val="Cash_Flow_74"/>
      <sheetName val="Opening_Balance4"/>
      <sheetName val="AP_RA99-069"/>
      <sheetName val="HV_RA99-069"/>
      <sheetName val="IN_RA99-069"/>
      <sheetName val="CH_RA99-069"/>
      <sheetName val="TH_RA99-069"/>
      <sheetName val="HZ_RA99-069"/>
      <sheetName val="Op_Plan_Sales9"/>
      <sheetName val="Other_notes8"/>
      <sheetName val="M_B-QtyRecn9"/>
      <sheetName val="IT_Only8"/>
      <sheetName val="Sales_&amp;_Marketing_Dashboard8"/>
      <sheetName val="Total_MG_8"/>
      <sheetName val="Trial_Balance8"/>
      <sheetName val="Input_schedule8"/>
      <sheetName val="TPM_Tot8"/>
      <sheetName val="Sept_'998"/>
      <sheetName val="FBT_Full8"/>
      <sheetName val="Chart_of_Accounts8"/>
      <sheetName val="consolidated_Budget8"/>
      <sheetName val="5Y_v2_145"/>
      <sheetName val="Price_Testing_-_Used_-_17"/>
      <sheetName val="Push_Diag_on_Premise5"/>
      <sheetName val="CChannel_Attract_Input5"/>
      <sheetName val="Cash_Flow_75"/>
      <sheetName val="Opening_Balance5"/>
      <sheetName val="AP_RA99-0610"/>
      <sheetName val="HV_RA99-0610"/>
      <sheetName val="IN_RA99-0610"/>
      <sheetName val="CH_RA99-0610"/>
      <sheetName val="TH_RA99-0610"/>
      <sheetName val="HZ_RA99-0610"/>
      <sheetName val="Op_Plan_Sales10"/>
      <sheetName val="Other_notes9"/>
      <sheetName val="M_B-QtyRecn10"/>
      <sheetName val="IT_Only9"/>
      <sheetName val="Sales_&amp;_Marketing_Dashboard9"/>
      <sheetName val="Total_MG_9"/>
      <sheetName val="Trial_Balance9"/>
      <sheetName val="Input_schedule9"/>
      <sheetName val="TPM_Tot9"/>
      <sheetName val="Sept_'999"/>
      <sheetName val="FBT_Full9"/>
      <sheetName val="Chart_of_Accounts9"/>
      <sheetName val="consolidated_Budget9"/>
      <sheetName val="5Y_v2_146"/>
      <sheetName val="Price_Testing_-_Used_-_18"/>
      <sheetName val="Push_Diag_on_Premise6"/>
      <sheetName val="CChannel_Attract_Input6"/>
      <sheetName val="Cash_Flow_76"/>
      <sheetName val="Opening_Balance6"/>
      <sheetName val="Rev"/>
      <sheetName val="Input Screen"/>
      <sheetName val="TB Round"/>
      <sheetName val="Cash Flow-WSL Base Fcst"/>
      <sheetName val="Sales &amp;Sale Cost"/>
      <sheetName val=".2 Reserve"/>
      <sheetName val="Maint Def Rev 03-04"/>
      <sheetName val="New-Growth Def Rev 03-04"/>
      <sheetName val="Perpetual Def Rev 03-04"/>
      <sheetName val="Renewal Def Rev 03-04"/>
      <sheetName val="ENCL6"/>
      <sheetName val="2003"/>
      <sheetName val="Grouping TB"/>
      <sheetName val="working"/>
      <sheetName val="AP_RA99-0611"/>
      <sheetName val="HV_RA99-0611"/>
      <sheetName val="IN_RA99-0611"/>
      <sheetName val="CH_RA99-0611"/>
      <sheetName val="TH_RA99-0611"/>
      <sheetName val="HZ_RA99-0611"/>
      <sheetName val="Op_Plan_Sales11"/>
      <sheetName val="Other_notes10"/>
      <sheetName val="M_B-QtyRecn11"/>
      <sheetName val="IT_Only10"/>
      <sheetName val="Sales_&amp;_Marketing_Dashboard10"/>
      <sheetName val="Total_MG_10"/>
      <sheetName val="Trial_Balance10"/>
      <sheetName val="Input_schedule10"/>
      <sheetName val="TPM_Tot10"/>
      <sheetName val="Sept_'9910"/>
      <sheetName val="FBT_Full10"/>
      <sheetName val="Chart_of_Accounts10"/>
      <sheetName val="consolidated_Budget10"/>
      <sheetName val="5Y_v2_147"/>
      <sheetName val="Price_Testing_-_Used_-_19"/>
      <sheetName val="Push_Diag_on_Premise7"/>
      <sheetName val="CChannel_Attract_Input7"/>
      <sheetName val="Cash_Flow_77"/>
      <sheetName val="Opening_Balance7"/>
      <sheetName val="Reference"/>
      <sheetName val="Balancesheet"/>
      <sheetName val="61750000 Consultancy Charges"/>
      <sheetName val="YTD"/>
      <sheetName val="Labour &amp; Plant"/>
      <sheetName val="Annexure B"/>
      <sheetName val="Res_Area"/>
      <sheetName val="Intro"/>
      <sheetName val="Staff"/>
      <sheetName val="IT_FBT_DDTP"/>
      <sheetName val="NLD - Assum"/>
      <sheetName val="Challan"/>
      <sheetName val="AP_RA99-0612"/>
      <sheetName val="HV_RA99-0612"/>
      <sheetName val="IN_RA99-0612"/>
      <sheetName val="CH_RA99-0612"/>
      <sheetName val="TH_RA99-0612"/>
      <sheetName val="HZ_RA99-0612"/>
      <sheetName val="Op_Plan_Sales12"/>
      <sheetName val="Other_notes11"/>
      <sheetName val="M_B-QtyRecn12"/>
      <sheetName val="IT_Only11"/>
      <sheetName val="Sales_&amp;_Marketing_Dashboard11"/>
      <sheetName val="Total_MG_11"/>
      <sheetName val="Trial_Balance11"/>
      <sheetName val="Input_schedule11"/>
      <sheetName val="TPM_Tot11"/>
      <sheetName val="Sept_'9911"/>
      <sheetName val="FBT_Full11"/>
      <sheetName val="Chart_of_Accounts11"/>
      <sheetName val="consolidated_Budget11"/>
      <sheetName val="5Y_v2_148"/>
      <sheetName val="Price_Testing_-_Used_-_110"/>
      <sheetName val="Push_Diag_on_Premise8"/>
      <sheetName val="CChannel_Attract_Input8"/>
      <sheetName val="Cash_Flow_78"/>
      <sheetName val="Opening_Balance8"/>
      <sheetName val="12.04.09"/>
      <sheetName val="MORE-MAR'2002"/>
      <sheetName val="SCHE-MARCH'2002"/>
      <sheetName val="Inputs"/>
      <sheetName val="mdd &amp; co Fdr jan.02 "/>
      <sheetName val="MPCP9899"/>
      <sheetName val="B0_111350"/>
      <sheetName val="A"/>
      <sheetName val="Listings 96-02"/>
      <sheetName val="SAP - Rightpak"/>
      <sheetName val="Excess Calc"/>
      <sheetName val="SCH-A"/>
      <sheetName val="Fx Rates"/>
      <sheetName val="AR JAN'02"/>
      <sheetName val="98ordbkg"/>
      <sheetName val="Power Cost sheet"/>
      <sheetName val="Steam Cost Sheet"/>
      <sheetName val="P&amp;L February"/>
      <sheetName val="P&amp;L Feb 2001 cumulative"/>
      <sheetName val="COLUMN"/>
      <sheetName val="PARTY DETAILS"/>
      <sheetName val="Power"/>
      <sheetName val="mar rep rev"/>
      <sheetName val="CF SALE.W.OFF 01-02"/>
      <sheetName val="stock data"/>
      <sheetName val="Turnover"/>
      <sheetName val="Sheet2"/>
      <sheetName val="sept-plan"/>
      <sheetName val="PREFACE"/>
      <sheetName val="12-19-00"/>
      <sheetName val="Rec"/>
      <sheetName val="Links"/>
      <sheetName val="Occ, Other Rev, Exp, Dispo"/>
      <sheetName val="P1 RM"/>
      <sheetName val="5-F-PAR"/>
      <sheetName val="LEGAL GUJ"/>
      <sheetName val="May_09"/>
      <sheetName val="3_Yr_Revenue_Analysis(old)"/>
      <sheetName val="Amortization_Table"/>
      <sheetName val="riola_don't_know_9-26-99"/>
      <sheetName val="New_form_3CD_A"/>
      <sheetName val="All_Data"/>
      <sheetName val="1_-_A_(Narrative)"/>
      <sheetName val="P_L"/>
      <sheetName val="MR08'_Cost_Manag"/>
      <sheetName val="Wavg_RM"/>
      <sheetName val="FINAL_SHEET"/>
      <sheetName val="12_04_09"/>
      <sheetName val="Travel_Expense_Report(1week)"/>
      <sheetName val="NLD_-_Assum"/>
      <sheetName val="PARTY_DETAILS"/>
      <sheetName val="mar_rep_rev"/>
      <sheetName val="CF_SALE_W_OFF_01-02"/>
      <sheetName val="stock_data"/>
      <sheetName val="P&amp;L_February"/>
      <sheetName val="P&amp;L_Feb_2001_cumulative"/>
      <sheetName val="Balance Sheet "/>
      <sheetName val="P&amp;L Summary Page"/>
      <sheetName val="Payslip"/>
      <sheetName val="Axis Bank Cheques"/>
      <sheetName val="Master Sheet"/>
      <sheetName val="RESULTS-BLR-BB"/>
      <sheetName val="TARGET"/>
      <sheetName val="Debtors Ageing"/>
      <sheetName val="PLAN-BLR-BB"/>
      <sheetName val="RESULTS-REALTY"/>
      <sheetName val="SME"/>
      <sheetName val="Region"/>
      <sheetName val="WO-List"/>
      <sheetName val="K-Summary"/>
      <sheetName val="RF2004_vs_OB2004"/>
      <sheetName val="BST"/>
      <sheetName val="Master"/>
      <sheetName val="BS face"/>
      <sheetName val="BS Notes"/>
      <sheetName val="PL face"/>
      <sheetName val="PL Notes"/>
      <sheetName val="CFS"/>
      <sheetName val="Grouping"/>
      <sheetName val="Fixed Assets"/>
      <sheetName val="Deferred tax"/>
      <sheetName val="MAT"/>
      <sheetName val="gp"/>
      <sheetName val="GP Ratio"/>
      <sheetName val="экспорт"/>
      <sheetName val="Transaction Inputs"/>
      <sheetName val="ValuationInput"/>
      <sheetName val="DebtInput"/>
      <sheetName val="Storage"/>
      <sheetName val="Valuation"/>
      <sheetName val="1956 Rates"/>
      <sheetName val="2013 Rates"/>
      <sheetName val="WDV_Illustration"/>
      <sheetName val="SLM_Illustration"/>
      <sheetName val="WDV_Schedule"/>
      <sheetName val="SLM_Schedule"/>
      <sheetName val="Additions_WDV"/>
      <sheetName val="Additions_SLM"/>
      <sheetName val="11400&amp;11405-done"/>
      <sheetName val="TB-HK"/>
      <sheetName val="Non-Statistical Sampling Master"/>
      <sheetName val="Two Step Revenue Testing Master"/>
      <sheetName val="Global Data"/>
      <sheetName val="Employees"/>
      <sheetName val="_2_Reserve"/>
      <sheetName val="Maint_Def_Rev_03-04"/>
      <sheetName val="New-Growth_Def_Rev_03-04"/>
      <sheetName val="Perpetual_Def_Rev_03-04"/>
      <sheetName val="Renewal_Def_Rev_03-04"/>
      <sheetName val="_2_Reserve1"/>
      <sheetName val="Maint_Def_Rev_03-041"/>
      <sheetName val="New-Growth_Def_Rev_03-041"/>
      <sheetName val="Perpetual_Def_Rev_03-041"/>
      <sheetName val="Renewal_Def_Rev_03-041"/>
      <sheetName val="New_form_3CD_A1"/>
      <sheetName val="Mktg"/>
      <sheetName val="FinMajestic"/>
      <sheetName val="PTRANGE"/>
      <sheetName val="Tools Rev"/>
      <sheetName val="LCGRAPH"/>
      <sheetName val="PV"/>
      <sheetName val="PopCache"/>
      <sheetName val="QTY. PROV.LAB"/>
      <sheetName val="TAXPRO"/>
      <sheetName val="Cheops BS"/>
      <sheetName val="Please do not USE or DELETE"/>
      <sheetName val="Year 2003-04 Plan"/>
      <sheetName val="Asset_Data"/>
      <sheetName val="Base Info"/>
      <sheetName val="RCC,Ret. Wall"/>
      <sheetName val="Info on Rupee Cost"/>
      <sheetName val="OpTrack"/>
      <sheetName val="PropertyPreop-Budget"/>
      <sheetName val="stat C (2)"/>
      <sheetName val="Bal Sheet"/>
      <sheetName val="Lead"/>
      <sheetName val="AR_PL"/>
      <sheetName val="STAFFSCHED "/>
      <sheetName val="#REF"/>
      <sheetName val="Model"/>
      <sheetName val="BS-203"/>
      <sheetName val="BSPL"/>
      <sheetName val="Lic Rev Account Lookup Table"/>
      <sheetName val="Setup"/>
      <sheetName val="Détails plans d'actions"/>
      <sheetName val="AP_RA99-0613"/>
      <sheetName val="HV_RA99-0613"/>
      <sheetName val="IN_RA99-0613"/>
      <sheetName val="CH_RA99-0613"/>
      <sheetName val="TH_RA99-0613"/>
      <sheetName val="HZ_RA99-0613"/>
      <sheetName val="Op_Plan_Sales13"/>
      <sheetName val="Other_notes12"/>
      <sheetName val="M_B-QtyRecn13"/>
      <sheetName val="IT_Only12"/>
      <sheetName val="Sales_&amp;_Marketing_Dashboard12"/>
      <sheetName val="Total_MG_12"/>
      <sheetName val="Trial_Balance12"/>
      <sheetName val="Input_schedule12"/>
      <sheetName val="TPM_Tot12"/>
      <sheetName val="Sept_'9912"/>
      <sheetName val="FBT_Full12"/>
      <sheetName val="Chart_of_Accounts12"/>
      <sheetName val="consolidated_Budget12"/>
      <sheetName val="5Y_v2_149"/>
      <sheetName val="Price_Testing_-_Used_-_111"/>
      <sheetName val="Push_Diag_on_Premise9"/>
      <sheetName val="CChannel_Attract_Input9"/>
      <sheetName val="Cash_Flow_79"/>
      <sheetName val="Opening_Balance9"/>
      <sheetName val="BKCSTOCKVAL"/>
      <sheetName val="MAHSTOCKVAL"/>
      <sheetName val="目录"/>
      <sheetName val="Debraj Sinha"/>
      <sheetName val="Parameter"/>
      <sheetName val="Locked cell"/>
      <sheetName val="Revenue"/>
      <sheetName val="Tables"/>
      <sheetName val="RUPEE"/>
      <sheetName val="Project Info"/>
      <sheetName val="Rayala"/>
      <sheetName val="Inflation"/>
      <sheetName val="deb"/>
      <sheetName val="AnnexIII"/>
      <sheetName val="1.2 HDFC Collection"/>
      <sheetName val="PopCache_Sheet1"/>
      <sheetName val="AS21SchE - 9M0708"/>
      <sheetName val="Consolidation _Rs"/>
      <sheetName val="Lookups"/>
      <sheetName val="Query Results ALL"/>
      <sheetName val="M.G.P-2010"/>
      <sheetName val="Listings_96-02"/>
      <sheetName val="mdd_&amp;_co_Fdr_jan_02_"/>
      <sheetName val="Project_Resource_Details"/>
      <sheetName val="Balance_Sheet_"/>
      <sheetName val="P&amp;L_Summary_Page"/>
      <sheetName val="Axis_Bank_Cheques"/>
      <sheetName val="Master_Sheet"/>
      <sheetName val="Debtors_Ageing"/>
      <sheetName val="Excess_Calc"/>
      <sheetName val="M_G_P-2010"/>
      <sheetName val="SAP_-_Rightpak"/>
      <sheetName val="Cash_Flows"/>
      <sheetName val="Val_&amp;_Multp"/>
      <sheetName val="Heating_Div"/>
      <sheetName val="All_other_Div's"/>
      <sheetName val="Mkt_Mult"/>
      <sheetName val="Trans_Mult"/>
      <sheetName val="Resources"/>
      <sheetName val="Base Data"/>
      <sheetName val="MB51"/>
      <sheetName val="P&amp;L"/>
      <sheetName val="SCH-A,B,C"/>
      <sheetName val="UK"/>
      <sheetName val="FORM-16"/>
      <sheetName val="concrete"/>
      <sheetName val="License Area"/>
      <sheetName val="IIL Payroll"/>
      <sheetName val="Nomenclature"/>
      <sheetName val="Addition Ist &amp; IInd Half"/>
      <sheetName val="SysNavigation"/>
      <sheetName val="Amb - Working"/>
      <sheetName val="Ipotesi"/>
      <sheetName val="Register"/>
      <sheetName val="PL"/>
      <sheetName val="Sch-PL"/>
      <sheetName val="Sch-FA"/>
      <sheetName val="hmax_2"/>
      <sheetName val="Redelvery provision changed"/>
      <sheetName val="sum"/>
      <sheetName val="LINK GAP"/>
      <sheetName val="Rising Main"/>
      <sheetName val="CABLE DATA"/>
      <sheetName val="IIL_Payroll"/>
      <sheetName val="Input_Screen"/>
      <sheetName val="TB_Round"/>
      <sheetName val="Amortization_Table1"/>
      <sheetName val="3_Yr_Revenue_Analysis(old)1"/>
      <sheetName val="FINAL_SHEET1"/>
      <sheetName val="All_Data1"/>
      <sheetName val="riola_don't_know_9-26-991"/>
      <sheetName val="Travel_Expense_Report(1week)1"/>
      <sheetName val="May_091"/>
      <sheetName val="IIL_Payroll1"/>
      <sheetName val="Input_Screen1"/>
      <sheetName val="TB_Round1"/>
      <sheetName val="36&quot;"/>
      <sheetName val="LPERDAS"/>
      <sheetName val="Reports List"/>
      <sheetName val="Setup Variables"/>
      <sheetName val="OCCUR"/>
      <sheetName val="ANALYSIS(PACKING)"/>
      <sheetName val="Cash Flow"/>
      <sheetName val="Financials"/>
      <sheetName val="Validation"/>
      <sheetName val="Japan Reco"/>
      <sheetName val="TBPY"/>
      <sheetName val="TBCY"/>
      <sheetName val="501frgmar"/>
      <sheetName val="Sheet"/>
      <sheetName val="SALES-BD"/>
      <sheetName val="CAPEX'00"/>
      <sheetName val="Listings_96-021"/>
      <sheetName val="P_L1"/>
      <sheetName val="mdd_&amp;_co_Fdr_jan_02_1"/>
      <sheetName val="Project_Resource_Details1"/>
      <sheetName val="Balance_Sheet_1"/>
      <sheetName val="P&amp;L_Summary_Page1"/>
      <sheetName val="Axis_Bank_Cheques1"/>
      <sheetName val="Master_Sheet1"/>
      <sheetName val="12_04_091"/>
      <sheetName val="Debtors_Ageing1"/>
      <sheetName val="Excess_Calc1"/>
      <sheetName val="M_G_P-20101"/>
      <sheetName val="SAP_-_Rightpak1"/>
      <sheetName val="Cash_Flows1"/>
      <sheetName val="Val_&amp;_Multp1"/>
      <sheetName val="Heating_Div1"/>
      <sheetName val="All_other_Div's1"/>
      <sheetName val="Mkt_Mult1"/>
      <sheetName val="Trans_Mult1"/>
      <sheetName val="1_-_A_(Narrative)1"/>
      <sheetName val="C-21(b)"/>
      <sheetName val="RECAPITULATION"/>
      <sheetName val="Civil Boq"/>
      <sheetName val="comet cur act"/>
    </sheetNames>
    <sheetDataSet>
      <sheetData sheetId="0" refreshError="1"/>
      <sheetData sheetId="1" refreshError="1"/>
      <sheetData sheetId="2" refreshError="1"/>
      <sheetData sheetId="3" refreshError="1"/>
      <sheetData sheetId="4" refreshError="1">
        <row r="10">
          <cell r="D10">
            <v>8.3000000000000007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sheetData sheetId="657"/>
      <sheetData sheetId="658"/>
      <sheetData sheetId="659"/>
      <sheetData sheetId="660"/>
      <sheetData sheetId="661"/>
      <sheetData sheetId="662" refreshError="1"/>
      <sheetData sheetId="663"/>
      <sheetData sheetId="664" refreshError="1"/>
      <sheetData sheetId="665" refreshError="1"/>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refreshError="1"/>
      <sheetData sheetId="722" refreshError="1"/>
      <sheetData sheetId="723" refreshError="1"/>
      <sheetData sheetId="72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Bs"/>
      <sheetName val="p&amp;l"/>
      <sheetName val="SCH-BS"/>
      <sheetName val="SCH-PL"/>
      <sheetName val="sch2"/>
      <sheetName val="sch5"/>
      <sheetName val="sch6"/>
      <sheetName val="Grp-BS"/>
      <sheetName val="Grp-PL"/>
      <sheetName val="Trial"/>
      <sheetName val="Cash Flow"/>
      <sheetName val="Working FY 05"/>
      <sheetName val="sch19"/>
      <sheetName val="segmental"/>
      <sheetName val="Cashflow (2)"/>
      <sheetName val="Cash-WKI"/>
      <sheetName val="Cash_Flow1"/>
      <sheetName val="Working_FY_051"/>
      <sheetName val="Cashflow_(2)1"/>
      <sheetName val="Cash_Flow"/>
      <sheetName val="Working_FY_05"/>
      <sheetName val="Cashflow_(2)"/>
      <sheetName val="Cash_Flow2"/>
      <sheetName val="Working_FY_052"/>
      <sheetName val="Cashflow_(2)2"/>
      <sheetName val="Apr 09"/>
      <sheetName val="May 09"/>
      <sheetName val="June 09"/>
      <sheetName val="July_09"/>
      <sheetName val="Aug_09"/>
      <sheetName val="Sep 09"/>
      <sheetName val="Oct_09"/>
      <sheetName val="Nov_09"/>
      <sheetName val="Dec-09"/>
      <sheetName val="Jan-10"/>
      <sheetName val="Feb-10"/>
      <sheetName val="Mar-10"/>
      <sheetName val="Contract"/>
    </sheetNames>
    <sheetDataSet>
      <sheetData sheetId="0" refreshError="1">
        <row r="2">
          <cell r="N2">
            <v>2</v>
          </cell>
        </row>
        <row r="6">
          <cell r="M6">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ock Records"/>
      <sheetName val="EEFc-new"/>
      <sheetName val="3CD"/>
      <sheetName val="Sheet2"/>
      <sheetName val="TP Margin"/>
      <sheetName val="80IB New"/>
      <sheetName val="EEFc-Pharma"/>
      <sheetName val="BS - 31.03.06"/>
      <sheetName val="L&amp;A"/>
      <sheetName val="Creditors"/>
      <sheetName val="nutra- TB"/>
      <sheetName val="pharma - TB"/>
      <sheetName val="80IB"/>
      <sheetName val="COMP."/>
      <sheetName val="Def. Tax"/>
      <sheetName val="Pending "/>
      <sheetName val="stk sum"/>
      <sheetName val="stock stat Reco"/>
      <sheetName val="valuation  of cl.stk"/>
      <sheetName val="Ratios - tax"/>
      <sheetName val="other asset"/>
      <sheetName val="building"/>
      <sheetName val="amol pharm dep "/>
      <sheetName val="amol nut dep"/>
      <sheetName val="dep-ssi"/>
      <sheetName val="Dep Tax"/>
      <sheetName val="ANNEX I"/>
      <sheetName val="ANEX-II"/>
      <sheetName val="Int"/>
      <sheetName val="ANN-A"/>
      <sheetName val="ANN-B"/>
      <sheetName val="ANN-C"/>
      <sheetName val="ANN-D"/>
      <sheetName val="ANN-E"/>
      <sheetName val=" ANN-G"/>
      <sheetName val="3CEB"/>
      <sheetName val="annexure for  3CEB"/>
      <sheetName val="Export MT"/>
      <sheetName val="ABL IMPORT EXPORT"/>
      <sheetName val="NUTRA TO US "/>
      <sheetName val="PHARMA TO US"/>
      <sheetName val="ratio"/>
      <sheetName val="TP New"/>
      <sheetName val="TP Old"/>
      <sheetName val="Stock_Records1"/>
      <sheetName val="TP_Margin1"/>
      <sheetName val="80IB_New1"/>
      <sheetName val="BS_-_31_03_061"/>
      <sheetName val="nutra-_TB1"/>
      <sheetName val="pharma_-_TB1"/>
      <sheetName val="COMP_1"/>
      <sheetName val="Def__Tax1"/>
      <sheetName val="Pending_1"/>
      <sheetName val="stk_sum1"/>
      <sheetName val="stock_stat_Reco1"/>
      <sheetName val="valuation__of_cl_stk1"/>
      <sheetName val="Ratios_-_tax1"/>
      <sheetName val="other_asset1"/>
      <sheetName val="amol_pharm_dep_1"/>
      <sheetName val="amol_nut_dep1"/>
      <sheetName val="Dep_Tax1"/>
      <sheetName val="ANNEX_I1"/>
      <sheetName val="_ANN-G1"/>
      <sheetName val="annexure_for__3CEB1"/>
      <sheetName val="Export_MT1"/>
      <sheetName val="ABL_IMPORT_EXPORT1"/>
      <sheetName val="NUTRA_TO_US_1"/>
      <sheetName val="PHARMA_TO_US1"/>
      <sheetName val="TP_New1"/>
      <sheetName val="TP_Old1"/>
      <sheetName val="Stock_Records"/>
      <sheetName val="TP_Margin"/>
      <sheetName val="80IB_New"/>
      <sheetName val="BS_-_31_03_06"/>
      <sheetName val="nutra-_TB"/>
      <sheetName val="pharma_-_TB"/>
      <sheetName val="COMP_"/>
      <sheetName val="Def__Tax"/>
      <sheetName val="Pending_"/>
      <sheetName val="stk_sum"/>
      <sheetName val="stock_stat_Reco"/>
      <sheetName val="valuation__of_cl_stk"/>
      <sheetName val="Ratios_-_tax"/>
      <sheetName val="other_asset"/>
      <sheetName val="amol_pharm_dep_"/>
      <sheetName val="amol_nut_dep"/>
      <sheetName val="Dep_Tax"/>
      <sheetName val="ANNEX_I"/>
      <sheetName val="_ANN-G"/>
      <sheetName val="annexure_for__3CEB"/>
      <sheetName val="Export_MT"/>
      <sheetName val="ABL_IMPORT_EXPORT"/>
      <sheetName val="NUTRA_TO_US_"/>
      <sheetName val="PHARMA_TO_US"/>
      <sheetName val="TP_New"/>
      <sheetName val="TP_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ept."/>
      <sheetName val="TB"/>
      <sheetName val="BS 2004"/>
      <sheetName val="CLOSING ENTRIES"/>
      <sheetName val="AGEING"/>
      <sheetName val="RATIOS"/>
      <sheetName val="Ratio Analysis"/>
      <sheetName val="COMP."/>
      <sheetName val="Co DEP"/>
      <sheetName val="I.T. DEPN"/>
      <sheetName val="Stock-august"/>
      <sheetName val="Stock"/>
      <sheetName val="CLOSING ENTRIES (2)"/>
      <sheetName val="Def. tax "/>
      <sheetName val="Deferred Tax 1.4.2002"/>
      <sheetName val="Sheet1"/>
      <sheetName val="Stock Records"/>
      <sheetName val="EEFc-new"/>
      <sheetName val="3CD"/>
      <sheetName val="Sheet2"/>
      <sheetName val="TP New"/>
      <sheetName val="TP Old"/>
      <sheetName val="80IB New"/>
      <sheetName val="EEFc-Pharma"/>
      <sheetName val="BS - 31.03.06"/>
      <sheetName val="L&amp;A"/>
      <sheetName val="Creditors"/>
      <sheetName val="nutra- TB"/>
      <sheetName val="pharma - TB"/>
      <sheetName val="80IB"/>
      <sheetName val="Def. Tax"/>
      <sheetName val="Pending "/>
      <sheetName val="stk sum"/>
      <sheetName val="stock stat Reco"/>
      <sheetName val="valuation  of cl.stk"/>
      <sheetName val="Ratios - tax"/>
      <sheetName val="other asset"/>
      <sheetName val="building"/>
      <sheetName val="amol pharm dep "/>
      <sheetName val="amol nut dep"/>
      <sheetName val="dep-ssi"/>
      <sheetName val="Dep Tax"/>
      <sheetName val="ANNEX I"/>
      <sheetName val="ANEX-II"/>
      <sheetName val="Int"/>
      <sheetName val="ANN-A"/>
      <sheetName val="ANN-B"/>
      <sheetName val="ANN-C"/>
      <sheetName val="ANN-D"/>
      <sheetName val="ANN-E"/>
      <sheetName val=" ANN-G"/>
      <sheetName val="3CEB"/>
      <sheetName val="annexure for  3CEB"/>
      <sheetName val="Export MT"/>
      <sheetName val="ABL IMPORT EXPORT"/>
      <sheetName val="NUTRA TO US "/>
      <sheetName val="PHARMA TO US"/>
      <sheetName val="ratio"/>
      <sheetName val="CAR LOAN"/>
      <sheetName val="TDS"/>
      <sheetName val="FBT"/>
      <sheetName val="Annexure II (FBT)"/>
      <sheetName val="COI"/>
      <sheetName val="BS "/>
      <sheetName val="29B"/>
      <sheetName val="SUM"/>
      <sheetName val="TB RR"/>
      <sheetName val="TB HR"/>
      <sheetName val="DEP.CO."/>
      <sheetName val="Dep"/>
      <sheetName val="IT DEP"/>
      <sheetName val="DR"/>
      <sheetName val="DT04"/>
      <sheetName val="DT06"/>
      <sheetName val="ANNEX"/>
      <sheetName val="SALES TAX(VAT)"/>
      <sheetName val="Interest"/>
      <sheetName val="Annex -F"/>
      <sheetName val="Annex -G"/>
      <sheetName val="ANN -H"/>
      <sheetName val="ANN-J"/>
      <sheetName val="Directors"/>
      <sheetName val="Shares"/>
      <sheetName val="ANN-F"/>
      <sheetName val="ANN-I"/>
      <sheetName val="WORKING OF TDS"/>
      <sheetName val="AS 31.3.2003"/>
      <sheetName val="FGR"/>
      <sheetName val="RMR"/>
      <sheetName val="WIP R"/>
      <sheetName val="FG"/>
      <sheetName val="Summary"/>
      <sheetName val="RMV"/>
      <sheetName val="WIPV"/>
      <sheetName val="D"/>
      <sheetName val="JWV"/>
      <sheetName val="JWR"/>
      <sheetName val="S-k"/>
      <sheetName val="bal sheet "/>
      <sheetName val="Prefernece Redm"/>
      <sheetName val="Chanplast"/>
      <sheetName val="Excise"/>
      <sheetName val="CO-DEP"/>
      <sheetName val="pref"/>
      <sheetName val="Corrections"/>
      <sheetName val="Pending"/>
      <sheetName val="analysis "/>
      <sheetName val="TDS Working"/>
      <sheetName val="Excise last year"/>
      <sheetName val="walter and chanvim"/>
      <sheetName val="workin"/>
      <sheetName val="rough"/>
      <sheetName val="(EVL) compens."/>
      <sheetName val="work"/>
      <sheetName val="sch E ( a)"/>
      <sheetName val="working"/>
      <sheetName val="Sheet5"/>
      <sheetName val="TB final (4)"/>
      <sheetName val="COVER PAGE"/>
      <sheetName val="REQ"/>
      <sheetName val="COMPUT"/>
      <sheetName val="B S"/>
      <sheetName val="FIX.ASS"/>
      <sheetName val="QTY "/>
      <sheetName val="AHO DRS"/>
      <sheetName val="3 CA ANNEX."/>
      <sheetName val="3CD ANNEX"/>
      <sheetName val="GROUP"/>
      <sheetName val="page 1 to 5 &amp; 7"/>
      <sheetName val="I.T DEP"/>
      <sheetName val="AS-22"/>
      <sheetName val="Master"/>
      <sheetName val="page 6"/>
      <sheetName val="DRS-180 D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 22 1.4.2002"/>
      <sheetName val="AS 31.3.2003"/>
      <sheetName val="Accounts"/>
      <sheetName val="Suppliers"/>
      <sheetName val="COMP."/>
      <sheetName val="ANNEX H"/>
      <sheetName val="BS&amp;PLA"/>
      <sheetName val="145 A"/>
      <sheetName val="Co - Dep"/>
      <sheetName val="Debit  note"/>
      <sheetName val="Modvat"/>
      <sheetName val="DEP IT"/>
      <sheetName val="costsheet"/>
      <sheetName val="POY Wastage Oil"/>
      <sheetName val="Stock Detail"/>
      <sheetName val="Trading"/>
      <sheetName val="Stock Details"/>
      <sheetName val="Sheet1"/>
      <sheetName val="ELECTRICITY"/>
      <sheetName val="Excise duty"/>
      <sheetName val="ANNEX C"/>
      <sheetName val="General exp."/>
      <sheetName val="fixed assets(0ld)"/>
      <sheetName val="RELIANCE "/>
      <sheetName val="ANNEX I"/>
      <sheetName val="pharma - TB"/>
      <sheetName val="rough"/>
      <sheetName val="AS_22_1_4_20021"/>
      <sheetName val="AS_31_3_20031"/>
      <sheetName val="COMP_1"/>
      <sheetName val="ANNEX_H1"/>
      <sheetName val="145_A1"/>
      <sheetName val="Co_-_Dep1"/>
      <sheetName val="Debit__note1"/>
      <sheetName val="DEP_IT1"/>
      <sheetName val="POY_Wastage_Oil1"/>
      <sheetName val="Stock_Detail1"/>
      <sheetName val="Stock_Details1"/>
      <sheetName val="Excise_duty1"/>
      <sheetName val="ANNEX_C1"/>
      <sheetName val="General_exp_1"/>
      <sheetName val="fixed_assets(0ld)1"/>
      <sheetName val="RELIANCE_1"/>
      <sheetName val="ANNEX_I1"/>
      <sheetName val="pharma_-_TB1"/>
      <sheetName val="AS_22_1_4_2002"/>
      <sheetName val="AS_31_3_2003"/>
      <sheetName val="COMP_"/>
      <sheetName val="ANNEX_H"/>
      <sheetName val="145_A"/>
      <sheetName val="Co_-_Dep"/>
      <sheetName val="Debit__note"/>
      <sheetName val="DEP_IT"/>
      <sheetName val="POY_Wastage_Oil"/>
      <sheetName val="Stock_Detail"/>
      <sheetName val="Stock_Details"/>
      <sheetName val="Excise_duty"/>
      <sheetName val="ANNEX_C"/>
      <sheetName val="General_exp_"/>
      <sheetName val="fixed_assets(0ld)"/>
      <sheetName val="RELIANCE_"/>
      <sheetName val="ANNEX_I"/>
      <sheetName val="pharma_-_TB"/>
      <sheetName val="AS_22_1_4_20022"/>
      <sheetName val="AS_31_3_20032"/>
      <sheetName val="COMP_2"/>
      <sheetName val="ANNEX_H2"/>
      <sheetName val="145_A2"/>
      <sheetName val="Co_-_Dep2"/>
      <sheetName val="Debit__note2"/>
      <sheetName val="DEP_IT2"/>
      <sheetName val="POY_Wastage_Oil2"/>
      <sheetName val="Stock_Detail2"/>
      <sheetName val="Stock_Details2"/>
      <sheetName val="Excise_duty2"/>
      <sheetName val="ANNEX_C2"/>
      <sheetName val="General_exp_2"/>
      <sheetName val="fixed_assets(0ld)2"/>
      <sheetName val="RELIANCE_2"/>
      <sheetName val="ANNEX_I2"/>
      <sheetName val="pharma_-_TB2"/>
    </sheetNames>
    <sheetDataSet>
      <sheetData sheetId="0"/>
      <sheetData sheetId="1"/>
      <sheetData sheetId="2"/>
      <sheetData sheetId="3"/>
      <sheetData sheetId="4"/>
      <sheetData sheetId="5"/>
      <sheetData sheetId="6" refreshError="1">
        <row r="578">
          <cell r="B578" t="str">
            <v>RAMANUJ SYNTHETICS PVT. LTD.</v>
          </cell>
        </row>
        <row r="580">
          <cell r="B580" t="str">
            <v xml:space="preserve">GROUPING OF BALANCE SHEET &amp; PROFIT &amp; LOSS ACCOUNT FOR THE  </v>
          </cell>
        </row>
        <row r="581">
          <cell r="B581" t="str">
            <v>YEAR ENDED 31ST MARCH, 2003</v>
          </cell>
        </row>
        <row r="583">
          <cell r="B583" t="str">
            <v>PARTICULARS</v>
          </cell>
          <cell r="D583" t="str">
            <v>31st March, 2003</v>
          </cell>
          <cell r="E583" t="str">
            <v>31st March, 2002</v>
          </cell>
          <cell r="F583" t="str">
            <v>31st March, 2001</v>
          </cell>
        </row>
        <row r="584">
          <cell r="D584" t="str">
            <v>(Rupees)</v>
          </cell>
          <cell r="E584" t="str">
            <v>(Rupees)</v>
          </cell>
          <cell r="F584" t="str">
            <v>(Rupees)</v>
          </cell>
        </row>
        <row r="586">
          <cell r="B586" t="str">
            <v>CREDITORS FOR EXPENSES</v>
          </cell>
        </row>
        <row r="587">
          <cell r="B587" t="str">
            <v>S.V.Enterprises</v>
          </cell>
          <cell r="D587">
            <v>1789</v>
          </cell>
        </row>
        <row r="588">
          <cell r="B588" t="str">
            <v>Vishwakarma  Electricals</v>
          </cell>
          <cell r="D588">
            <v>1000</v>
          </cell>
          <cell r="E588">
            <v>1050</v>
          </cell>
        </row>
        <row r="589">
          <cell r="B589" t="str">
            <v>Mahesh  Engineering   Works</v>
          </cell>
          <cell r="D589">
            <v>571</v>
          </cell>
          <cell r="E589">
            <v>3083</v>
          </cell>
        </row>
        <row r="590">
          <cell r="B590" t="str">
            <v>Daga Press</v>
          </cell>
          <cell r="D590">
            <v>4416</v>
          </cell>
          <cell r="E590">
            <v>10994</v>
          </cell>
          <cell r="H590" t="str">
            <v>new</v>
          </cell>
        </row>
        <row r="591">
          <cell r="B591" t="str">
            <v>CRP  Control Panel Pvt Ltd</v>
          </cell>
          <cell r="D591">
            <v>80473</v>
          </cell>
        </row>
        <row r="592">
          <cell r="B592" t="str">
            <v>Siemens Ltd</v>
          </cell>
          <cell r="D592">
            <v>42325</v>
          </cell>
          <cell r="E592">
            <v>15715</v>
          </cell>
        </row>
        <row r="593">
          <cell r="B593" t="str">
            <v>Shiv  Transport  Services</v>
          </cell>
          <cell r="E593">
            <v>160800</v>
          </cell>
        </row>
        <row r="594">
          <cell r="B594" t="str">
            <v>Sai Electric Service</v>
          </cell>
          <cell r="E594">
            <v>12200</v>
          </cell>
        </row>
        <row r="595">
          <cell r="B595" t="str">
            <v>Star  Electic  Works</v>
          </cell>
          <cell r="D595">
            <v>3250</v>
          </cell>
        </row>
        <row r="596">
          <cell r="B596" t="str">
            <v>Industrial Spares Co.</v>
          </cell>
          <cell r="D596">
            <v>7140</v>
          </cell>
          <cell r="E596">
            <v>15699</v>
          </cell>
          <cell r="H596" t="str">
            <v>new</v>
          </cell>
        </row>
        <row r="597">
          <cell r="B597" t="str">
            <v>Satya-Shiv Tex-Mech Pvt Ltd</v>
          </cell>
          <cell r="D597">
            <v>3385</v>
          </cell>
        </row>
        <row r="598">
          <cell r="B598" t="str">
            <v>R .K. Corporation</v>
          </cell>
          <cell r="D598">
            <v>32189</v>
          </cell>
          <cell r="E598">
            <v>7729.8</v>
          </cell>
        </row>
        <row r="599">
          <cell r="B599" t="str">
            <v>Rachna Corporation</v>
          </cell>
          <cell r="E599">
            <v>10000</v>
          </cell>
        </row>
        <row r="600">
          <cell r="B600" t="str">
            <v>Panchal Brothers Engg.Works</v>
          </cell>
          <cell r="D600">
            <v>4300</v>
          </cell>
          <cell r="E600">
            <v>8299.84</v>
          </cell>
        </row>
        <row r="601">
          <cell r="B601" t="str">
            <v>Shree  Siddivinayak  Engg</v>
          </cell>
          <cell r="D601">
            <v>6650</v>
          </cell>
          <cell r="E601">
            <v>0</v>
          </cell>
        </row>
        <row r="602">
          <cell r="B602" t="str">
            <v>Shri Jalaram Electronics</v>
          </cell>
          <cell r="D602">
            <v>0</v>
          </cell>
          <cell r="E602">
            <v>4724.8</v>
          </cell>
        </row>
        <row r="603">
          <cell r="B603" t="str">
            <v>Maharashtra Transport Corporation</v>
          </cell>
          <cell r="D603">
            <v>5309</v>
          </cell>
          <cell r="E603">
            <v>5309</v>
          </cell>
        </row>
        <row r="604">
          <cell r="B604" t="str">
            <v>Century  Enterprises</v>
          </cell>
          <cell r="D604">
            <v>1985</v>
          </cell>
          <cell r="E604">
            <v>0</v>
          </cell>
        </row>
        <row r="605">
          <cell r="B605" t="str">
            <v>Dhru  Cars Pvt Ltd</v>
          </cell>
          <cell r="E605">
            <v>0</v>
          </cell>
        </row>
        <row r="606">
          <cell r="B606" t="str">
            <v>R.R.Trade  Link</v>
          </cell>
          <cell r="D606">
            <v>5962</v>
          </cell>
          <cell r="E606">
            <v>0</v>
          </cell>
        </row>
        <row r="607">
          <cell r="B607" t="str">
            <v>Raksha  Enterprise</v>
          </cell>
          <cell r="D607">
            <v>3550</v>
          </cell>
          <cell r="E607">
            <v>0</v>
          </cell>
        </row>
        <row r="608">
          <cell r="B608" t="str">
            <v>Nandlal  Vishwakarma</v>
          </cell>
          <cell r="D608">
            <v>3150</v>
          </cell>
          <cell r="E608">
            <v>0</v>
          </cell>
        </row>
        <row r="609">
          <cell r="B609" t="str">
            <v>Sunera  Industies</v>
          </cell>
          <cell r="D609">
            <v>1025</v>
          </cell>
          <cell r="E609">
            <v>0</v>
          </cell>
        </row>
        <row r="610">
          <cell r="B610" t="str">
            <v>Ashok Electric  Works</v>
          </cell>
          <cell r="D610">
            <v>3015</v>
          </cell>
          <cell r="E610">
            <v>0</v>
          </cell>
        </row>
        <row r="611">
          <cell r="B611" t="str">
            <v>Shrinath  Suppliers</v>
          </cell>
          <cell r="D611">
            <v>1800</v>
          </cell>
          <cell r="E611">
            <v>0</v>
          </cell>
        </row>
        <row r="612">
          <cell r="B612" t="str">
            <v>The  Pnuematic  Spares</v>
          </cell>
          <cell r="D612">
            <v>1040</v>
          </cell>
          <cell r="E612">
            <v>0</v>
          </cell>
        </row>
        <row r="613">
          <cell r="B613" t="str">
            <v>Dol  Electric  Company  Pvt  Ltd</v>
          </cell>
          <cell r="D613">
            <v>34895</v>
          </cell>
          <cell r="E613">
            <v>0</v>
          </cell>
        </row>
        <row r="614">
          <cell r="B614" t="str">
            <v>Shri  Chamunda  Engg  Works</v>
          </cell>
          <cell r="D614">
            <v>800</v>
          </cell>
          <cell r="E614">
            <v>0</v>
          </cell>
        </row>
        <row r="615">
          <cell r="B615" t="str">
            <v>Jyoti  Traders</v>
          </cell>
          <cell r="D615">
            <v>1500</v>
          </cell>
          <cell r="E615">
            <v>0</v>
          </cell>
        </row>
        <row r="616">
          <cell r="B616" t="str">
            <v>Gujrat Industrial Products</v>
          </cell>
          <cell r="D616">
            <v>0</v>
          </cell>
          <cell r="E616">
            <v>5447</v>
          </cell>
        </row>
        <row r="617">
          <cell r="B617" t="str">
            <v>Babu   George</v>
          </cell>
          <cell r="D617">
            <v>41000</v>
          </cell>
          <cell r="E617">
            <v>98782</v>
          </cell>
        </row>
        <row r="622">
          <cell r="B622" t="str">
            <v>Ajmera &amp; Associates</v>
          </cell>
          <cell r="E622">
            <v>0</v>
          </cell>
          <cell r="F622">
            <v>2829</v>
          </cell>
        </row>
        <row r="623">
          <cell r="B623" t="str">
            <v>Texmach Marketing</v>
          </cell>
          <cell r="E623">
            <v>0</v>
          </cell>
          <cell r="F623">
            <v>2368</v>
          </cell>
        </row>
        <row r="624">
          <cell r="B624" t="str">
            <v>CRP Control Panels Pvt. Ltd.</v>
          </cell>
          <cell r="D624">
            <v>0</v>
          </cell>
        </row>
        <row r="625">
          <cell r="B625" t="str">
            <v>Panchal Brothers Engineering</v>
          </cell>
          <cell r="D625">
            <v>0</v>
          </cell>
        </row>
        <row r="626">
          <cell r="B626" t="str">
            <v>Ashok Electric works</v>
          </cell>
          <cell r="D626">
            <v>0</v>
          </cell>
        </row>
        <row r="627">
          <cell r="B627" t="str">
            <v>Om Clearing Agency</v>
          </cell>
          <cell r="D627">
            <v>0</v>
          </cell>
        </row>
        <row r="628">
          <cell r="B628" t="str">
            <v>Om Elecfronics</v>
          </cell>
          <cell r="D628">
            <v>0</v>
          </cell>
        </row>
        <row r="629">
          <cell r="B629" t="str">
            <v>Omkar Engineers</v>
          </cell>
          <cell r="D629">
            <v>0</v>
          </cell>
        </row>
        <row r="630">
          <cell r="B630" t="str">
            <v>Century Enterprises</v>
          </cell>
          <cell r="D630">
            <v>0</v>
          </cell>
        </row>
        <row r="631">
          <cell r="B631" t="str">
            <v>Cool Line</v>
          </cell>
          <cell r="D631">
            <v>0</v>
          </cell>
          <cell r="E631">
            <v>0</v>
          </cell>
          <cell r="F631">
            <v>9000</v>
          </cell>
        </row>
        <row r="632">
          <cell r="B632" t="str">
            <v>Omkar Industries</v>
          </cell>
          <cell r="D632">
            <v>0</v>
          </cell>
        </row>
        <row r="633">
          <cell r="B633" t="str">
            <v>Satya Shiv Tex Mach  Pvt ltd</v>
          </cell>
          <cell r="D633">
            <v>0</v>
          </cell>
          <cell r="E633">
            <v>0</v>
          </cell>
          <cell r="F633">
            <v>2130</v>
          </cell>
        </row>
        <row r="634">
          <cell r="B634" t="str">
            <v>Dhru Car Pvt. Ltd,</v>
          </cell>
          <cell r="D634">
            <v>0</v>
          </cell>
        </row>
        <row r="635">
          <cell r="B635" t="str">
            <v>R.R. Trade Link</v>
          </cell>
          <cell r="D635">
            <v>0</v>
          </cell>
        </row>
        <row r="636">
          <cell r="B636" t="str">
            <v>Jayantilal Bhaganji Khaliya</v>
          </cell>
          <cell r="D636">
            <v>0</v>
          </cell>
        </row>
        <row r="637">
          <cell r="B637" t="str">
            <v>Rasksha Enterprises</v>
          </cell>
          <cell r="D637">
            <v>0</v>
          </cell>
        </row>
        <row r="638">
          <cell r="B638" t="str">
            <v>Nandlal Vishwakarma</v>
          </cell>
          <cell r="D638">
            <v>0</v>
          </cell>
        </row>
        <row r="639">
          <cell r="B639" t="str">
            <v>Utility Services</v>
          </cell>
          <cell r="D639">
            <v>0</v>
          </cell>
        </row>
        <row r="640">
          <cell r="B640" t="str">
            <v>Siddhi Engineers</v>
          </cell>
          <cell r="D640">
            <v>0</v>
          </cell>
        </row>
        <row r="641">
          <cell r="B641" t="str">
            <v>Sunera  Industries</v>
          </cell>
          <cell r="D641">
            <v>0</v>
          </cell>
        </row>
        <row r="642">
          <cell r="B642" t="str">
            <v>Shree Suppliers</v>
          </cell>
          <cell r="D642">
            <v>0</v>
          </cell>
        </row>
        <row r="643">
          <cell r="B643" t="str">
            <v>Aafloat Textiles (India) Pvt. Ltd.</v>
          </cell>
          <cell r="D643">
            <v>0</v>
          </cell>
        </row>
        <row r="644">
          <cell r="B644" t="str">
            <v>Ahmed Raza Traders</v>
          </cell>
          <cell r="D644">
            <v>0</v>
          </cell>
        </row>
        <row r="645">
          <cell r="B645" t="str">
            <v>Kinal Tex</v>
          </cell>
          <cell r="D645">
            <v>0</v>
          </cell>
        </row>
        <row r="646">
          <cell r="B646" t="str">
            <v>Modern Petrofiles</v>
          </cell>
          <cell r="D646">
            <v>0</v>
          </cell>
        </row>
        <row r="647">
          <cell r="B647" t="str">
            <v>Shree Shyam Impex</v>
          </cell>
          <cell r="D647">
            <v>0</v>
          </cell>
        </row>
        <row r="648">
          <cell r="B648" t="str">
            <v>Babbu Packageing Enterprises</v>
          </cell>
          <cell r="D648">
            <v>0</v>
          </cell>
        </row>
        <row r="649">
          <cell r="B649" t="str">
            <v>The Pnuematic Spares</v>
          </cell>
          <cell r="D649">
            <v>0</v>
          </cell>
        </row>
        <row r="650">
          <cell r="B650" t="str">
            <v>Without Name</v>
          </cell>
          <cell r="D650">
            <v>0</v>
          </cell>
        </row>
        <row r="651">
          <cell r="B651" t="str">
            <v>Dol Electronic CO.</v>
          </cell>
          <cell r="D651">
            <v>0</v>
          </cell>
        </row>
        <row r="652">
          <cell r="B652" t="str">
            <v>Walter &amp; Associates</v>
          </cell>
        </row>
        <row r="653">
          <cell r="B653" t="str">
            <v>S.V. Enterprises</v>
          </cell>
          <cell r="D653">
            <v>0</v>
          </cell>
        </row>
        <row r="654">
          <cell r="B654" t="str">
            <v>HM Infotech Pvt Ltd</v>
          </cell>
          <cell r="E654">
            <v>0</v>
          </cell>
          <cell r="F654">
            <v>35000</v>
          </cell>
        </row>
        <row r="655">
          <cell r="B655" t="str">
            <v>J. D. Lubricants Pvt Ltd.</v>
          </cell>
          <cell r="E655">
            <v>0</v>
          </cell>
          <cell r="F655">
            <v>24975</v>
          </cell>
        </row>
        <row r="656">
          <cell r="B656" t="str">
            <v>Polycell Corporation</v>
          </cell>
          <cell r="E656">
            <v>0</v>
          </cell>
          <cell r="F656">
            <v>3148</v>
          </cell>
        </row>
        <row r="657">
          <cell r="B657" t="str">
            <v>Star Electric Works</v>
          </cell>
          <cell r="D657">
            <v>0</v>
          </cell>
          <cell r="E657">
            <v>0</v>
          </cell>
          <cell r="F657">
            <v>3070</v>
          </cell>
        </row>
        <row r="658">
          <cell r="B658" t="str">
            <v xml:space="preserve">Shree Sidhvinayak </v>
          </cell>
          <cell r="D658">
            <v>0</v>
          </cell>
        </row>
        <row r="659">
          <cell r="B659" t="str">
            <v>Walter &amp; Associates</v>
          </cell>
          <cell r="D659">
            <v>0</v>
          </cell>
        </row>
        <row r="660">
          <cell r="B660" t="str">
            <v>S.S Electricals</v>
          </cell>
          <cell r="E660">
            <v>0</v>
          </cell>
          <cell r="F660">
            <v>1100</v>
          </cell>
        </row>
        <row r="661">
          <cell r="B661" t="str">
            <v>Walter &amp; Associates</v>
          </cell>
          <cell r="D661">
            <v>3742</v>
          </cell>
          <cell r="E661">
            <v>2847</v>
          </cell>
        </row>
        <row r="662">
          <cell r="B662" t="str">
            <v>Outstanding Expenses</v>
          </cell>
          <cell r="D662">
            <v>246007</v>
          </cell>
          <cell r="E662">
            <v>1619707</v>
          </cell>
        </row>
        <row r="664">
          <cell r="B664" t="str">
            <v>TOTAL</v>
          </cell>
          <cell r="D664">
            <v>542268</v>
          </cell>
          <cell r="E664">
            <v>1982387.44</v>
          </cell>
          <cell r="F664">
            <v>83620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 val="sch_51"/>
      <sheetName val="_BS-sch_1-41"/>
      <sheetName val="BS-sch_6_&amp;_71"/>
      <sheetName val="BS-sch_8_&amp;_91"/>
      <sheetName val="PL-sch_10,_11_&amp;_121"/>
      <sheetName val="PL-sch_13,_14_&amp;_151"/>
      <sheetName val="GP_Margin1"/>
      <sheetName val="TRIAL_BALANCE1"/>
      <sheetName val="Clause_12_(b)1"/>
      <sheetName val="sch_5"/>
      <sheetName val="_BS-sch_1-4"/>
      <sheetName val="BS-sch_6_&amp;_7"/>
      <sheetName val="BS-sch_8_&amp;_9"/>
      <sheetName val="PL-sch_10,_11_&amp;_12"/>
      <sheetName val="PL-sch_13,_14_&amp;_15"/>
      <sheetName val="GP_Margin"/>
      <sheetName val="TRIAL_BALANCE"/>
      <sheetName val="Clause_12_(b)"/>
      <sheetName val="sch_52"/>
      <sheetName val="_BS-sch_1-42"/>
      <sheetName val="BS-sch_6_&amp;_72"/>
      <sheetName val="BS-sch_8_&amp;_92"/>
      <sheetName val="PL-sch_10,_11_&amp;_122"/>
      <sheetName val="PL-sch_13,_14_&amp;_152"/>
      <sheetName val="GP_Margin2"/>
      <sheetName val="TRIAL_BALANCE2"/>
      <sheetName val="Clause_12_(b)2"/>
      <sheetName val="sc"/>
      <sheetName val="Monthly Break Up"/>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ding"/>
      <sheetName val="Directors Remuneration"/>
      <sheetName val="DT"/>
      <sheetName val="Final TB"/>
      <sheetName val="Br TB (2)"/>
      <sheetName val="COI"/>
      <sheetName val="Projected TB"/>
      <sheetName val="Branch TB"/>
      <sheetName val="Branch"/>
      <sheetName val="DR"/>
      <sheetName val="Ann A"/>
      <sheetName val="Ann.-B&amp;E"/>
      <sheetName val="Ann.-C"/>
      <sheetName val="Ann.-D"/>
      <sheetName val="Ann-F"/>
      <sheetName val="Ann.-G"/>
      <sheetName val="Ann.-H"/>
      <sheetName val="Ann.-I"/>
      <sheetName val="Statement"/>
      <sheetName val="Interest Accrued"/>
      <sheetName val="Sheet1"/>
      <sheetName val="Unsecured Loan"/>
      <sheetName val="TDS"/>
      <sheetName val="Dr Age"/>
      <sheetName val="Ann.-J"/>
      <sheetName val="Value"/>
      <sheetName val="Analysis"/>
      <sheetName val="3CD "/>
      <sheetName val="Pending m12"/>
      <sheetName val="Deposit &amp; exp electricity"/>
      <sheetName val="BS"/>
      <sheetName val="BS REV SHD"/>
      <sheetName val="Sheet2"/>
      <sheetName val="Dep"/>
    </sheetNames>
    <sheetDataSet>
      <sheetData sheetId="0"/>
      <sheetData sheetId="1"/>
      <sheetData sheetId="2"/>
      <sheetData sheetId="3"/>
      <sheetData sheetId="4"/>
      <sheetData sheetId="5">
        <row r="76">
          <cell r="C76" t="str">
            <v>Interest  u/s 234A, 234B  &amp;  234C</v>
          </cell>
        </row>
        <row r="77">
          <cell r="C77" t="str">
            <v>u/s  234 B</v>
          </cell>
          <cell r="J77">
            <v>41406.734427162191</v>
          </cell>
        </row>
        <row r="78">
          <cell r="C78" t="str">
            <v>April to Sept.</v>
          </cell>
          <cell r="F78" t="str">
            <v>months</v>
          </cell>
          <cell r="H78">
            <v>0</v>
          </cell>
        </row>
        <row r="80">
          <cell r="C80" t="str">
            <v>u/s  234 C</v>
          </cell>
          <cell r="I80" t="str">
            <v>Shortfall</v>
          </cell>
          <cell r="J80" t="str">
            <v>Interest</v>
          </cell>
        </row>
        <row r="81">
          <cell r="C81" t="str">
            <v>Due Date</v>
          </cell>
          <cell r="D81" t="str">
            <v>Installment  Payable</v>
          </cell>
          <cell r="F81" t="str">
            <v>Paid</v>
          </cell>
          <cell r="G81" t="str">
            <v>Shortfall</v>
          </cell>
          <cell r="H81" t="str">
            <v>Interest</v>
          </cell>
        </row>
        <row r="82">
          <cell r="I82">
            <v>0</v>
          </cell>
          <cell r="J82">
            <v>0</v>
          </cell>
        </row>
        <row r="83">
          <cell r="C83" t="str">
            <v>15th  June</v>
          </cell>
          <cell r="D83">
            <v>549490.04999999993</v>
          </cell>
          <cell r="F83">
            <v>500000</v>
          </cell>
          <cell r="G83">
            <v>0</v>
          </cell>
          <cell r="H83">
            <v>0</v>
          </cell>
          <cell r="I83">
            <v>0</v>
          </cell>
          <cell r="J83">
            <v>0</v>
          </cell>
        </row>
        <row r="84">
          <cell r="C84" t="str">
            <v>15th  September</v>
          </cell>
          <cell r="D84">
            <v>1648470.1500000001</v>
          </cell>
          <cell r="F84">
            <v>1500000</v>
          </cell>
          <cell r="G84">
            <v>0</v>
          </cell>
          <cell r="H84">
            <v>0</v>
          </cell>
          <cell r="I84">
            <v>221101.01640743297</v>
          </cell>
          <cell r="J84">
            <v>6633.0304922229889</v>
          </cell>
        </row>
        <row r="85">
          <cell r="C85" t="str">
            <v>15th  December</v>
          </cell>
          <cell r="D85">
            <v>2747450.25</v>
          </cell>
          <cell r="F85">
            <v>2500000</v>
          </cell>
          <cell r="G85">
            <v>247450.25</v>
          </cell>
          <cell r="H85">
            <v>7423.5074999999997</v>
          </cell>
          <cell r="I85">
            <v>828134.6885432438</v>
          </cell>
          <cell r="J85">
            <v>8281.3468854324383</v>
          </cell>
        </row>
        <row r="86">
          <cell r="C86" t="str">
            <v>15th March</v>
          </cell>
          <cell r="D86">
            <v>3663267</v>
          </cell>
          <cell r="F86">
            <v>3500000</v>
          </cell>
          <cell r="G86">
            <v>163267</v>
          </cell>
          <cell r="H86">
            <v>1632.67</v>
          </cell>
          <cell r="J86">
            <v>14914.377377655426</v>
          </cell>
        </row>
        <row r="87">
          <cell r="D87" t="str">
            <v xml:space="preserve">Total  </v>
          </cell>
          <cell r="H87">
            <v>9056.1774999999998</v>
          </cell>
          <cell r="J87">
            <v>56321.111804817614</v>
          </cell>
        </row>
        <row r="88">
          <cell r="H88">
            <v>9056.1774999999998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66">
          <cell r="G266">
            <v>3612000</v>
          </cell>
        </row>
      </sheetData>
      <sheetData sheetId="32"/>
      <sheetData sheetId="33">
        <row r="9">
          <cell r="F9" t="str">
            <v>GROSS BLOCK</v>
          </cell>
          <cell r="J9" t="str">
            <v>DEPRECIATION</v>
          </cell>
        </row>
        <row r="10">
          <cell r="F10" t="str">
            <v>As On</v>
          </cell>
          <cell r="J10" t="str">
            <v>As On</v>
          </cell>
          <cell r="K10" t="str">
            <v xml:space="preserve">For the </v>
          </cell>
        </row>
        <row r="11">
          <cell r="F11" t="str">
            <v>1.4.2011</v>
          </cell>
          <cell r="J11" t="str">
            <v>1.4.2011</v>
          </cell>
          <cell r="K11" t="str">
            <v>period</v>
          </cell>
        </row>
        <row r="13">
          <cell r="F13">
            <v>0</v>
          </cell>
          <cell r="J13">
            <v>0</v>
          </cell>
          <cell r="K13">
            <v>24766.219999999998</v>
          </cell>
        </row>
        <row r="14">
          <cell r="F14">
            <v>35441727</v>
          </cell>
          <cell r="J14">
            <v>1352425</v>
          </cell>
          <cell r="K14">
            <v>711205</v>
          </cell>
        </row>
        <row r="15">
          <cell r="F15">
            <v>8797838</v>
          </cell>
          <cell r="J15">
            <v>4761027</v>
          </cell>
          <cell r="K15">
            <v>464526</v>
          </cell>
        </row>
        <row r="16">
          <cell r="F16">
            <v>3271975</v>
          </cell>
          <cell r="J16">
            <v>828792</v>
          </cell>
          <cell r="K16">
            <v>211158</v>
          </cell>
        </row>
        <row r="17">
          <cell r="F17">
            <v>1649200</v>
          </cell>
          <cell r="J17">
            <v>1317296</v>
          </cell>
          <cell r="K17">
            <v>267335</v>
          </cell>
        </row>
        <row r="18">
          <cell r="F18">
            <v>4987955</v>
          </cell>
          <cell r="J18">
            <v>1653085</v>
          </cell>
          <cell r="K18">
            <v>315738</v>
          </cell>
        </row>
        <row r="19">
          <cell r="F19">
            <v>1865846</v>
          </cell>
          <cell r="J19">
            <v>366252</v>
          </cell>
          <cell r="K19">
            <v>177255</v>
          </cell>
        </row>
        <row r="20">
          <cell r="F20">
            <v>5901074</v>
          </cell>
          <cell r="J20">
            <v>2751857</v>
          </cell>
          <cell r="K20">
            <v>560602.03</v>
          </cell>
        </row>
        <row r="21">
          <cell r="F21">
            <v>61915615</v>
          </cell>
          <cell r="J21">
            <v>13030734</v>
          </cell>
          <cell r="K21">
            <v>2732585.25</v>
          </cell>
        </row>
        <row r="22">
          <cell r="F22">
            <v>61488017.761250027</v>
          </cell>
          <cell r="J22">
            <v>10663387.5</v>
          </cell>
          <cell r="K22">
            <v>2367346</v>
          </cell>
        </row>
        <row r="23">
          <cell r="K23">
            <v>2559266</v>
          </cell>
        </row>
        <row r="24">
          <cell r="J24">
            <v>366</v>
          </cell>
          <cell r="K24">
            <v>-173319.25</v>
          </cell>
        </row>
        <row r="26">
          <cell r="F26" t="str">
            <v>Amount</v>
          </cell>
        </row>
        <row r="28">
          <cell r="F28">
            <v>0</v>
          </cell>
        </row>
        <row r="29">
          <cell r="F29">
            <v>0</v>
          </cell>
        </row>
        <row r="34">
          <cell r="F34" t="str">
            <v>Amount</v>
          </cell>
        </row>
        <row r="36">
          <cell r="F36">
            <v>72827.75</v>
          </cell>
        </row>
        <row r="37">
          <cell r="F37">
            <v>0</v>
          </cell>
        </row>
        <row r="38">
          <cell r="F38">
            <v>0</v>
          </cell>
        </row>
        <row r="39">
          <cell r="F39">
            <v>72827.75</v>
          </cell>
        </row>
        <row r="43">
          <cell r="F43" t="str">
            <v>Amount</v>
          </cell>
        </row>
        <row r="44">
          <cell r="F44">
            <v>1000000</v>
          </cell>
        </row>
        <row r="45">
          <cell r="F45">
            <v>5000000</v>
          </cell>
        </row>
        <row r="46">
          <cell r="F46">
            <v>619200</v>
          </cell>
        </row>
        <row r="47">
          <cell r="F47">
            <v>200000</v>
          </cell>
        </row>
        <row r="48">
          <cell r="F48">
            <v>10521000</v>
          </cell>
        </row>
        <row r="49">
          <cell r="F49">
            <v>1000500</v>
          </cell>
        </row>
        <row r="50">
          <cell r="F50">
            <v>18340700</v>
          </cell>
        </row>
        <row r="51">
          <cell r="F51">
            <v>16521000</v>
          </cell>
        </row>
        <row r="54">
          <cell r="F54" t="str">
            <v>Amount</v>
          </cell>
        </row>
        <row r="55">
          <cell r="F55">
            <v>5183000</v>
          </cell>
        </row>
        <row r="56">
          <cell r="F56">
            <v>5183000</v>
          </cell>
        </row>
        <row r="62">
          <cell r="F62" t="str">
            <v>WDV</v>
          </cell>
        </row>
        <row r="63">
          <cell r="F63">
            <v>527512.68041095894</v>
          </cell>
        </row>
        <row r="64">
          <cell r="F64">
            <v>475990.95041095896</v>
          </cell>
        </row>
        <row r="65">
          <cell r="F65">
            <v>424469.22041095898</v>
          </cell>
        </row>
        <row r="66">
          <cell r="F66">
            <v>372947.490410959</v>
          </cell>
        </row>
        <row r="67">
          <cell r="F67">
            <v>321425.76041095902</v>
          </cell>
        </row>
        <row r="68">
          <cell r="F68">
            <v>269904.03041095904</v>
          </cell>
        </row>
        <row r="69">
          <cell r="F69">
            <v>218382.30041095903</v>
          </cell>
        </row>
        <row r="70">
          <cell r="F70">
            <v>166860.57041095902</v>
          </cell>
        </row>
        <row r="71">
          <cell r="F71">
            <v>142225.86344374591</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I e-filing"/>
      <sheetName val="COI"/>
      <sheetName val="3CD "/>
      <sheetName val="DR"/>
      <sheetName val="Ann A"/>
      <sheetName val="Ann.-B&amp;E"/>
      <sheetName val="Ann.-C"/>
      <sheetName val="Ann.-D"/>
      <sheetName val="Pivot Table HO"/>
      <sheetName val="Ann-E"/>
      <sheetName val="Ann.-F"/>
      <sheetName val="Unsecured Loan"/>
      <sheetName val="Ann.-G"/>
      <sheetName val="Ann.-"/>
      <sheetName val="TDS"/>
      <sheetName val="Ann.-H"/>
      <sheetName val="Value"/>
      <sheetName val="Analysis"/>
      <sheetName val="DT"/>
      <sheetName val="Dr Age"/>
      <sheetName val="Trial Bal New HO"/>
      <sheetName val="BS REV SHD"/>
      <sheetName val="Pivot Table Branch"/>
      <sheetName val="Trial Bal Branch"/>
      <sheetName val="Dep"/>
      <sheetName val="Sheet2"/>
      <sheetName val="TB FINAL"/>
      <sheetName val="Statement"/>
      <sheetName val="Br TB (2)"/>
      <sheetName val="Final TB"/>
      <sheetName val="fabric details "/>
    </sheetNames>
    <sheetDataSet>
      <sheetData sheetId="0"/>
      <sheetData sheetId="1">
        <row r="78">
          <cell r="C78" t="str">
            <v>Interest  u/s 234A, 234B  &amp;  234C</v>
          </cell>
        </row>
        <row r="79">
          <cell r="C79" t="str">
            <v>u/s  234 B</v>
          </cell>
          <cell r="J79">
            <v>41406.734427162191</v>
          </cell>
        </row>
        <row r="80">
          <cell r="C80" t="str">
            <v>April to Sept.</v>
          </cell>
          <cell r="F80" t="str">
            <v>months</v>
          </cell>
          <cell r="H80" t="e">
            <v>#REF!</v>
          </cell>
        </row>
        <row r="82">
          <cell r="C82" t="str">
            <v>u/s  234 C</v>
          </cell>
          <cell r="I82" t="str">
            <v>Shortfall</v>
          </cell>
          <cell r="J82" t="str">
            <v>Interest</v>
          </cell>
        </row>
        <row r="83">
          <cell r="C83" t="str">
            <v>Due Date</v>
          </cell>
          <cell r="D83" t="str">
            <v>Installment  Payable</v>
          </cell>
          <cell r="F83" t="str">
            <v>Paid</v>
          </cell>
          <cell r="G83" t="str">
            <v>Shortfall</v>
          </cell>
          <cell r="H83" t="str">
            <v>Interest</v>
          </cell>
        </row>
        <row r="84">
          <cell r="I84">
            <v>0</v>
          </cell>
          <cell r="J84">
            <v>0</v>
          </cell>
        </row>
        <row r="85">
          <cell r="C85" t="str">
            <v>15th  June</v>
          </cell>
          <cell r="D85">
            <v>598294.79999999993</v>
          </cell>
          <cell r="F85">
            <v>500000</v>
          </cell>
          <cell r="G85">
            <v>0</v>
          </cell>
          <cell r="H85">
            <v>0</v>
          </cell>
          <cell r="I85">
            <v>0</v>
          </cell>
          <cell r="J85">
            <v>0</v>
          </cell>
        </row>
        <row r="86">
          <cell r="C86" t="str">
            <v>15th  September</v>
          </cell>
          <cell r="D86">
            <v>1794884.4000000001</v>
          </cell>
          <cell r="F86">
            <v>1500000</v>
          </cell>
          <cell r="G86">
            <v>0</v>
          </cell>
          <cell r="H86">
            <v>0</v>
          </cell>
          <cell r="I86">
            <v>221101.01640743297</v>
          </cell>
          <cell r="J86">
            <v>6633.0304922229889</v>
          </cell>
        </row>
        <row r="87">
          <cell r="C87" t="str">
            <v>15th  December</v>
          </cell>
          <cell r="D87">
            <v>2991474</v>
          </cell>
          <cell r="F87">
            <v>2500000</v>
          </cell>
          <cell r="G87">
            <v>491474</v>
          </cell>
          <cell r="H87">
            <v>14744.22</v>
          </cell>
          <cell r="I87">
            <v>828134.6885432438</v>
          </cell>
          <cell r="J87">
            <v>8281.3468854324383</v>
          </cell>
        </row>
        <row r="88">
          <cell r="C88" t="str">
            <v>15th March</v>
          </cell>
          <cell r="D88">
            <v>3988632</v>
          </cell>
          <cell r="F88" t="e">
            <v>#REF!</v>
          </cell>
          <cell r="G88" t="e">
            <v>#REF!</v>
          </cell>
          <cell r="H88" t="e">
            <v>#REF!</v>
          </cell>
          <cell r="J88">
            <v>14914.377377655426</v>
          </cell>
        </row>
        <row r="89">
          <cell r="D89" t="str">
            <v xml:space="preserve">Total  </v>
          </cell>
          <cell r="H89" t="e">
            <v>#REF!</v>
          </cell>
          <cell r="J89">
            <v>56321.111804817614</v>
          </cell>
        </row>
        <row r="90">
          <cell r="H90" t="e">
            <v>#REF!</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9">
          <cell r="F9" t="str">
            <v>GROSS BLOCK</v>
          </cell>
          <cell r="J9" t="str">
            <v>DEPRECIATION</v>
          </cell>
        </row>
        <row r="10">
          <cell r="F10" t="str">
            <v>As On</v>
          </cell>
          <cell r="J10" t="str">
            <v>As On</v>
          </cell>
          <cell r="K10" t="str">
            <v xml:space="preserve">For the </v>
          </cell>
        </row>
        <row r="11">
          <cell r="F11" t="str">
            <v>1.4.2012</v>
          </cell>
          <cell r="J11" t="str">
            <v>1.4.2012</v>
          </cell>
          <cell r="K11" t="str">
            <v>period</v>
          </cell>
        </row>
        <row r="13">
          <cell r="F13">
            <v>5183000</v>
          </cell>
          <cell r="J13">
            <v>24766</v>
          </cell>
          <cell r="K13">
            <v>84482.9</v>
          </cell>
        </row>
        <row r="14">
          <cell r="F14">
            <v>53782427</v>
          </cell>
          <cell r="J14">
            <v>2063630</v>
          </cell>
          <cell r="K14">
            <v>876653.56009999989</v>
          </cell>
        </row>
        <row r="15">
          <cell r="F15">
            <v>8797838</v>
          </cell>
          <cell r="J15">
            <v>5225553</v>
          </cell>
          <cell r="K15">
            <v>467691.84639999998</v>
          </cell>
        </row>
        <row r="16">
          <cell r="F16">
            <v>3344803</v>
          </cell>
          <cell r="J16">
            <v>1039950</v>
          </cell>
          <cell r="K16">
            <v>211726.02989999999</v>
          </cell>
        </row>
        <row r="17">
          <cell r="F17">
            <v>1649200</v>
          </cell>
          <cell r="J17">
            <v>1584631</v>
          </cell>
          <cell r="K17">
            <v>64569</v>
          </cell>
        </row>
        <row r="18">
          <cell r="F18">
            <v>4987955</v>
          </cell>
          <cell r="J18">
            <v>1968823</v>
          </cell>
          <cell r="K18">
            <v>315737.5515</v>
          </cell>
        </row>
        <row r="19">
          <cell r="F19">
            <v>1865846</v>
          </cell>
          <cell r="J19">
            <v>543507</v>
          </cell>
          <cell r="K19">
            <v>177255.37</v>
          </cell>
        </row>
        <row r="20">
          <cell r="F20">
            <v>5358740</v>
          </cell>
          <cell r="J20">
            <v>2912351</v>
          </cell>
          <cell r="K20">
            <v>527417.79485616437</v>
          </cell>
        </row>
        <row r="21">
          <cell r="F21">
            <v>84969809</v>
          </cell>
          <cell r="J21">
            <v>15363211</v>
          </cell>
          <cell r="K21">
            <v>2725534.0527561642</v>
          </cell>
        </row>
        <row r="22">
          <cell r="F22">
            <v>61915615</v>
          </cell>
          <cell r="J22">
            <v>13030734</v>
          </cell>
          <cell r="K22">
            <v>2732585</v>
          </cell>
        </row>
        <row r="23">
          <cell r="K23">
            <v>2559266</v>
          </cell>
        </row>
        <row r="24">
          <cell r="J24">
            <v>365</v>
          </cell>
          <cell r="K24">
            <v>-166268.05275616422</v>
          </cell>
        </row>
        <row r="26">
          <cell r="F26" t="str">
            <v>Amount</v>
          </cell>
        </row>
        <row r="28">
          <cell r="F28">
            <v>0</v>
          </cell>
        </row>
        <row r="29">
          <cell r="F29">
            <v>0</v>
          </cell>
        </row>
        <row r="31">
          <cell r="J31">
            <v>18063211</v>
          </cell>
        </row>
        <row r="33">
          <cell r="J33">
            <v>91295</v>
          </cell>
        </row>
        <row r="34">
          <cell r="F34" t="str">
            <v>Amount</v>
          </cell>
        </row>
        <row r="36">
          <cell r="F36">
            <v>79000</v>
          </cell>
          <cell r="J36">
            <v>6397.9799999999796</v>
          </cell>
        </row>
        <row r="37">
          <cell r="F37">
            <v>0</v>
          </cell>
        </row>
        <row r="38">
          <cell r="F38">
            <v>0</v>
          </cell>
        </row>
        <row r="39">
          <cell r="F39">
            <v>79000</v>
          </cell>
          <cell r="J39">
            <v>-16933</v>
          </cell>
        </row>
        <row r="43">
          <cell r="F43" t="str">
            <v>Amount</v>
          </cell>
        </row>
        <row r="46">
          <cell r="F46">
            <v>0</v>
          </cell>
        </row>
        <row r="49">
          <cell r="F49" t="str">
            <v>Amount</v>
          </cell>
        </row>
        <row r="50">
          <cell r="F50">
            <v>252518</v>
          </cell>
        </row>
        <row r="51">
          <cell r="F51">
            <v>596206.25</v>
          </cell>
        </row>
        <row r="52">
          <cell r="F52">
            <v>26212</v>
          </cell>
        </row>
        <row r="53">
          <cell r="F53">
            <v>67966</v>
          </cell>
        </row>
        <row r="54">
          <cell r="F54">
            <v>942902.25</v>
          </cell>
        </row>
        <row r="55">
          <cell r="F55">
            <v>40268</v>
          </cell>
          <cell r="J55">
            <v>348</v>
          </cell>
          <cell r="K55">
            <v>41000</v>
          </cell>
        </row>
        <row r="57">
          <cell r="F57" t="str">
            <v>Days</v>
          </cell>
          <cell r="K57" t="str">
            <v>total Dep</v>
          </cell>
        </row>
        <row r="58">
          <cell r="J58" t="str">
            <v>2012-13</v>
          </cell>
        </row>
        <row r="59">
          <cell r="F59">
            <v>276</v>
          </cell>
          <cell r="J59">
            <v>54262.691342465754</v>
          </cell>
          <cell r="K59">
            <v>211125.52895890409</v>
          </cell>
        </row>
      </sheetData>
      <sheetData sheetId="25"/>
      <sheetData sheetId="26"/>
      <sheetData sheetId="27"/>
      <sheetData sheetId="28"/>
      <sheetData sheetId="29"/>
      <sheetData sheetId="3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1"/>
      <sheetName val="Result 2"/>
      <sheetName val="Result 3"/>
      <sheetName val="Cash Flow Statement"/>
      <sheetName val="BSPL"/>
      <sheetName val="Depreciation Co. Act"/>
      <sheetName val="Pivot"/>
      <sheetName val="Sheet2"/>
      <sheetName val="Closing Stock Valuation"/>
      <sheetName val="CLOSING STOCK 31-03-20"/>
      <sheetName val="Computation"/>
      <sheetName val="Deffered Tax"/>
      <sheetName val="Depreciation as per Income Tax"/>
      <sheetName val="Term Loan"/>
      <sheetName val="TB MAIN"/>
      <sheetName val="TB31032020"/>
      <sheetName val="TB310320119"/>
      <sheetName val="Sheet1"/>
    </sheetNames>
    <sheetDataSet>
      <sheetData sheetId="0" refreshError="1"/>
      <sheetData sheetId="1" refreshError="1"/>
      <sheetData sheetId="2" refreshError="1"/>
      <sheetData sheetId="3" refreshError="1"/>
      <sheetData sheetId="4" refreshError="1">
        <row r="9">
          <cell r="F9">
            <v>402479.2</v>
          </cell>
          <cell r="G9">
            <v>484789</v>
          </cell>
        </row>
        <row r="11">
          <cell r="G11">
            <v>2870555</v>
          </cell>
        </row>
        <row r="15">
          <cell r="G15">
            <v>51184927.105289809</v>
          </cell>
        </row>
        <row r="17">
          <cell r="G17">
            <v>89957465.5</v>
          </cell>
        </row>
        <row r="19">
          <cell r="G19">
            <v>192300</v>
          </cell>
        </row>
        <row r="20">
          <cell r="G20">
            <v>5769158.1199999992</v>
          </cell>
        </row>
        <row r="22">
          <cell r="F22">
            <v>585094</v>
          </cell>
          <cell r="G22">
            <v>572621</v>
          </cell>
        </row>
        <row r="40">
          <cell r="G40">
            <v>55675684.390000001</v>
          </cell>
        </row>
        <row r="41">
          <cell r="G41">
            <v>49656875.130000003</v>
          </cell>
        </row>
        <row r="43">
          <cell r="G43">
            <v>539205.43999999994</v>
          </cell>
        </row>
        <row r="99">
          <cell r="F99">
            <v>4514807.180287933</v>
          </cell>
          <cell r="G99">
            <v>16160409.421267949</v>
          </cell>
        </row>
        <row r="106">
          <cell r="F106">
            <v>-186251</v>
          </cell>
        </row>
        <row r="241">
          <cell r="G241">
            <v>1521769</v>
          </cell>
        </row>
        <row r="242">
          <cell r="G242">
            <v>1353400</v>
          </cell>
        </row>
        <row r="243">
          <cell r="G243">
            <v>2799620.3599999994</v>
          </cell>
        </row>
        <row r="291">
          <cell r="G291">
            <v>7276608.1800000006</v>
          </cell>
        </row>
        <row r="351">
          <cell r="G351">
            <v>31105627</v>
          </cell>
        </row>
        <row r="357">
          <cell r="G357">
            <v>1662107</v>
          </cell>
        </row>
        <row r="371">
          <cell r="F371">
            <v>-1808134</v>
          </cell>
          <cell r="G371">
            <v>-7089950.0863537798</v>
          </cell>
        </row>
        <row r="400">
          <cell r="G400">
            <v>17650350</v>
          </cell>
        </row>
        <row r="401">
          <cell r="G401">
            <v>928040</v>
          </cell>
        </row>
        <row r="403">
          <cell r="G403">
            <v>775995</v>
          </cell>
        </row>
        <row r="404">
          <cell r="G404">
            <v>192300</v>
          </cell>
        </row>
        <row r="406">
          <cell r="G406">
            <v>790876</v>
          </cell>
        </row>
        <row r="412">
          <cell r="F412">
            <v>0.18028793297708035</v>
          </cell>
          <cell r="G412">
            <v>1488650.421267949</v>
          </cell>
        </row>
        <row r="413">
          <cell r="G413">
            <v>1450129</v>
          </cell>
        </row>
        <row r="414">
          <cell r="G414">
            <v>1603900</v>
          </cell>
        </row>
      </sheetData>
      <sheetData sheetId="5" refreshError="1"/>
      <sheetData sheetId="6" refreshError="1"/>
      <sheetData sheetId="7" refreshError="1"/>
      <sheetData sheetId="8" refreshError="1"/>
      <sheetData sheetId="9" refreshError="1"/>
      <sheetData sheetId="10" refreshError="1">
        <row r="83">
          <cell r="I83">
            <v>655513</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1"/>
      <sheetName val="Results H1"/>
      <sheetName val="Result 2"/>
      <sheetName val="Result 3"/>
      <sheetName val="Cash Flow Statement"/>
      <sheetName val="BSPL"/>
      <sheetName val="Pivot"/>
      <sheetName val="TB MAIN"/>
      <sheetName val="TErm Loan Bifurcation"/>
      <sheetName val="Pivot HYR"/>
      <sheetName val="FG Valuation"/>
      <sheetName val="TB Final HYR 1"/>
      <sheetName val="TB HYR1"/>
      <sheetName val="Cashflow statement"/>
      <sheetName val="Trial Balance"/>
      <sheetName val="Depreciation Co. Act"/>
      <sheetName val="Closing Stock Valuation"/>
      <sheetName val="CLOSING STOCK 31-03-20"/>
      <sheetName val="Computation"/>
      <sheetName val="Deffered Tax"/>
      <sheetName val="Depreciation as per Income Tax"/>
      <sheetName val="Term Loan"/>
      <sheetName val="TB31032020"/>
      <sheetName val="TB310320119"/>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0">
          <cell r="M10">
            <v>0</v>
          </cell>
          <cell r="N10">
            <v>238173862</v>
          </cell>
        </row>
        <row r="34">
          <cell r="N34">
            <v>152872055.94415474</v>
          </cell>
        </row>
        <row r="38">
          <cell r="Q38">
            <v>43890778.421285272</v>
          </cell>
        </row>
        <row r="42">
          <cell r="N42">
            <v>41830145.75</v>
          </cell>
          <cell r="Q42">
            <v>2919004</v>
          </cell>
        </row>
      </sheetData>
      <sheetData sheetId="18" refreshError="1"/>
      <sheetData sheetId="19" refreshError="1">
        <row r="15">
          <cell r="J15">
            <v>20900187.78983973</v>
          </cell>
        </row>
        <row r="21">
          <cell r="J21">
            <v>635262.28757500008</v>
          </cell>
        </row>
      </sheetData>
      <sheetData sheetId="20" refreshError="1"/>
      <sheetData sheetId="21" refreshError="1"/>
      <sheetData sheetId="22" refreshError="1"/>
      <sheetData sheetId="23" refreshError="1"/>
      <sheetData sheetId="2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MICAL STOCK 31-03-21"/>
      <sheetName val="CLOSING STOCK AS ON 31-03-21"/>
      <sheetName val="PACKAGING STOCK 31-03-2021"/>
      <sheetName val="COal Stock Valuation"/>
    </sheetNames>
    <sheetDataSet>
      <sheetData sheetId="0">
        <row r="37">
          <cell r="P37">
            <v>2369792.5</v>
          </cell>
        </row>
      </sheetData>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5-16"/>
      <sheetName val="16-17"/>
      <sheetName val="17-18"/>
      <sheetName val="2018-19"/>
      <sheetName val=" Summary-19-20"/>
      <sheetName val="Summary-20-21"/>
      <sheetName val="W-I-P(Building)"/>
      <sheetName val="WIP(PL &amp; M)"/>
      <sheetName val=" land"/>
      <sheetName val="Building"/>
      <sheetName val=" Plant &amp; Machinery"/>
      <sheetName val="Motor vehicle"/>
      <sheetName val=" Computer"/>
      <sheetName val=" Office Equipment"/>
      <sheetName val=" Furniture &amp; fixture"/>
      <sheetName val=" Electrical Installation"/>
      <sheetName val=" Useful Life"/>
    </sheetNames>
    <sheetDataSet>
      <sheetData sheetId="0"/>
      <sheetData sheetId="1"/>
      <sheetData sheetId="2"/>
      <sheetData sheetId="3"/>
      <sheetData sheetId="4">
        <row r="7">
          <cell r="C7">
            <v>0</v>
          </cell>
          <cell r="D7">
            <v>0</v>
          </cell>
          <cell r="G7">
            <v>0</v>
          </cell>
          <cell r="H7">
            <v>0</v>
          </cell>
        </row>
        <row r="8">
          <cell r="B8">
            <v>55036932.399999999</v>
          </cell>
          <cell r="C8">
            <v>979271.15</v>
          </cell>
          <cell r="D8">
            <v>0</v>
          </cell>
          <cell r="G8">
            <v>1743151</v>
          </cell>
          <cell r="H8">
            <v>0</v>
          </cell>
        </row>
        <row r="9">
          <cell r="C9">
            <v>4240543.1899999995</v>
          </cell>
          <cell r="D9">
            <v>0</v>
          </cell>
          <cell r="H9">
            <v>0</v>
          </cell>
        </row>
        <row r="10">
          <cell r="B10">
            <v>1961724</v>
          </cell>
          <cell r="C10">
            <v>2647473</v>
          </cell>
          <cell r="D10">
            <v>1618086</v>
          </cell>
          <cell r="H10">
            <v>1336349</v>
          </cell>
        </row>
        <row r="11">
          <cell r="B11">
            <v>1057200.7</v>
          </cell>
          <cell r="C11">
            <v>0</v>
          </cell>
          <cell r="D11">
            <v>0</v>
          </cell>
          <cell r="G11">
            <v>92736</v>
          </cell>
          <cell r="H11">
            <v>0</v>
          </cell>
        </row>
        <row r="12">
          <cell r="B12">
            <v>850872.03</v>
          </cell>
          <cell r="D12">
            <v>0</v>
          </cell>
          <cell r="G12">
            <v>24077</v>
          </cell>
          <cell r="H12">
            <v>0</v>
          </cell>
        </row>
        <row r="13">
          <cell r="C13">
            <v>0</v>
          </cell>
          <cell r="D13">
            <v>0</v>
          </cell>
          <cell r="H13">
            <v>0</v>
          </cell>
        </row>
        <row r="14">
          <cell r="D14">
            <v>0</v>
          </cell>
          <cell r="H14">
            <v>0</v>
          </cell>
        </row>
        <row r="18">
          <cell r="B18">
            <v>0</v>
          </cell>
          <cell r="C18">
            <v>1151831.1499999999</v>
          </cell>
          <cell r="D18">
            <v>979271.15</v>
          </cell>
          <cell r="E18">
            <v>172559.99999999988</v>
          </cell>
        </row>
        <row r="19">
          <cell r="B19">
            <v>484789</v>
          </cell>
          <cell r="C19">
            <v>3991804.39</v>
          </cell>
          <cell r="D19">
            <v>4246674.1900000004</v>
          </cell>
          <cell r="E19">
            <v>229919.20000000019</v>
          </cell>
        </row>
      </sheetData>
      <sheetData sheetId="5">
        <row r="4">
          <cell r="B4">
            <v>33964999.899999999</v>
          </cell>
          <cell r="I4">
            <v>0</v>
          </cell>
        </row>
        <row r="15">
          <cell r="F15">
            <v>0</v>
          </cell>
          <cell r="G15">
            <v>0</v>
          </cell>
          <cell r="H15">
            <v>0</v>
          </cell>
          <cell r="I15">
            <v>0</v>
          </cell>
        </row>
        <row r="16">
          <cell r="F16">
            <v>0</v>
          </cell>
          <cell r="G16">
            <v>0</v>
          </cell>
          <cell r="H16">
            <v>0</v>
          </cell>
          <cell r="I16">
            <v>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
      <sheetName val="QTLY RESULT"/>
      <sheetName val="ANN-E (2)"/>
      <sheetName val="Ann. H (2)"/>
      <sheetName val="Cash Flow"/>
      <sheetName val="Balance Sheet"/>
      <sheetName val="PIVOT"/>
      <sheetName val="FA As per Co. Act"/>
      <sheetName val="Debtors Creditors"/>
      <sheetName val="FG Value"/>
      <sheetName val="Computation"/>
      <sheetName val="Sheet5"/>
      <sheetName val="DT sep17"/>
      <sheetName val="Dep as Income Tax"/>
      <sheetName val="FA AS per CA"/>
      <sheetName val="Adjustment 2017-18"/>
      <sheetName val="Adjustment1516"/>
      <sheetName val="Adjustment1617"/>
      <sheetName val="TB New (2)"/>
      <sheetName val="CMA"/>
      <sheetName val="Sheet1"/>
      <sheetName val="Sheet2"/>
      <sheetName val="DT"/>
      <sheetName val="Sheet4"/>
      <sheetName val="TB New"/>
      <sheetName val="TB210518"/>
      <sheetName val="TB JAN18"/>
      <sheetName val="ind AS reco"/>
      <sheetName val="tb 29.05.2017"/>
      <sheetName val="IND AS "/>
      <sheetName val="NEW 3CD"/>
      <sheetName val="Ann B"/>
      <sheetName val="Ann . C"/>
      <sheetName val="Ann D"/>
      <sheetName val="ANN-E"/>
      <sheetName val="Ann. F"/>
      <sheetName val="Ann G"/>
      <sheetName val="Ann. H"/>
      <sheetName val="Ann. G"/>
      <sheetName val="TB31032018"/>
      <sheetName val="TB150518"/>
      <sheetName val="TB200518"/>
      <sheetName val="Sheet3"/>
    </sheetNames>
    <sheetDataSet>
      <sheetData sheetId="0" refreshError="1"/>
      <sheetData sheetId="1" refreshError="1"/>
      <sheetData sheetId="2" refreshError="1"/>
      <sheetData sheetId="3" refreshError="1"/>
      <sheetData sheetId="4" refreshError="1"/>
      <sheetData sheetId="5" refreshError="1">
        <row r="28">
          <cell r="F28">
            <v>0</v>
          </cell>
        </row>
        <row r="29">
          <cell r="F29">
            <v>26922650</v>
          </cell>
        </row>
        <row r="33">
          <cell r="F33">
            <v>26922640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CD "/>
      <sheetName val="CF (2)"/>
      <sheetName val="26 thtb"/>
      <sheetName val="final tb"/>
      <sheetName val="tbbbbb"/>
      <sheetName val="full final tb"/>
      <sheetName val="TB_02.12.15"/>
      <sheetName val="Power"/>
      <sheetName val="EXCISERECO'14-15"/>
      <sheetName val="Ann. G"/>
      <sheetName val="Excise Duty on Fixed Assets"/>
      <sheetName val="Qty Reco"/>
      <sheetName val="Index"/>
      <sheetName val="FH"/>
      <sheetName val="DR"/>
      <sheetName val="Cntrl Sht Sept. 2014"/>
      <sheetName val="Yield"/>
      <sheetName val="RESULT-BS"/>
      <sheetName val="Trial Balance (2)"/>
      <sheetName val="march 2016"/>
      <sheetName val="Sheet5"/>
      <sheetName val="Trial March'16"/>
      <sheetName val="Sheet3"/>
      <sheetName val="Sheet4"/>
      <sheetName val="Control Sheet"/>
      <sheetName val="CF"/>
      <sheetName val="Highlights"/>
      <sheetName val="Ratios"/>
      <sheetName val="Sheet6"/>
      <sheetName val="27-5-2016"/>
      <sheetName val="Sheet7"/>
      <sheetName val="Unsecured Loan"/>
      <sheetName val="8-06-2016"/>
      <sheetName val="Trial Bal"/>
      <sheetName val="DT 16"/>
      <sheetName val="COI e filing"/>
      <sheetName val="Balance Sheet"/>
      <sheetName val="PIVOT"/>
      <sheetName val="10 Dep Co"/>
      <sheetName val="FG Value"/>
      <sheetName val="Stock-in-hand"/>
      <sheetName val="NEW 3CD"/>
      <sheetName val="STOCK RECO "/>
      <sheetName val="Trial Balance"/>
      <sheetName val="Sheet1"/>
      <sheetName val="Ann A"/>
      <sheetName val="RESULT March 14"/>
      <sheetName val="Sheet3 (2)"/>
      <sheetName val="Analysis"/>
      <sheetName val="Adv"/>
      <sheetName val="St Value"/>
      <sheetName val="Ann B"/>
      <sheetName val="Ann . C"/>
      <sheetName val="Ann D"/>
      <sheetName val="ANN-E"/>
      <sheetName val="Ann. F"/>
      <sheetName val="Ann G"/>
      <sheetName val="Ann. H"/>
      <sheetName val="Advance To Capital Goods"/>
      <sheetName val="AS 28"/>
      <sheetName val="Interest"/>
      <sheetName val="loss on fire"/>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1">
          <cell r="E11">
            <v>26922650</v>
          </cell>
          <cell r="F11">
            <v>23411000</v>
          </cell>
        </row>
        <row r="12">
          <cell r="E12">
            <v>61387322</v>
          </cell>
          <cell r="F12">
            <v>64676940</v>
          </cell>
        </row>
        <row r="15">
          <cell r="E15">
            <v>81122469</v>
          </cell>
          <cell r="F15">
            <v>79362817</v>
          </cell>
        </row>
        <row r="16">
          <cell r="E16">
            <v>9777177.565239517</v>
          </cell>
          <cell r="F16">
            <v>15689957</v>
          </cell>
        </row>
        <row r="39">
          <cell r="E39">
            <v>35621655.75</v>
          </cell>
          <cell r="F39">
            <v>41511122</v>
          </cell>
        </row>
        <row r="40">
          <cell r="E40">
            <v>78492276</v>
          </cell>
          <cell r="F40">
            <v>15928243</v>
          </cell>
        </row>
        <row r="45">
          <cell r="E45">
            <v>321023491</v>
          </cell>
          <cell r="F45">
            <v>270879673</v>
          </cell>
        </row>
        <row r="76">
          <cell r="E76">
            <v>1031292</v>
          </cell>
          <cell r="F76">
            <v>1076769</v>
          </cell>
        </row>
        <row r="81">
          <cell r="E81">
            <v>0</v>
          </cell>
          <cell r="F81">
            <v>0</v>
          </cell>
        </row>
        <row r="82">
          <cell r="E82">
            <v>418525931</v>
          </cell>
          <cell r="F82">
            <v>328572779</v>
          </cell>
        </row>
        <row r="83">
          <cell r="E83">
            <v>-6528741.75</v>
          </cell>
          <cell r="F83">
            <v>557561</v>
          </cell>
        </row>
        <row r="84">
          <cell r="E84">
            <v>13367923</v>
          </cell>
          <cell r="F84">
            <v>12950636</v>
          </cell>
        </row>
        <row r="85">
          <cell r="E85">
            <v>20663193</v>
          </cell>
          <cell r="F85">
            <v>6037411</v>
          </cell>
        </row>
        <row r="86">
          <cell r="E86">
            <v>15860377.431952663</v>
          </cell>
          <cell r="F86">
            <v>10041580</v>
          </cell>
        </row>
        <row r="87">
          <cell r="E87">
            <v>176833255</v>
          </cell>
          <cell r="F87">
            <v>122709443</v>
          </cell>
        </row>
        <row r="100">
          <cell r="E100">
            <v>-17867343.681952715</v>
          </cell>
          <cell r="F100">
            <v>1438694</v>
          </cell>
        </row>
        <row r="102">
          <cell r="E102">
            <v>0</v>
          </cell>
          <cell r="F102">
            <v>5765500</v>
          </cell>
        </row>
        <row r="122">
          <cell r="E122">
            <v>-11954564.247192232</v>
          </cell>
          <cell r="F122">
            <v>5864381.5</v>
          </cell>
        </row>
        <row r="317">
          <cell r="E317">
            <v>58520349</v>
          </cell>
          <cell r="F317">
            <v>41883184</v>
          </cell>
        </row>
        <row r="338">
          <cell r="E338">
            <v>54312132</v>
          </cell>
          <cell r="F338">
            <v>14917584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s>
    <sheetDataSet>
      <sheetData sheetId="0">
        <row r="7">
          <cell r="F7">
            <v>619823301</v>
          </cell>
          <cell r="G7">
            <v>481231335</v>
          </cell>
        </row>
        <row r="9">
          <cell r="F9">
            <v>124636874.75</v>
          </cell>
          <cell r="G9">
            <v>72352331</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CD "/>
      <sheetName val="26 thtb"/>
      <sheetName val="final tb"/>
      <sheetName val="tbbbbb"/>
      <sheetName val="full final tb"/>
      <sheetName val="TB_02.12.15"/>
      <sheetName val="Power"/>
      <sheetName val="EXCISERECO'14-15"/>
      <sheetName val="Excise Duty on Fixed Assets"/>
      <sheetName val="Qty Reco"/>
      <sheetName val="Index"/>
      <sheetName val="FH"/>
      <sheetName val="DR"/>
      <sheetName val="Cntrl Sht Sept. 2014"/>
      <sheetName val="RESULT-BS"/>
      <sheetName val="Trial Balance (2)"/>
      <sheetName val="march 2016"/>
      <sheetName val="Sheet5"/>
      <sheetName val="COI -efiling"/>
      <sheetName val="Balance Sheet"/>
      <sheetName val="CF "/>
      <sheetName val="PIVOT"/>
      <sheetName val="Result-2"/>
      <sheetName val="10 Dep Co"/>
      <sheetName val="Sheet3"/>
      <sheetName val="Sheet4"/>
      <sheetName val="Control Sheet"/>
      <sheetName val="Highlights"/>
      <sheetName val="Ratios"/>
      <sheetName val="Sheet6"/>
      <sheetName val="27-5-2016"/>
      <sheetName val="Sheet7"/>
      <sheetName val="8-06-2016"/>
      <sheetName val="DT 16"/>
      <sheetName val="COI"/>
      <sheetName val="COI  e filing"/>
      <sheetName val="Result"/>
      <sheetName val="TB New"/>
      <sheetName val="NEW 3CD"/>
      <sheetName val="Ann A"/>
      <sheetName val="Ann B"/>
      <sheetName val="Ann . C"/>
      <sheetName val="Ann D"/>
      <sheetName val="ANN-E"/>
      <sheetName val="Unsecured Loan"/>
      <sheetName val="Ann. F"/>
      <sheetName val="Ann G"/>
      <sheetName val="Ann. H"/>
      <sheetName val="Ann. G"/>
      <sheetName val="tb 29.05.2017"/>
      <sheetName val="FG Value"/>
      <sheetName val="Trial Balance"/>
      <sheetName val="Sheet1"/>
      <sheetName val="STOCK"/>
      <sheetName val="RESULT March 14"/>
      <sheetName val="Sheet3 (2)"/>
      <sheetName val="Analysis"/>
      <sheetName val="Adv"/>
      <sheetName val="St Value"/>
      <sheetName val="Yield"/>
      <sheetName val="Advance To Capital Goods"/>
      <sheetName val="AS 28"/>
      <sheetName val="Interest"/>
      <sheetName val="loss on fire"/>
      <sheetName val="tb 02.05.2017"/>
      <sheetName val="Cash Note"/>
      <sheetName val="MSEB"/>
      <sheetName val="working Note 37"/>
      <sheetName val="tb 24.05.2017"/>
      <sheetName val="Sheet2"/>
      <sheetName val="QTLY RESULT"/>
      <sheetName val="ANN-E (2)"/>
      <sheetName val="Ann. H (2)"/>
      <sheetName val="Cash Flow"/>
      <sheetName val="Results 1"/>
      <sheetName val="Results 2"/>
      <sheetName val="1"/>
      <sheetName val="Q1 Result"/>
      <sheetName val="FA As per Co. Act"/>
      <sheetName val="Debtors Creditors"/>
      <sheetName val="Computation"/>
      <sheetName val="DT sep17"/>
      <sheetName val="Dep as Income Tax"/>
      <sheetName val="FA AS per CA"/>
      <sheetName val="Adjustment 2017-18"/>
      <sheetName val="Adjustment1516"/>
      <sheetName val="Adjustment1617"/>
      <sheetName val="TB New (2)"/>
      <sheetName val="CMA"/>
      <sheetName val="DT"/>
      <sheetName val="Q1 TB"/>
      <sheetName val="TB210518"/>
      <sheetName val="TB JAN18"/>
      <sheetName val="ind AS reco"/>
      <sheetName val="IND AS "/>
      <sheetName val="TB31032018"/>
      <sheetName val="TB150518"/>
      <sheetName val="TB200518"/>
      <sheetName val="Queries"/>
      <sheetName val="Sheet8"/>
      <sheetName val="Sheet9"/>
      <sheetName val="Sheet10"/>
      <sheetName val="Production"/>
      <sheetName val="Sundaram T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78">
          <cell r="E78">
            <v>454903714</v>
          </cell>
        </row>
        <row r="519">
          <cell r="B519" t="str">
            <v>Contribution to Funds</v>
          </cell>
        </row>
        <row r="538">
          <cell r="B538" t="str">
            <v>Raw Material Sorting Charges</v>
          </cell>
        </row>
        <row r="541">
          <cell r="B541" t="str">
            <v>Finished Goods Packing and Allied Charges</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1"/>
      <sheetName val="Result 2"/>
      <sheetName val="Result 3"/>
      <sheetName val="Cash Flow Statement"/>
      <sheetName val="BSPL"/>
      <sheetName val="Depreciation Co. Act"/>
      <sheetName val="Pivot"/>
      <sheetName val="Sheet2"/>
      <sheetName val="Closing Stock Valuation"/>
      <sheetName val="CLOSING STOCK 31-03-20"/>
      <sheetName val="Computation"/>
      <sheetName val="Deffered Tax"/>
      <sheetName val="Depreciation as per Income Tax"/>
      <sheetName val="Term Loan"/>
      <sheetName val="TB MAIN"/>
      <sheetName val="TB31032020"/>
      <sheetName val="TB310320119"/>
      <sheetName val="Sheet1"/>
    </sheetNames>
    <sheetDataSet>
      <sheetData sheetId="0"/>
      <sheetData sheetId="1"/>
      <sheetData sheetId="2"/>
      <sheetData sheetId="3"/>
      <sheetData sheetId="4">
        <row r="9">
          <cell r="F9">
            <v>402479.2</v>
          </cell>
        </row>
      </sheetData>
      <sheetData sheetId="5">
        <row r="70">
          <cell r="F70">
            <v>9457971.4499999993</v>
          </cell>
        </row>
      </sheetData>
      <sheetData sheetId="6">
        <row r="3">
          <cell r="A3" t="str">
            <v>Row Labels</v>
          </cell>
        </row>
      </sheetData>
      <sheetData sheetId="7"/>
      <sheetData sheetId="8"/>
      <sheetData sheetId="9">
        <row r="12">
          <cell r="S12">
            <v>1290141</v>
          </cell>
        </row>
      </sheetData>
      <sheetData sheetId="10">
        <row r="83">
          <cell r="I83">
            <v>655513</v>
          </cell>
        </row>
      </sheetData>
      <sheetData sheetId="11"/>
      <sheetData sheetId="12">
        <row r="60">
          <cell r="M60">
            <v>544187.5</v>
          </cell>
        </row>
      </sheetData>
      <sheetData sheetId="13"/>
      <sheetData sheetId="14">
        <row r="4">
          <cell r="A4" t="str">
            <v>PARTICULARS</v>
          </cell>
          <cell r="B4" t="str">
            <v>Note</v>
          </cell>
          <cell r="C4" t="str">
            <v>BS Main Head</v>
          </cell>
          <cell r="D4" t="str">
            <v>BS Sub Head</v>
          </cell>
          <cell r="E4" t="str">
            <v>DR-2020</v>
          </cell>
          <cell r="F4" t="str">
            <v>ADJ</v>
          </cell>
          <cell r="G4" t="str">
            <v>DR-March 20</v>
          </cell>
          <cell r="H4" t="str">
            <v>CR-2020</v>
          </cell>
          <cell r="I4" t="str">
            <v>Adj</v>
          </cell>
          <cell r="J4" t="str">
            <v>CR-March 20</v>
          </cell>
        </row>
        <row r="5">
          <cell r="A5" t="str">
            <v>A K R G &amp; Associates, Nagpur</v>
          </cell>
          <cell r="B5">
            <v>7</v>
          </cell>
          <cell r="C5" t="str">
            <v>Trade Payables</v>
          </cell>
          <cell r="D5" t="str">
            <v>Trade Payables</v>
          </cell>
          <cell r="E5">
            <v>0</v>
          </cell>
          <cell r="F5">
            <v>0</v>
          </cell>
          <cell r="G5">
            <v>0</v>
          </cell>
          <cell r="H5">
            <v>135000</v>
          </cell>
          <cell r="I5">
            <v>0</v>
          </cell>
          <cell r="J5">
            <v>135000</v>
          </cell>
        </row>
        <row r="6">
          <cell r="A6" t="str">
            <v>Aditya Freight Carriers</v>
          </cell>
          <cell r="B6">
            <v>7</v>
          </cell>
          <cell r="C6" t="str">
            <v>Trade Payables</v>
          </cell>
          <cell r="D6" t="str">
            <v>Trade Payables - Others</v>
          </cell>
          <cell r="E6">
            <v>0</v>
          </cell>
          <cell r="F6">
            <v>0</v>
          </cell>
          <cell r="G6">
            <v>0</v>
          </cell>
          <cell r="H6">
            <v>892701</v>
          </cell>
          <cell r="I6">
            <v>0</v>
          </cell>
          <cell r="J6">
            <v>892701</v>
          </cell>
        </row>
        <row r="7">
          <cell r="A7" t="str">
            <v>Advance Income Tax (A.Y. 2019-20)</v>
          </cell>
          <cell r="B7">
            <v>12</v>
          </cell>
          <cell r="C7" t="str">
            <v>Long Term Loans &amp; Advances</v>
          </cell>
          <cell r="D7" t="str">
            <v>Advance Income Tax</v>
          </cell>
          <cell r="E7">
            <v>0</v>
          </cell>
          <cell r="F7">
            <v>0</v>
          </cell>
          <cell r="G7">
            <v>0</v>
          </cell>
          <cell r="H7">
            <v>0</v>
          </cell>
          <cell r="I7">
            <v>0</v>
          </cell>
          <cell r="J7">
            <v>0</v>
          </cell>
        </row>
        <row r="8">
          <cell r="A8" t="str">
            <v>Advance Income Tax (A.Y. 2020-21)</v>
          </cell>
          <cell r="B8">
            <v>12</v>
          </cell>
          <cell r="C8" t="str">
            <v>Long Term Loans &amp; Advances</v>
          </cell>
          <cell r="D8" t="str">
            <v>Advance Income Tax</v>
          </cell>
          <cell r="E8">
            <v>3800000</v>
          </cell>
          <cell r="F8">
            <v>0</v>
          </cell>
          <cell r="G8">
            <v>3800000</v>
          </cell>
          <cell r="H8">
            <v>0</v>
          </cell>
          <cell r="I8">
            <v>0</v>
          </cell>
          <cell r="J8">
            <v>0</v>
          </cell>
        </row>
        <row r="9">
          <cell r="A9" t="str">
            <v>Advertisement Expenses</v>
          </cell>
          <cell r="B9">
            <v>26</v>
          </cell>
          <cell r="C9" t="str">
            <v>Other Expenses</v>
          </cell>
          <cell r="D9" t="str">
            <v>Selling &amp; Dist.-Advertisement Expenses</v>
          </cell>
          <cell r="E9">
            <v>113158</v>
          </cell>
          <cell r="F9">
            <v>0</v>
          </cell>
          <cell r="G9">
            <v>113158</v>
          </cell>
          <cell r="H9">
            <v>0</v>
          </cell>
          <cell r="I9">
            <v>0</v>
          </cell>
          <cell r="J9">
            <v>0</v>
          </cell>
        </row>
        <row r="10">
          <cell r="A10" t="str">
            <v>AJANTA KRAFT</v>
          </cell>
          <cell r="B10">
            <v>15</v>
          </cell>
          <cell r="C10" t="str">
            <v>Trade Receivables</v>
          </cell>
          <cell r="D10" t="str">
            <v>Other Debts</v>
          </cell>
          <cell r="E10">
            <v>1426108</v>
          </cell>
          <cell r="F10">
            <v>0</v>
          </cell>
          <cell r="G10">
            <v>1426108</v>
          </cell>
          <cell r="H10">
            <v>0</v>
          </cell>
          <cell r="I10">
            <v>0</v>
          </cell>
          <cell r="J10">
            <v>0</v>
          </cell>
        </row>
        <row r="11">
          <cell r="A11" t="str">
            <v>Akhilesh Automobiles</v>
          </cell>
          <cell r="B11">
            <v>7</v>
          </cell>
          <cell r="C11" t="str">
            <v>Trade Payables</v>
          </cell>
          <cell r="D11" t="str">
            <v>Trade Payables - Others</v>
          </cell>
          <cell r="E11">
            <v>0</v>
          </cell>
          <cell r="F11">
            <v>0</v>
          </cell>
          <cell r="G11">
            <v>0</v>
          </cell>
          <cell r="H11">
            <v>6800</v>
          </cell>
          <cell r="I11">
            <v>0</v>
          </cell>
          <cell r="J11">
            <v>6800</v>
          </cell>
        </row>
        <row r="12">
          <cell r="A12" t="str">
            <v>Align Components (P) Ltd.,</v>
          </cell>
          <cell r="B12">
            <v>15</v>
          </cell>
          <cell r="C12" t="str">
            <v>Trade Receivables</v>
          </cell>
          <cell r="D12" t="str">
            <v>Other Debts</v>
          </cell>
          <cell r="E12">
            <v>1152502</v>
          </cell>
          <cell r="F12">
            <v>0</v>
          </cell>
          <cell r="G12">
            <v>1152502</v>
          </cell>
          <cell r="H12">
            <v>0</v>
          </cell>
          <cell r="I12">
            <v>0</v>
          </cell>
          <cell r="J12">
            <v>0</v>
          </cell>
        </row>
        <row r="13">
          <cell r="A13" t="str">
            <v>ALIGN COMPONENTS (P) LTD., (BU-II)</v>
          </cell>
          <cell r="B13">
            <v>15</v>
          </cell>
          <cell r="C13" t="str">
            <v>Trade Receivables</v>
          </cell>
          <cell r="D13" t="str">
            <v>Other Debts</v>
          </cell>
          <cell r="E13">
            <v>3898375</v>
          </cell>
          <cell r="F13">
            <v>0</v>
          </cell>
          <cell r="G13">
            <v>3898375</v>
          </cell>
          <cell r="H13">
            <v>0</v>
          </cell>
          <cell r="I13">
            <v>0</v>
          </cell>
          <cell r="J13">
            <v>0</v>
          </cell>
        </row>
        <row r="14">
          <cell r="A14" t="str">
            <v>ALLIANCE INTERNATIONAL DWC-LLC</v>
          </cell>
          <cell r="B14">
            <v>17</v>
          </cell>
          <cell r="C14" t="str">
            <v>Short Term Loans &amp; Advances</v>
          </cell>
          <cell r="D14" t="str">
            <v>Advance to Suppliers</v>
          </cell>
          <cell r="E14">
            <v>0</v>
          </cell>
          <cell r="F14">
            <v>0</v>
          </cell>
          <cell r="G14">
            <v>0</v>
          </cell>
          <cell r="H14">
            <v>0</v>
          </cell>
          <cell r="I14">
            <v>0</v>
          </cell>
          <cell r="J14">
            <v>0</v>
          </cell>
        </row>
        <row r="15">
          <cell r="A15" t="str">
            <v>Ambuja Cements Ltd.</v>
          </cell>
          <cell r="B15">
            <v>7</v>
          </cell>
          <cell r="C15" t="str">
            <v>Trade Payables</v>
          </cell>
          <cell r="D15" t="str">
            <v>Trade Payables</v>
          </cell>
          <cell r="E15">
            <v>0</v>
          </cell>
          <cell r="F15">
            <v>0</v>
          </cell>
          <cell r="G15">
            <v>0</v>
          </cell>
          <cell r="H15">
            <v>54318</v>
          </cell>
          <cell r="I15">
            <v>0</v>
          </cell>
          <cell r="J15">
            <v>54318</v>
          </cell>
        </row>
        <row r="16">
          <cell r="A16" t="str">
            <v>Amol Kakade</v>
          </cell>
          <cell r="B16">
            <v>12</v>
          </cell>
          <cell r="C16" t="str">
            <v>Long Term Loans &amp; Advances</v>
          </cell>
          <cell r="D16" t="str">
            <v>Loans and Advances to Employees</v>
          </cell>
          <cell r="E16">
            <v>4000</v>
          </cell>
          <cell r="F16">
            <v>0</v>
          </cell>
          <cell r="G16">
            <v>4000</v>
          </cell>
          <cell r="H16">
            <v>0</v>
          </cell>
          <cell r="I16">
            <v>0</v>
          </cell>
          <cell r="J16">
            <v>0</v>
          </cell>
        </row>
        <row r="17">
          <cell r="A17" t="str">
            <v>Amruta Enterprises, Nagpur</v>
          </cell>
          <cell r="B17">
            <v>7</v>
          </cell>
          <cell r="C17" t="str">
            <v>Trade Payables</v>
          </cell>
          <cell r="D17" t="str">
            <v>Trade Payables</v>
          </cell>
          <cell r="E17">
            <v>0</v>
          </cell>
          <cell r="F17">
            <v>0</v>
          </cell>
          <cell r="G17">
            <v>0</v>
          </cell>
          <cell r="H17">
            <v>136776</v>
          </cell>
          <cell r="I17">
            <v>0</v>
          </cell>
          <cell r="J17">
            <v>136776</v>
          </cell>
        </row>
        <row r="18">
          <cell r="A18" t="str">
            <v>ANAMIKA TRADERS</v>
          </cell>
          <cell r="B18">
            <v>7</v>
          </cell>
          <cell r="C18" t="str">
            <v>Trade Payables</v>
          </cell>
          <cell r="D18" t="str">
            <v>Trade Payables - Others</v>
          </cell>
          <cell r="E18">
            <v>0</v>
          </cell>
          <cell r="F18">
            <v>0</v>
          </cell>
          <cell r="G18">
            <v>0</v>
          </cell>
          <cell r="H18">
            <v>222332</v>
          </cell>
          <cell r="I18">
            <v>0</v>
          </cell>
          <cell r="J18">
            <v>222332</v>
          </cell>
        </row>
        <row r="19">
          <cell r="A19" t="str">
            <v>DR. B. P. TAORI</v>
          </cell>
          <cell r="B19">
            <v>7</v>
          </cell>
          <cell r="C19" t="str">
            <v>Trade Payables</v>
          </cell>
          <cell r="D19" t="str">
            <v>Trade Payables - Others</v>
          </cell>
          <cell r="E19">
            <v>2384</v>
          </cell>
          <cell r="F19">
            <v>0</v>
          </cell>
          <cell r="G19">
            <v>2384</v>
          </cell>
          <cell r="H19">
            <v>0</v>
          </cell>
          <cell r="I19">
            <v>0</v>
          </cell>
          <cell r="J19">
            <v>0</v>
          </cell>
        </row>
        <row r="20">
          <cell r="A20" t="str">
            <v>Sri Shiv Sai Transport Co.</v>
          </cell>
          <cell r="B20">
            <v>7</v>
          </cell>
          <cell r="C20" t="str">
            <v>Trade Payables</v>
          </cell>
          <cell r="D20" t="str">
            <v>Trade Payables - Others</v>
          </cell>
          <cell r="E20">
            <v>0</v>
          </cell>
          <cell r="F20">
            <v>0</v>
          </cell>
          <cell r="G20">
            <v>0</v>
          </cell>
          <cell r="H20">
            <v>16500</v>
          </cell>
          <cell r="I20">
            <v>0</v>
          </cell>
          <cell r="J20">
            <v>16500</v>
          </cell>
        </row>
        <row r="21">
          <cell r="A21" t="str">
            <v>Anilkumar M. Lakhotiya (Loan A/C)</v>
          </cell>
          <cell r="B21">
            <v>4</v>
          </cell>
          <cell r="C21" t="str">
            <v>Long Term Borrowings</v>
          </cell>
          <cell r="D21" t="str">
            <v>Unsecured-From Related Party</v>
          </cell>
          <cell r="E21">
            <v>0</v>
          </cell>
          <cell r="F21">
            <v>0</v>
          </cell>
          <cell r="G21">
            <v>0</v>
          </cell>
          <cell r="H21">
            <v>2186694</v>
          </cell>
          <cell r="I21">
            <v>0</v>
          </cell>
          <cell r="J21">
            <v>2186694</v>
          </cell>
        </row>
        <row r="22">
          <cell r="A22" t="str">
            <v>ANISH INDUSTRIES</v>
          </cell>
          <cell r="B22">
            <v>7</v>
          </cell>
          <cell r="C22" t="str">
            <v>Trade Payables</v>
          </cell>
          <cell r="D22" t="str">
            <v>Trade Payables - Others</v>
          </cell>
          <cell r="E22">
            <v>0</v>
          </cell>
          <cell r="F22">
            <v>0</v>
          </cell>
          <cell r="G22">
            <v>0</v>
          </cell>
          <cell r="H22">
            <v>0</v>
          </cell>
          <cell r="I22">
            <v>0</v>
          </cell>
          <cell r="J22">
            <v>0</v>
          </cell>
        </row>
        <row r="23">
          <cell r="A23" t="str">
            <v>Anita Lakhotiya</v>
          </cell>
          <cell r="B23">
            <v>4</v>
          </cell>
          <cell r="C23" t="str">
            <v>Long Term Borrowings</v>
          </cell>
          <cell r="D23" t="str">
            <v>Unsecured-From Related Party</v>
          </cell>
          <cell r="E23">
            <v>0</v>
          </cell>
          <cell r="F23">
            <v>0</v>
          </cell>
          <cell r="G23">
            <v>0</v>
          </cell>
          <cell r="H23">
            <v>874676</v>
          </cell>
          <cell r="I23">
            <v>0</v>
          </cell>
          <cell r="J23">
            <v>874676</v>
          </cell>
        </row>
        <row r="24">
          <cell r="A24" t="str">
            <v>Ankur Seeds Pvt. Ltd., Nagpur</v>
          </cell>
          <cell r="B24">
            <v>7</v>
          </cell>
          <cell r="C24" t="str">
            <v>Trade Payables</v>
          </cell>
          <cell r="D24" t="str">
            <v>Trade Payables</v>
          </cell>
          <cell r="E24">
            <v>0</v>
          </cell>
          <cell r="F24">
            <v>0</v>
          </cell>
          <cell r="G24">
            <v>0</v>
          </cell>
          <cell r="H24">
            <v>30012</v>
          </cell>
          <cell r="I24">
            <v>0</v>
          </cell>
          <cell r="J24">
            <v>30012</v>
          </cell>
        </row>
        <row r="25">
          <cell r="A25" t="str">
            <v>Annual Custody Fees</v>
          </cell>
          <cell r="B25">
            <v>26</v>
          </cell>
          <cell r="C25" t="str">
            <v>Other Expenses</v>
          </cell>
          <cell r="D25" t="str">
            <v>Establishment Expenses-General Expenses</v>
          </cell>
          <cell r="E25">
            <v>9000</v>
          </cell>
          <cell r="F25">
            <v>0</v>
          </cell>
          <cell r="G25">
            <v>9000</v>
          </cell>
          <cell r="H25">
            <v>0</v>
          </cell>
          <cell r="I25">
            <v>0</v>
          </cell>
          <cell r="J25">
            <v>0</v>
          </cell>
        </row>
        <row r="26">
          <cell r="A26" t="str">
            <v>Annual Listing Fees</v>
          </cell>
          <cell r="B26">
            <v>26</v>
          </cell>
          <cell r="C26" t="str">
            <v>Other Expenses</v>
          </cell>
          <cell r="D26" t="str">
            <v>Establishment Expenses-Listing Expense</v>
          </cell>
          <cell r="E26">
            <v>64000</v>
          </cell>
          <cell r="F26">
            <v>0</v>
          </cell>
          <cell r="G26">
            <v>64000</v>
          </cell>
          <cell r="H26">
            <v>0</v>
          </cell>
          <cell r="I26">
            <v>0</v>
          </cell>
          <cell r="J26">
            <v>0</v>
          </cell>
        </row>
        <row r="27">
          <cell r="A27" t="str">
            <v>Anurag Steel</v>
          </cell>
          <cell r="B27">
            <v>8</v>
          </cell>
          <cell r="C27" t="str">
            <v>Other Current Liabilities</v>
          </cell>
          <cell r="D27" t="str">
            <v>Trade Payables for capital goods</v>
          </cell>
          <cell r="E27">
            <v>0</v>
          </cell>
          <cell r="F27">
            <v>0</v>
          </cell>
          <cell r="G27">
            <v>0</v>
          </cell>
          <cell r="H27">
            <v>0</v>
          </cell>
          <cell r="I27">
            <v>0</v>
          </cell>
          <cell r="J27">
            <v>0</v>
          </cell>
        </row>
        <row r="28">
          <cell r="A28" t="str">
            <v>ARIHANT ENTERPRISES</v>
          </cell>
          <cell r="B28">
            <v>15</v>
          </cell>
          <cell r="C28" t="str">
            <v>Trade Receivables</v>
          </cell>
          <cell r="D28" t="str">
            <v>Other Debts</v>
          </cell>
          <cell r="E28">
            <v>0</v>
          </cell>
          <cell r="F28">
            <v>0</v>
          </cell>
          <cell r="G28">
            <v>0</v>
          </cell>
          <cell r="H28">
            <v>0</v>
          </cell>
          <cell r="I28">
            <v>0</v>
          </cell>
          <cell r="J28">
            <v>0</v>
          </cell>
        </row>
        <row r="29">
          <cell r="A29" t="str">
            <v>ARIHANT ENTERPRISES (KEDAR)</v>
          </cell>
          <cell r="B29">
            <v>15</v>
          </cell>
          <cell r="C29" t="str">
            <v>Trade Receivables</v>
          </cell>
          <cell r="D29" t="str">
            <v>Other Debts</v>
          </cell>
          <cell r="E29">
            <v>0</v>
          </cell>
          <cell r="F29">
            <v>0</v>
          </cell>
          <cell r="G29">
            <v>0</v>
          </cell>
          <cell r="H29">
            <v>0</v>
          </cell>
          <cell r="I29">
            <v>0</v>
          </cell>
          <cell r="J29">
            <v>0</v>
          </cell>
        </row>
        <row r="30">
          <cell r="A30" t="str">
            <v>Arkil Chem P. Ltd.</v>
          </cell>
          <cell r="B30">
            <v>7</v>
          </cell>
          <cell r="C30" t="str">
            <v>Trade Payables</v>
          </cell>
          <cell r="D30" t="str">
            <v>Trade Payables</v>
          </cell>
          <cell r="E30">
            <v>0</v>
          </cell>
          <cell r="F30">
            <v>0</v>
          </cell>
          <cell r="G30">
            <v>0</v>
          </cell>
          <cell r="H30">
            <v>0</v>
          </cell>
          <cell r="I30">
            <v>0</v>
          </cell>
          <cell r="J30">
            <v>0</v>
          </cell>
        </row>
        <row r="31">
          <cell r="A31" t="str">
            <v>Aru Technocratics</v>
          </cell>
          <cell r="B31">
            <v>7</v>
          </cell>
          <cell r="C31" t="str">
            <v>Trade Payables</v>
          </cell>
          <cell r="D31" t="str">
            <v>Trade Payables - Others</v>
          </cell>
          <cell r="E31">
            <v>0</v>
          </cell>
          <cell r="F31">
            <v>0</v>
          </cell>
          <cell r="G31">
            <v>0</v>
          </cell>
          <cell r="H31">
            <v>46846</v>
          </cell>
          <cell r="I31">
            <v>0</v>
          </cell>
          <cell r="J31">
            <v>46846</v>
          </cell>
        </row>
        <row r="32">
          <cell r="A32" t="str">
            <v>Assessment Refund</v>
          </cell>
          <cell r="B32">
            <v>20</v>
          </cell>
          <cell r="C32" t="str">
            <v>Other Income</v>
          </cell>
          <cell r="D32" t="str">
            <v>Assessment Refund</v>
          </cell>
          <cell r="E32">
            <v>0</v>
          </cell>
          <cell r="F32">
            <v>0</v>
          </cell>
          <cell r="G32">
            <v>0</v>
          </cell>
          <cell r="H32">
            <v>6442</v>
          </cell>
          <cell r="I32">
            <v>0</v>
          </cell>
          <cell r="J32">
            <v>6442</v>
          </cell>
        </row>
        <row r="33">
          <cell r="A33" t="str">
            <v>Atul V Hurkat HUF</v>
          </cell>
          <cell r="B33">
            <v>7</v>
          </cell>
          <cell r="C33" t="str">
            <v>Trade Payables</v>
          </cell>
          <cell r="D33" t="str">
            <v>Trade Payables</v>
          </cell>
          <cell r="E33">
            <v>0</v>
          </cell>
          <cell r="F33">
            <v>0</v>
          </cell>
          <cell r="G33">
            <v>0</v>
          </cell>
          <cell r="H33">
            <v>0</v>
          </cell>
          <cell r="I33">
            <v>0</v>
          </cell>
          <cell r="J33">
            <v>0</v>
          </cell>
        </row>
        <row r="34">
          <cell r="A34" t="str">
            <v>Audit Expenses (Darak)</v>
          </cell>
          <cell r="B34">
            <v>26</v>
          </cell>
          <cell r="C34" t="str">
            <v>Other Expenses</v>
          </cell>
          <cell r="D34" t="str">
            <v>Establishment Expenses-Auditors Remuneration</v>
          </cell>
          <cell r="E34">
            <v>3827</v>
          </cell>
          <cell r="F34">
            <v>0</v>
          </cell>
          <cell r="G34">
            <v>3827</v>
          </cell>
          <cell r="H34">
            <v>0</v>
          </cell>
          <cell r="I34">
            <v>0</v>
          </cell>
          <cell r="J34">
            <v>0</v>
          </cell>
        </row>
        <row r="35">
          <cell r="A35" t="str">
            <v>Audit Expenses (Walter)</v>
          </cell>
          <cell r="B35">
            <v>26</v>
          </cell>
          <cell r="C35" t="str">
            <v>Other Expenses</v>
          </cell>
          <cell r="D35" t="str">
            <v>Establishment Expenses-Auditors Remuneration</v>
          </cell>
          <cell r="E35">
            <v>7719</v>
          </cell>
          <cell r="F35">
            <v>0</v>
          </cell>
          <cell r="G35">
            <v>7719</v>
          </cell>
          <cell r="H35">
            <v>0</v>
          </cell>
          <cell r="I35">
            <v>0</v>
          </cell>
          <cell r="J35">
            <v>0</v>
          </cell>
        </row>
        <row r="36">
          <cell r="A36" t="str">
            <v>Audit Expenses : (Excise)</v>
          </cell>
          <cell r="B36">
            <v>26</v>
          </cell>
          <cell r="C36" t="str">
            <v>Other Expenses</v>
          </cell>
          <cell r="D36" t="str">
            <v>Establishment Expenses-Auditors Remuneration</v>
          </cell>
          <cell r="E36">
            <v>0</v>
          </cell>
          <cell r="F36">
            <v>0</v>
          </cell>
          <cell r="G36">
            <v>0</v>
          </cell>
          <cell r="H36">
            <v>0</v>
          </cell>
          <cell r="I36">
            <v>0</v>
          </cell>
          <cell r="J36">
            <v>0</v>
          </cell>
        </row>
        <row r="37">
          <cell r="A37" t="str">
            <v>Audit Fees Payable</v>
          </cell>
          <cell r="B37">
            <v>7</v>
          </cell>
          <cell r="C37" t="str">
            <v>Trade Payables</v>
          </cell>
          <cell r="D37" t="str">
            <v>Trade Payables - Others</v>
          </cell>
          <cell r="E37">
            <v>0</v>
          </cell>
          <cell r="F37">
            <v>0</v>
          </cell>
          <cell r="G37">
            <v>0</v>
          </cell>
          <cell r="H37">
            <v>243500</v>
          </cell>
          <cell r="I37">
            <v>0</v>
          </cell>
          <cell r="J37">
            <v>243500</v>
          </cell>
        </row>
        <row r="38">
          <cell r="A38" t="str">
            <v>Bad Debts</v>
          </cell>
          <cell r="B38">
            <v>26</v>
          </cell>
          <cell r="C38" t="str">
            <v>Other Expenses</v>
          </cell>
          <cell r="D38" t="str">
            <v>Bad Debts</v>
          </cell>
          <cell r="E38">
            <v>2927</v>
          </cell>
          <cell r="F38">
            <v>0</v>
          </cell>
          <cell r="G38">
            <v>2927</v>
          </cell>
          <cell r="H38">
            <v>0</v>
          </cell>
          <cell r="I38">
            <v>0</v>
          </cell>
          <cell r="J38">
            <v>0</v>
          </cell>
        </row>
        <row r="39">
          <cell r="A39" t="str">
            <v>Balaji Enterprises</v>
          </cell>
          <cell r="B39">
            <v>7</v>
          </cell>
          <cell r="C39" t="str">
            <v>Trade Payables</v>
          </cell>
          <cell r="D39" t="str">
            <v>Trade Payables</v>
          </cell>
          <cell r="E39">
            <v>0</v>
          </cell>
          <cell r="F39">
            <v>0</v>
          </cell>
          <cell r="G39">
            <v>0</v>
          </cell>
          <cell r="H39">
            <v>72103</v>
          </cell>
          <cell r="I39">
            <v>0</v>
          </cell>
          <cell r="J39">
            <v>72103</v>
          </cell>
        </row>
        <row r="40">
          <cell r="A40" t="str">
            <v>Baljit Kaur Manindersingh Saini</v>
          </cell>
          <cell r="B40">
            <v>4</v>
          </cell>
          <cell r="C40" t="str">
            <v>Long Term Borrowings</v>
          </cell>
          <cell r="D40" t="str">
            <v>Unsecured-From Related Party</v>
          </cell>
          <cell r="E40">
            <v>0</v>
          </cell>
          <cell r="F40">
            <v>0</v>
          </cell>
          <cell r="G40">
            <v>0</v>
          </cell>
          <cell r="H40">
            <v>1093348</v>
          </cell>
          <cell r="I40">
            <v>0</v>
          </cell>
          <cell r="J40">
            <v>1093348</v>
          </cell>
        </row>
        <row r="41">
          <cell r="A41" t="str">
            <v>Bank Commission &amp; Charges</v>
          </cell>
          <cell r="B41">
            <v>26</v>
          </cell>
          <cell r="C41" t="str">
            <v>Other Expenses</v>
          </cell>
          <cell r="D41" t="str">
            <v>Establishment Expenses-Bank Charges</v>
          </cell>
          <cell r="E41">
            <v>475603.13</v>
          </cell>
          <cell r="F41">
            <v>20.5</v>
          </cell>
          <cell r="G41">
            <v>475623.63</v>
          </cell>
          <cell r="H41">
            <v>0</v>
          </cell>
          <cell r="I41">
            <v>0</v>
          </cell>
          <cell r="J41">
            <v>0</v>
          </cell>
        </row>
        <row r="42">
          <cell r="A42" t="str">
            <v>Bank Facility Charges</v>
          </cell>
          <cell r="B42">
            <v>26</v>
          </cell>
          <cell r="C42" t="str">
            <v>Other Expenses</v>
          </cell>
          <cell r="D42" t="str">
            <v>Establishment Expenses-Bank Charges</v>
          </cell>
          <cell r="E42">
            <v>132600</v>
          </cell>
          <cell r="F42">
            <v>0</v>
          </cell>
          <cell r="G42">
            <v>132600</v>
          </cell>
          <cell r="H42">
            <v>0</v>
          </cell>
          <cell r="I42">
            <v>0</v>
          </cell>
          <cell r="J42">
            <v>0</v>
          </cell>
        </row>
        <row r="43">
          <cell r="A43" t="str">
            <v>BANK GUARANTEE CHARGES</v>
          </cell>
          <cell r="B43">
            <v>25</v>
          </cell>
          <cell r="C43" t="str">
            <v>Finance Costs</v>
          </cell>
          <cell r="D43" t="str">
            <v>Other Borrowing Costs</v>
          </cell>
          <cell r="E43">
            <v>185908</v>
          </cell>
          <cell r="F43">
            <v>0</v>
          </cell>
          <cell r="G43">
            <v>185908</v>
          </cell>
          <cell r="H43">
            <v>0</v>
          </cell>
          <cell r="I43">
            <v>0</v>
          </cell>
          <cell r="J43">
            <v>0</v>
          </cell>
        </row>
        <row r="44">
          <cell r="A44" t="str">
            <v>Bank Loan Processing Fees</v>
          </cell>
          <cell r="B44">
            <v>25</v>
          </cell>
          <cell r="C44" t="str">
            <v>Finance Costs</v>
          </cell>
          <cell r="D44" t="str">
            <v>Other Borrowing Costs</v>
          </cell>
          <cell r="E44">
            <v>140000</v>
          </cell>
          <cell r="F44">
            <v>0</v>
          </cell>
          <cell r="G44">
            <v>140000</v>
          </cell>
          <cell r="H44">
            <v>0</v>
          </cell>
          <cell r="I44">
            <v>0</v>
          </cell>
          <cell r="J44">
            <v>0</v>
          </cell>
        </row>
        <row r="45">
          <cell r="A45" t="str">
            <v>Batish Chemicals I India Pvt.Ltd.</v>
          </cell>
          <cell r="B45">
            <v>7</v>
          </cell>
          <cell r="C45" t="str">
            <v>Trade Payables</v>
          </cell>
          <cell r="D45" t="str">
            <v>Trade Payables</v>
          </cell>
          <cell r="E45">
            <v>0</v>
          </cell>
          <cell r="F45">
            <v>0</v>
          </cell>
          <cell r="G45">
            <v>0</v>
          </cell>
          <cell r="H45">
            <v>0</v>
          </cell>
          <cell r="I45">
            <v>0</v>
          </cell>
          <cell r="J45">
            <v>0</v>
          </cell>
        </row>
        <row r="46">
          <cell r="A46" t="str">
            <v>Bearing Centre</v>
          </cell>
          <cell r="B46">
            <v>7</v>
          </cell>
          <cell r="C46" t="str">
            <v>Trade Payables</v>
          </cell>
          <cell r="D46" t="str">
            <v>Trade Payables</v>
          </cell>
          <cell r="E46">
            <v>0</v>
          </cell>
          <cell r="F46">
            <v>0</v>
          </cell>
          <cell r="G46">
            <v>0</v>
          </cell>
          <cell r="H46">
            <v>53563</v>
          </cell>
          <cell r="I46">
            <v>0</v>
          </cell>
          <cell r="J46">
            <v>53563</v>
          </cell>
        </row>
        <row r="47">
          <cell r="A47" t="str">
            <v>Best Engineering Works Regd. Punjab</v>
          </cell>
          <cell r="B47">
            <v>7</v>
          </cell>
          <cell r="C47" t="str">
            <v>Trade Payables</v>
          </cell>
          <cell r="D47" t="str">
            <v>Trade Payables</v>
          </cell>
          <cell r="E47">
            <v>0</v>
          </cell>
          <cell r="F47">
            <v>0</v>
          </cell>
          <cell r="G47">
            <v>0</v>
          </cell>
          <cell r="H47">
            <v>0</v>
          </cell>
          <cell r="I47">
            <v>0</v>
          </cell>
          <cell r="J47">
            <v>0</v>
          </cell>
        </row>
        <row r="48">
          <cell r="A48" t="str">
            <v>BHARADWAJ PACKAGING PVT. LTD.</v>
          </cell>
          <cell r="B48">
            <v>15</v>
          </cell>
          <cell r="C48" t="str">
            <v>Trade Receivables</v>
          </cell>
          <cell r="D48" t="str">
            <v>Trade Receivables</v>
          </cell>
          <cell r="E48">
            <v>0</v>
          </cell>
          <cell r="F48">
            <v>0</v>
          </cell>
          <cell r="G48">
            <v>0</v>
          </cell>
          <cell r="H48">
            <v>0</v>
          </cell>
          <cell r="I48">
            <v>0</v>
          </cell>
          <cell r="J48">
            <v>0</v>
          </cell>
        </row>
        <row r="49">
          <cell r="A49" t="str">
            <v>BHOLANATH MITRA</v>
          </cell>
          <cell r="B49">
            <v>12</v>
          </cell>
          <cell r="C49" t="str">
            <v>Long Term Loans &amp; Advances</v>
          </cell>
          <cell r="D49" t="str">
            <v>Loans and Advances to Employees</v>
          </cell>
          <cell r="E49">
            <v>2000</v>
          </cell>
          <cell r="F49">
            <v>0</v>
          </cell>
          <cell r="G49">
            <v>2000</v>
          </cell>
          <cell r="H49">
            <v>0</v>
          </cell>
          <cell r="I49">
            <v>0</v>
          </cell>
          <cell r="J49">
            <v>0</v>
          </cell>
        </row>
        <row r="50">
          <cell r="A50" t="str">
            <v>Boiler Fireman  (Feeding Charges)</v>
          </cell>
          <cell r="B50">
            <v>26</v>
          </cell>
          <cell r="C50" t="str">
            <v>Other Expenses</v>
          </cell>
          <cell r="D50" t="str">
            <v>Manufacturing Expenses - Factory Expenses</v>
          </cell>
          <cell r="E50">
            <v>3586075</v>
          </cell>
          <cell r="F50">
            <v>0</v>
          </cell>
          <cell r="G50">
            <v>3586075</v>
          </cell>
          <cell r="H50">
            <v>0</v>
          </cell>
          <cell r="I50">
            <v>0</v>
          </cell>
          <cell r="J50">
            <v>0</v>
          </cell>
        </row>
        <row r="51">
          <cell r="A51" t="str">
            <v>Books News Paper &amp; Perodicals</v>
          </cell>
          <cell r="B51">
            <v>26</v>
          </cell>
          <cell r="C51" t="str">
            <v>Other Expenses</v>
          </cell>
          <cell r="D51" t="str">
            <v>Establishment Expenses-Office Expenses</v>
          </cell>
          <cell r="E51">
            <v>3442</v>
          </cell>
          <cell r="F51">
            <v>0</v>
          </cell>
          <cell r="G51">
            <v>3442</v>
          </cell>
          <cell r="H51">
            <v>0</v>
          </cell>
          <cell r="I51">
            <v>0</v>
          </cell>
          <cell r="J51">
            <v>0</v>
          </cell>
        </row>
        <row r="52">
          <cell r="A52" t="str">
            <v>Building</v>
          </cell>
          <cell r="B52">
            <v>10</v>
          </cell>
          <cell r="C52" t="str">
            <v>Fixed Assets</v>
          </cell>
          <cell r="D52" t="str">
            <v>Tangible Asset</v>
          </cell>
          <cell r="E52">
            <v>56016203.549999997</v>
          </cell>
          <cell r="F52">
            <v>0</v>
          </cell>
          <cell r="G52">
            <v>56016203.549999997</v>
          </cell>
          <cell r="H52">
            <v>0</v>
          </cell>
          <cell r="I52">
            <v>0</v>
          </cell>
          <cell r="J52">
            <v>0</v>
          </cell>
        </row>
        <row r="53">
          <cell r="A53" t="str">
            <v>Capital Reserves</v>
          </cell>
          <cell r="B53">
            <v>3</v>
          </cell>
          <cell r="C53" t="str">
            <v>Reserves &amp; Surplus</v>
          </cell>
          <cell r="D53" t="str">
            <v>Capital Reserve</v>
          </cell>
          <cell r="E53">
            <v>0</v>
          </cell>
          <cell r="F53">
            <v>0</v>
          </cell>
          <cell r="G53">
            <v>0</v>
          </cell>
          <cell r="H53">
            <v>20413989</v>
          </cell>
          <cell r="I53">
            <v>0</v>
          </cell>
          <cell r="J53">
            <v>20413989</v>
          </cell>
        </row>
        <row r="54">
          <cell r="A54" t="str">
            <v>Carriage Inward (Sale)</v>
          </cell>
          <cell r="B54">
            <v>26</v>
          </cell>
          <cell r="C54" t="str">
            <v>Other Expenses</v>
          </cell>
          <cell r="D54" t="str">
            <v>Establishment Expenses-Rates &amp; Taxes</v>
          </cell>
          <cell r="E54">
            <v>6500</v>
          </cell>
          <cell r="F54">
            <v>0</v>
          </cell>
          <cell r="G54">
            <v>6500</v>
          </cell>
          <cell r="H54">
            <v>0</v>
          </cell>
          <cell r="I54">
            <v>0</v>
          </cell>
          <cell r="J54">
            <v>0</v>
          </cell>
        </row>
        <row r="55">
          <cell r="A55" t="str">
            <v>Carriage Inward : Machinery Rep&amp;Maint</v>
          </cell>
          <cell r="B55">
            <v>26</v>
          </cell>
          <cell r="C55" t="str">
            <v>Other Expenses</v>
          </cell>
          <cell r="D55" t="str">
            <v>Manufacturing Expenses-Repairs &amp; Maintainence Machinery</v>
          </cell>
          <cell r="E55">
            <v>373855</v>
          </cell>
          <cell r="F55">
            <v>0</v>
          </cell>
          <cell r="G55">
            <v>373855</v>
          </cell>
          <cell r="H55">
            <v>0</v>
          </cell>
          <cell r="I55">
            <v>0</v>
          </cell>
          <cell r="J55">
            <v>0</v>
          </cell>
        </row>
        <row r="56">
          <cell r="A56" t="str">
            <v>Carriage Inward { Store }</v>
          </cell>
          <cell r="B56">
            <v>26</v>
          </cell>
          <cell r="C56" t="str">
            <v>Other Expenses</v>
          </cell>
          <cell r="D56" t="str">
            <v>Manufacturing Expenses - Factory Expenses</v>
          </cell>
          <cell r="E56">
            <v>95134</v>
          </cell>
          <cell r="F56">
            <v>0</v>
          </cell>
          <cell r="G56">
            <v>95134</v>
          </cell>
          <cell r="H56">
            <v>0</v>
          </cell>
          <cell r="I56">
            <v>0</v>
          </cell>
          <cell r="J56">
            <v>0</v>
          </cell>
        </row>
        <row r="57">
          <cell r="A57" t="str">
            <v>Carriage Outward Machinery</v>
          </cell>
          <cell r="B57">
            <v>26</v>
          </cell>
          <cell r="C57" t="str">
            <v>Other Expenses</v>
          </cell>
          <cell r="D57" t="str">
            <v>Manufacturing Expenses - Factory Expenses</v>
          </cell>
          <cell r="E57">
            <v>64762</v>
          </cell>
          <cell r="F57">
            <v>0</v>
          </cell>
          <cell r="G57">
            <v>64762</v>
          </cell>
          <cell r="H57">
            <v>0</v>
          </cell>
          <cell r="I57">
            <v>0</v>
          </cell>
          <cell r="J57">
            <v>0</v>
          </cell>
        </row>
        <row r="58">
          <cell r="A58" t="str">
            <v>Cash</v>
          </cell>
          <cell r="B58">
            <v>16</v>
          </cell>
          <cell r="C58" t="str">
            <v>Cash And Bank Balances</v>
          </cell>
          <cell r="D58" t="str">
            <v>Cash On Hand</v>
          </cell>
          <cell r="E58">
            <v>234166</v>
          </cell>
          <cell r="F58">
            <v>0</v>
          </cell>
          <cell r="G58">
            <v>234166</v>
          </cell>
          <cell r="H58">
            <v>0</v>
          </cell>
          <cell r="I58">
            <v>0</v>
          </cell>
          <cell r="J58">
            <v>0</v>
          </cell>
        </row>
        <row r="59">
          <cell r="A59" t="str">
            <v>CGST @ 9% ON OTHER PURCHASE</v>
          </cell>
          <cell r="B59">
            <v>12</v>
          </cell>
          <cell r="C59" t="str">
            <v>Long Term Loans &amp; Advances</v>
          </cell>
          <cell r="D59" t="str">
            <v>Balance with Government Authorities</v>
          </cell>
          <cell r="E59">
            <v>0</v>
          </cell>
          <cell r="F59">
            <v>0</v>
          </cell>
          <cell r="G59">
            <v>0</v>
          </cell>
          <cell r="H59">
            <v>0</v>
          </cell>
          <cell r="I59">
            <v>0</v>
          </cell>
          <cell r="J59">
            <v>0</v>
          </cell>
        </row>
        <row r="60">
          <cell r="A60" t="str">
            <v>CGST @9% on Other Sales</v>
          </cell>
          <cell r="B60">
            <v>12</v>
          </cell>
          <cell r="C60" t="str">
            <v>Long Term Loans &amp; Advances</v>
          </cell>
          <cell r="D60" t="str">
            <v>Balance with Government Authorities</v>
          </cell>
          <cell r="E60">
            <v>0</v>
          </cell>
          <cell r="F60">
            <v>0</v>
          </cell>
          <cell r="G60">
            <v>0</v>
          </cell>
          <cell r="H60">
            <v>0</v>
          </cell>
          <cell r="I60">
            <v>0</v>
          </cell>
          <cell r="J60">
            <v>0</v>
          </cell>
        </row>
        <row r="61">
          <cell r="A61" t="str">
            <v>SGST @9% ON OTHER SALES</v>
          </cell>
          <cell r="B61">
            <v>12</v>
          </cell>
          <cell r="C61" t="str">
            <v>Long Term Loans &amp; Advances</v>
          </cell>
          <cell r="D61" t="str">
            <v>Balance with Government Authorities</v>
          </cell>
          <cell r="E61">
            <v>0</v>
          </cell>
          <cell r="F61">
            <v>0</v>
          </cell>
          <cell r="G61">
            <v>0</v>
          </cell>
          <cell r="H61">
            <v>0</v>
          </cell>
          <cell r="I61">
            <v>0</v>
          </cell>
          <cell r="J61">
            <v>0</v>
          </cell>
        </row>
        <row r="62">
          <cell r="A62" t="str">
            <v>CGST Payable ( F. Y. 2018-19)</v>
          </cell>
          <cell r="B62">
            <v>12</v>
          </cell>
          <cell r="C62" t="str">
            <v>Long Term Loans &amp; Advances</v>
          </cell>
          <cell r="D62" t="str">
            <v>GST</v>
          </cell>
          <cell r="E62">
            <v>0</v>
          </cell>
          <cell r="F62">
            <v>0</v>
          </cell>
          <cell r="G62">
            <v>0</v>
          </cell>
          <cell r="H62">
            <v>0</v>
          </cell>
          <cell r="I62">
            <v>0</v>
          </cell>
          <cell r="J62">
            <v>0</v>
          </cell>
        </row>
        <row r="63">
          <cell r="A63" t="str">
            <v>CGST Payable ( F.Y. 2017-18)</v>
          </cell>
          <cell r="B63">
            <v>12</v>
          </cell>
          <cell r="C63" t="str">
            <v>Long Term Loans &amp; Advances</v>
          </cell>
          <cell r="D63" t="str">
            <v>GST</v>
          </cell>
          <cell r="E63">
            <v>0</v>
          </cell>
          <cell r="F63">
            <v>0</v>
          </cell>
          <cell r="G63">
            <v>0</v>
          </cell>
          <cell r="H63">
            <v>0</v>
          </cell>
          <cell r="I63">
            <v>0</v>
          </cell>
          <cell r="J63">
            <v>0</v>
          </cell>
        </row>
        <row r="64">
          <cell r="A64" t="str">
            <v>CGST Payable ( F.Y. 2019-20 )</v>
          </cell>
          <cell r="B64">
            <v>12</v>
          </cell>
          <cell r="C64" t="str">
            <v>Long Term Loans &amp; Advances</v>
          </cell>
          <cell r="D64" t="str">
            <v>GST</v>
          </cell>
          <cell r="E64">
            <v>1108272.6399999999</v>
          </cell>
          <cell r="F64">
            <v>0</v>
          </cell>
          <cell r="G64">
            <v>1108272.6399999999</v>
          </cell>
          <cell r="H64">
            <v>0</v>
          </cell>
          <cell r="I64">
            <v>0</v>
          </cell>
          <cell r="J64">
            <v>0</v>
          </cell>
        </row>
        <row r="65">
          <cell r="A65" t="str">
            <v>CHACHA GOODS CARRIERS</v>
          </cell>
          <cell r="B65">
            <v>7</v>
          </cell>
          <cell r="C65" t="str">
            <v>Trade Payables</v>
          </cell>
          <cell r="D65" t="str">
            <v>Trade Payables - Others</v>
          </cell>
          <cell r="E65">
            <v>0</v>
          </cell>
          <cell r="F65">
            <v>0</v>
          </cell>
          <cell r="G65">
            <v>0</v>
          </cell>
          <cell r="H65">
            <v>0</v>
          </cell>
          <cell r="I65">
            <v>0</v>
          </cell>
          <cell r="J65">
            <v>0</v>
          </cell>
        </row>
        <row r="66">
          <cell r="A66" t="str">
            <v>Chandak Nursing Home</v>
          </cell>
          <cell r="B66">
            <v>7</v>
          </cell>
          <cell r="C66" t="str">
            <v>Trade Payables</v>
          </cell>
          <cell r="D66" t="str">
            <v>Trade Payables - Others</v>
          </cell>
          <cell r="E66">
            <v>0</v>
          </cell>
          <cell r="F66">
            <v>0</v>
          </cell>
          <cell r="G66">
            <v>0</v>
          </cell>
          <cell r="H66">
            <v>7300</v>
          </cell>
          <cell r="I66">
            <v>0</v>
          </cell>
          <cell r="J66">
            <v>7300</v>
          </cell>
        </row>
        <row r="67">
          <cell r="A67" t="str">
            <v>CHANDRA COAL PVT. LTD. (SALE)</v>
          </cell>
          <cell r="B67">
            <v>15</v>
          </cell>
          <cell r="C67" t="str">
            <v>Trade Receivables</v>
          </cell>
          <cell r="D67" t="str">
            <v>Other Debts</v>
          </cell>
          <cell r="E67">
            <v>2655823</v>
          </cell>
          <cell r="F67">
            <v>0</v>
          </cell>
          <cell r="G67">
            <v>2655823</v>
          </cell>
          <cell r="H67">
            <v>0</v>
          </cell>
          <cell r="I67">
            <v>0</v>
          </cell>
          <cell r="J67">
            <v>0</v>
          </cell>
        </row>
        <row r="68">
          <cell r="A68" t="str">
            <v>CHANDRA COAL PVT.LTD.</v>
          </cell>
          <cell r="B68">
            <v>7</v>
          </cell>
          <cell r="C68" t="str">
            <v>Trade Payables</v>
          </cell>
          <cell r="D68" t="str">
            <v>Trade Payables</v>
          </cell>
          <cell r="E68">
            <v>0</v>
          </cell>
          <cell r="F68">
            <v>0</v>
          </cell>
          <cell r="G68">
            <v>0</v>
          </cell>
          <cell r="H68">
            <v>173652</v>
          </cell>
          <cell r="I68">
            <v>0</v>
          </cell>
          <cell r="J68">
            <v>173652</v>
          </cell>
        </row>
        <row r="69">
          <cell r="A69" t="str">
            <v>CHANDRA SALES CORPORATION [ WP]</v>
          </cell>
          <cell r="B69">
            <v>7</v>
          </cell>
          <cell r="C69" t="str">
            <v>Trade Payables</v>
          </cell>
          <cell r="D69" t="str">
            <v>Trade Payables</v>
          </cell>
          <cell r="E69">
            <v>0</v>
          </cell>
          <cell r="F69">
            <v>0</v>
          </cell>
          <cell r="G69">
            <v>0</v>
          </cell>
          <cell r="H69">
            <v>0</v>
          </cell>
          <cell r="I69">
            <v>0</v>
          </cell>
          <cell r="J69">
            <v>0</v>
          </cell>
        </row>
        <row r="70">
          <cell r="A70" t="str">
            <v>CHANDRA SALES CORPORATION(SALE)</v>
          </cell>
          <cell r="B70">
            <v>15</v>
          </cell>
          <cell r="C70" t="str">
            <v>Trade Receivables</v>
          </cell>
          <cell r="D70" t="str">
            <v>Other Debts</v>
          </cell>
          <cell r="E70">
            <v>4304700</v>
          </cell>
          <cell r="F70">
            <v>0</v>
          </cell>
          <cell r="G70">
            <v>4304700</v>
          </cell>
          <cell r="H70">
            <v>0</v>
          </cell>
          <cell r="I70">
            <v>0</v>
          </cell>
          <cell r="J70">
            <v>0</v>
          </cell>
        </row>
        <row r="71">
          <cell r="A71" t="str">
            <v>Chandrashekhar Balki</v>
          </cell>
          <cell r="B71">
            <v>12</v>
          </cell>
          <cell r="C71" t="str">
            <v>Long Term Loans &amp; Advances</v>
          </cell>
          <cell r="D71" t="str">
            <v>Loans and Advances to Employees</v>
          </cell>
          <cell r="E71">
            <v>7000</v>
          </cell>
          <cell r="F71">
            <v>0</v>
          </cell>
          <cell r="G71">
            <v>7000</v>
          </cell>
          <cell r="H71">
            <v>0</v>
          </cell>
          <cell r="I71">
            <v>0</v>
          </cell>
          <cell r="J71">
            <v>0</v>
          </cell>
        </row>
        <row r="72">
          <cell r="A72" t="str">
            <v>Chemical Purchase</v>
          </cell>
          <cell r="B72">
            <v>22</v>
          </cell>
          <cell r="C72" t="str">
            <v>Raw Material Consumed</v>
          </cell>
          <cell r="D72" t="str">
            <v>Raw Material Purchase</v>
          </cell>
          <cell r="E72">
            <v>41533028.75</v>
          </cell>
          <cell r="F72">
            <v>0</v>
          </cell>
          <cell r="G72">
            <v>41533028.75</v>
          </cell>
          <cell r="H72">
            <v>0</v>
          </cell>
          <cell r="I72">
            <v>0</v>
          </cell>
          <cell r="J72">
            <v>0</v>
          </cell>
        </row>
        <row r="73">
          <cell r="A73" t="str">
            <v>Chowdhary Packagers</v>
          </cell>
          <cell r="B73">
            <v>15</v>
          </cell>
          <cell r="C73" t="str">
            <v>Trade Receivables</v>
          </cell>
          <cell r="D73" t="str">
            <v>Other Debts</v>
          </cell>
          <cell r="E73">
            <v>886060</v>
          </cell>
          <cell r="F73">
            <v>0</v>
          </cell>
          <cell r="G73">
            <v>886060</v>
          </cell>
          <cell r="H73">
            <v>0</v>
          </cell>
          <cell r="I73">
            <v>0</v>
          </cell>
          <cell r="J73">
            <v>0</v>
          </cell>
        </row>
        <row r="74">
          <cell r="A74" t="str">
            <v>CIPARO B.V.</v>
          </cell>
          <cell r="B74">
            <v>7</v>
          </cell>
          <cell r="C74" t="str">
            <v>Trade Payables</v>
          </cell>
          <cell r="D74" t="str">
            <v>Trade Payables</v>
          </cell>
          <cell r="E74">
            <v>0</v>
          </cell>
          <cell r="F74">
            <v>0</v>
          </cell>
          <cell r="G74">
            <v>0</v>
          </cell>
          <cell r="H74">
            <v>0</v>
          </cell>
          <cell r="I74">
            <v>0</v>
          </cell>
          <cell r="J74">
            <v>0</v>
          </cell>
        </row>
        <row r="75">
          <cell r="A75" t="str">
            <v>Clearing &amp; Forwarding on WP Import</v>
          </cell>
          <cell r="B75">
            <v>22</v>
          </cell>
          <cell r="C75" t="str">
            <v>Raw Material Consumed</v>
          </cell>
          <cell r="D75" t="str">
            <v>Raw Material Purchase</v>
          </cell>
          <cell r="E75">
            <v>48514808.600000001</v>
          </cell>
          <cell r="F75">
            <v>0</v>
          </cell>
          <cell r="G75">
            <v>48514808.600000001</v>
          </cell>
          <cell r="H75">
            <v>0</v>
          </cell>
          <cell r="I75">
            <v>0</v>
          </cell>
          <cell r="J75">
            <v>0</v>
          </cell>
        </row>
        <row r="76">
          <cell r="A76" t="str">
            <v>Clearing &amp; Fwd. Chgs.On Import M/C</v>
          </cell>
          <cell r="B76">
            <v>26</v>
          </cell>
          <cell r="C76" t="str">
            <v>Other Expenses</v>
          </cell>
          <cell r="D76" t="str">
            <v>Manufacturing Expenses-Repairs &amp; Maintainence Machinery</v>
          </cell>
          <cell r="E76">
            <v>219361</v>
          </cell>
          <cell r="F76">
            <v>0</v>
          </cell>
          <cell r="G76">
            <v>219361</v>
          </cell>
          <cell r="H76">
            <v>0</v>
          </cell>
          <cell r="I76">
            <v>0</v>
          </cell>
          <cell r="J76">
            <v>0</v>
          </cell>
        </row>
        <row r="77">
          <cell r="A77" t="str">
            <v>Coal Liasioning Charges</v>
          </cell>
          <cell r="B77">
            <v>26</v>
          </cell>
          <cell r="C77" t="str">
            <v>Other Expenses</v>
          </cell>
          <cell r="D77" t="str">
            <v>Manufacturing Expenses - Power &amp; Fuel Consumed</v>
          </cell>
          <cell r="E77">
            <v>923225</v>
          </cell>
          <cell r="F77">
            <v>0</v>
          </cell>
          <cell r="G77">
            <v>923225</v>
          </cell>
          <cell r="H77">
            <v>0</v>
          </cell>
          <cell r="I77">
            <v>0</v>
          </cell>
          <cell r="J77">
            <v>0</v>
          </cell>
        </row>
        <row r="78">
          <cell r="A78" t="str">
            <v>Coal Purchase</v>
          </cell>
          <cell r="B78">
            <v>26</v>
          </cell>
          <cell r="C78" t="str">
            <v>Other Expenses</v>
          </cell>
          <cell r="D78" t="str">
            <v>Manufacturing Expenses - Power &amp; Fuel Consumed</v>
          </cell>
          <cell r="E78">
            <v>44460025.039999999</v>
          </cell>
          <cell r="F78">
            <v>0</v>
          </cell>
          <cell r="G78">
            <v>44460025.039999999</v>
          </cell>
          <cell r="H78">
            <v>0</v>
          </cell>
          <cell r="I78">
            <v>0</v>
          </cell>
          <cell r="J78">
            <v>0</v>
          </cell>
        </row>
        <row r="79">
          <cell r="A79" t="str">
            <v>COMMISSION ON SALES (HSN/SAC : 9961)</v>
          </cell>
          <cell r="B79">
            <v>26</v>
          </cell>
          <cell r="C79" t="str">
            <v>Other Expenses</v>
          </cell>
          <cell r="D79" t="str">
            <v>Selling &amp; Dist.-Discount &amp; Commission</v>
          </cell>
          <cell r="E79">
            <v>1723504</v>
          </cell>
          <cell r="F79">
            <v>0</v>
          </cell>
          <cell r="G79">
            <v>1723504</v>
          </cell>
          <cell r="H79">
            <v>0</v>
          </cell>
          <cell r="I79">
            <v>0</v>
          </cell>
          <cell r="J79">
            <v>0</v>
          </cell>
        </row>
        <row r="80">
          <cell r="A80" t="str">
            <v>Commission On Sales Account</v>
          </cell>
          <cell r="B80">
            <v>26</v>
          </cell>
          <cell r="C80" t="str">
            <v>Other Expenses</v>
          </cell>
          <cell r="D80" t="str">
            <v>Selling &amp; Dist.-Discount &amp; Commission</v>
          </cell>
          <cell r="E80">
            <v>38030</v>
          </cell>
          <cell r="F80">
            <v>0</v>
          </cell>
          <cell r="G80">
            <v>38030</v>
          </cell>
          <cell r="H80">
            <v>0</v>
          </cell>
          <cell r="I80">
            <v>0</v>
          </cell>
          <cell r="J80">
            <v>0</v>
          </cell>
        </row>
        <row r="81">
          <cell r="A81" t="str">
            <v>Computer</v>
          </cell>
          <cell r="B81">
            <v>10</v>
          </cell>
          <cell r="C81" t="str">
            <v>Fixed Assets</v>
          </cell>
          <cell r="D81" t="str">
            <v>Tangible Asset</v>
          </cell>
          <cell r="E81">
            <v>1057200.7</v>
          </cell>
          <cell r="F81">
            <v>0</v>
          </cell>
          <cell r="G81">
            <v>1057200.7</v>
          </cell>
          <cell r="H81">
            <v>0</v>
          </cell>
          <cell r="I81">
            <v>0</v>
          </cell>
          <cell r="J81">
            <v>0</v>
          </cell>
        </row>
        <row r="82">
          <cell r="A82" t="str">
            <v>Consultation Charges</v>
          </cell>
          <cell r="B82">
            <v>26</v>
          </cell>
          <cell r="C82" t="str">
            <v>Other Expenses</v>
          </cell>
          <cell r="D82" t="str">
            <v>Establishment Expenses-Legal &amp; Professional Charges</v>
          </cell>
          <cell r="E82">
            <v>7000</v>
          </cell>
          <cell r="F82">
            <v>0</v>
          </cell>
          <cell r="G82">
            <v>7000</v>
          </cell>
          <cell r="H82">
            <v>0</v>
          </cell>
          <cell r="I82">
            <v>0</v>
          </cell>
          <cell r="J82">
            <v>0</v>
          </cell>
        </row>
        <row r="83">
          <cell r="A83" t="str">
            <v>CONTAINER CORPORATION OF INDIA LTD</v>
          </cell>
          <cell r="B83">
            <v>17</v>
          </cell>
          <cell r="C83" t="str">
            <v>Short Term Loans &amp; Advances</v>
          </cell>
          <cell r="D83" t="str">
            <v>Advance to Suppliers</v>
          </cell>
          <cell r="E83">
            <v>42915.89</v>
          </cell>
          <cell r="F83">
            <v>0</v>
          </cell>
          <cell r="G83">
            <v>42915.89</v>
          </cell>
          <cell r="H83">
            <v>0</v>
          </cell>
          <cell r="I83">
            <v>0</v>
          </cell>
          <cell r="J83">
            <v>0</v>
          </cell>
        </row>
        <row r="84">
          <cell r="A84" t="str">
            <v>Contribution to ESIC Payable</v>
          </cell>
          <cell r="B84">
            <v>8</v>
          </cell>
          <cell r="C84" t="str">
            <v>Other Current Liabilities</v>
          </cell>
          <cell r="D84" t="str">
            <v>Statutory Dues</v>
          </cell>
          <cell r="E84">
            <v>0</v>
          </cell>
          <cell r="F84">
            <v>0</v>
          </cell>
          <cell r="G84">
            <v>0</v>
          </cell>
          <cell r="H84">
            <v>21838</v>
          </cell>
          <cell r="I84">
            <v>0</v>
          </cell>
          <cell r="J84">
            <v>21838</v>
          </cell>
        </row>
        <row r="85">
          <cell r="A85" t="str">
            <v>Contribution To P.F. Payable</v>
          </cell>
          <cell r="B85">
            <v>8</v>
          </cell>
          <cell r="C85" t="str">
            <v>Other Current Liabilities</v>
          </cell>
          <cell r="D85" t="str">
            <v>Statutory Dues</v>
          </cell>
          <cell r="E85">
            <v>0</v>
          </cell>
          <cell r="F85">
            <v>0</v>
          </cell>
          <cell r="G85">
            <v>0</v>
          </cell>
          <cell r="H85">
            <v>184366</v>
          </cell>
          <cell r="I85">
            <v>0</v>
          </cell>
          <cell r="J85">
            <v>184366</v>
          </cell>
        </row>
        <row r="86">
          <cell r="A86" t="str">
            <v>Conveyance Expenses</v>
          </cell>
          <cell r="B86">
            <v>26</v>
          </cell>
          <cell r="C86" t="str">
            <v>Other Expenses</v>
          </cell>
          <cell r="D86" t="str">
            <v>Establishment Expenses-Travelling &amp; Conveyance</v>
          </cell>
          <cell r="E86">
            <v>28640</v>
          </cell>
          <cell r="F86">
            <v>0</v>
          </cell>
          <cell r="G86">
            <v>28640</v>
          </cell>
          <cell r="H86">
            <v>0</v>
          </cell>
          <cell r="I86">
            <v>0</v>
          </cell>
          <cell r="J86">
            <v>0</v>
          </cell>
        </row>
        <row r="87">
          <cell r="A87" t="str">
            <v>Conveyance To Directors</v>
          </cell>
          <cell r="B87">
            <v>26</v>
          </cell>
          <cell r="C87" t="str">
            <v>Other Expenses</v>
          </cell>
          <cell r="D87" t="str">
            <v>Establishment Expenses-Travelling &amp; Conveyance</v>
          </cell>
          <cell r="E87">
            <v>45845</v>
          </cell>
          <cell r="F87">
            <v>0</v>
          </cell>
          <cell r="G87">
            <v>45845</v>
          </cell>
          <cell r="H87">
            <v>0</v>
          </cell>
          <cell r="I87">
            <v>0</v>
          </cell>
          <cell r="J87">
            <v>0</v>
          </cell>
        </row>
        <row r="88">
          <cell r="A88" t="str">
            <v>COSMIC CORPORATION</v>
          </cell>
          <cell r="B88">
            <v>15</v>
          </cell>
          <cell r="C88" t="str">
            <v>Trade Receivables</v>
          </cell>
          <cell r="D88" t="str">
            <v>Other Debts</v>
          </cell>
          <cell r="E88">
            <v>2786944</v>
          </cell>
          <cell r="F88">
            <v>0</v>
          </cell>
          <cell r="G88">
            <v>2786944</v>
          </cell>
          <cell r="H88">
            <v>0</v>
          </cell>
          <cell r="I88">
            <v>0</v>
          </cell>
          <cell r="J88">
            <v>0</v>
          </cell>
        </row>
        <row r="89">
          <cell r="A89" t="str">
            <v>Courier &amp; Postage Charges</v>
          </cell>
          <cell r="B89">
            <v>26</v>
          </cell>
          <cell r="C89" t="str">
            <v>Other Expenses</v>
          </cell>
          <cell r="D89" t="str">
            <v>Establishment Expenses-General Expenses</v>
          </cell>
          <cell r="E89">
            <v>60454</v>
          </cell>
          <cell r="F89">
            <v>0</v>
          </cell>
          <cell r="G89">
            <v>60454</v>
          </cell>
          <cell r="H89">
            <v>0</v>
          </cell>
          <cell r="I89">
            <v>0</v>
          </cell>
          <cell r="J89">
            <v>0</v>
          </cell>
        </row>
        <row r="90">
          <cell r="A90" t="str">
            <v>Credit Not Availed Ag.GST (F.Y. 18-19)</v>
          </cell>
          <cell r="B90">
            <v>12</v>
          </cell>
          <cell r="C90" t="str">
            <v>Long Term Loans &amp; Advances</v>
          </cell>
          <cell r="D90" t="str">
            <v>GST</v>
          </cell>
          <cell r="E90">
            <v>0</v>
          </cell>
          <cell r="F90">
            <v>0</v>
          </cell>
          <cell r="G90">
            <v>0</v>
          </cell>
          <cell r="H90">
            <v>0</v>
          </cell>
          <cell r="I90">
            <v>0</v>
          </cell>
          <cell r="J90">
            <v>0</v>
          </cell>
        </row>
        <row r="91">
          <cell r="A91" t="str">
            <v>CSR Expenses</v>
          </cell>
          <cell r="B91">
            <v>26</v>
          </cell>
          <cell r="C91" t="str">
            <v>Other Expenses</v>
          </cell>
          <cell r="D91" t="str">
            <v>Establishment Expenses-Rates &amp; Taxes</v>
          </cell>
          <cell r="E91">
            <v>380250</v>
          </cell>
          <cell r="F91">
            <v>0</v>
          </cell>
          <cell r="G91">
            <v>380250</v>
          </cell>
          <cell r="H91">
            <v>0</v>
          </cell>
          <cell r="I91">
            <v>0</v>
          </cell>
          <cell r="J91">
            <v>0</v>
          </cell>
        </row>
        <row r="92">
          <cell r="A92" t="str">
            <v>CST Payable  (F.Y. 2016- 17 )</v>
          </cell>
          <cell r="B92">
            <v>12</v>
          </cell>
          <cell r="C92" t="str">
            <v>Long Term Loans &amp; Advances</v>
          </cell>
          <cell r="D92" t="str">
            <v>Balance with Government Authorities</v>
          </cell>
          <cell r="E92">
            <v>0</v>
          </cell>
          <cell r="F92">
            <v>0</v>
          </cell>
          <cell r="G92">
            <v>0</v>
          </cell>
          <cell r="H92">
            <v>0</v>
          </cell>
          <cell r="I92">
            <v>0</v>
          </cell>
          <cell r="J92">
            <v>0</v>
          </cell>
        </row>
        <row r="93">
          <cell r="A93" t="str">
            <v>Cst Tax Expenses</v>
          </cell>
          <cell r="B93">
            <v>26</v>
          </cell>
          <cell r="C93" t="str">
            <v>Other Expenses</v>
          </cell>
          <cell r="D93" t="str">
            <v>Establishment Expenses-Rates &amp; Taxes</v>
          </cell>
          <cell r="E93">
            <v>2500</v>
          </cell>
          <cell r="F93">
            <v>0</v>
          </cell>
          <cell r="G93">
            <v>2500</v>
          </cell>
          <cell r="H93">
            <v>0</v>
          </cell>
          <cell r="I93">
            <v>0</v>
          </cell>
          <cell r="J93">
            <v>0</v>
          </cell>
        </row>
        <row r="94">
          <cell r="A94" t="str">
            <v>Dandong Shengxing Paper Machinery, China</v>
          </cell>
          <cell r="B94">
            <v>17</v>
          </cell>
          <cell r="C94" t="str">
            <v>Short Term Loans &amp; Advances</v>
          </cell>
          <cell r="D94" t="str">
            <v>Advance to Suppliers</v>
          </cell>
          <cell r="E94">
            <v>0</v>
          </cell>
          <cell r="F94">
            <v>0</v>
          </cell>
          <cell r="G94">
            <v>0</v>
          </cell>
          <cell r="H94">
            <v>0</v>
          </cell>
          <cell r="I94">
            <v>0</v>
          </cell>
          <cell r="J94">
            <v>0</v>
          </cell>
        </row>
        <row r="95">
          <cell r="A95" t="str">
            <v>Deekay &amp; Company</v>
          </cell>
          <cell r="B95">
            <v>7</v>
          </cell>
          <cell r="C95" t="str">
            <v>Trade Payables</v>
          </cell>
          <cell r="D95" t="str">
            <v>Trade Payables</v>
          </cell>
          <cell r="E95">
            <v>0</v>
          </cell>
          <cell r="F95">
            <v>0</v>
          </cell>
          <cell r="G95">
            <v>0</v>
          </cell>
          <cell r="H95">
            <v>2430503</v>
          </cell>
          <cell r="I95">
            <v>0</v>
          </cell>
          <cell r="J95">
            <v>2430503</v>
          </cell>
        </row>
        <row r="96">
          <cell r="A96" t="str">
            <v>DEEP SALES CORPORATION</v>
          </cell>
          <cell r="B96">
            <v>15</v>
          </cell>
          <cell r="C96" t="str">
            <v>Trade Receivables</v>
          </cell>
          <cell r="D96" t="str">
            <v>Other Debts</v>
          </cell>
          <cell r="E96">
            <v>0</v>
          </cell>
          <cell r="F96">
            <v>0</v>
          </cell>
          <cell r="G96">
            <v>0</v>
          </cell>
          <cell r="H96">
            <v>0</v>
          </cell>
          <cell r="I96">
            <v>0</v>
          </cell>
          <cell r="J96">
            <v>0</v>
          </cell>
        </row>
        <row r="97">
          <cell r="A97" t="str">
            <v>Deferred Tax Liabilities (Net)</v>
          </cell>
          <cell r="B97">
            <v>5</v>
          </cell>
          <cell r="C97" t="str">
            <v xml:space="preserve">Deferred Tax Liabilities </v>
          </cell>
          <cell r="D97" t="str">
            <v>Deferred Tax Liability</v>
          </cell>
          <cell r="E97">
            <v>0</v>
          </cell>
          <cell r="F97">
            <v>0</v>
          </cell>
          <cell r="G97">
            <v>0</v>
          </cell>
          <cell r="H97">
            <v>20113961</v>
          </cell>
          <cell r="I97">
            <v>0</v>
          </cell>
          <cell r="J97">
            <v>20113961</v>
          </cell>
        </row>
        <row r="98">
          <cell r="A98" t="str">
            <v>Deposit for  COAL to MSMC</v>
          </cell>
          <cell r="B98">
            <v>12</v>
          </cell>
          <cell r="C98" t="str">
            <v>Long Term Loans &amp; Advances</v>
          </cell>
          <cell r="D98" t="str">
            <v>Long Term Deposits</v>
          </cell>
          <cell r="E98">
            <v>1137100</v>
          </cell>
          <cell r="F98">
            <v>0</v>
          </cell>
          <cell r="G98">
            <v>1137100</v>
          </cell>
          <cell r="H98">
            <v>0</v>
          </cell>
          <cell r="I98">
            <v>0</v>
          </cell>
          <cell r="J98">
            <v>0</v>
          </cell>
        </row>
        <row r="99">
          <cell r="A99" t="str">
            <v>Deposit for LPG Domestic Cylender Connection</v>
          </cell>
          <cell r="B99">
            <v>12</v>
          </cell>
          <cell r="C99" t="str">
            <v>Long Term Loans &amp; Advances</v>
          </cell>
          <cell r="D99" t="str">
            <v>Long Term Deposits</v>
          </cell>
          <cell r="E99">
            <v>6800</v>
          </cell>
          <cell r="F99">
            <v>0</v>
          </cell>
          <cell r="G99">
            <v>6800</v>
          </cell>
          <cell r="H99">
            <v>0</v>
          </cell>
          <cell r="I99">
            <v>0</v>
          </cell>
          <cell r="J99">
            <v>0</v>
          </cell>
        </row>
        <row r="100">
          <cell r="A100" t="str">
            <v>DEPOSIT FOR SBI  BG 3,90,000 [ TDR. 37091487639]</v>
          </cell>
          <cell r="B100">
            <v>13</v>
          </cell>
          <cell r="C100" t="str">
            <v>Other Non-Current Assets</v>
          </cell>
          <cell r="D100" t="str">
            <v>Balance with Bank in Deposit Accounts</v>
          </cell>
          <cell r="E100">
            <v>0</v>
          </cell>
          <cell r="F100">
            <v>0</v>
          </cell>
          <cell r="G100">
            <v>0</v>
          </cell>
          <cell r="H100">
            <v>0</v>
          </cell>
          <cell r="I100">
            <v>0</v>
          </cell>
          <cell r="J100">
            <v>0</v>
          </cell>
        </row>
        <row r="101">
          <cell r="A101" t="str">
            <v>Deposit with Import (OCC)</v>
          </cell>
          <cell r="B101">
            <v>18</v>
          </cell>
          <cell r="C101" t="str">
            <v>Other Current Assets</v>
          </cell>
          <cell r="D101" t="str">
            <v>Advance to Suppliers</v>
          </cell>
          <cell r="E101">
            <v>470000</v>
          </cell>
          <cell r="F101">
            <v>0</v>
          </cell>
          <cell r="G101">
            <v>470000</v>
          </cell>
          <cell r="H101">
            <v>0</v>
          </cell>
          <cell r="I101">
            <v>0</v>
          </cell>
          <cell r="J101">
            <v>0</v>
          </cell>
        </row>
        <row r="102">
          <cell r="A102" t="str">
            <v>Deposit with M.S.E.B.</v>
          </cell>
          <cell r="B102">
            <v>12</v>
          </cell>
          <cell r="C102" t="str">
            <v>Long Term Loans &amp; Advances</v>
          </cell>
          <cell r="D102" t="str">
            <v>Long Term Deposits</v>
          </cell>
          <cell r="E102">
            <v>248200</v>
          </cell>
          <cell r="F102">
            <v>0</v>
          </cell>
          <cell r="G102">
            <v>248200</v>
          </cell>
          <cell r="H102">
            <v>0</v>
          </cell>
          <cell r="I102">
            <v>0</v>
          </cell>
          <cell r="J102">
            <v>0</v>
          </cell>
        </row>
        <row r="103">
          <cell r="A103" t="str">
            <v>Deposit With SBI for MPCB 5 Lac BG [Rs.1,25,000]</v>
          </cell>
          <cell r="B103">
            <v>13</v>
          </cell>
          <cell r="C103" t="str">
            <v>Other Non-Current Assets</v>
          </cell>
          <cell r="D103" t="str">
            <v>Balance with Bank in Deposit Accounts</v>
          </cell>
          <cell r="E103">
            <v>125000</v>
          </cell>
          <cell r="F103">
            <v>0</v>
          </cell>
          <cell r="G103">
            <v>125000</v>
          </cell>
          <cell r="H103">
            <v>0</v>
          </cell>
          <cell r="I103">
            <v>0</v>
          </cell>
          <cell r="J103">
            <v>0</v>
          </cell>
        </row>
        <row r="104">
          <cell r="A104" t="str">
            <v>Deposits For Office Premises</v>
          </cell>
          <cell r="B104">
            <v>12</v>
          </cell>
          <cell r="C104" t="str">
            <v>Long Term Loans &amp; Advances</v>
          </cell>
          <cell r="D104" t="str">
            <v>Long Term Deposits</v>
          </cell>
          <cell r="E104">
            <v>200000</v>
          </cell>
          <cell r="F104">
            <v>0</v>
          </cell>
          <cell r="G104">
            <v>200000</v>
          </cell>
          <cell r="H104">
            <v>0</v>
          </cell>
          <cell r="I104">
            <v>0</v>
          </cell>
          <cell r="J104">
            <v>0</v>
          </cell>
        </row>
        <row r="105">
          <cell r="A105" t="str">
            <v>Deposits For Telephone</v>
          </cell>
          <cell r="B105">
            <v>12</v>
          </cell>
          <cell r="C105" t="str">
            <v>Long Term Loans &amp; Advances</v>
          </cell>
          <cell r="D105" t="str">
            <v>Long Term Deposits</v>
          </cell>
          <cell r="E105">
            <v>9500</v>
          </cell>
          <cell r="F105">
            <v>0</v>
          </cell>
          <cell r="G105">
            <v>9500</v>
          </cell>
          <cell r="H105">
            <v>0</v>
          </cell>
          <cell r="I105">
            <v>0</v>
          </cell>
          <cell r="J105">
            <v>0</v>
          </cell>
        </row>
        <row r="106">
          <cell r="A106" t="str">
            <v>Deposits Group Gratuity Fund</v>
          </cell>
          <cell r="B106">
            <v>9</v>
          </cell>
          <cell r="C106" t="str">
            <v>Short Term Provision</v>
          </cell>
          <cell r="D106" t="str">
            <v>Provision for Employee Benefit</v>
          </cell>
          <cell r="E106">
            <v>4494616</v>
          </cell>
          <cell r="F106">
            <v>0</v>
          </cell>
          <cell r="G106">
            <v>4494616</v>
          </cell>
          <cell r="H106">
            <v>0</v>
          </cell>
          <cell r="I106">
            <v>0</v>
          </cell>
          <cell r="J106">
            <v>0</v>
          </cell>
        </row>
        <row r="107">
          <cell r="A107" t="str">
            <v>Deposits with S.B.I. for LC Margin Rs.3,75,000/-</v>
          </cell>
          <cell r="B107">
            <v>13</v>
          </cell>
          <cell r="C107" t="str">
            <v>Other Non-Current Assets</v>
          </cell>
          <cell r="D107" t="str">
            <v>Balance with Bank in Deposit Accounts</v>
          </cell>
          <cell r="E107">
            <v>0</v>
          </cell>
          <cell r="F107">
            <v>0</v>
          </cell>
          <cell r="G107">
            <v>0</v>
          </cell>
          <cell r="H107">
            <v>0</v>
          </cell>
          <cell r="I107">
            <v>0</v>
          </cell>
          <cell r="J107">
            <v>0</v>
          </cell>
        </row>
        <row r="108">
          <cell r="A108" t="str">
            <v>Depreciation Electrical Installation</v>
          </cell>
          <cell r="B108">
            <v>10</v>
          </cell>
          <cell r="C108" t="str">
            <v>Depreciation &amp; Amortisation</v>
          </cell>
          <cell r="D108" t="str">
            <v>Depreciation</v>
          </cell>
          <cell r="E108">
            <v>1885458</v>
          </cell>
          <cell r="F108">
            <v>0</v>
          </cell>
          <cell r="G108">
            <v>1885458</v>
          </cell>
          <cell r="H108">
            <v>0</v>
          </cell>
          <cell r="I108">
            <v>0</v>
          </cell>
          <cell r="J108">
            <v>0</v>
          </cell>
        </row>
        <row r="109">
          <cell r="A109" t="str">
            <v>Depreciation On Building</v>
          </cell>
          <cell r="B109">
            <v>10</v>
          </cell>
          <cell r="C109" t="str">
            <v>Depreciation &amp; Amortisation</v>
          </cell>
          <cell r="D109" t="str">
            <v>Depreciation</v>
          </cell>
          <cell r="E109">
            <v>1743151</v>
          </cell>
          <cell r="F109">
            <v>0</v>
          </cell>
          <cell r="G109">
            <v>1743151</v>
          </cell>
          <cell r="H109">
            <v>0</v>
          </cell>
          <cell r="I109">
            <v>0</v>
          </cell>
          <cell r="J109">
            <v>0</v>
          </cell>
        </row>
        <row r="110">
          <cell r="A110" t="str">
            <v>Depreciation On Computer</v>
          </cell>
          <cell r="B110">
            <v>10</v>
          </cell>
          <cell r="C110" t="str">
            <v>Depreciation &amp; Amortisation</v>
          </cell>
          <cell r="D110" t="str">
            <v>Depreciation</v>
          </cell>
          <cell r="E110">
            <v>92736</v>
          </cell>
          <cell r="F110">
            <v>0</v>
          </cell>
          <cell r="G110">
            <v>92736</v>
          </cell>
          <cell r="H110">
            <v>0</v>
          </cell>
          <cell r="I110">
            <v>0</v>
          </cell>
          <cell r="J110">
            <v>0</v>
          </cell>
        </row>
        <row r="111">
          <cell r="A111" t="str">
            <v>Depreciation on Furniture &amp; Fixture</v>
          </cell>
          <cell r="B111">
            <v>10</v>
          </cell>
          <cell r="C111" t="str">
            <v>Depreciation &amp; Amortisation</v>
          </cell>
          <cell r="D111" t="str">
            <v>Depreciation</v>
          </cell>
          <cell r="E111">
            <v>57979</v>
          </cell>
          <cell r="F111">
            <v>0</v>
          </cell>
          <cell r="G111">
            <v>57979</v>
          </cell>
          <cell r="H111">
            <v>0</v>
          </cell>
          <cell r="I111">
            <v>0</v>
          </cell>
          <cell r="J111">
            <v>0</v>
          </cell>
        </row>
        <row r="112">
          <cell r="A112" t="str">
            <v>Depreciation on Office Equipment</v>
          </cell>
          <cell r="B112">
            <v>10</v>
          </cell>
          <cell r="C112" t="str">
            <v>Depreciation &amp; Amortisation</v>
          </cell>
          <cell r="D112" t="str">
            <v>Depreciation</v>
          </cell>
          <cell r="E112">
            <v>24077</v>
          </cell>
          <cell r="F112">
            <v>0</v>
          </cell>
          <cell r="G112">
            <v>24077</v>
          </cell>
          <cell r="H112">
            <v>0</v>
          </cell>
          <cell r="I112">
            <v>0</v>
          </cell>
          <cell r="J112">
            <v>0</v>
          </cell>
        </row>
        <row r="113">
          <cell r="A113" t="str">
            <v>Depreciation On Plant &amp; Machinery</v>
          </cell>
          <cell r="B113">
            <v>10</v>
          </cell>
          <cell r="C113" t="str">
            <v>Depreciation &amp; Amortisation</v>
          </cell>
          <cell r="D113" t="str">
            <v>Depreciation</v>
          </cell>
          <cell r="E113">
            <v>13101740</v>
          </cell>
          <cell r="F113">
            <v>0</v>
          </cell>
          <cell r="G113">
            <v>13101740</v>
          </cell>
          <cell r="H113">
            <v>0</v>
          </cell>
          <cell r="I113">
            <v>0</v>
          </cell>
          <cell r="J113">
            <v>0</v>
          </cell>
        </row>
        <row r="114">
          <cell r="A114" t="str">
            <v>Depreciation on Vehicle</v>
          </cell>
          <cell r="B114">
            <v>10</v>
          </cell>
          <cell r="C114" t="str">
            <v>Depreciation &amp; Amortisation</v>
          </cell>
          <cell r="D114" t="str">
            <v>Depreciation</v>
          </cell>
          <cell r="E114">
            <v>287798</v>
          </cell>
          <cell r="F114">
            <v>0</v>
          </cell>
          <cell r="G114">
            <v>287798</v>
          </cell>
          <cell r="H114">
            <v>0</v>
          </cell>
          <cell r="I114">
            <v>0</v>
          </cell>
          <cell r="J114">
            <v>0</v>
          </cell>
        </row>
        <row r="115">
          <cell r="A115" t="str">
            <v>DEV CHEMICAL</v>
          </cell>
          <cell r="B115">
            <v>15</v>
          </cell>
          <cell r="C115" t="str">
            <v>Trade Receivables</v>
          </cell>
          <cell r="D115" t="str">
            <v>Other Debts</v>
          </cell>
          <cell r="E115">
            <v>0</v>
          </cell>
          <cell r="F115">
            <v>0</v>
          </cell>
          <cell r="G115">
            <v>0</v>
          </cell>
          <cell r="H115">
            <v>10037</v>
          </cell>
          <cell r="I115">
            <v>0</v>
          </cell>
          <cell r="J115">
            <v>10037</v>
          </cell>
        </row>
        <row r="116">
          <cell r="A116" t="str">
            <v>Dhanraj Raut</v>
          </cell>
          <cell r="B116">
            <v>12</v>
          </cell>
          <cell r="C116" t="str">
            <v>Long Term Loans &amp; Advances</v>
          </cell>
          <cell r="D116" t="str">
            <v>Loans and Advances to Employees</v>
          </cell>
          <cell r="E116">
            <v>0</v>
          </cell>
          <cell r="F116">
            <v>0</v>
          </cell>
          <cell r="G116">
            <v>0</v>
          </cell>
          <cell r="H116">
            <v>0</v>
          </cell>
          <cell r="I116">
            <v>0</v>
          </cell>
          <cell r="J116">
            <v>0</v>
          </cell>
        </row>
        <row r="117">
          <cell r="A117" t="str">
            <v>Dhawal Dinesh Kawade</v>
          </cell>
          <cell r="B117">
            <v>7</v>
          </cell>
          <cell r="C117" t="str">
            <v>Trade Payables</v>
          </cell>
          <cell r="D117" t="str">
            <v>Trade Payables</v>
          </cell>
          <cell r="E117">
            <v>0</v>
          </cell>
          <cell r="F117">
            <v>0</v>
          </cell>
          <cell r="G117">
            <v>0</v>
          </cell>
          <cell r="H117">
            <v>29160</v>
          </cell>
          <cell r="I117">
            <v>0</v>
          </cell>
          <cell r="J117">
            <v>29160</v>
          </cell>
        </row>
        <row r="118">
          <cell r="A118" t="str">
            <v>DILIPKUMAR PATEL</v>
          </cell>
          <cell r="B118">
            <v>12</v>
          </cell>
          <cell r="C118" t="str">
            <v>Long Term Loans &amp; Advances</v>
          </cell>
          <cell r="D118" t="str">
            <v>Loans and Advances to Employees</v>
          </cell>
          <cell r="E118">
            <v>0</v>
          </cell>
          <cell r="F118">
            <v>0</v>
          </cell>
          <cell r="G118">
            <v>0</v>
          </cell>
          <cell r="H118">
            <v>0</v>
          </cell>
          <cell r="I118">
            <v>0</v>
          </cell>
          <cell r="J118">
            <v>0</v>
          </cell>
        </row>
        <row r="119">
          <cell r="A119" t="str">
            <v>Directors Sitting Fees</v>
          </cell>
          <cell r="B119">
            <v>24</v>
          </cell>
          <cell r="C119" t="str">
            <v>Employee Benefit Expenses</v>
          </cell>
          <cell r="D119" t="str">
            <v>Salary &amp; Wages</v>
          </cell>
          <cell r="E119">
            <v>15000</v>
          </cell>
          <cell r="F119">
            <v>0</v>
          </cell>
          <cell r="G119">
            <v>15000</v>
          </cell>
          <cell r="H119">
            <v>0</v>
          </cell>
          <cell r="I119">
            <v>0</v>
          </cell>
          <cell r="J119">
            <v>0</v>
          </cell>
        </row>
        <row r="120">
          <cell r="A120" t="str">
            <v>Discount &amp; Billing Diff Account (HSN/SAC: 4804)</v>
          </cell>
          <cell r="B120">
            <v>19</v>
          </cell>
          <cell r="C120" t="str">
            <v>Revenue From Operations</v>
          </cell>
          <cell r="D120" t="str">
            <v>Sale of Goods - Manufacturing Sales</v>
          </cell>
          <cell r="E120">
            <v>30585779</v>
          </cell>
          <cell r="F120">
            <v>0</v>
          </cell>
          <cell r="G120">
            <v>30585779</v>
          </cell>
          <cell r="H120">
            <v>0</v>
          </cell>
          <cell r="I120">
            <v>0</v>
          </cell>
          <cell r="J120">
            <v>0</v>
          </cell>
        </row>
        <row r="121">
          <cell r="A121" t="str">
            <v>DISTRIBUTION LOGISTICS INFRASTRUCTURE PVT.LTD.</v>
          </cell>
          <cell r="B121">
            <v>7</v>
          </cell>
          <cell r="C121" t="str">
            <v>Trade Payables</v>
          </cell>
          <cell r="D121" t="str">
            <v>Trade Payables - Others</v>
          </cell>
          <cell r="E121">
            <v>0</v>
          </cell>
          <cell r="F121">
            <v>0</v>
          </cell>
          <cell r="G121">
            <v>0</v>
          </cell>
          <cell r="H121">
            <v>49644.76</v>
          </cell>
          <cell r="I121">
            <v>0</v>
          </cell>
          <cell r="J121">
            <v>49644.76</v>
          </cell>
        </row>
        <row r="122">
          <cell r="A122" t="str">
            <v>Dividend Payable</v>
          </cell>
          <cell r="B122">
            <v>8</v>
          </cell>
          <cell r="C122" t="str">
            <v>Other Current Liabilities</v>
          </cell>
          <cell r="D122" t="str">
            <v>Dividend Payable</v>
          </cell>
          <cell r="E122">
            <v>0</v>
          </cell>
          <cell r="F122">
            <v>0</v>
          </cell>
          <cell r="G122">
            <v>0</v>
          </cell>
          <cell r="H122">
            <v>0</v>
          </cell>
          <cell r="I122">
            <v>0</v>
          </cell>
          <cell r="J122">
            <v>0</v>
          </cell>
        </row>
        <row r="123">
          <cell r="A123" t="str">
            <v>Payable to Investor education &amp; Protection Fund</v>
          </cell>
          <cell r="B123">
            <v>8</v>
          </cell>
          <cell r="C123" t="str">
            <v>Other Current Liabilities</v>
          </cell>
          <cell r="D123" t="str">
            <v>Dividend Payable</v>
          </cell>
          <cell r="E123">
            <v>0</v>
          </cell>
          <cell r="F123">
            <v>0</v>
          </cell>
          <cell r="G123">
            <v>0</v>
          </cell>
          <cell r="H123">
            <v>85050</v>
          </cell>
          <cell r="I123">
            <v>-750</v>
          </cell>
          <cell r="J123">
            <v>84300</v>
          </cell>
        </row>
        <row r="124">
          <cell r="A124" t="str">
            <v>Donation Account</v>
          </cell>
          <cell r="B124">
            <v>26</v>
          </cell>
          <cell r="C124" t="str">
            <v>Other Expenses</v>
          </cell>
          <cell r="D124" t="str">
            <v>Donation</v>
          </cell>
          <cell r="E124">
            <v>13002</v>
          </cell>
          <cell r="F124">
            <v>0</v>
          </cell>
          <cell r="G124">
            <v>13002</v>
          </cell>
          <cell r="H124">
            <v>0</v>
          </cell>
          <cell r="I124">
            <v>0</v>
          </cell>
          <cell r="J124">
            <v>0</v>
          </cell>
        </row>
        <row r="125">
          <cell r="A125" t="str">
            <v>Drashta Power Consultants Pvt. Ltd.</v>
          </cell>
          <cell r="B125">
            <v>17</v>
          </cell>
          <cell r="C125" t="str">
            <v>Short Term Loans &amp; Advances</v>
          </cell>
          <cell r="D125" t="str">
            <v>Advance to Suppliers</v>
          </cell>
          <cell r="E125">
            <v>18000</v>
          </cell>
          <cell r="F125">
            <v>0</v>
          </cell>
          <cell r="G125">
            <v>18000</v>
          </cell>
          <cell r="H125">
            <v>0</v>
          </cell>
          <cell r="I125">
            <v>0</v>
          </cell>
          <cell r="J125">
            <v>0</v>
          </cell>
        </row>
        <row r="126">
          <cell r="A126" t="str">
            <v>DURGA INDUSTRIAL  SECURITY, NAGPUR</v>
          </cell>
          <cell r="B126">
            <v>7</v>
          </cell>
          <cell r="C126" t="str">
            <v>Trade Payables</v>
          </cell>
          <cell r="D126" t="str">
            <v>Trade Payables</v>
          </cell>
          <cell r="E126">
            <v>0</v>
          </cell>
          <cell r="F126">
            <v>0</v>
          </cell>
          <cell r="G126">
            <v>0</v>
          </cell>
          <cell r="H126">
            <v>56640</v>
          </cell>
          <cell r="I126">
            <v>0</v>
          </cell>
          <cell r="J126">
            <v>56640</v>
          </cell>
        </row>
        <row r="127">
          <cell r="A127" t="str">
            <v>Durga Traders</v>
          </cell>
          <cell r="B127">
            <v>7</v>
          </cell>
          <cell r="C127" t="str">
            <v>Trade Payables</v>
          </cell>
          <cell r="D127" t="str">
            <v>Trade Payables</v>
          </cell>
          <cell r="E127">
            <v>0</v>
          </cell>
          <cell r="F127">
            <v>0</v>
          </cell>
          <cell r="G127">
            <v>0</v>
          </cell>
          <cell r="H127">
            <v>5099431</v>
          </cell>
          <cell r="I127">
            <v>0</v>
          </cell>
          <cell r="J127">
            <v>5099431</v>
          </cell>
        </row>
        <row r="128">
          <cell r="A128" t="str">
            <v>ECONOMIC PACKAGING CORPORATION</v>
          </cell>
          <cell r="B128">
            <v>15</v>
          </cell>
          <cell r="C128" t="str">
            <v>Trade Receivables</v>
          </cell>
          <cell r="D128" t="str">
            <v>Other Debts</v>
          </cell>
          <cell r="E128">
            <v>0</v>
          </cell>
          <cell r="F128">
            <v>0</v>
          </cell>
          <cell r="G128">
            <v>0</v>
          </cell>
          <cell r="H128">
            <v>0</v>
          </cell>
          <cell r="I128">
            <v>0</v>
          </cell>
          <cell r="J128">
            <v>0</v>
          </cell>
        </row>
        <row r="129">
          <cell r="A129" t="str">
            <v>Electrical Installation</v>
          </cell>
          <cell r="B129">
            <v>10</v>
          </cell>
          <cell r="C129" t="str">
            <v>Fixed Assets</v>
          </cell>
          <cell r="D129" t="str">
            <v>Tangible Asset</v>
          </cell>
          <cell r="E129">
            <v>28473033.399999999</v>
          </cell>
          <cell r="F129">
            <v>0</v>
          </cell>
          <cell r="G129">
            <v>28473033.399999999</v>
          </cell>
          <cell r="H129">
            <v>0</v>
          </cell>
          <cell r="I129">
            <v>0</v>
          </cell>
          <cell r="J129">
            <v>0</v>
          </cell>
        </row>
        <row r="130">
          <cell r="A130" t="str">
            <v>Equity Share Capital</v>
          </cell>
          <cell r="B130">
            <v>2</v>
          </cell>
          <cell r="C130" t="str">
            <v>Share Capital</v>
          </cell>
          <cell r="D130" t="str">
            <v>Issued, Subscribed &amp; Paid Up</v>
          </cell>
          <cell r="E130">
            <v>0</v>
          </cell>
          <cell r="F130">
            <v>0</v>
          </cell>
          <cell r="G130">
            <v>0</v>
          </cell>
          <cell r="H130">
            <v>26922650</v>
          </cell>
          <cell r="I130">
            <v>0</v>
          </cell>
          <cell r="J130">
            <v>26922650</v>
          </cell>
        </row>
        <row r="131">
          <cell r="A131" t="str">
            <v>ESIC (Employees State Insurance Corpn)</v>
          </cell>
          <cell r="B131">
            <v>24</v>
          </cell>
          <cell r="C131" t="str">
            <v>Employee Benefit Expenses</v>
          </cell>
          <cell r="D131" t="str">
            <v>Contribution to Funds</v>
          </cell>
          <cell r="E131">
            <v>236394</v>
          </cell>
          <cell r="F131">
            <v>0</v>
          </cell>
          <cell r="G131">
            <v>236394</v>
          </cell>
          <cell r="H131">
            <v>0</v>
          </cell>
          <cell r="I131">
            <v>0</v>
          </cell>
          <cell r="J131">
            <v>0</v>
          </cell>
        </row>
        <row r="132">
          <cell r="A132" t="str">
            <v>E-TDS Filing Charges</v>
          </cell>
          <cell r="B132">
            <v>26</v>
          </cell>
          <cell r="C132" t="str">
            <v>Other Expenses</v>
          </cell>
          <cell r="D132" t="str">
            <v>Establishment Expenses-Rates &amp; Taxes</v>
          </cell>
          <cell r="E132">
            <v>0</v>
          </cell>
          <cell r="F132">
            <v>0</v>
          </cell>
          <cell r="G132">
            <v>0</v>
          </cell>
          <cell r="H132">
            <v>0</v>
          </cell>
          <cell r="I132">
            <v>0</v>
          </cell>
          <cell r="J132">
            <v>0</v>
          </cell>
        </row>
        <row r="133">
          <cell r="A133" t="str">
            <v>E-Voting Expenses</v>
          </cell>
          <cell r="B133">
            <v>26</v>
          </cell>
          <cell r="C133" t="str">
            <v>Other Expenses</v>
          </cell>
          <cell r="D133" t="str">
            <v>Establishment Expenses-Rates &amp; Taxes</v>
          </cell>
          <cell r="E133">
            <v>57414</v>
          </cell>
          <cell r="F133">
            <v>0</v>
          </cell>
          <cell r="G133">
            <v>57414</v>
          </cell>
          <cell r="H133">
            <v>0</v>
          </cell>
          <cell r="I133">
            <v>0</v>
          </cell>
          <cell r="J133">
            <v>0</v>
          </cell>
        </row>
        <row r="134">
          <cell r="A134" t="str">
            <v>Ex Gratia Payment</v>
          </cell>
          <cell r="B134">
            <v>24</v>
          </cell>
          <cell r="C134" t="str">
            <v>Employee Benefit Expenses</v>
          </cell>
          <cell r="D134" t="str">
            <v>Salary &amp; Wages</v>
          </cell>
          <cell r="E134">
            <v>0</v>
          </cell>
          <cell r="F134">
            <v>0</v>
          </cell>
          <cell r="G134">
            <v>0</v>
          </cell>
          <cell r="H134">
            <v>0</v>
          </cell>
          <cell r="I134">
            <v>0</v>
          </cell>
          <cell r="J134">
            <v>0</v>
          </cell>
        </row>
        <row r="135">
          <cell r="A135" t="str">
            <v>Excise Aud Para Expenses</v>
          </cell>
          <cell r="B135">
            <v>26</v>
          </cell>
          <cell r="C135" t="str">
            <v>Other Expenses</v>
          </cell>
          <cell r="D135" t="str">
            <v>Establishment Expenses-Rates &amp; Taxes</v>
          </cell>
          <cell r="E135">
            <v>0</v>
          </cell>
          <cell r="F135">
            <v>0</v>
          </cell>
          <cell r="G135">
            <v>0</v>
          </cell>
          <cell r="H135">
            <v>0</v>
          </cell>
          <cell r="I135">
            <v>0</v>
          </cell>
          <cell r="J135">
            <v>0</v>
          </cell>
        </row>
        <row r="136">
          <cell r="A136" t="str">
            <v>Exempted Ag.Chemical Purchase</v>
          </cell>
          <cell r="B136">
            <v>22</v>
          </cell>
          <cell r="C136" t="str">
            <v>Raw Material Consumed</v>
          </cell>
          <cell r="D136" t="str">
            <v>Raw Material Purchase</v>
          </cell>
          <cell r="E136">
            <v>0</v>
          </cell>
          <cell r="F136">
            <v>0</v>
          </cell>
          <cell r="G136">
            <v>0</v>
          </cell>
          <cell r="H136">
            <v>0</v>
          </cell>
          <cell r="I136">
            <v>0</v>
          </cell>
          <cell r="J136">
            <v>0</v>
          </cell>
        </row>
        <row r="137">
          <cell r="A137" t="str">
            <v>Export Expenses for Clearing &amp; Forwarding</v>
          </cell>
          <cell r="B137">
            <v>26</v>
          </cell>
          <cell r="C137" t="str">
            <v>Other Expenses</v>
          </cell>
          <cell r="D137" t="str">
            <v>Selling &amp; Dist.-Discount &amp; Commission</v>
          </cell>
          <cell r="E137">
            <v>491501</v>
          </cell>
          <cell r="F137">
            <v>0</v>
          </cell>
          <cell r="G137">
            <v>491501</v>
          </cell>
          <cell r="H137">
            <v>0</v>
          </cell>
          <cell r="I137">
            <v>0</v>
          </cell>
          <cell r="J137">
            <v>0</v>
          </cell>
        </row>
        <row r="138">
          <cell r="A138" t="str">
            <v>EXPORT SALE</v>
          </cell>
          <cell r="B138">
            <v>19</v>
          </cell>
          <cell r="C138" t="str">
            <v>Revenue From Operations</v>
          </cell>
          <cell r="D138" t="str">
            <v>Sale of Goods - Manufacturing Sales</v>
          </cell>
          <cell r="E138">
            <v>0</v>
          </cell>
          <cell r="F138">
            <v>0</v>
          </cell>
          <cell r="G138">
            <v>0</v>
          </cell>
          <cell r="H138">
            <v>10652264</v>
          </cell>
          <cell r="I138">
            <v>0</v>
          </cell>
          <cell r="J138">
            <v>10652264</v>
          </cell>
        </row>
        <row r="139">
          <cell r="A139" t="str">
            <v>Factory Cleaning Charges</v>
          </cell>
          <cell r="B139">
            <v>26</v>
          </cell>
          <cell r="C139" t="str">
            <v>Other Expenses</v>
          </cell>
          <cell r="D139" t="str">
            <v>Manufacturing Expenses - Factory Expenses</v>
          </cell>
          <cell r="E139">
            <v>58090</v>
          </cell>
          <cell r="F139">
            <v>0</v>
          </cell>
          <cell r="G139">
            <v>58090</v>
          </cell>
          <cell r="H139">
            <v>0</v>
          </cell>
          <cell r="I139">
            <v>0</v>
          </cell>
          <cell r="J139">
            <v>0</v>
          </cell>
        </row>
        <row r="140">
          <cell r="A140" t="str">
            <v>Factory Misc Expenses</v>
          </cell>
          <cell r="B140">
            <v>26</v>
          </cell>
          <cell r="C140" t="str">
            <v>Other Expenses</v>
          </cell>
          <cell r="D140" t="str">
            <v>Manufacturing Expenses - Factory Expenses</v>
          </cell>
          <cell r="E140">
            <v>242450</v>
          </cell>
          <cell r="F140">
            <v>0</v>
          </cell>
          <cell r="G140">
            <v>242450</v>
          </cell>
          <cell r="H140">
            <v>0</v>
          </cell>
          <cell r="I140">
            <v>0</v>
          </cell>
          <cell r="J140">
            <v>0</v>
          </cell>
        </row>
        <row r="141">
          <cell r="A141" t="str">
            <v>Factory Power &amp; Electricity Charges</v>
          </cell>
          <cell r="B141">
            <v>26</v>
          </cell>
          <cell r="C141" t="str">
            <v>Other Expenses</v>
          </cell>
          <cell r="D141" t="str">
            <v>Manufacturing Expenses - Power &amp; Fuel Consumed</v>
          </cell>
          <cell r="E141">
            <v>70499746</v>
          </cell>
          <cell r="F141">
            <v>0</v>
          </cell>
          <cell r="G141">
            <v>70499746</v>
          </cell>
          <cell r="H141">
            <v>0</v>
          </cell>
          <cell r="I141">
            <v>0</v>
          </cell>
          <cell r="J141">
            <v>0</v>
          </cell>
        </row>
        <row r="142">
          <cell r="A142" t="str">
            <v>Factory Tea &amp; Other Expenses</v>
          </cell>
          <cell r="B142">
            <v>26</v>
          </cell>
          <cell r="C142" t="str">
            <v>Other Expenses</v>
          </cell>
          <cell r="D142" t="str">
            <v>Manufacturing Expenses - Factory Expenses</v>
          </cell>
          <cell r="E142">
            <v>289245</v>
          </cell>
          <cell r="F142">
            <v>0</v>
          </cell>
          <cell r="G142">
            <v>289245</v>
          </cell>
          <cell r="H142">
            <v>0</v>
          </cell>
          <cell r="I142">
            <v>0</v>
          </cell>
          <cell r="J142">
            <v>0</v>
          </cell>
        </row>
        <row r="143">
          <cell r="A143" t="str">
            <v>Fees To Registrar</v>
          </cell>
          <cell r="B143">
            <v>26</v>
          </cell>
          <cell r="C143" t="str">
            <v>Other Expenses</v>
          </cell>
          <cell r="D143" t="str">
            <v>Establishment Expenses-Rates &amp; Taxes</v>
          </cell>
          <cell r="E143">
            <v>50000</v>
          </cell>
          <cell r="F143">
            <v>0</v>
          </cell>
          <cell r="G143">
            <v>50000</v>
          </cell>
          <cell r="H143">
            <v>0</v>
          </cell>
          <cell r="I143">
            <v>0</v>
          </cell>
          <cell r="J143">
            <v>0</v>
          </cell>
        </row>
        <row r="144">
          <cell r="A144" t="str">
            <v>Finished Goods Expenses</v>
          </cell>
          <cell r="B144">
            <v>26</v>
          </cell>
          <cell r="C144" t="str">
            <v>Other Expenses</v>
          </cell>
          <cell r="D144" t="str">
            <v>Manufacturing Expenses - Factory Expenses</v>
          </cell>
          <cell r="E144">
            <v>28970.799999999999</v>
          </cell>
          <cell r="F144">
            <v>0</v>
          </cell>
          <cell r="G144">
            <v>28970.799999999999</v>
          </cell>
          <cell r="H144">
            <v>0</v>
          </cell>
          <cell r="I144">
            <v>0</v>
          </cell>
          <cell r="J144">
            <v>0</v>
          </cell>
        </row>
        <row r="145">
          <cell r="A145" t="str">
            <v>Finished Goods Packing &amp; Allied Charges</v>
          </cell>
          <cell r="B145">
            <v>26</v>
          </cell>
          <cell r="C145" t="str">
            <v>Other Expenses</v>
          </cell>
          <cell r="D145" t="str">
            <v>Manufacturin Expenses - FG Packing &amp; Allied Chgs</v>
          </cell>
          <cell r="E145">
            <v>2841598</v>
          </cell>
          <cell r="F145">
            <v>0</v>
          </cell>
          <cell r="G145">
            <v>2841598</v>
          </cell>
          <cell r="H145">
            <v>0</v>
          </cell>
          <cell r="I145">
            <v>0</v>
          </cell>
          <cell r="J145">
            <v>0</v>
          </cell>
        </row>
        <row r="146">
          <cell r="A146" t="str">
            <v>Finished Goods Packing &amp; Allied Payable</v>
          </cell>
          <cell r="B146">
            <v>7</v>
          </cell>
          <cell r="C146" t="str">
            <v>Trade Payables</v>
          </cell>
          <cell r="D146" t="str">
            <v>Trade Payables - Others</v>
          </cell>
          <cell r="E146">
            <v>0</v>
          </cell>
          <cell r="F146">
            <v>0</v>
          </cell>
          <cell r="G146">
            <v>0</v>
          </cell>
          <cell r="H146">
            <v>303501</v>
          </cell>
          <cell r="I146">
            <v>0</v>
          </cell>
          <cell r="J146">
            <v>303501</v>
          </cell>
        </row>
        <row r="147">
          <cell r="A147" t="str">
            <v>First Flight Couriers Ltd.</v>
          </cell>
          <cell r="B147">
            <v>7</v>
          </cell>
          <cell r="C147" t="str">
            <v>Trade Payables</v>
          </cell>
          <cell r="D147" t="str">
            <v>Trade Payables</v>
          </cell>
          <cell r="E147">
            <v>0</v>
          </cell>
          <cell r="F147">
            <v>0</v>
          </cell>
          <cell r="G147">
            <v>0</v>
          </cell>
          <cell r="H147">
            <v>0</v>
          </cell>
          <cell r="I147">
            <v>0</v>
          </cell>
          <cell r="J147">
            <v>0</v>
          </cell>
        </row>
        <row r="148">
          <cell r="A148" t="str">
            <v>Flexible Abrasives Pvt.Ltd., Ar'bad</v>
          </cell>
          <cell r="B148">
            <v>7</v>
          </cell>
          <cell r="C148" t="str">
            <v>Trade Payables</v>
          </cell>
          <cell r="D148" t="str">
            <v>Trade Payables</v>
          </cell>
          <cell r="E148">
            <v>0</v>
          </cell>
          <cell r="F148">
            <v>0</v>
          </cell>
          <cell r="G148">
            <v>0</v>
          </cell>
          <cell r="H148">
            <v>0</v>
          </cell>
          <cell r="I148">
            <v>0</v>
          </cell>
          <cell r="J148">
            <v>0</v>
          </cell>
        </row>
        <row r="149">
          <cell r="A149" t="str">
            <v>For B G Rs.58000/- (AC 325726636355)</v>
          </cell>
          <cell r="B149">
            <v>13</v>
          </cell>
          <cell r="C149" t="str">
            <v>Other Non-Current Assets</v>
          </cell>
          <cell r="D149" t="str">
            <v>Balance with Bank in Deposit Accounts</v>
          </cell>
          <cell r="E149">
            <v>0</v>
          </cell>
          <cell r="F149">
            <v>0</v>
          </cell>
          <cell r="G149">
            <v>0</v>
          </cell>
          <cell r="H149">
            <v>0</v>
          </cell>
          <cell r="I149">
            <v>0</v>
          </cell>
          <cell r="J149">
            <v>0</v>
          </cell>
        </row>
        <row r="150">
          <cell r="A150" t="str">
            <v>For BG 350000 for WCL :A/c 34928264708</v>
          </cell>
          <cell r="B150">
            <v>13</v>
          </cell>
          <cell r="C150" t="str">
            <v>Other Non-Current Assets</v>
          </cell>
          <cell r="D150" t="str">
            <v>Balance with Bank in Deposit Accounts</v>
          </cell>
          <cell r="E150">
            <v>447710</v>
          </cell>
          <cell r="F150">
            <v>0</v>
          </cell>
          <cell r="G150">
            <v>447710</v>
          </cell>
          <cell r="H150">
            <v>0</v>
          </cell>
          <cell r="I150">
            <v>0</v>
          </cell>
          <cell r="J150">
            <v>0</v>
          </cell>
        </row>
        <row r="151">
          <cell r="A151" t="str">
            <v>For BG[MSEB] 12.50 LAC :A/c 35633066338</v>
          </cell>
          <cell r="B151">
            <v>13</v>
          </cell>
          <cell r="C151" t="str">
            <v>Other Non-Current Assets</v>
          </cell>
          <cell r="D151" t="str">
            <v>Balance with Bank in Deposit Accounts</v>
          </cell>
          <cell r="E151">
            <v>1508572</v>
          </cell>
          <cell r="F151">
            <v>0</v>
          </cell>
          <cell r="G151">
            <v>1508572</v>
          </cell>
          <cell r="H151">
            <v>0</v>
          </cell>
          <cell r="I151">
            <v>0</v>
          </cell>
          <cell r="J151">
            <v>0</v>
          </cell>
        </row>
        <row r="152">
          <cell r="A152" t="str">
            <v>Foreign Exchange Fluctuation</v>
          </cell>
          <cell r="B152">
            <v>20</v>
          </cell>
          <cell r="C152" t="str">
            <v>Other Income</v>
          </cell>
          <cell r="D152" t="str">
            <v>Foreign Exchange Fluctuation Gain on RM</v>
          </cell>
          <cell r="E152">
            <v>0</v>
          </cell>
          <cell r="F152">
            <v>0</v>
          </cell>
          <cell r="G152">
            <v>0</v>
          </cell>
          <cell r="H152">
            <v>588805</v>
          </cell>
          <cell r="I152">
            <v>0</v>
          </cell>
          <cell r="J152">
            <v>588805</v>
          </cell>
        </row>
        <row r="153">
          <cell r="A153" t="str">
            <v>Franking Charges for Import O.C.C.</v>
          </cell>
          <cell r="B153">
            <v>22</v>
          </cell>
          <cell r="C153" t="str">
            <v>Raw Material Consumed</v>
          </cell>
          <cell r="D153" t="str">
            <v>Raw Material Purchase</v>
          </cell>
          <cell r="E153">
            <v>358420</v>
          </cell>
          <cell r="F153">
            <v>0</v>
          </cell>
          <cell r="G153">
            <v>358420</v>
          </cell>
          <cell r="H153">
            <v>0</v>
          </cell>
          <cell r="I153">
            <v>0</v>
          </cell>
          <cell r="J153">
            <v>0</v>
          </cell>
        </row>
        <row r="154">
          <cell r="A154" t="str">
            <v>Franking Charges Payable Ag Import OCC</v>
          </cell>
          <cell r="B154">
            <v>7</v>
          </cell>
          <cell r="C154" t="str">
            <v>Trade Payables</v>
          </cell>
          <cell r="D154" t="str">
            <v>Trade Payables - Others</v>
          </cell>
          <cell r="E154">
            <v>0</v>
          </cell>
          <cell r="F154">
            <v>0</v>
          </cell>
          <cell r="G154">
            <v>0</v>
          </cell>
          <cell r="H154">
            <v>83450</v>
          </cell>
          <cell r="I154">
            <v>0</v>
          </cell>
          <cell r="J154">
            <v>83450</v>
          </cell>
        </row>
        <row r="155">
          <cell r="A155" t="str">
            <v>Freehold Land</v>
          </cell>
          <cell r="B155">
            <v>10</v>
          </cell>
          <cell r="C155" t="str">
            <v>Fixed Assets</v>
          </cell>
          <cell r="D155" t="str">
            <v>Tangible Asset</v>
          </cell>
          <cell r="E155">
            <v>33965000</v>
          </cell>
          <cell r="F155">
            <v>0</v>
          </cell>
          <cell r="G155">
            <v>33965000</v>
          </cell>
          <cell r="H155">
            <v>0</v>
          </cell>
          <cell r="I155">
            <v>0</v>
          </cell>
          <cell r="J155">
            <v>0</v>
          </cell>
        </row>
        <row r="156">
          <cell r="A156" t="str">
            <v>FREIGHT ( SALES)</v>
          </cell>
          <cell r="B156">
            <v>19</v>
          </cell>
          <cell r="C156" t="str">
            <v>Revenue From Operations</v>
          </cell>
          <cell r="D156" t="str">
            <v>Sale of Goods - Manufacturing Sales</v>
          </cell>
          <cell r="E156">
            <v>0</v>
          </cell>
          <cell r="F156">
            <v>0</v>
          </cell>
          <cell r="G156">
            <v>0</v>
          </cell>
          <cell r="H156">
            <v>1160</v>
          </cell>
          <cell r="I156">
            <v>0</v>
          </cell>
          <cell r="J156">
            <v>1160</v>
          </cell>
        </row>
        <row r="157">
          <cell r="A157" t="str">
            <v>Furniture &amp; Fixture</v>
          </cell>
          <cell r="B157">
            <v>10</v>
          </cell>
          <cell r="C157" t="str">
            <v>Fixed Assets</v>
          </cell>
          <cell r="D157" t="str">
            <v>Tangible Asset</v>
          </cell>
          <cell r="E157">
            <v>1820294</v>
          </cell>
          <cell r="F157">
            <v>0</v>
          </cell>
          <cell r="G157">
            <v>1820294</v>
          </cell>
          <cell r="H157">
            <v>0</v>
          </cell>
          <cell r="I157">
            <v>0</v>
          </cell>
          <cell r="J157">
            <v>0</v>
          </cell>
        </row>
        <row r="158">
          <cell r="A158" t="str">
            <v>Ganga Iron &amp; Steel Trading Co.Ltd.</v>
          </cell>
          <cell r="B158">
            <v>7</v>
          </cell>
          <cell r="C158" t="str">
            <v>Trade Payables</v>
          </cell>
          <cell r="D158" t="str">
            <v>Trade Payables</v>
          </cell>
          <cell r="E158">
            <v>0</v>
          </cell>
          <cell r="F158">
            <v>0</v>
          </cell>
          <cell r="G158">
            <v>0</v>
          </cell>
          <cell r="H158">
            <v>136007</v>
          </cell>
          <cell r="I158">
            <v>0</v>
          </cell>
          <cell r="J158">
            <v>136007</v>
          </cell>
        </row>
        <row r="159">
          <cell r="A159" t="str">
            <v>Ganpat Steel Industries</v>
          </cell>
          <cell r="B159">
            <v>7</v>
          </cell>
          <cell r="C159" t="str">
            <v>Trade Payables</v>
          </cell>
          <cell r="D159" t="str">
            <v>Trade Payables</v>
          </cell>
          <cell r="E159">
            <v>0</v>
          </cell>
          <cell r="F159">
            <v>0</v>
          </cell>
          <cell r="G159">
            <v>0</v>
          </cell>
          <cell r="H159">
            <v>0</v>
          </cell>
          <cell r="I159">
            <v>0</v>
          </cell>
          <cell r="J159">
            <v>0</v>
          </cell>
        </row>
        <row r="160">
          <cell r="A160" t="str">
            <v>General Reserves</v>
          </cell>
          <cell r="B160">
            <v>3</v>
          </cell>
          <cell r="C160" t="str">
            <v>Reserves &amp; Surplus</v>
          </cell>
          <cell r="D160" t="str">
            <v>General Reserve</v>
          </cell>
          <cell r="E160">
            <v>0</v>
          </cell>
          <cell r="F160">
            <v>0</v>
          </cell>
          <cell r="G160">
            <v>0</v>
          </cell>
          <cell r="H160">
            <v>1800000</v>
          </cell>
          <cell r="I160">
            <v>0</v>
          </cell>
          <cell r="J160">
            <v>1800000</v>
          </cell>
        </row>
        <row r="161">
          <cell r="A161" t="str">
            <v>Globe Engineering Company</v>
          </cell>
          <cell r="B161">
            <v>7</v>
          </cell>
          <cell r="C161" t="str">
            <v>Trade Payables</v>
          </cell>
          <cell r="D161" t="str">
            <v>Trade Payables</v>
          </cell>
          <cell r="E161">
            <v>0</v>
          </cell>
          <cell r="F161">
            <v>0</v>
          </cell>
          <cell r="G161">
            <v>0</v>
          </cell>
          <cell r="H161">
            <v>0</v>
          </cell>
          <cell r="I161">
            <v>0</v>
          </cell>
          <cell r="J161">
            <v>0</v>
          </cell>
        </row>
        <row r="162">
          <cell r="A162" t="str">
            <v>Gratuity To Staff</v>
          </cell>
          <cell r="B162">
            <v>24</v>
          </cell>
          <cell r="C162" t="str">
            <v>Employee Benefit Expenses</v>
          </cell>
          <cell r="D162" t="str">
            <v>Contribution to Funds</v>
          </cell>
          <cell r="E162">
            <v>850764</v>
          </cell>
          <cell r="F162">
            <v>0</v>
          </cell>
          <cell r="G162">
            <v>850764</v>
          </cell>
          <cell r="H162">
            <v>0</v>
          </cell>
          <cell r="I162">
            <v>0</v>
          </cell>
          <cell r="J162">
            <v>0</v>
          </cell>
        </row>
        <row r="163">
          <cell r="A163" t="str">
            <v>Green Agro Industries</v>
          </cell>
          <cell r="B163">
            <v>7</v>
          </cell>
          <cell r="C163" t="str">
            <v>Trade Payables</v>
          </cell>
          <cell r="D163" t="str">
            <v>Trade Payables - Others</v>
          </cell>
          <cell r="E163">
            <v>0</v>
          </cell>
          <cell r="F163">
            <v>0</v>
          </cell>
          <cell r="G163">
            <v>0</v>
          </cell>
          <cell r="H163">
            <v>175820</v>
          </cell>
          <cell r="I163">
            <v>0</v>
          </cell>
          <cell r="J163">
            <v>175820</v>
          </cell>
        </row>
        <row r="164">
          <cell r="A164" t="str">
            <v>GST Annual Filing Chgs. FY 17-18</v>
          </cell>
          <cell r="B164">
            <v>26</v>
          </cell>
          <cell r="C164" t="str">
            <v>Other Expenses</v>
          </cell>
          <cell r="D164" t="str">
            <v>Establishment Expenses-General Expenses</v>
          </cell>
          <cell r="E164">
            <v>25123</v>
          </cell>
          <cell r="F164">
            <v>0</v>
          </cell>
          <cell r="G164">
            <v>25123</v>
          </cell>
          <cell r="H164">
            <v>0</v>
          </cell>
          <cell r="I164">
            <v>0</v>
          </cell>
          <cell r="J164">
            <v>0</v>
          </cell>
        </row>
        <row r="165">
          <cell r="A165" t="str">
            <v>GST Audit Fees</v>
          </cell>
          <cell r="B165">
            <v>26</v>
          </cell>
          <cell r="C165" t="str">
            <v>Other Expenses</v>
          </cell>
          <cell r="D165" t="str">
            <v>Establishment Expenses-Legal &amp; Professional Charges</v>
          </cell>
          <cell r="E165">
            <v>10000</v>
          </cell>
          <cell r="F165">
            <v>0</v>
          </cell>
          <cell r="G165">
            <v>10000</v>
          </cell>
          <cell r="H165">
            <v>0</v>
          </cell>
          <cell r="I165">
            <v>0</v>
          </cell>
          <cell r="J165">
            <v>0</v>
          </cell>
        </row>
        <row r="166">
          <cell r="A166" t="str">
            <v>GST Audit Fees A. Y. 2019-2020</v>
          </cell>
          <cell r="B166">
            <v>26</v>
          </cell>
          <cell r="C166" t="str">
            <v>Other Expenses</v>
          </cell>
          <cell r="D166" t="str">
            <v>Establishment Expenses-Legal &amp; Professional Charges</v>
          </cell>
          <cell r="E166">
            <v>45000</v>
          </cell>
          <cell r="F166">
            <v>0</v>
          </cell>
          <cell r="G166">
            <v>45000</v>
          </cell>
          <cell r="H166">
            <v>0</v>
          </cell>
          <cell r="I166">
            <v>0</v>
          </cell>
          <cell r="J166">
            <v>0</v>
          </cell>
        </row>
        <row r="167">
          <cell r="A167" t="str">
            <v>GST Audit Fees F.Y.2018-19</v>
          </cell>
          <cell r="B167">
            <v>26</v>
          </cell>
          <cell r="C167" t="str">
            <v>Other Expenses</v>
          </cell>
          <cell r="D167" t="str">
            <v>Establishment Expenses-Legal &amp; Professional Charges</v>
          </cell>
          <cell r="E167">
            <v>40000</v>
          </cell>
          <cell r="F167">
            <v>0</v>
          </cell>
          <cell r="G167">
            <v>40000</v>
          </cell>
          <cell r="H167">
            <v>0</v>
          </cell>
          <cell r="I167">
            <v>0</v>
          </cell>
          <cell r="J167">
            <v>0</v>
          </cell>
        </row>
        <row r="168">
          <cell r="A168" t="str">
            <v>GST Audit Fees (Shah Baheti Chandak)</v>
          </cell>
          <cell r="B168">
            <v>26</v>
          </cell>
          <cell r="C168" t="str">
            <v>Other Expenses</v>
          </cell>
          <cell r="D168" t="str">
            <v>Establishment Expenses-Legal &amp; Professional Charges</v>
          </cell>
          <cell r="E168">
            <v>0</v>
          </cell>
          <cell r="F168">
            <v>0</v>
          </cell>
          <cell r="G168">
            <v>0</v>
          </cell>
          <cell r="H168">
            <v>0</v>
          </cell>
          <cell r="I168">
            <v>0</v>
          </cell>
          <cell r="J168">
            <v>0</v>
          </cell>
        </row>
        <row r="169">
          <cell r="A169" t="str">
            <v>GST Audit Fees Payable</v>
          </cell>
          <cell r="B169">
            <v>7</v>
          </cell>
          <cell r="C169" t="str">
            <v>Trade Payables</v>
          </cell>
          <cell r="D169" t="str">
            <v>Trade Payables - Others</v>
          </cell>
          <cell r="E169">
            <v>0</v>
          </cell>
          <cell r="F169">
            <v>0</v>
          </cell>
          <cell r="G169">
            <v>0</v>
          </cell>
          <cell r="H169">
            <v>76500</v>
          </cell>
          <cell r="I169">
            <v>0</v>
          </cell>
          <cell r="J169">
            <v>76500</v>
          </cell>
        </row>
        <row r="170">
          <cell r="A170" t="str">
            <v>GST E-Return Charges</v>
          </cell>
          <cell r="B170">
            <v>26</v>
          </cell>
          <cell r="C170" t="str">
            <v>Other Expenses</v>
          </cell>
          <cell r="D170" t="str">
            <v>Establishment Expenses-General Expenses</v>
          </cell>
          <cell r="E170">
            <v>36000</v>
          </cell>
          <cell r="F170">
            <v>0</v>
          </cell>
          <cell r="G170">
            <v>36000</v>
          </cell>
          <cell r="H170">
            <v>0</v>
          </cell>
          <cell r="I170">
            <v>0</v>
          </cell>
          <cell r="J170">
            <v>0</v>
          </cell>
        </row>
        <row r="171">
          <cell r="A171" t="str">
            <v>Gujrat Ambuja Exports Ltd.,</v>
          </cell>
          <cell r="B171">
            <v>7</v>
          </cell>
          <cell r="C171" t="str">
            <v>Trade Payables</v>
          </cell>
          <cell r="D171" t="str">
            <v>Trade Payables</v>
          </cell>
          <cell r="E171">
            <v>0</v>
          </cell>
          <cell r="F171">
            <v>0</v>
          </cell>
          <cell r="G171">
            <v>0</v>
          </cell>
          <cell r="H171">
            <v>2016000</v>
          </cell>
          <cell r="I171">
            <v>0</v>
          </cell>
          <cell r="J171">
            <v>2016000</v>
          </cell>
        </row>
        <row r="172">
          <cell r="A172" t="str">
            <v>Gupta Machinery Stores, Nagpur</v>
          </cell>
          <cell r="B172">
            <v>7</v>
          </cell>
          <cell r="C172" t="str">
            <v>Trade Payables</v>
          </cell>
          <cell r="D172" t="str">
            <v>Trade Payables - Others</v>
          </cell>
          <cell r="E172">
            <v>0</v>
          </cell>
          <cell r="F172">
            <v>0</v>
          </cell>
          <cell r="G172">
            <v>0</v>
          </cell>
          <cell r="H172">
            <v>7608</v>
          </cell>
          <cell r="I172">
            <v>0</v>
          </cell>
          <cell r="J172">
            <v>7608</v>
          </cell>
        </row>
        <row r="173">
          <cell r="A173" t="str">
            <v>Hazelkaur Manindersingh Saini</v>
          </cell>
          <cell r="B173">
            <v>4</v>
          </cell>
          <cell r="C173" t="str">
            <v>Long Term Borrowings</v>
          </cell>
          <cell r="D173" t="str">
            <v>Unsecured-From Related Party</v>
          </cell>
          <cell r="E173">
            <v>0</v>
          </cell>
          <cell r="F173">
            <v>0</v>
          </cell>
          <cell r="G173">
            <v>0</v>
          </cell>
          <cell r="H173">
            <v>1093348</v>
          </cell>
          <cell r="I173">
            <v>0</v>
          </cell>
          <cell r="J173">
            <v>1093348</v>
          </cell>
        </row>
        <row r="174">
          <cell r="A174" t="str">
            <v>Hemant Mahure</v>
          </cell>
          <cell r="B174">
            <v>12</v>
          </cell>
          <cell r="C174" t="str">
            <v>Long Term Loans &amp; Advances</v>
          </cell>
          <cell r="D174" t="str">
            <v>Loans and Advances to Employees</v>
          </cell>
          <cell r="E174">
            <v>38000</v>
          </cell>
          <cell r="F174">
            <v>0</v>
          </cell>
          <cell r="G174">
            <v>38000</v>
          </cell>
          <cell r="H174">
            <v>0</v>
          </cell>
          <cell r="I174">
            <v>0</v>
          </cell>
          <cell r="J174">
            <v>0</v>
          </cell>
        </row>
        <row r="175">
          <cell r="A175" t="str">
            <v>Hindustan Mill Stores, Nagpur</v>
          </cell>
          <cell r="B175">
            <v>7</v>
          </cell>
          <cell r="C175" t="str">
            <v>Trade Payables</v>
          </cell>
          <cell r="D175" t="str">
            <v>Trade Payables</v>
          </cell>
          <cell r="E175">
            <v>0</v>
          </cell>
          <cell r="F175">
            <v>0</v>
          </cell>
          <cell r="G175">
            <v>0</v>
          </cell>
          <cell r="H175">
            <v>67845.8</v>
          </cell>
          <cell r="I175">
            <v>0</v>
          </cell>
          <cell r="J175">
            <v>67845.8</v>
          </cell>
        </row>
        <row r="176">
          <cell r="A176" t="str">
            <v>HORIZON PACKS PVT. LTD.</v>
          </cell>
          <cell r="B176">
            <v>15</v>
          </cell>
          <cell r="C176" t="str">
            <v>Trade Receivables</v>
          </cell>
          <cell r="D176" t="str">
            <v>Trade Receivables</v>
          </cell>
          <cell r="E176">
            <v>0</v>
          </cell>
          <cell r="F176">
            <v>0</v>
          </cell>
          <cell r="G176">
            <v>0</v>
          </cell>
          <cell r="H176">
            <v>0</v>
          </cell>
          <cell r="I176">
            <v>0</v>
          </cell>
          <cell r="J176">
            <v>0</v>
          </cell>
        </row>
        <row r="177">
          <cell r="A177" t="str">
            <v>House Rent</v>
          </cell>
          <cell r="B177">
            <v>26</v>
          </cell>
          <cell r="C177" t="str">
            <v>Other Expenses</v>
          </cell>
          <cell r="D177" t="str">
            <v>Establishment Expenses-Rent</v>
          </cell>
          <cell r="E177">
            <v>0</v>
          </cell>
          <cell r="F177">
            <v>0</v>
          </cell>
          <cell r="G177">
            <v>0</v>
          </cell>
          <cell r="H177">
            <v>0</v>
          </cell>
          <cell r="I177">
            <v>0</v>
          </cell>
          <cell r="J177">
            <v>0</v>
          </cell>
        </row>
        <row r="178">
          <cell r="A178" t="str">
            <v>IGST Payable ( F. Y. 2018-19)</v>
          </cell>
          <cell r="B178">
            <v>12</v>
          </cell>
          <cell r="C178" t="str">
            <v>Long Term Loans &amp; Advances</v>
          </cell>
          <cell r="D178" t="str">
            <v>GST</v>
          </cell>
          <cell r="E178">
            <v>0</v>
          </cell>
          <cell r="F178">
            <v>0</v>
          </cell>
          <cell r="G178">
            <v>0</v>
          </cell>
          <cell r="H178">
            <v>0</v>
          </cell>
          <cell r="I178">
            <v>0</v>
          </cell>
          <cell r="J178">
            <v>0</v>
          </cell>
        </row>
        <row r="179">
          <cell r="A179" t="str">
            <v>IGST Payable ( F. Y. 2019-20 )</v>
          </cell>
          <cell r="B179">
            <v>12</v>
          </cell>
          <cell r="C179" t="str">
            <v>Long Term Loans &amp; Advances</v>
          </cell>
          <cell r="D179" t="str">
            <v>GST</v>
          </cell>
          <cell r="E179">
            <v>0</v>
          </cell>
          <cell r="F179">
            <v>0</v>
          </cell>
          <cell r="G179">
            <v>0</v>
          </cell>
          <cell r="H179">
            <v>208713.56</v>
          </cell>
          <cell r="I179">
            <v>0</v>
          </cell>
          <cell r="J179">
            <v>208713.56</v>
          </cell>
        </row>
        <row r="180">
          <cell r="A180" t="str">
            <v>IGST Payable (F.Y. 2017-18)</v>
          </cell>
          <cell r="B180">
            <v>12</v>
          </cell>
          <cell r="C180" t="str">
            <v>Long Term Loans &amp; Advances</v>
          </cell>
          <cell r="D180" t="str">
            <v>GST</v>
          </cell>
          <cell r="E180">
            <v>0</v>
          </cell>
          <cell r="F180">
            <v>0</v>
          </cell>
          <cell r="G180">
            <v>0</v>
          </cell>
          <cell r="H180">
            <v>0</v>
          </cell>
          <cell r="I180">
            <v>0</v>
          </cell>
          <cell r="J180">
            <v>0</v>
          </cell>
        </row>
        <row r="181">
          <cell r="A181" t="str">
            <v>IKP Industries Pvt. Ltd.</v>
          </cell>
          <cell r="B181">
            <v>7</v>
          </cell>
          <cell r="C181" t="str">
            <v>Trade Payables</v>
          </cell>
          <cell r="D181" t="str">
            <v>Trade Payables</v>
          </cell>
          <cell r="E181">
            <v>0</v>
          </cell>
          <cell r="F181">
            <v>0</v>
          </cell>
          <cell r="G181">
            <v>0</v>
          </cell>
          <cell r="H181">
            <v>1762042</v>
          </cell>
          <cell r="I181">
            <v>0</v>
          </cell>
          <cell r="J181">
            <v>1762042</v>
          </cell>
        </row>
        <row r="182">
          <cell r="A182" t="str">
            <v>Import Waste Paper Purchase</v>
          </cell>
          <cell r="B182">
            <v>22</v>
          </cell>
          <cell r="C182" t="str">
            <v>Raw Material Consumed</v>
          </cell>
          <cell r="D182" t="str">
            <v>Raw Material Purchase</v>
          </cell>
          <cell r="E182">
            <v>119902440.14</v>
          </cell>
          <cell r="F182">
            <v>0</v>
          </cell>
          <cell r="G182">
            <v>119902440.14</v>
          </cell>
          <cell r="H182">
            <v>0</v>
          </cell>
          <cell r="I182">
            <v>0</v>
          </cell>
          <cell r="J182">
            <v>0</v>
          </cell>
        </row>
        <row r="183">
          <cell r="A183" t="str">
            <v>Incentive/ Bonus Payable</v>
          </cell>
          <cell r="B183">
            <v>9</v>
          </cell>
          <cell r="C183" t="str">
            <v>Short Term Provision</v>
          </cell>
          <cell r="D183" t="str">
            <v>Provision for Employee Benefit</v>
          </cell>
          <cell r="E183">
            <v>0</v>
          </cell>
          <cell r="F183">
            <v>0</v>
          </cell>
          <cell r="G183">
            <v>0</v>
          </cell>
          <cell r="H183">
            <v>1259230</v>
          </cell>
          <cell r="I183">
            <v>0</v>
          </cell>
          <cell r="J183">
            <v>1259230</v>
          </cell>
        </row>
        <row r="184">
          <cell r="A184" t="str">
            <v>Incentive/ Bonus to Staff</v>
          </cell>
          <cell r="B184">
            <v>24</v>
          </cell>
          <cell r="C184" t="str">
            <v>Employee Benefit Expenses</v>
          </cell>
          <cell r="D184" t="str">
            <v>Salary &amp; Wages</v>
          </cell>
          <cell r="E184">
            <v>1259230</v>
          </cell>
          <cell r="F184">
            <v>0</v>
          </cell>
          <cell r="G184">
            <v>1259230</v>
          </cell>
          <cell r="H184">
            <v>0</v>
          </cell>
          <cell r="I184">
            <v>0</v>
          </cell>
          <cell r="J184">
            <v>0</v>
          </cell>
        </row>
        <row r="185">
          <cell r="A185" t="str">
            <v>Inder Trade &amp; Industry, Bikaner</v>
          </cell>
          <cell r="B185">
            <v>7</v>
          </cell>
          <cell r="C185" t="str">
            <v>Trade Payables</v>
          </cell>
          <cell r="D185" t="str">
            <v>Trade Payables</v>
          </cell>
          <cell r="E185">
            <v>0</v>
          </cell>
          <cell r="F185">
            <v>0</v>
          </cell>
          <cell r="G185">
            <v>0</v>
          </cell>
          <cell r="H185">
            <v>0</v>
          </cell>
          <cell r="I185">
            <v>0</v>
          </cell>
          <cell r="J185">
            <v>0</v>
          </cell>
        </row>
        <row r="186">
          <cell r="A186" t="str">
            <v>Indocast Industries</v>
          </cell>
          <cell r="B186">
            <v>7</v>
          </cell>
          <cell r="C186" t="str">
            <v>Trade Payables</v>
          </cell>
          <cell r="D186" t="str">
            <v>Trade Payables</v>
          </cell>
          <cell r="E186">
            <v>0</v>
          </cell>
          <cell r="F186">
            <v>0</v>
          </cell>
          <cell r="G186">
            <v>0</v>
          </cell>
          <cell r="H186">
            <v>102556</v>
          </cell>
          <cell r="I186">
            <v>0</v>
          </cell>
          <cell r="J186">
            <v>102556</v>
          </cell>
        </row>
        <row r="187">
          <cell r="A187" t="str">
            <v>INDRAYANI PAPER PORD. PVT. LTD.</v>
          </cell>
          <cell r="B187">
            <v>15</v>
          </cell>
          <cell r="C187" t="str">
            <v>Trade Receivables</v>
          </cell>
          <cell r="D187" t="str">
            <v>Other Debts</v>
          </cell>
          <cell r="E187">
            <v>238781</v>
          </cell>
          <cell r="F187">
            <v>0</v>
          </cell>
          <cell r="G187">
            <v>238781</v>
          </cell>
          <cell r="H187">
            <v>0</v>
          </cell>
          <cell r="I187">
            <v>0</v>
          </cell>
          <cell r="J187">
            <v>0</v>
          </cell>
        </row>
        <row r="188">
          <cell r="A188" t="str">
            <v>Innovative Solutions &amp; System</v>
          </cell>
          <cell r="B188">
            <v>17</v>
          </cell>
          <cell r="C188" t="str">
            <v>Short Term Loans &amp; Advances</v>
          </cell>
          <cell r="D188" t="str">
            <v>Advance to Suppliers</v>
          </cell>
          <cell r="E188">
            <v>932</v>
          </cell>
          <cell r="F188">
            <v>0</v>
          </cell>
          <cell r="G188">
            <v>932</v>
          </cell>
          <cell r="H188">
            <v>0</v>
          </cell>
          <cell r="I188">
            <v>0</v>
          </cell>
          <cell r="J188">
            <v>0</v>
          </cell>
        </row>
        <row r="189">
          <cell r="A189" t="str">
            <v>Insurance Charges For Marine</v>
          </cell>
          <cell r="B189">
            <v>26</v>
          </cell>
          <cell r="C189" t="str">
            <v>Other Expenses</v>
          </cell>
          <cell r="D189" t="str">
            <v>Selling &amp; Dist.-Insurance on Sales</v>
          </cell>
          <cell r="E189">
            <v>86275</v>
          </cell>
          <cell r="F189">
            <v>0</v>
          </cell>
          <cell r="G189">
            <v>86275</v>
          </cell>
          <cell r="H189">
            <v>0</v>
          </cell>
          <cell r="I189">
            <v>0</v>
          </cell>
          <cell r="J189">
            <v>0</v>
          </cell>
        </row>
        <row r="190">
          <cell r="A190" t="str">
            <v>Insurance Charges for Marine Export</v>
          </cell>
          <cell r="B190">
            <v>26</v>
          </cell>
          <cell r="C190" t="str">
            <v>Other Expenses</v>
          </cell>
          <cell r="D190" t="str">
            <v>Selling &amp; Dist.-Advertisement Expenses</v>
          </cell>
          <cell r="E190">
            <v>25000</v>
          </cell>
          <cell r="F190">
            <v>0</v>
          </cell>
          <cell r="G190">
            <v>25000</v>
          </cell>
          <cell r="H190">
            <v>0</v>
          </cell>
          <cell r="I190">
            <v>0</v>
          </cell>
          <cell r="J190">
            <v>0</v>
          </cell>
        </row>
        <row r="191">
          <cell r="A191" t="str">
            <v>Insurance Charges To Other</v>
          </cell>
          <cell r="B191">
            <v>26</v>
          </cell>
          <cell r="C191" t="str">
            <v>Other Expenses</v>
          </cell>
          <cell r="D191" t="str">
            <v>Establishment Expenses-Insurance Charges</v>
          </cell>
          <cell r="E191">
            <v>944137</v>
          </cell>
          <cell r="F191">
            <v>0</v>
          </cell>
          <cell r="G191">
            <v>944137</v>
          </cell>
          <cell r="H191">
            <v>0</v>
          </cell>
          <cell r="I191">
            <v>0</v>
          </cell>
          <cell r="J191">
            <v>0</v>
          </cell>
        </row>
        <row r="192">
          <cell r="A192" t="str">
            <v>Insurance Claim Receivable( Accident Claim)</v>
          </cell>
          <cell r="B192">
            <v>18</v>
          </cell>
          <cell r="C192" t="str">
            <v>Other Current Assets</v>
          </cell>
          <cell r="D192" t="str">
            <v>Insurance claim Receivable</v>
          </cell>
          <cell r="E192">
            <v>0</v>
          </cell>
          <cell r="F192">
            <v>0</v>
          </cell>
          <cell r="G192">
            <v>0</v>
          </cell>
          <cell r="H192">
            <v>0</v>
          </cell>
          <cell r="I192">
            <v>0</v>
          </cell>
          <cell r="J192">
            <v>0</v>
          </cell>
        </row>
        <row r="193">
          <cell r="A193" t="str">
            <v>Insurance Pre-Paid</v>
          </cell>
          <cell r="B193">
            <v>18</v>
          </cell>
          <cell r="C193" t="str">
            <v>Other Current Assets</v>
          </cell>
          <cell r="D193" t="str">
            <v>Prepaid Expenses</v>
          </cell>
          <cell r="E193">
            <v>414161</v>
          </cell>
          <cell r="F193">
            <v>0</v>
          </cell>
          <cell r="G193">
            <v>414161</v>
          </cell>
          <cell r="H193">
            <v>0</v>
          </cell>
          <cell r="I193">
            <v>0</v>
          </cell>
          <cell r="J193">
            <v>0</v>
          </cell>
        </row>
        <row r="194">
          <cell r="A194" t="str">
            <v>Interest  From Bank (F.D.)</v>
          </cell>
          <cell r="B194">
            <v>20</v>
          </cell>
          <cell r="C194" t="str">
            <v>Other Income</v>
          </cell>
          <cell r="D194" t="str">
            <v>Interest Received</v>
          </cell>
          <cell r="E194">
            <v>0</v>
          </cell>
          <cell r="F194">
            <v>0</v>
          </cell>
          <cell r="G194">
            <v>0</v>
          </cell>
          <cell r="H194">
            <v>169041</v>
          </cell>
          <cell r="I194">
            <v>0</v>
          </cell>
          <cell r="J194">
            <v>169041</v>
          </cell>
        </row>
        <row r="195">
          <cell r="A195" t="str">
            <v>Other Income</v>
          </cell>
          <cell r="B195">
            <v>20</v>
          </cell>
          <cell r="C195" t="str">
            <v>Other Income</v>
          </cell>
          <cell r="D195" t="str">
            <v>Other Income</v>
          </cell>
          <cell r="E195">
            <v>0</v>
          </cell>
          <cell r="F195">
            <v>0</v>
          </cell>
          <cell r="G195">
            <v>0</v>
          </cell>
          <cell r="H195">
            <v>490</v>
          </cell>
          <cell r="I195">
            <v>0</v>
          </cell>
          <cell r="J195">
            <v>490</v>
          </cell>
        </row>
        <row r="196">
          <cell r="A196" t="str">
            <v>Provision of Earlier Year</v>
          </cell>
          <cell r="B196">
            <v>20</v>
          </cell>
          <cell r="C196" t="str">
            <v>Other Income</v>
          </cell>
          <cell r="D196" t="str">
            <v>Other Income</v>
          </cell>
          <cell r="E196">
            <v>0</v>
          </cell>
          <cell r="F196">
            <v>0</v>
          </cell>
          <cell r="G196">
            <v>0</v>
          </cell>
          <cell r="H196">
            <v>8724</v>
          </cell>
          <cell r="I196">
            <v>0</v>
          </cell>
          <cell r="J196">
            <v>8724</v>
          </cell>
        </row>
        <row r="197">
          <cell r="A197" t="str">
            <v>Interest  on Excise Duty</v>
          </cell>
          <cell r="B197">
            <v>26</v>
          </cell>
          <cell r="C197" t="str">
            <v>Other Expenses</v>
          </cell>
          <cell r="D197" t="str">
            <v>Establishment Expenses-Rates &amp; Taxes</v>
          </cell>
          <cell r="E197">
            <v>0</v>
          </cell>
          <cell r="F197">
            <v>0</v>
          </cell>
          <cell r="G197">
            <v>0</v>
          </cell>
          <cell r="H197">
            <v>0</v>
          </cell>
          <cell r="I197">
            <v>0</v>
          </cell>
          <cell r="J197">
            <v>0</v>
          </cell>
        </row>
        <row r="198">
          <cell r="A198" t="str">
            <v>Interest Accured On Deposit</v>
          </cell>
          <cell r="B198">
            <v>20</v>
          </cell>
          <cell r="C198" t="str">
            <v>Other Income</v>
          </cell>
          <cell r="D198" t="str">
            <v>Other Income</v>
          </cell>
          <cell r="E198">
            <v>0</v>
          </cell>
          <cell r="F198">
            <v>0</v>
          </cell>
          <cell r="G198">
            <v>0</v>
          </cell>
          <cell r="H198">
            <v>0</v>
          </cell>
          <cell r="I198">
            <v>0</v>
          </cell>
          <cell r="J198">
            <v>0</v>
          </cell>
        </row>
        <row r="199">
          <cell r="A199" t="str">
            <v>Interest for Car Loan to Sundaram Finance</v>
          </cell>
          <cell r="B199">
            <v>25</v>
          </cell>
          <cell r="C199" t="str">
            <v>Finance Costs</v>
          </cell>
          <cell r="D199" t="str">
            <v>Interest Expenses</v>
          </cell>
          <cell r="E199">
            <v>3023</v>
          </cell>
          <cell r="F199">
            <v>0</v>
          </cell>
          <cell r="G199">
            <v>3023</v>
          </cell>
          <cell r="H199">
            <v>0</v>
          </cell>
          <cell r="I199">
            <v>0</v>
          </cell>
          <cell r="J199">
            <v>0</v>
          </cell>
        </row>
        <row r="200">
          <cell r="A200" t="str">
            <v>Interest For Forklift to Sundaram Finance</v>
          </cell>
          <cell r="B200">
            <v>25</v>
          </cell>
          <cell r="C200" t="str">
            <v>Finance Costs</v>
          </cell>
          <cell r="D200" t="str">
            <v>Interest Expenses</v>
          </cell>
          <cell r="E200">
            <v>29695</v>
          </cell>
          <cell r="F200">
            <v>0</v>
          </cell>
          <cell r="G200">
            <v>29695</v>
          </cell>
          <cell r="H200">
            <v>0</v>
          </cell>
          <cell r="I200">
            <v>0</v>
          </cell>
          <cell r="J200">
            <v>0</v>
          </cell>
        </row>
        <row r="201">
          <cell r="A201" t="str">
            <v>Interest For Tractor to Sundaram Finance</v>
          </cell>
          <cell r="B201">
            <v>25</v>
          </cell>
          <cell r="C201" t="str">
            <v>Finance Costs</v>
          </cell>
          <cell r="D201" t="str">
            <v>Interest Expenses</v>
          </cell>
          <cell r="E201">
            <v>38511</v>
          </cell>
          <cell r="F201">
            <v>0</v>
          </cell>
          <cell r="G201">
            <v>38511</v>
          </cell>
          <cell r="H201">
            <v>0</v>
          </cell>
          <cell r="I201">
            <v>0</v>
          </cell>
          <cell r="J201">
            <v>0</v>
          </cell>
        </row>
        <row r="202">
          <cell r="A202" t="str">
            <v>Interest on Add.T/L (1.5Cr)...6669</v>
          </cell>
          <cell r="B202">
            <v>25</v>
          </cell>
          <cell r="C202" t="str">
            <v>Finance Costs</v>
          </cell>
          <cell r="D202" t="str">
            <v>Interest Expenses</v>
          </cell>
          <cell r="E202">
            <v>672181</v>
          </cell>
          <cell r="F202">
            <v>0</v>
          </cell>
          <cell r="G202">
            <v>672181</v>
          </cell>
          <cell r="H202">
            <v>0</v>
          </cell>
          <cell r="I202">
            <v>0</v>
          </cell>
          <cell r="J202">
            <v>0</v>
          </cell>
        </row>
        <row r="203">
          <cell r="A203" t="str">
            <v>Interest on Bank Term Loan ( 2 Cr.)...0563</v>
          </cell>
          <cell r="B203">
            <v>25</v>
          </cell>
          <cell r="C203" t="str">
            <v>Finance Costs</v>
          </cell>
          <cell r="D203" t="str">
            <v>Interest Expenses</v>
          </cell>
          <cell r="E203">
            <v>867002</v>
          </cell>
          <cell r="F203">
            <v>0</v>
          </cell>
          <cell r="G203">
            <v>867002</v>
          </cell>
          <cell r="H203">
            <v>0</v>
          </cell>
          <cell r="I203">
            <v>0</v>
          </cell>
          <cell r="J203">
            <v>0</v>
          </cell>
        </row>
        <row r="204">
          <cell r="A204" t="str">
            <v>Interest on CGST</v>
          </cell>
          <cell r="B204">
            <v>26</v>
          </cell>
          <cell r="C204" t="str">
            <v>Other Expenses</v>
          </cell>
          <cell r="D204" t="str">
            <v>Establishment Expenses-Rates &amp; Taxes</v>
          </cell>
          <cell r="E204">
            <v>5436</v>
          </cell>
          <cell r="F204">
            <v>0</v>
          </cell>
          <cell r="G204">
            <v>5436</v>
          </cell>
          <cell r="H204">
            <v>0</v>
          </cell>
          <cell r="I204">
            <v>0</v>
          </cell>
          <cell r="J204">
            <v>0</v>
          </cell>
        </row>
        <row r="205">
          <cell r="A205" t="str">
            <v>Interest On Custom Duty</v>
          </cell>
          <cell r="B205">
            <v>26</v>
          </cell>
          <cell r="C205" t="str">
            <v>Other Expenses</v>
          </cell>
          <cell r="D205" t="str">
            <v>Establishment Expenses-Rates &amp; Taxes</v>
          </cell>
          <cell r="E205">
            <v>27865</v>
          </cell>
          <cell r="F205">
            <v>0</v>
          </cell>
          <cell r="G205">
            <v>27865</v>
          </cell>
          <cell r="H205">
            <v>0</v>
          </cell>
          <cell r="I205">
            <v>0</v>
          </cell>
          <cell r="J205">
            <v>0</v>
          </cell>
        </row>
        <row r="206">
          <cell r="A206" t="str">
            <v>Interest On IGST</v>
          </cell>
          <cell r="B206">
            <v>26</v>
          </cell>
          <cell r="C206" t="str">
            <v>Other Expenses</v>
          </cell>
          <cell r="D206" t="str">
            <v>Establishment Expenses-Rates &amp; Taxes</v>
          </cell>
          <cell r="E206">
            <v>2414</v>
          </cell>
          <cell r="F206">
            <v>0</v>
          </cell>
          <cell r="G206">
            <v>2414</v>
          </cell>
          <cell r="H206">
            <v>0</v>
          </cell>
          <cell r="I206">
            <v>0</v>
          </cell>
          <cell r="J206">
            <v>0</v>
          </cell>
        </row>
        <row r="207">
          <cell r="A207" t="str">
            <v>Interest on Income Tax</v>
          </cell>
          <cell r="B207">
            <v>26</v>
          </cell>
          <cell r="C207" t="str">
            <v>Other Expenses</v>
          </cell>
          <cell r="D207" t="str">
            <v>Establishment Expenses-Rates &amp; Taxes</v>
          </cell>
          <cell r="E207">
            <v>285659</v>
          </cell>
          <cell r="F207">
            <v>0</v>
          </cell>
          <cell r="G207">
            <v>285659</v>
          </cell>
          <cell r="H207">
            <v>0</v>
          </cell>
          <cell r="I207">
            <v>0</v>
          </cell>
          <cell r="J207">
            <v>0</v>
          </cell>
        </row>
        <row r="208">
          <cell r="A208" t="str">
            <v>INTEREST ON PROFESSIONAL TAX</v>
          </cell>
          <cell r="B208">
            <v>26</v>
          </cell>
          <cell r="C208" t="str">
            <v>Other Expenses</v>
          </cell>
          <cell r="D208" t="str">
            <v>Establishment Expenses-Rates &amp; Taxes</v>
          </cell>
          <cell r="E208">
            <v>200</v>
          </cell>
          <cell r="F208">
            <v>0</v>
          </cell>
          <cell r="G208">
            <v>200</v>
          </cell>
          <cell r="H208">
            <v>0</v>
          </cell>
          <cell r="I208">
            <v>0</v>
          </cell>
          <cell r="J208">
            <v>0</v>
          </cell>
        </row>
        <row r="209">
          <cell r="A209" t="str">
            <v>Interest on Provident Fund</v>
          </cell>
          <cell r="B209">
            <v>26</v>
          </cell>
          <cell r="C209" t="str">
            <v>Other Expenses</v>
          </cell>
          <cell r="D209" t="str">
            <v>Establishment Expenses-Rates &amp; Taxes</v>
          </cell>
          <cell r="E209">
            <v>5485</v>
          </cell>
          <cell r="F209">
            <v>0</v>
          </cell>
          <cell r="G209">
            <v>5485</v>
          </cell>
          <cell r="H209">
            <v>0</v>
          </cell>
          <cell r="I209">
            <v>0</v>
          </cell>
          <cell r="J209">
            <v>0</v>
          </cell>
        </row>
        <row r="210">
          <cell r="A210" t="str">
            <v>Interest On Sales Tax</v>
          </cell>
          <cell r="B210">
            <v>26</v>
          </cell>
          <cell r="C210" t="str">
            <v>Other Expenses</v>
          </cell>
          <cell r="D210" t="str">
            <v>Establishment Expenses-Rates &amp; Taxes</v>
          </cell>
          <cell r="E210">
            <v>29250</v>
          </cell>
          <cell r="F210">
            <v>0</v>
          </cell>
          <cell r="G210">
            <v>29250</v>
          </cell>
          <cell r="H210">
            <v>0</v>
          </cell>
          <cell r="I210">
            <v>0</v>
          </cell>
          <cell r="J210">
            <v>0</v>
          </cell>
        </row>
        <row r="211">
          <cell r="A211" t="str">
            <v>Interest on SGST</v>
          </cell>
          <cell r="B211">
            <v>26</v>
          </cell>
          <cell r="C211" t="str">
            <v>Other Expenses</v>
          </cell>
          <cell r="D211" t="str">
            <v>Establishment Expenses-Rates &amp; Taxes</v>
          </cell>
          <cell r="E211">
            <v>5436</v>
          </cell>
          <cell r="F211">
            <v>0</v>
          </cell>
          <cell r="G211">
            <v>5436</v>
          </cell>
          <cell r="H211">
            <v>0</v>
          </cell>
          <cell r="I211">
            <v>0</v>
          </cell>
          <cell r="J211">
            <v>0</v>
          </cell>
        </row>
        <row r="212">
          <cell r="A212" t="str">
            <v>Interest On Tds</v>
          </cell>
          <cell r="B212">
            <v>26</v>
          </cell>
          <cell r="C212" t="str">
            <v>Other Expenses</v>
          </cell>
          <cell r="D212" t="str">
            <v>Establishment Expenses-Rates &amp; Taxes</v>
          </cell>
          <cell r="E212">
            <v>2330</v>
          </cell>
          <cell r="F212">
            <v>0</v>
          </cell>
          <cell r="G212">
            <v>2330</v>
          </cell>
          <cell r="H212">
            <v>0</v>
          </cell>
          <cell r="I212">
            <v>0</v>
          </cell>
          <cell r="J212">
            <v>0</v>
          </cell>
        </row>
        <row r="213">
          <cell r="A213" t="str">
            <v>Interest on VAT A.Y. 14-15</v>
          </cell>
          <cell r="B213">
            <v>20</v>
          </cell>
          <cell r="C213" t="str">
            <v>Other Income</v>
          </cell>
          <cell r="D213" t="str">
            <v>Other Income</v>
          </cell>
          <cell r="E213">
            <v>0</v>
          </cell>
          <cell r="F213">
            <v>0</v>
          </cell>
          <cell r="G213">
            <v>0</v>
          </cell>
          <cell r="H213">
            <v>0</v>
          </cell>
          <cell r="I213">
            <v>0</v>
          </cell>
          <cell r="J213">
            <v>0</v>
          </cell>
        </row>
        <row r="214">
          <cell r="A214" t="str">
            <v>Interest on Vat F.Y. 2015-16</v>
          </cell>
          <cell r="B214">
            <v>26</v>
          </cell>
          <cell r="C214" t="str">
            <v>Other Expenses</v>
          </cell>
          <cell r="D214" t="str">
            <v>Establishment Expenses-Rates &amp; Taxes</v>
          </cell>
          <cell r="E214">
            <v>12071</v>
          </cell>
          <cell r="F214">
            <v>0</v>
          </cell>
          <cell r="G214">
            <v>12071</v>
          </cell>
          <cell r="H214">
            <v>0</v>
          </cell>
          <cell r="I214">
            <v>0</v>
          </cell>
          <cell r="J214">
            <v>0</v>
          </cell>
        </row>
        <row r="215">
          <cell r="A215" t="str">
            <v>Interest Payable</v>
          </cell>
          <cell r="B215">
            <v>8</v>
          </cell>
          <cell r="C215" t="str">
            <v>Other Current Liabilities</v>
          </cell>
          <cell r="D215" t="str">
            <v>Other Current Liabilities</v>
          </cell>
          <cell r="E215">
            <v>0</v>
          </cell>
          <cell r="F215">
            <v>0</v>
          </cell>
          <cell r="G215">
            <v>0</v>
          </cell>
          <cell r="H215">
            <v>574034.93999999994</v>
          </cell>
          <cell r="I215">
            <v>0</v>
          </cell>
          <cell r="J215">
            <v>574034.93999999994</v>
          </cell>
        </row>
        <row r="216">
          <cell r="A216" t="str">
            <v>Interest To Bank</v>
          </cell>
          <cell r="B216">
            <v>25</v>
          </cell>
          <cell r="C216" t="str">
            <v>Finance Costs</v>
          </cell>
          <cell r="D216" t="str">
            <v>Interest Expenses</v>
          </cell>
          <cell r="E216">
            <v>4933411.9400000004</v>
          </cell>
          <cell r="F216">
            <v>0</v>
          </cell>
          <cell r="G216">
            <v>4933411.9400000004</v>
          </cell>
          <cell r="H216">
            <v>0</v>
          </cell>
          <cell r="I216">
            <v>0</v>
          </cell>
          <cell r="J216">
            <v>0</v>
          </cell>
        </row>
        <row r="217">
          <cell r="A217" t="str">
            <v>Interest to Bank on T/L (1.5 Cr.).....3547</v>
          </cell>
          <cell r="B217">
            <v>25</v>
          </cell>
          <cell r="C217" t="str">
            <v>Finance Costs</v>
          </cell>
          <cell r="D217" t="str">
            <v>Interest Expenses</v>
          </cell>
          <cell r="E217">
            <v>166917</v>
          </cell>
          <cell r="F217">
            <v>0</v>
          </cell>
          <cell r="G217">
            <v>166917</v>
          </cell>
          <cell r="H217">
            <v>0</v>
          </cell>
          <cell r="I217">
            <v>0</v>
          </cell>
          <cell r="J217">
            <v>0</v>
          </cell>
        </row>
        <row r="218">
          <cell r="A218" t="str">
            <v>Interest to Bank on T/L (4 Cr.)....80072</v>
          </cell>
          <cell r="B218">
            <v>25</v>
          </cell>
          <cell r="C218" t="str">
            <v>Finance Costs</v>
          </cell>
          <cell r="D218" t="str">
            <v>Interest Expenses</v>
          </cell>
          <cell r="E218">
            <v>441375</v>
          </cell>
          <cell r="F218">
            <v>0</v>
          </cell>
          <cell r="G218">
            <v>441375</v>
          </cell>
          <cell r="H218">
            <v>0</v>
          </cell>
          <cell r="I218">
            <v>0</v>
          </cell>
          <cell r="J218">
            <v>0</v>
          </cell>
        </row>
        <row r="219">
          <cell r="A219" t="str">
            <v>Interest To Others</v>
          </cell>
          <cell r="B219">
            <v>25</v>
          </cell>
          <cell r="C219" t="str">
            <v>Finance Costs</v>
          </cell>
          <cell r="D219" t="str">
            <v>Interest Expenses</v>
          </cell>
          <cell r="E219">
            <v>1878337</v>
          </cell>
          <cell r="F219">
            <v>0</v>
          </cell>
          <cell r="G219">
            <v>1878337</v>
          </cell>
          <cell r="H219">
            <v>0</v>
          </cell>
          <cell r="I219">
            <v>0</v>
          </cell>
          <cell r="J219">
            <v>0</v>
          </cell>
        </row>
        <row r="220">
          <cell r="A220" t="str">
            <v>Internal Audit Fees (Khandelwal)</v>
          </cell>
          <cell r="B220">
            <v>26</v>
          </cell>
          <cell r="C220" t="str">
            <v>Other Expenses</v>
          </cell>
          <cell r="D220" t="str">
            <v>Establishment Expenses-Auditors Remuneration</v>
          </cell>
          <cell r="E220">
            <v>196000</v>
          </cell>
          <cell r="F220">
            <v>0</v>
          </cell>
          <cell r="G220">
            <v>196000</v>
          </cell>
          <cell r="H220">
            <v>0</v>
          </cell>
          <cell r="I220">
            <v>0</v>
          </cell>
          <cell r="J220">
            <v>0</v>
          </cell>
        </row>
        <row r="221">
          <cell r="A221" t="str">
            <v>INTRATECH</v>
          </cell>
          <cell r="B221">
            <v>7</v>
          </cell>
          <cell r="C221" t="str">
            <v>Trade Payables</v>
          </cell>
          <cell r="D221" t="str">
            <v>Trade Payables</v>
          </cell>
          <cell r="E221">
            <v>0</v>
          </cell>
          <cell r="F221">
            <v>0</v>
          </cell>
          <cell r="G221">
            <v>0</v>
          </cell>
          <cell r="H221">
            <v>0</v>
          </cell>
          <cell r="I221">
            <v>0</v>
          </cell>
          <cell r="J221">
            <v>0</v>
          </cell>
        </row>
        <row r="222">
          <cell r="A222" t="str">
            <v>J.S.M. Marketing, Nagpur</v>
          </cell>
          <cell r="B222">
            <v>7</v>
          </cell>
          <cell r="C222" t="str">
            <v>Trade Payables</v>
          </cell>
          <cell r="D222" t="str">
            <v>Trade Payables</v>
          </cell>
          <cell r="E222">
            <v>0</v>
          </cell>
          <cell r="F222">
            <v>0</v>
          </cell>
          <cell r="G222">
            <v>0</v>
          </cell>
          <cell r="H222">
            <v>366473</v>
          </cell>
          <cell r="I222">
            <v>0</v>
          </cell>
          <cell r="J222">
            <v>366473</v>
          </cell>
        </row>
        <row r="223">
          <cell r="A223" t="str">
            <v>JAGPIN BREWERIES LTD.</v>
          </cell>
          <cell r="B223">
            <v>15</v>
          </cell>
          <cell r="C223" t="str">
            <v>Trade Receivables</v>
          </cell>
          <cell r="D223" t="str">
            <v>Other Debts</v>
          </cell>
          <cell r="E223">
            <v>556227</v>
          </cell>
          <cell r="F223">
            <v>0</v>
          </cell>
          <cell r="G223">
            <v>556227</v>
          </cell>
          <cell r="H223">
            <v>0</v>
          </cell>
          <cell r="I223">
            <v>0</v>
          </cell>
          <cell r="J223">
            <v>0</v>
          </cell>
        </row>
        <row r="224">
          <cell r="A224" t="str">
            <v>JAI MAHALAXMI ENTERPRISES</v>
          </cell>
          <cell r="B224">
            <v>15</v>
          </cell>
          <cell r="C224" t="str">
            <v>Trade Receivables</v>
          </cell>
          <cell r="D224" t="str">
            <v>Other Debts</v>
          </cell>
          <cell r="E224">
            <v>50433</v>
          </cell>
          <cell r="F224">
            <v>0</v>
          </cell>
          <cell r="G224">
            <v>50433</v>
          </cell>
          <cell r="H224">
            <v>0</v>
          </cell>
          <cell r="I224">
            <v>0</v>
          </cell>
          <cell r="J224">
            <v>0</v>
          </cell>
        </row>
        <row r="225">
          <cell r="A225" t="str">
            <v>Jai Mata Di Waste Paper</v>
          </cell>
          <cell r="B225">
            <v>7</v>
          </cell>
          <cell r="C225" t="str">
            <v>Trade Payables</v>
          </cell>
          <cell r="D225" t="str">
            <v>Trade Payables</v>
          </cell>
          <cell r="E225">
            <v>0</v>
          </cell>
          <cell r="F225">
            <v>0</v>
          </cell>
          <cell r="G225">
            <v>0</v>
          </cell>
          <cell r="H225">
            <v>54442</v>
          </cell>
          <cell r="I225">
            <v>0</v>
          </cell>
          <cell r="J225">
            <v>54442</v>
          </cell>
        </row>
        <row r="226">
          <cell r="A226" t="str">
            <v>Jainam Multi-Product (India) Pvt Ltd</v>
          </cell>
          <cell r="B226">
            <v>7</v>
          </cell>
          <cell r="C226" t="str">
            <v>Trade Payables</v>
          </cell>
          <cell r="D226" t="str">
            <v>Trade Payables - Others</v>
          </cell>
          <cell r="E226">
            <v>0</v>
          </cell>
          <cell r="F226">
            <v>0</v>
          </cell>
          <cell r="G226">
            <v>0</v>
          </cell>
          <cell r="H226">
            <v>2950</v>
          </cell>
          <cell r="I226">
            <v>0</v>
          </cell>
          <cell r="J226">
            <v>2950</v>
          </cell>
        </row>
        <row r="227">
          <cell r="A227" t="str">
            <v>JANAKSONS &amp; COMPANY</v>
          </cell>
          <cell r="B227">
            <v>7</v>
          </cell>
          <cell r="C227" t="str">
            <v>Trade Payables</v>
          </cell>
          <cell r="D227" t="str">
            <v>Trade Payables - Others</v>
          </cell>
          <cell r="E227">
            <v>0</v>
          </cell>
          <cell r="F227">
            <v>0</v>
          </cell>
          <cell r="G227">
            <v>0</v>
          </cell>
          <cell r="H227">
            <v>23502</v>
          </cell>
          <cell r="I227">
            <v>0</v>
          </cell>
          <cell r="J227">
            <v>23502</v>
          </cell>
        </row>
        <row r="228">
          <cell r="A228" t="str">
            <v>Jarnailsingh Saini (Loan A/c)</v>
          </cell>
          <cell r="B228">
            <v>4</v>
          </cell>
          <cell r="C228" t="str">
            <v>Long Term Borrowings</v>
          </cell>
          <cell r="D228" t="str">
            <v>Unsecured-From Related Party</v>
          </cell>
          <cell r="E228">
            <v>0</v>
          </cell>
          <cell r="F228">
            <v>0</v>
          </cell>
          <cell r="G228">
            <v>0</v>
          </cell>
          <cell r="H228">
            <v>6498343</v>
          </cell>
          <cell r="I228">
            <v>0</v>
          </cell>
          <cell r="J228">
            <v>6498343</v>
          </cell>
        </row>
        <row r="229">
          <cell r="A229" t="str">
            <v>JB Lightings</v>
          </cell>
          <cell r="B229">
            <v>7</v>
          </cell>
          <cell r="C229" t="str">
            <v>Trade Payables</v>
          </cell>
          <cell r="D229" t="str">
            <v>Trade Payables</v>
          </cell>
          <cell r="E229">
            <v>0</v>
          </cell>
          <cell r="F229">
            <v>0</v>
          </cell>
          <cell r="G229">
            <v>0</v>
          </cell>
          <cell r="H229">
            <v>6710</v>
          </cell>
          <cell r="I229">
            <v>0</v>
          </cell>
          <cell r="J229">
            <v>6710</v>
          </cell>
        </row>
        <row r="230">
          <cell r="A230" t="str">
            <v>Jenson International</v>
          </cell>
          <cell r="B230">
            <v>15</v>
          </cell>
          <cell r="C230" t="str">
            <v>Trade Receivables</v>
          </cell>
          <cell r="D230" t="str">
            <v>Other Debts</v>
          </cell>
          <cell r="E230">
            <v>0</v>
          </cell>
          <cell r="F230">
            <v>0</v>
          </cell>
          <cell r="G230">
            <v>0</v>
          </cell>
          <cell r="H230">
            <v>0</v>
          </cell>
          <cell r="I230">
            <v>0</v>
          </cell>
          <cell r="J230">
            <v>0</v>
          </cell>
        </row>
        <row r="231">
          <cell r="A231" t="str">
            <v>Jenson Trading Corporation</v>
          </cell>
          <cell r="B231">
            <v>15</v>
          </cell>
          <cell r="C231" t="str">
            <v>Trade Receivables</v>
          </cell>
          <cell r="D231" t="str">
            <v>Other Debts</v>
          </cell>
          <cell r="E231">
            <v>0</v>
          </cell>
          <cell r="F231">
            <v>0</v>
          </cell>
          <cell r="G231">
            <v>0</v>
          </cell>
          <cell r="H231">
            <v>0</v>
          </cell>
          <cell r="I231">
            <v>0</v>
          </cell>
          <cell r="J231">
            <v>0</v>
          </cell>
        </row>
        <row r="232">
          <cell r="A232" t="str">
            <v>JIGAR TRADING COMPANY</v>
          </cell>
          <cell r="B232">
            <v>15</v>
          </cell>
          <cell r="C232" t="str">
            <v>Trade Receivables</v>
          </cell>
          <cell r="D232" t="str">
            <v>Other Debts</v>
          </cell>
          <cell r="E232">
            <v>1680601</v>
          </cell>
          <cell r="F232">
            <v>0</v>
          </cell>
          <cell r="G232">
            <v>1680601</v>
          </cell>
          <cell r="H232">
            <v>0</v>
          </cell>
          <cell r="I232">
            <v>0</v>
          </cell>
          <cell r="J232">
            <v>0</v>
          </cell>
        </row>
        <row r="233">
          <cell r="A233" t="str">
            <v>JINDAL MEDICOSE, NAGPUR</v>
          </cell>
          <cell r="B233">
            <v>7</v>
          </cell>
          <cell r="C233" t="str">
            <v>Trade Payables</v>
          </cell>
          <cell r="D233" t="str">
            <v>Trade Payables - Others</v>
          </cell>
          <cell r="E233">
            <v>0</v>
          </cell>
          <cell r="F233">
            <v>0</v>
          </cell>
          <cell r="G233">
            <v>0</v>
          </cell>
          <cell r="H233">
            <v>6434</v>
          </cell>
          <cell r="I233">
            <v>0</v>
          </cell>
          <cell r="J233">
            <v>6434</v>
          </cell>
        </row>
        <row r="234">
          <cell r="A234" t="str">
            <v>Jitendra Nikhare</v>
          </cell>
          <cell r="B234">
            <v>12</v>
          </cell>
          <cell r="C234" t="str">
            <v>Long Term Loans &amp; Advances</v>
          </cell>
          <cell r="D234" t="str">
            <v>Loans and Advances to Employees</v>
          </cell>
          <cell r="E234">
            <v>92000</v>
          </cell>
          <cell r="F234">
            <v>0</v>
          </cell>
          <cell r="G234">
            <v>92000</v>
          </cell>
          <cell r="H234">
            <v>0</v>
          </cell>
          <cell r="I234">
            <v>0</v>
          </cell>
          <cell r="J234">
            <v>0</v>
          </cell>
        </row>
        <row r="235">
          <cell r="A235" t="str">
            <v>Jus Enterprises</v>
          </cell>
          <cell r="B235">
            <v>7</v>
          </cell>
          <cell r="C235" t="str">
            <v>Trade Payables</v>
          </cell>
          <cell r="D235" t="str">
            <v>Trade Payables - Others</v>
          </cell>
          <cell r="E235">
            <v>0</v>
          </cell>
          <cell r="F235">
            <v>0</v>
          </cell>
          <cell r="G235">
            <v>0</v>
          </cell>
          <cell r="H235">
            <v>21679</v>
          </cell>
          <cell r="I235">
            <v>0</v>
          </cell>
          <cell r="J235">
            <v>21679</v>
          </cell>
        </row>
        <row r="236">
          <cell r="A236" t="str">
            <v>K.R.V. Express</v>
          </cell>
          <cell r="B236">
            <v>7</v>
          </cell>
          <cell r="C236" t="str">
            <v>Trade Payables</v>
          </cell>
          <cell r="D236" t="str">
            <v>Trade Payables - Others</v>
          </cell>
          <cell r="E236">
            <v>0</v>
          </cell>
          <cell r="F236">
            <v>0</v>
          </cell>
          <cell r="G236">
            <v>0</v>
          </cell>
          <cell r="H236">
            <v>2463</v>
          </cell>
          <cell r="I236">
            <v>0</v>
          </cell>
          <cell r="J236">
            <v>2463</v>
          </cell>
        </row>
        <row r="237">
          <cell r="A237" t="str">
            <v>Kailash Kaur Jarnailsingh Saini</v>
          </cell>
          <cell r="B237">
            <v>4</v>
          </cell>
          <cell r="C237" t="str">
            <v>Long Term Borrowings</v>
          </cell>
          <cell r="D237" t="str">
            <v>Unsecured-From Related Party</v>
          </cell>
          <cell r="E237">
            <v>0</v>
          </cell>
          <cell r="F237">
            <v>0</v>
          </cell>
          <cell r="G237">
            <v>0</v>
          </cell>
          <cell r="H237">
            <v>3280041</v>
          </cell>
          <cell r="I237">
            <v>0</v>
          </cell>
          <cell r="J237">
            <v>3280041</v>
          </cell>
        </row>
        <row r="238">
          <cell r="A238" t="str">
            <v>KARAN ENTERPRISES (WP)</v>
          </cell>
          <cell r="B238">
            <v>7</v>
          </cell>
          <cell r="C238" t="str">
            <v>Trade Payables</v>
          </cell>
          <cell r="D238" t="str">
            <v>Trade Payables</v>
          </cell>
          <cell r="E238">
            <v>0</v>
          </cell>
          <cell r="F238">
            <v>0</v>
          </cell>
          <cell r="G238">
            <v>0</v>
          </cell>
          <cell r="H238">
            <v>6148401</v>
          </cell>
          <cell r="I238">
            <v>0</v>
          </cell>
          <cell r="J238">
            <v>6148401</v>
          </cell>
        </row>
        <row r="239">
          <cell r="A239" t="str">
            <v>KEDAR PAPER CONVERSIONS</v>
          </cell>
          <cell r="B239">
            <v>15</v>
          </cell>
          <cell r="C239" t="str">
            <v>Trade Receivables</v>
          </cell>
          <cell r="D239" t="str">
            <v>Other Debts</v>
          </cell>
          <cell r="E239">
            <v>0</v>
          </cell>
          <cell r="F239">
            <v>0</v>
          </cell>
          <cell r="G239">
            <v>0</v>
          </cell>
          <cell r="H239">
            <v>22611</v>
          </cell>
          <cell r="I239">
            <v>0</v>
          </cell>
          <cell r="J239">
            <v>22611</v>
          </cell>
        </row>
        <row r="240">
          <cell r="A240" t="str">
            <v>Kunal Jain</v>
          </cell>
          <cell r="B240">
            <v>12</v>
          </cell>
          <cell r="C240" t="str">
            <v>Long Term Loans &amp; Advances</v>
          </cell>
          <cell r="D240" t="str">
            <v>Loans and Advances to Employees</v>
          </cell>
          <cell r="E240">
            <v>23000</v>
          </cell>
          <cell r="F240">
            <v>0</v>
          </cell>
          <cell r="G240">
            <v>23000</v>
          </cell>
          <cell r="H240">
            <v>0</v>
          </cell>
          <cell r="I240">
            <v>0</v>
          </cell>
          <cell r="J240">
            <v>0</v>
          </cell>
        </row>
        <row r="241">
          <cell r="A241" t="str">
            <v>L. A. Trading Company</v>
          </cell>
          <cell r="B241">
            <v>7</v>
          </cell>
          <cell r="C241" t="str">
            <v>Trade Payables</v>
          </cell>
          <cell r="D241" t="str">
            <v>Trade Payables</v>
          </cell>
          <cell r="E241">
            <v>0</v>
          </cell>
          <cell r="F241">
            <v>0</v>
          </cell>
          <cell r="G241">
            <v>0</v>
          </cell>
          <cell r="H241">
            <v>0</v>
          </cell>
          <cell r="I241">
            <v>0</v>
          </cell>
          <cell r="J241">
            <v>0</v>
          </cell>
        </row>
        <row r="242">
          <cell r="A242" t="str">
            <v>L.I.C. Payable</v>
          </cell>
          <cell r="B242">
            <v>7</v>
          </cell>
          <cell r="C242" t="str">
            <v>Trade Payables</v>
          </cell>
          <cell r="D242" t="str">
            <v>Trade Payables - Others</v>
          </cell>
          <cell r="E242">
            <v>0</v>
          </cell>
          <cell r="F242">
            <v>0</v>
          </cell>
          <cell r="G242">
            <v>0</v>
          </cell>
          <cell r="H242">
            <v>49045</v>
          </cell>
          <cell r="I242">
            <v>0</v>
          </cell>
          <cell r="J242">
            <v>49045</v>
          </cell>
        </row>
        <row r="243">
          <cell r="A243" t="str">
            <v>Labour Welfare Fund</v>
          </cell>
          <cell r="B243">
            <v>26</v>
          </cell>
          <cell r="C243" t="str">
            <v>Other Expenses</v>
          </cell>
          <cell r="D243" t="str">
            <v>Establishment Expenses-Rates &amp; Taxes</v>
          </cell>
          <cell r="E243">
            <v>14352</v>
          </cell>
          <cell r="F243">
            <v>0</v>
          </cell>
          <cell r="G243">
            <v>14352</v>
          </cell>
          <cell r="H243">
            <v>0</v>
          </cell>
          <cell r="I243">
            <v>0</v>
          </cell>
          <cell r="J243">
            <v>0</v>
          </cell>
        </row>
        <row r="244">
          <cell r="A244" t="str">
            <v>LAKHOTIYA TRADERS PVT. LTD.</v>
          </cell>
          <cell r="B244">
            <v>7</v>
          </cell>
          <cell r="C244" t="str">
            <v>Trade Payables</v>
          </cell>
          <cell r="D244" t="str">
            <v>Trade Payables</v>
          </cell>
          <cell r="E244">
            <v>0</v>
          </cell>
          <cell r="F244">
            <v>0</v>
          </cell>
          <cell r="G244">
            <v>0</v>
          </cell>
          <cell r="H244">
            <v>2096163</v>
          </cell>
          <cell r="I244">
            <v>0</v>
          </cell>
          <cell r="J244">
            <v>2096163</v>
          </cell>
        </row>
        <row r="245">
          <cell r="A245" t="str">
            <v>Lakhotiya Traders Pvt. Ltd. (Sale)</v>
          </cell>
          <cell r="B245">
            <v>15</v>
          </cell>
          <cell r="C245" t="str">
            <v>Trade Receivables</v>
          </cell>
          <cell r="D245" t="str">
            <v>Trade Receivables</v>
          </cell>
          <cell r="E245">
            <v>16519422</v>
          </cell>
          <cell r="F245">
            <v>0</v>
          </cell>
          <cell r="G245">
            <v>16519422</v>
          </cell>
          <cell r="H245">
            <v>0</v>
          </cell>
          <cell r="I245">
            <v>0</v>
          </cell>
          <cell r="J245">
            <v>0</v>
          </cell>
        </row>
        <row r="246">
          <cell r="A246" t="str">
            <v>Lark Dyechem</v>
          </cell>
          <cell r="B246">
            <v>7</v>
          </cell>
          <cell r="C246" t="str">
            <v>Trade Payables</v>
          </cell>
          <cell r="D246" t="str">
            <v>Trade Payables</v>
          </cell>
          <cell r="E246">
            <v>0</v>
          </cell>
          <cell r="F246">
            <v>0</v>
          </cell>
          <cell r="G246">
            <v>0</v>
          </cell>
          <cell r="H246">
            <v>635040</v>
          </cell>
          <cell r="I246">
            <v>0</v>
          </cell>
          <cell r="J246">
            <v>635040</v>
          </cell>
        </row>
        <row r="247">
          <cell r="A247" t="str">
            <v>Late Fee</v>
          </cell>
          <cell r="B247">
            <v>26</v>
          </cell>
          <cell r="C247" t="str">
            <v>Other Expenses</v>
          </cell>
          <cell r="D247" t="str">
            <v>Establishment Expenses-Rates &amp; Taxes</v>
          </cell>
          <cell r="E247">
            <v>0</v>
          </cell>
          <cell r="F247">
            <v>0</v>
          </cell>
          <cell r="G247">
            <v>0</v>
          </cell>
          <cell r="H247">
            <v>0</v>
          </cell>
          <cell r="I247">
            <v>0</v>
          </cell>
          <cell r="J247">
            <v>0</v>
          </cell>
        </row>
        <row r="248">
          <cell r="A248" t="str">
            <v>Lc Charges</v>
          </cell>
          <cell r="B248">
            <v>25</v>
          </cell>
          <cell r="C248" t="str">
            <v>Finance Costs</v>
          </cell>
          <cell r="D248" t="str">
            <v>Interest Expenses</v>
          </cell>
          <cell r="E248">
            <v>0</v>
          </cell>
          <cell r="F248">
            <v>0</v>
          </cell>
          <cell r="G248">
            <v>0</v>
          </cell>
          <cell r="H248">
            <v>0</v>
          </cell>
          <cell r="I248">
            <v>0</v>
          </cell>
          <cell r="J248">
            <v>0</v>
          </cell>
        </row>
        <row r="249">
          <cell r="A249" t="str">
            <v>Leave Encashment</v>
          </cell>
          <cell r="B249">
            <v>24</v>
          </cell>
          <cell r="C249" t="str">
            <v>Employee Benefit Expenses</v>
          </cell>
          <cell r="D249" t="str">
            <v>Salary &amp; Wages</v>
          </cell>
          <cell r="E249">
            <v>195649</v>
          </cell>
          <cell r="F249">
            <v>0</v>
          </cell>
          <cell r="G249">
            <v>195649</v>
          </cell>
          <cell r="H249">
            <v>0</v>
          </cell>
          <cell r="I249">
            <v>0</v>
          </cell>
          <cell r="J249">
            <v>0</v>
          </cell>
        </row>
        <row r="250">
          <cell r="A250" t="str">
            <v>Leave Encashment Payable</v>
          </cell>
          <cell r="B250">
            <v>9</v>
          </cell>
          <cell r="C250" t="str">
            <v>Short Term Provision</v>
          </cell>
          <cell r="D250" t="str">
            <v>Provision for Employee Benefit</v>
          </cell>
          <cell r="E250">
            <v>0</v>
          </cell>
          <cell r="F250">
            <v>0</v>
          </cell>
          <cell r="G250">
            <v>0</v>
          </cell>
          <cell r="H250">
            <v>195649</v>
          </cell>
          <cell r="I250">
            <v>0</v>
          </cell>
          <cell r="J250">
            <v>195649</v>
          </cell>
        </row>
        <row r="251">
          <cell r="A251" t="str">
            <v>Legal &amp; Proffessional  Charges</v>
          </cell>
          <cell r="B251">
            <v>26</v>
          </cell>
          <cell r="C251" t="str">
            <v>Other Expenses</v>
          </cell>
          <cell r="D251" t="str">
            <v>Establishment Expenses-Legal &amp; Professional Charges</v>
          </cell>
          <cell r="E251">
            <v>133198.18</v>
          </cell>
          <cell r="F251">
            <v>0</v>
          </cell>
          <cell r="G251">
            <v>133198.18</v>
          </cell>
          <cell r="H251">
            <v>0</v>
          </cell>
          <cell r="I251">
            <v>0</v>
          </cell>
          <cell r="J251">
            <v>0</v>
          </cell>
        </row>
        <row r="252">
          <cell r="A252" t="str">
            <v>Lusha Print N Pack</v>
          </cell>
          <cell r="B252">
            <v>15</v>
          </cell>
          <cell r="C252" t="str">
            <v>Trade Receivables</v>
          </cell>
          <cell r="D252" t="str">
            <v>Other Debts</v>
          </cell>
          <cell r="E252">
            <v>288108</v>
          </cell>
          <cell r="F252">
            <v>0</v>
          </cell>
          <cell r="G252">
            <v>288108</v>
          </cell>
          <cell r="H252">
            <v>0</v>
          </cell>
          <cell r="I252">
            <v>0</v>
          </cell>
          <cell r="J252">
            <v>0</v>
          </cell>
        </row>
        <row r="253">
          <cell r="A253" t="str">
            <v>Maa Tarini Traders</v>
          </cell>
          <cell r="B253">
            <v>7</v>
          </cell>
          <cell r="C253" t="str">
            <v>Trade Payables</v>
          </cell>
          <cell r="D253" t="str">
            <v>Trade Payables</v>
          </cell>
          <cell r="E253">
            <v>0</v>
          </cell>
          <cell r="F253">
            <v>0</v>
          </cell>
          <cell r="G253">
            <v>0</v>
          </cell>
          <cell r="H253">
            <v>9718147</v>
          </cell>
          <cell r="I253">
            <v>0</v>
          </cell>
          <cell r="J253">
            <v>9718147</v>
          </cell>
        </row>
        <row r="254">
          <cell r="A254" t="str">
            <v>Machinery Exp for Boiler Material BED</v>
          </cell>
          <cell r="B254">
            <v>26</v>
          </cell>
          <cell r="C254" t="str">
            <v>Other Expenses</v>
          </cell>
          <cell r="D254" t="str">
            <v>Manufacturing Expenses-Repairs &amp; Maintainence Machinery</v>
          </cell>
          <cell r="E254">
            <v>149343</v>
          </cell>
          <cell r="F254">
            <v>0</v>
          </cell>
          <cell r="G254">
            <v>149343</v>
          </cell>
          <cell r="H254">
            <v>0</v>
          </cell>
          <cell r="I254">
            <v>0</v>
          </cell>
          <cell r="J254">
            <v>0</v>
          </cell>
        </row>
        <row r="255">
          <cell r="A255" t="str">
            <v>Machinery Repair &amp; Maint Diesel Exp.</v>
          </cell>
          <cell r="B255">
            <v>26</v>
          </cell>
          <cell r="C255" t="str">
            <v>Other Expenses</v>
          </cell>
          <cell r="D255" t="str">
            <v>Manufacturing Expenses-Repairs &amp; Maintainence Machinery</v>
          </cell>
          <cell r="E255">
            <v>969798</v>
          </cell>
          <cell r="F255">
            <v>0</v>
          </cell>
          <cell r="G255">
            <v>969798</v>
          </cell>
          <cell r="H255">
            <v>0</v>
          </cell>
          <cell r="I255">
            <v>0</v>
          </cell>
          <cell r="J255">
            <v>0</v>
          </cell>
        </row>
        <row r="256">
          <cell r="A256" t="str">
            <v>Machinery Repair &amp; Maint To Electrical</v>
          </cell>
          <cell r="B256">
            <v>26</v>
          </cell>
          <cell r="C256" t="str">
            <v>Other Expenses</v>
          </cell>
          <cell r="D256" t="str">
            <v>Manufacturing Expenses-Repairs &amp; Maintainence Machinery</v>
          </cell>
          <cell r="E256">
            <v>1446914</v>
          </cell>
          <cell r="F256">
            <v>0</v>
          </cell>
          <cell r="G256">
            <v>1446914</v>
          </cell>
          <cell r="H256">
            <v>0</v>
          </cell>
          <cell r="I256">
            <v>0</v>
          </cell>
          <cell r="J256">
            <v>0</v>
          </cell>
        </row>
        <row r="257">
          <cell r="A257" t="str">
            <v>Machinery Repair &amp; Maintenance</v>
          </cell>
          <cell r="B257">
            <v>26</v>
          </cell>
          <cell r="C257" t="str">
            <v>Other Expenses</v>
          </cell>
          <cell r="D257" t="str">
            <v>Manufacturing Expenses-Repairs &amp; Maintainence Machinery</v>
          </cell>
          <cell r="E257">
            <v>10783983.359999999</v>
          </cell>
          <cell r="F257">
            <v>0</v>
          </cell>
          <cell r="G257">
            <v>10783983.359999999</v>
          </cell>
          <cell r="H257">
            <v>0</v>
          </cell>
          <cell r="I257">
            <v>0</v>
          </cell>
          <cell r="J257">
            <v>0</v>
          </cell>
        </row>
        <row r="258">
          <cell r="A258" t="str">
            <v>Mahalaxmi Fire Services, Nagpur</v>
          </cell>
          <cell r="B258">
            <v>7</v>
          </cell>
          <cell r="C258" t="str">
            <v>Trade Payables</v>
          </cell>
          <cell r="D258" t="str">
            <v>Trade Payables</v>
          </cell>
          <cell r="E258">
            <v>0</v>
          </cell>
          <cell r="F258">
            <v>0</v>
          </cell>
          <cell r="G258">
            <v>0</v>
          </cell>
          <cell r="H258">
            <v>55663</v>
          </cell>
          <cell r="I258">
            <v>0</v>
          </cell>
          <cell r="J258">
            <v>55663</v>
          </cell>
        </row>
        <row r="259">
          <cell r="A259" t="str">
            <v>Maharashtra State Mining Corp. Ltd.</v>
          </cell>
          <cell r="B259">
            <v>17</v>
          </cell>
          <cell r="C259" t="str">
            <v>Short Term Loans &amp; Advances</v>
          </cell>
          <cell r="D259" t="str">
            <v>Advance to Suppliers</v>
          </cell>
          <cell r="E259">
            <v>4609940</v>
          </cell>
          <cell r="F259">
            <v>0</v>
          </cell>
          <cell r="G259">
            <v>4609940</v>
          </cell>
          <cell r="H259">
            <v>0</v>
          </cell>
          <cell r="I259">
            <v>0</v>
          </cell>
          <cell r="J259">
            <v>0</v>
          </cell>
        </row>
        <row r="260">
          <cell r="A260" t="str">
            <v>Mahesh Mirashe</v>
          </cell>
          <cell r="B260">
            <v>12</v>
          </cell>
          <cell r="C260" t="str">
            <v>Long Term Loans &amp; Advances</v>
          </cell>
          <cell r="D260" t="str">
            <v>Loans and Advances to Employees</v>
          </cell>
          <cell r="E260">
            <v>0</v>
          </cell>
          <cell r="F260">
            <v>0</v>
          </cell>
          <cell r="G260">
            <v>0</v>
          </cell>
          <cell r="H260">
            <v>0</v>
          </cell>
          <cell r="I260">
            <v>0</v>
          </cell>
          <cell r="J260">
            <v>0</v>
          </cell>
        </row>
        <row r="261">
          <cell r="A261" t="str">
            <v>Makharia Machineries Pvt. Ltd.</v>
          </cell>
          <cell r="B261">
            <v>7</v>
          </cell>
          <cell r="C261" t="str">
            <v>Trade Payables</v>
          </cell>
          <cell r="D261" t="str">
            <v>Trade Payables - Others</v>
          </cell>
          <cell r="E261">
            <v>18479</v>
          </cell>
          <cell r="F261">
            <v>0</v>
          </cell>
          <cell r="G261">
            <v>18479</v>
          </cell>
          <cell r="H261">
            <v>0</v>
          </cell>
          <cell r="I261">
            <v>0</v>
          </cell>
          <cell r="J261">
            <v>0</v>
          </cell>
        </row>
        <row r="262">
          <cell r="A262" t="str">
            <v>Manish Computer</v>
          </cell>
          <cell r="B262">
            <v>7</v>
          </cell>
          <cell r="C262" t="str">
            <v>Trade Payables</v>
          </cell>
          <cell r="D262" t="str">
            <v>Trade Payables - Others</v>
          </cell>
          <cell r="E262">
            <v>0</v>
          </cell>
          <cell r="F262">
            <v>0</v>
          </cell>
          <cell r="G262">
            <v>0</v>
          </cell>
          <cell r="H262">
            <v>15790</v>
          </cell>
          <cell r="I262">
            <v>0</v>
          </cell>
          <cell r="J262">
            <v>15790</v>
          </cell>
        </row>
        <row r="263">
          <cell r="A263" t="str">
            <v>Manohar Rewatkar</v>
          </cell>
          <cell r="B263">
            <v>12</v>
          </cell>
          <cell r="C263" t="str">
            <v>Long Term Loans &amp; Advances</v>
          </cell>
          <cell r="D263" t="str">
            <v>Loans and Advances to Employees</v>
          </cell>
          <cell r="E263">
            <v>6000</v>
          </cell>
          <cell r="F263">
            <v>0</v>
          </cell>
          <cell r="G263">
            <v>6000</v>
          </cell>
          <cell r="H263">
            <v>0</v>
          </cell>
          <cell r="I263">
            <v>0</v>
          </cell>
          <cell r="J263">
            <v>0</v>
          </cell>
        </row>
        <row r="264">
          <cell r="A264" t="str">
            <v>Manoj Gore</v>
          </cell>
          <cell r="B264">
            <v>12</v>
          </cell>
          <cell r="C264" t="str">
            <v>Long Term Loans &amp; Advances</v>
          </cell>
          <cell r="D264" t="str">
            <v>Loans and Advances to Employees</v>
          </cell>
          <cell r="E264">
            <v>26000</v>
          </cell>
          <cell r="F264">
            <v>0</v>
          </cell>
          <cell r="G264">
            <v>26000</v>
          </cell>
          <cell r="H264">
            <v>0</v>
          </cell>
          <cell r="I264">
            <v>0</v>
          </cell>
          <cell r="J264">
            <v>0</v>
          </cell>
        </row>
        <row r="265">
          <cell r="A265" t="str">
            <v>MAT Credit Entitlement (A.Y. 14-15)</v>
          </cell>
          <cell r="B265">
            <v>12</v>
          </cell>
          <cell r="C265" t="str">
            <v>Long Term Loans &amp; Advances</v>
          </cell>
          <cell r="D265" t="str">
            <v>MAT Credit Entitlement</v>
          </cell>
          <cell r="E265">
            <v>0</v>
          </cell>
          <cell r="F265">
            <v>0</v>
          </cell>
          <cell r="G265">
            <v>0</v>
          </cell>
          <cell r="H265">
            <v>0</v>
          </cell>
          <cell r="I265">
            <v>0</v>
          </cell>
          <cell r="J265">
            <v>0</v>
          </cell>
        </row>
        <row r="266">
          <cell r="A266" t="str">
            <v>Mat Credit Entitlement (A.Y. 2012-13)</v>
          </cell>
          <cell r="B266">
            <v>12</v>
          </cell>
          <cell r="C266" t="str">
            <v>Long Term Loans &amp; Advances</v>
          </cell>
          <cell r="D266" t="str">
            <v>MAT Credit Entitlement</v>
          </cell>
          <cell r="E266">
            <v>0</v>
          </cell>
          <cell r="F266">
            <v>0</v>
          </cell>
          <cell r="G266">
            <v>0</v>
          </cell>
          <cell r="H266">
            <v>0</v>
          </cell>
          <cell r="I266">
            <v>0</v>
          </cell>
          <cell r="J266">
            <v>0</v>
          </cell>
        </row>
        <row r="267">
          <cell r="A267" t="str">
            <v>MAT Credit Entitlement A.Y. 15-16</v>
          </cell>
          <cell r="B267">
            <v>12</v>
          </cell>
          <cell r="C267" t="str">
            <v>Long Term Loans &amp; Advances</v>
          </cell>
          <cell r="D267" t="str">
            <v>MAT Credit Entitlement</v>
          </cell>
          <cell r="E267">
            <v>1021090</v>
          </cell>
          <cell r="F267">
            <v>0</v>
          </cell>
          <cell r="G267">
            <v>1021090</v>
          </cell>
          <cell r="H267">
            <v>0</v>
          </cell>
          <cell r="I267">
            <v>0</v>
          </cell>
          <cell r="J267">
            <v>0</v>
          </cell>
        </row>
        <row r="268">
          <cell r="A268" t="str">
            <v>Mat Credit Entitlement A.Y.2018-19</v>
          </cell>
          <cell r="B268">
            <v>12</v>
          </cell>
          <cell r="C268" t="str">
            <v>Long Term Loans &amp; Advances</v>
          </cell>
          <cell r="D268" t="str">
            <v>MAT Credit Entitlement</v>
          </cell>
          <cell r="E268">
            <v>6404071</v>
          </cell>
          <cell r="F268">
            <v>0</v>
          </cell>
          <cell r="G268">
            <v>6404071</v>
          </cell>
          <cell r="H268">
            <v>0</v>
          </cell>
          <cell r="I268">
            <v>0</v>
          </cell>
          <cell r="J268">
            <v>0</v>
          </cell>
        </row>
        <row r="269">
          <cell r="A269" t="str">
            <v>MAT Utilised (A.Y.13-14)</v>
          </cell>
          <cell r="B269">
            <v>12</v>
          </cell>
          <cell r="C269" t="str">
            <v>Long Term Loans &amp; Advances</v>
          </cell>
          <cell r="D269" t="str">
            <v>MAT Credit Entitlement</v>
          </cell>
          <cell r="E269">
            <v>479434</v>
          </cell>
          <cell r="F269">
            <v>0</v>
          </cell>
          <cell r="G269">
            <v>479434</v>
          </cell>
          <cell r="H269">
            <v>0</v>
          </cell>
          <cell r="I269">
            <v>0</v>
          </cell>
          <cell r="J269">
            <v>0</v>
          </cell>
        </row>
        <row r="270">
          <cell r="A270" t="str">
            <v>MCS Share Tranfer Agent Limited</v>
          </cell>
          <cell r="B270">
            <v>7</v>
          </cell>
          <cell r="C270" t="str">
            <v>Trade Payables</v>
          </cell>
          <cell r="D270" t="str">
            <v>Trade Payables</v>
          </cell>
          <cell r="E270">
            <v>0</v>
          </cell>
          <cell r="F270">
            <v>0</v>
          </cell>
          <cell r="G270">
            <v>0</v>
          </cell>
          <cell r="H270">
            <v>30472</v>
          </cell>
          <cell r="I270">
            <v>0</v>
          </cell>
          <cell r="J270">
            <v>30472</v>
          </cell>
        </row>
        <row r="271">
          <cell r="A271" t="str">
            <v>Medical Aids To Staff</v>
          </cell>
          <cell r="B271">
            <v>24</v>
          </cell>
          <cell r="C271" t="str">
            <v>Employee Benefit Expenses</v>
          </cell>
          <cell r="D271" t="str">
            <v>Staff Welfare Expenses</v>
          </cell>
          <cell r="E271">
            <v>239427</v>
          </cell>
          <cell r="F271">
            <v>0</v>
          </cell>
          <cell r="G271">
            <v>239427</v>
          </cell>
          <cell r="H271">
            <v>0</v>
          </cell>
          <cell r="I271">
            <v>0</v>
          </cell>
          <cell r="J271">
            <v>0</v>
          </cell>
        </row>
        <row r="272">
          <cell r="A272" t="str">
            <v>Membership &amp; Subscription</v>
          </cell>
          <cell r="B272">
            <v>26</v>
          </cell>
          <cell r="C272" t="str">
            <v>Other Expenses</v>
          </cell>
          <cell r="D272" t="str">
            <v>Establishment Expenses-General Expenses</v>
          </cell>
          <cell r="E272">
            <v>0</v>
          </cell>
          <cell r="F272">
            <v>0</v>
          </cell>
          <cell r="G272">
            <v>0</v>
          </cell>
          <cell r="H272">
            <v>0</v>
          </cell>
          <cell r="I272">
            <v>0</v>
          </cell>
          <cell r="J272">
            <v>0</v>
          </cell>
        </row>
        <row r="273">
          <cell r="A273" t="str">
            <v>Metropolitan Stock Exchange of India(MSEI)</v>
          </cell>
          <cell r="B273">
            <v>7</v>
          </cell>
          <cell r="C273" t="str">
            <v>Trade Payables</v>
          </cell>
          <cell r="D273" t="str">
            <v>Trade Payables - Others</v>
          </cell>
          <cell r="E273">
            <v>0</v>
          </cell>
          <cell r="F273">
            <v>0</v>
          </cell>
          <cell r="G273">
            <v>0</v>
          </cell>
          <cell r="H273">
            <v>0</v>
          </cell>
          <cell r="I273">
            <v>0</v>
          </cell>
          <cell r="J273">
            <v>0</v>
          </cell>
        </row>
        <row r="274">
          <cell r="A274" t="str">
            <v>Mohd. Anish Abdul Aziz</v>
          </cell>
          <cell r="B274">
            <v>12</v>
          </cell>
          <cell r="C274" t="str">
            <v>Long Term Loans &amp; Advances</v>
          </cell>
          <cell r="D274" t="str">
            <v>Loans and Advances to Employees</v>
          </cell>
          <cell r="E274">
            <v>15000</v>
          </cell>
          <cell r="F274">
            <v>0</v>
          </cell>
          <cell r="G274">
            <v>15000</v>
          </cell>
          <cell r="H274">
            <v>0</v>
          </cell>
          <cell r="I274">
            <v>0</v>
          </cell>
          <cell r="J274">
            <v>0</v>
          </cell>
        </row>
        <row r="275">
          <cell r="A275" t="str">
            <v>MOHIT PAPER PACKAGING INDUSTRY</v>
          </cell>
          <cell r="B275">
            <v>15</v>
          </cell>
          <cell r="C275" t="str">
            <v>Trade Receivables</v>
          </cell>
          <cell r="D275" t="str">
            <v>Other Debts</v>
          </cell>
          <cell r="E275">
            <v>0</v>
          </cell>
          <cell r="F275">
            <v>0</v>
          </cell>
          <cell r="G275">
            <v>0</v>
          </cell>
          <cell r="H275">
            <v>0</v>
          </cell>
          <cell r="I275">
            <v>0</v>
          </cell>
          <cell r="J275">
            <v>0</v>
          </cell>
        </row>
        <row r="276">
          <cell r="A276" t="str">
            <v>MSC Agency (India) Pvt. Ltd.</v>
          </cell>
          <cell r="B276">
            <v>17</v>
          </cell>
          <cell r="C276" t="str">
            <v>Short Term Loans &amp; Advances</v>
          </cell>
          <cell r="D276" t="str">
            <v>Advance to Suppliers</v>
          </cell>
          <cell r="E276">
            <v>67712.89</v>
          </cell>
          <cell r="F276">
            <v>0</v>
          </cell>
          <cell r="G276">
            <v>67712.89</v>
          </cell>
          <cell r="H276">
            <v>0</v>
          </cell>
          <cell r="I276">
            <v>0</v>
          </cell>
          <cell r="J276">
            <v>0</v>
          </cell>
        </row>
        <row r="277">
          <cell r="A277" t="str">
            <v>MSC Mediterranean Shipping Company S.A.</v>
          </cell>
          <cell r="B277">
            <v>7</v>
          </cell>
          <cell r="C277" t="str">
            <v>Trade Payables</v>
          </cell>
          <cell r="D277" t="str">
            <v>Trade Payables - Others</v>
          </cell>
          <cell r="E277">
            <v>0</v>
          </cell>
          <cell r="F277">
            <v>0</v>
          </cell>
          <cell r="G277">
            <v>0</v>
          </cell>
          <cell r="H277">
            <v>0</v>
          </cell>
          <cell r="I277">
            <v>0</v>
          </cell>
          <cell r="J277">
            <v>0</v>
          </cell>
        </row>
        <row r="278">
          <cell r="A278" t="str">
            <v>Nagpur Telangana Roadways</v>
          </cell>
          <cell r="B278">
            <v>7</v>
          </cell>
          <cell r="C278" t="str">
            <v>Trade Payables</v>
          </cell>
          <cell r="D278" t="str">
            <v>Trade Payables - Others</v>
          </cell>
          <cell r="E278">
            <v>0</v>
          </cell>
          <cell r="F278">
            <v>0</v>
          </cell>
          <cell r="G278">
            <v>0</v>
          </cell>
          <cell r="H278">
            <v>0</v>
          </cell>
          <cell r="I278">
            <v>0</v>
          </cell>
          <cell r="J278">
            <v>0</v>
          </cell>
        </row>
        <row r="279">
          <cell r="A279" t="str">
            <v>Narayan Auto Part Service</v>
          </cell>
          <cell r="B279">
            <v>7</v>
          </cell>
          <cell r="C279" t="str">
            <v>Trade Payables</v>
          </cell>
          <cell r="D279" t="str">
            <v>Trade Payables - Others</v>
          </cell>
          <cell r="E279">
            <v>0</v>
          </cell>
          <cell r="F279">
            <v>0</v>
          </cell>
          <cell r="G279">
            <v>0</v>
          </cell>
          <cell r="H279">
            <v>14593</v>
          </cell>
          <cell r="I279">
            <v>0</v>
          </cell>
          <cell r="J279">
            <v>14593</v>
          </cell>
        </row>
        <row r="280">
          <cell r="A280" t="str">
            <v>Narayan Prasad Warthi</v>
          </cell>
          <cell r="B280">
            <v>12</v>
          </cell>
          <cell r="C280" t="str">
            <v>Long Term Loans &amp; Advances</v>
          </cell>
          <cell r="D280" t="str">
            <v>Loans and Advances to Employees</v>
          </cell>
          <cell r="E280">
            <v>4000</v>
          </cell>
          <cell r="F280">
            <v>0</v>
          </cell>
          <cell r="G280">
            <v>4000</v>
          </cell>
          <cell r="H280">
            <v>0</v>
          </cell>
          <cell r="I280">
            <v>0</v>
          </cell>
          <cell r="J280">
            <v>0</v>
          </cell>
        </row>
        <row r="281">
          <cell r="A281" t="str">
            <v>NEWPORT CH INTERNATIONAL LLC</v>
          </cell>
          <cell r="B281">
            <v>7</v>
          </cell>
          <cell r="C281" t="str">
            <v>Trade Payables</v>
          </cell>
          <cell r="D281" t="str">
            <v>Trade Payables</v>
          </cell>
          <cell r="E281">
            <v>0</v>
          </cell>
          <cell r="F281">
            <v>0</v>
          </cell>
          <cell r="G281">
            <v>0</v>
          </cell>
          <cell r="H281">
            <v>0</v>
          </cell>
          <cell r="I281">
            <v>0</v>
          </cell>
          <cell r="J281">
            <v>0</v>
          </cell>
        </row>
        <row r="282">
          <cell r="A282" t="str">
            <v>Nilkanth Nikhare</v>
          </cell>
          <cell r="B282">
            <v>12</v>
          </cell>
          <cell r="C282" t="str">
            <v>Long Term Loans &amp; Advances</v>
          </cell>
          <cell r="D282" t="str">
            <v>Loans and Advances to Employees</v>
          </cell>
          <cell r="E282">
            <v>34000</v>
          </cell>
          <cell r="F282">
            <v>0</v>
          </cell>
          <cell r="G282">
            <v>34000</v>
          </cell>
          <cell r="H282">
            <v>0</v>
          </cell>
          <cell r="I282">
            <v>0</v>
          </cell>
          <cell r="J282">
            <v>0</v>
          </cell>
        </row>
        <row r="283">
          <cell r="A283" t="str">
            <v>NINGBO KIN-LINK FRICTION CO. LTD.(Export)</v>
          </cell>
          <cell r="B283">
            <v>15</v>
          </cell>
          <cell r="C283" t="str">
            <v>Trade Receivables</v>
          </cell>
          <cell r="D283" t="str">
            <v>Other Debts - Export</v>
          </cell>
          <cell r="E283">
            <v>3355331</v>
          </cell>
          <cell r="F283">
            <v>0</v>
          </cell>
          <cell r="G283">
            <v>3355331</v>
          </cell>
          <cell r="H283">
            <v>0</v>
          </cell>
          <cell r="I283">
            <v>0</v>
          </cell>
          <cell r="J283">
            <v>0</v>
          </cell>
        </row>
        <row r="284">
          <cell r="A284" t="str">
            <v>Niraj Engineering Co. Pvt. Ltd</v>
          </cell>
          <cell r="B284">
            <v>7</v>
          </cell>
          <cell r="C284" t="str">
            <v>Trade Payables</v>
          </cell>
          <cell r="D284" t="str">
            <v>Trade Payables - Others</v>
          </cell>
          <cell r="E284">
            <v>0</v>
          </cell>
          <cell r="F284">
            <v>0</v>
          </cell>
          <cell r="G284">
            <v>0</v>
          </cell>
          <cell r="H284">
            <v>236422</v>
          </cell>
          <cell r="I284">
            <v>0</v>
          </cell>
          <cell r="J284">
            <v>236422</v>
          </cell>
        </row>
        <row r="285">
          <cell r="A285" t="str">
            <v>Niranjan Koche</v>
          </cell>
          <cell r="B285">
            <v>7</v>
          </cell>
          <cell r="C285" t="str">
            <v>Trade Payables</v>
          </cell>
          <cell r="D285" t="str">
            <v>Trade Payables - Others</v>
          </cell>
          <cell r="E285">
            <v>0</v>
          </cell>
          <cell r="F285">
            <v>0</v>
          </cell>
          <cell r="G285">
            <v>0</v>
          </cell>
          <cell r="H285">
            <v>22370</v>
          </cell>
          <cell r="I285">
            <v>0</v>
          </cell>
          <cell r="J285">
            <v>22370</v>
          </cell>
        </row>
        <row r="286">
          <cell r="A286" t="str">
            <v>Non -Eligible GST (Disallowed)</v>
          </cell>
          <cell r="B286">
            <v>26</v>
          </cell>
          <cell r="C286" t="str">
            <v>Other Expenses</v>
          </cell>
          <cell r="D286" t="str">
            <v>Establishment Expenses-Rates &amp; Taxes</v>
          </cell>
          <cell r="E286">
            <v>185312</v>
          </cell>
          <cell r="F286">
            <v>0</v>
          </cell>
          <cell r="G286">
            <v>185312</v>
          </cell>
          <cell r="H286">
            <v>0</v>
          </cell>
          <cell r="I286">
            <v>0</v>
          </cell>
          <cell r="J286">
            <v>0</v>
          </cell>
        </row>
        <row r="287">
          <cell r="A287" t="str">
            <v>Non Receivable GST Prior Expenses</v>
          </cell>
          <cell r="B287">
            <v>26</v>
          </cell>
          <cell r="C287" t="str">
            <v>Other Expenses</v>
          </cell>
          <cell r="D287" t="str">
            <v>Establishment Expenses-Rates &amp; Taxes</v>
          </cell>
          <cell r="E287">
            <v>0</v>
          </cell>
          <cell r="F287">
            <v>0</v>
          </cell>
          <cell r="G287">
            <v>0</v>
          </cell>
          <cell r="H287">
            <v>0</v>
          </cell>
          <cell r="I287">
            <v>0</v>
          </cell>
          <cell r="J287">
            <v>0</v>
          </cell>
        </row>
        <row r="288">
          <cell r="A288" t="str">
            <v>Non-Receivable Excise Expenses</v>
          </cell>
          <cell r="B288">
            <v>26</v>
          </cell>
          <cell r="C288" t="str">
            <v>Other Expenses</v>
          </cell>
          <cell r="D288" t="str">
            <v>Establishment Expenses-Rates &amp; Taxes</v>
          </cell>
          <cell r="E288">
            <v>0</v>
          </cell>
          <cell r="F288">
            <v>0</v>
          </cell>
          <cell r="G288">
            <v>0</v>
          </cell>
          <cell r="H288">
            <v>0</v>
          </cell>
          <cell r="I288">
            <v>0</v>
          </cell>
          <cell r="J288">
            <v>0</v>
          </cell>
        </row>
        <row r="289">
          <cell r="A289" t="str">
            <v>Office Cleaning Charges</v>
          </cell>
          <cell r="B289">
            <v>26</v>
          </cell>
          <cell r="C289" t="str">
            <v>Other Expenses</v>
          </cell>
          <cell r="D289" t="str">
            <v>Establishment Expenses-Office Expenses</v>
          </cell>
          <cell r="E289">
            <v>53120</v>
          </cell>
          <cell r="F289">
            <v>0</v>
          </cell>
          <cell r="G289">
            <v>53120</v>
          </cell>
          <cell r="H289">
            <v>0</v>
          </cell>
          <cell r="I289">
            <v>0</v>
          </cell>
          <cell r="J289">
            <v>0</v>
          </cell>
        </row>
        <row r="290">
          <cell r="A290" t="str">
            <v>Office Electricity Charges</v>
          </cell>
          <cell r="B290">
            <v>26</v>
          </cell>
          <cell r="C290" t="str">
            <v>Other Expenses</v>
          </cell>
          <cell r="D290" t="str">
            <v>Establishment Expenses-Office Expenses</v>
          </cell>
          <cell r="E290">
            <v>119340</v>
          </cell>
          <cell r="F290">
            <v>0</v>
          </cell>
          <cell r="G290">
            <v>119340</v>
          </cell>
          <cell r="H290">
            <v>0</v>
          </cell>
          <cell r="I290">
            <v>0</v>
          </cell>
          <cell r="J290">
            <v>0</v>
          </cell>
        </row>
        <row r="291">
          <cell r="A291" t="str">
            <v>Office Electricity Payable</v>
          </cell>
          <cell r="B291">
            <v>7</v>
          </cell>
          <cell r="C291" t="str">
            <v>Trade Payables</v>
          </cell>
          <cell r="D291" t="str">
            <v>Trade Payables - Others</v>
          </cell>
          <cell r="E291">
            <v>0</v>
          </cell>
          <cell r="F291">
            <v>0</v>
          </cell>
          <cell r="G291">
            <v>0</v>
          </cell>
          <cell r="H291">
            <v>4490</v>
          </cell>
          <cell r="I291">
            <v>0</v>
          </cell>
          <cell r="J291">
            <v>4490</v>
          </cell>
        </row>
        <row r="292">
          <cell r="A292" t="str">
            <v>Office Equipment</v>
          </cell>
          <cell r="B292">
            <v>10</v>
          </cell>
          <cell r="C292" t="str">
            <v>Fixed Assets</v>
          </cell>
          <cell r="D292" t="str">
            <v>Tangible Asset</v>
          </cell>
          <cell r="E292">
            <v>918177.38</v>
          </cell>
          <cell r="F292">
            <v>0</v>
          </cell>
          <cell r="G292">
            <v>918177.38</v>
          </cell>
          <cell r="H292">
            <v>0</v>
          </cell>
          <cell r="I292">
            <v>0</v>
          </cell>
          <cell r="J292">
            <v>0</v>
          </cell>
        </row>
        <row r="293">
          <cell r="A293" t="str">
            <v>Office Misc. Expenses</v>
          </cell>
          <cell r="B293">
            <v>26</v>
          </cell>
          <cell r="C293" t="str">
            <v>Other Expenses</v>
          </cell>
          <cell r="D293" t="str">
            <v>Establishment Expenses-Office Expenses</v>
          </cell>
          <cell r="E293">
            <v>202053</v>
          </cell>
          <cell r="F293">
            <v>0</v>
          </cell>
          <cell r="G293">
            <v>202053</v>
          </cell>
          <cell r="H293">
            <v>0</v>
          </cell>
          <cell r="I293">
            <v>0</v>
          </cell>
          <cell r="J293">
            <v>0</v>
          </cell>
        </row>
        <row r="294">
          <cell r="A294" t="str">
            <v>Office Rent</v>
          </cell>
          <cell r="B294">
            <v>26</v>
          </cell>
          <cell r="C294" t="str">
            <v>Other Expenses</v>
          </cell>
          <cell r="D294" t="str">
            <v>Establishment Expenses-Rent</v>
          </cell>
          <cell r="E294">
            <v>312000</v>
          </cell>
          <cell r="F294">
            <v>0</v>
          </cell>
          <cell r="G294">
            <v>312000</v>
          </cell>
          <cell r="H294">
            <v>0</v>
          </cell>
          <cell r="I294">
            <v>0</v>
          </cell>
          <cell r="J294">
            <v>0</v>
          </cell>
        </row>
        <row r="295">
          <cell r="A295" t="str">
            <v>Office Tea &amp; Other Exp.</v>
          </cell>
          <cell r="B295">
            <v>26</v>
          </cell>
          <cell r="C295" t="str">
            <v>Other Expenses</v>
          </cell>
          <cell r="D295" t="str">
            <v>Establishment Expenses-Office Expenses</v>
          </cell>
          <cell r="E295">
            <v>104473</v>
          </cell>
          <cell r="F295">
            <v>0</v>
          </cell>
          <cell r="G295">
            <v>104473</v>
          </cell>
          <cell r="H295">
            <v>0</v>
          </cell>
          <cell r="I295">
            <v>0</v>
          </cell>
          <cell r="J295">
            <v>0</v>
          </cell>
        </row>
        <row r="296">
          <cell r="A296" t="str">
            <v>OM SAI ENGINEERING</v>
          </cell>
          <cell r="B296">
            <v>17</v>
          </cell>
          <cell r="C296" t="str">
            <v>Short Term Loans &amp; Advances</v>
          </cell>
          <cell r="D296" t="str">
            <v>Advance to Suppliers</v>
          </cell>
          <cell r="E296">
            <v>25000</v>
          </cell>
          <cell r="F296">
            <v>0</v>
          </cell>
          <cell r="G296">
            <v>25000</v>
          </cell>
          <cell r="H296">
            <v>0</v>
          </cell>
          <cell r="I296">
            <v>0</v>
          </cell>
          <cell r="J296">
            <v>0</v>
          </cell>
        </row>
        <row r="297">
          <cell r="A297" t="str">
            <v>Opening Stock</v>
          </cell>
          <cell r="C297" t="str">
            <v>opening stock</v>
          </cell>
          <cell r="D297" t="str">
            <v>opening stock</v>
          </cell>
          <cell r="E297">
            <v>51184927.25</v>
          </cell>
          <cell r="F297">
            <v>0</v>
          </cell>
          <cell r="G297">
            <v>51184927.25</v>
          </cell>
          <cell r="H297">
            <v>0</v>
          </cell>
          <cell r="I297">
            <v>0</v>
          </cell>
          <cell r="J297">
            <v>0</v>
          </cell>
        </row>
        <row r="298">
          <cell r="A298" t="str">
            <v>ORIENTAL TRADING COMPANY</v>
          </cell>
          <cell r="B298">
            <v>15</v>
          </cell>
          <cell r="C298" t="str">
            <v>Trade Receivables</v>
          </cell>
          <cell r="D298" t="str">
            <v>Other Debts</v>
          </cell>
          <cell r="E298">
            <v>501681</v>
          </cell>
          <cell r="F298">
            <v>0</v>
          </cell>
          <cell r="G298">
            <v>501681</v>
          </cell>
          <cell r="H298">
            <v>0</v>
          </cell>
          <cell r="I298">
            <v>0</v>
          </cell>
          <cell r="J298">
            <v>0</v>
          </cell>
        </row>
        <row r="299">
          <cell r="A299" t="str">
            <v>ORIGAMI CELLULO PVT.LTD.</v>
          </cell>
          <cell r="B299">
            <v>15</v>
          </cell>
          <cell r="C299" t="str">
            <v>Trade Receivables</v>
          </cell>
          <cell r="D299" t="str">
            <v>Other Debts</v>
          </cell>
          <cell r="E299">
            <v>361758</v>
          </cell>
          <cell r="F299">
            <v>0</v>
          </cell>
          <cell r="G299">
            <v>361758</v>
          </cell>
          <cell r="H299">
            <v>0</v>
          </cell>
          <cell r="I299">
            <v>0</v>
          </cell>
          <cell r="J299">
            <v>0</v>
          </cell>
        </row>
        <row r="300">
          <cell r="A300" t="str">
            <v>Other Charges : Chemical</v>
          </cell>
          <cell r="B300">
            <v>22</v>
          </cell>
          <cell r="C300" t="str">
            <v>Raw Material Consumed</v>
          </cell>
          <cell r="D300" t="str">
            <v>Raw Material Purchase</v>
          </cell>
          <cell r="E300">
            <v>33607</v>
          </cell>
          <cell r="F300">
            <v>0</v>
          </cell>
          <cell r="G300">
            <v>33607</v>
          </cell>
          <cell r="H300">
            <v>0</v>
          </cell>
          <cell r="I300">
            <v>0</v>
          </cell>
          <cell r="J300">
            <v>0</v>
          </cell>
        </row>
        <row r="301">
          <cell r="A301" t="str">
            <v>Other Charges : Chemical (NON-GST)</v>
          </cell>
          <cell r="B301">
            <v>22</v>
          </cell>
          <cell r="C301" t="str">
            <v>Raw Material Consumed</v>
          </cell>
          <cell r="D301" t="str">
            <v>Raw Material Purchase</v>
          </cell>
          <cell r="E301">
            <v>2080</v>
          </cell>
          <cell r="F301">
            <v>0</v>
          </cell>
          <cell r="G301">
            <v>2080</v>
          </cell>
          <cell r="H301">
            <v>0</v>
          </cell>
          <cell r="I301">
            <v>0</v>
          </cell>
          <cell r="J301">
            <v>0</v>
          </cell>
        </row>
        <row r="302">
          <cell r="A302" t="str">
            <v>Other Charges : Coal</v>
          </cell>
          <cell r="B302">
            <v>26</v>
          </cell>
          <cell r="C302" t="str">
            <v>Other Expenses</v>
          </cell>
          <cell r="D302" t="str">
            <v>Manufacturing Expenses - Power &amp; Fuel Consumed</v>
          </cell>
          <cell r="E302">
            <v>852133</v>
          </cell>
          <cell r="F302">
            <v>0</v>
          </cell>
          <cell r="G302">
            <v>852133</v>
          </cell>
          <cell r="H302">
            <v>0</v>
          </cell>
          <cell r="I302">
            <v>0</v>
          </cell>
          <cell r="J302">
            <v>0</v>
          </cell>
        </row>
        <row r="303">
          <cell r="A303" t="str">
            <v>Other Charges : M/c Repair &amp; Maint.</v>
          </cell>
          <cell r="B303">
            <v>26</v>
          </cell>
          <cell r="C303" t="str">
            <v>Other Expenses</v>
          </cell>
          <cell r="D303" t="str">
            <v>Manufacturing Expenses-Repairs &amp; Maintainence Machinery</v>
          </cell>
          <cell r="E303">
            <v>0</v>
          </cell>
          <cell r="F303">
            <v>0</v>
          </cell>
          <cell r="G303">
            <v>0</v>
          </cell>
          <cell r="H303">
            <v>0</v>
          </cell>
          <cell r="I303">
            <v>0</v>
          </cell>
          <cell r="J303">
            <v>0</v>
          </cell>
        </row>
        <row r="304">
          <cell r="A304" t="str">
            <v>Other Charges : Packing (Non-GST)</v>
          </cell>
          <cell r="B304">
            <v>26</v>
          </cell>
          <cell r="C304" t="str">
            <v>Other Expenses</v>
          </cell>
          <cell r="D304" t="str">
            <v>Manufacturing Expenses - Packing Material Consumed</v>
          </cell>
          <cell r="E304">
            <v>500</v>
          </cell>
          <cell r="F304">
            <v>0</v>
          </cell>
          <cell r="G304">
            <v>500</v>
          </cell>
          <cell r="H304">
            <v>0</v>
          </cell>
          <cell r="I304">
            <v>0</v>
          </cell>
          <cell r="J304">
            <v>0</v>
          </cell>
        </row>
        <row r="305">
          <cell r="A305" t="str">
            <v>Other Charges : Packing Material</v>
          </cell>
          <cell r="B305">
            <v>26</v>
          </cell>
          <cell r="C305" t="str">
            <v>Other Expenses</v>
          </cell>
          <cell r="D305" t="str">
            <v>Manufacturing Expenses - Packing Material Consumed</v>
          </cell>
          <cell r="E305">
            <v>2650</v>
          </cell>
          <cell r="F305">
            <v>0</v>
          </cell>
          <cell r="G305">
            <v>2650</v>
          </cell>
          <cell r="H305">
            <v>0</v>
          </cell>
          <cell r="I305">
            <v>0</v>
          </cell>
          <cell r="J305">
            <v>0</v>
          </cell>
        </row>
        <row r="306">
          <cell r="A306" t="str">
            <v>Other Charges :- Repair &amp; Maint Building</v>
          </cell>
          <cell r="B306">
            <v>26</v>
          </cell>
          <cell r="C306" t="str">
            <v>Other Expenses</v>
          </cell>
          <cell r="D306" t="str">
            <v>Establishment Expenses-Rep. &amp; Maint. Others</v>
          </cell>
          <cell r="E306">
            <v>0</v>
          </cell>
          <cell r="F306">
            <v>0</v>
          </cell>
          <cell r="G306">
            <v>0</v>
          </cell>
          <cell r="H306">
            <v>0</v>
          </cell>
          <cell r="I306">
            <v>0</v>
          </cell>
          <cell r="J306">
            <v>0</v>
          </cell>
        </row>
        <row r="307">
          <cell r="A307" t="str">
            <v>Other Charges : Vehicle Repair &amp; Maint.</v>
          </cell>
          <cell r="B307">
            <v>26</v>
          </cell>
          <cell r="C307" t="str">
            <v>Other Expenses</v>
          </cell>
          <cell r="D307" t="str">
            <v>Establishment Expenses-Rep. &amp; Maint. Others</v>
          </cell>
          <cell r="E307">
            <v>0</v>
          </cell>
          <cell r="F307">
            <v>0</v>
          </cell>
          <cell r="G307">
            <v>0</v>
          </cell>
          <cell r="H307">
            <v>0</v>
          </cell>
          <cell r="I307">
            <v>0</v>
          </cell>
          <cell r="J307">
            <v>0</v>
          </cell>
        </row>
        <row r="308">
          <cell r="A308" t="str">
            <v>Other Import OCC Expenses</v>
          </cell>
          <cell r="B308">
            <v>22</v>
          </cell>
          <cell r="C308" t="str">
            <v>Raw Material Consumed</v>
          </cell>
          <cell r="D308" t="str">
            <v>Raw Material Purchase</v>
          </cell>
          <cell r="E308">
            <v>447749</v>
          </cell>
          <cell r="F308">
            <v>0</v>
          </cell>
          <cell r="G308">
            <v>447749</v>
          </cell>
          <cell r="H308">
            <v>0</v>
          </cell>
          <cell r="I308">
            <v>0</v>
          </cell>
          <cell r="J308">
            <v>0</v>
          </cell>
        </row>
        <row r="309">
          <cell r="A309" t="str">
            <v>Other Professional Fees (Darak)</v>
          </cell>
          <cell r="B309">
            <v>26</v>
          </cell>
          <cell r="C309" t="str">
            <v>Other Expenses</v>
          </cell>
          <cell r="D309" t="str">
            <v>Establishment Expenses-General Expenses</v>
          </cell>
          <cell r="E309">
            <v>20000</v>
          </cell>
          <cell r="F309">
            <v>0</v>
          </cell>
          <cell r="G309">
            <v>20000</v>
          </cell>
          <cell r="H309">
            <v>0</v>
          </cell>
          <cell r="I309">
            <v>0</v>
          </cell>
          <cell r="J309">
            <v>0</v>
          </cell>
        </row>
        <row r="310">
          <cell r="A310" t="str">
            <v>Other Professional Fees : (Shah Baheti)</v>
          </cell>
          <cell r="B310">
            <v>26</v>
          </cell>
          <cell r="C310" t="str">
            <v>Other Expenses</v>
          </cell>
          <cell r="D310" t="str">
            <v>Establishment Expenses-Legal &amp; Professional Charges</v>
          </cell>
          <cell r="E310">
            <v>0</v>
          </cell>
          <cell r="F310">
            <v>0</v>
          </cell>
          <cell r="G310">
            <v>0</v>
          </cell>
          <cell r="H310">
            <v>0</v>
          </cell>
          <cell r="I310">
            <v>0</v>
          </cell>
          <cell r="J310">
            <v>0</v>
          </cell>
        </row>
        <row r="311">
          <cell r="A311" t="str">
            <v>Other Professional Fees : (Walter)</v>
          </cell>
          <cell r="B311">
            <v>26</v>
          </cell>
          <cell r="C311" t="str">
            <v>Other Expenses</v>
          </cell>
          <cell r="D311" t="str">
            <v>Establishment Expenses-Legal &amp; Professional Charges</v>
          </cell>
          <cell r="E311">
            <v>210000</v>
          </cell>
          <cell r="F311">
            <v>0</v>
          </cell>
          <cell r="G311">
            <v>210000</v>
          </cell>
          <cell r="H311">
            <v>0</v>
          </cell>
          <cell r="I311">
            <v>0</v>
          </cell>
          <cell r="J311">
            <v>0</v>
          </cell>
        </row>
        <row r="312">
          <cell r="A312" t="str">
            <v>PACKING CHARGES</v>
          </cell>
          <cell r="B312">
            <v>19</v>
          </cell>
          <cell r="C312" t="str">
            <v>Revenue From Operations</v>
          </cell>
          <cell r="D312" t="str">
            <v>Sale of Goods - Manufacturing Sales</v>
          </cell>
          <cell r="E312">
            <v>0</v>
          </cell>
          <cell r="F312">
            <v>0</v>
          </cell>
          <cell r="G312">
            <v>0</v>
          </cell>
          <cell r="H312">
            <v>497880</v>
          </cell>
          <cell r="I312">
            <v>0</v>
          </cell>
          <cell r="J312">
            <v>497880</v>
          </cell>
        </row>
        <row r="313">
          <cell r="A313" t="str">
            <v>Packing Material Purchase</v>
          </cell>
          <cell r="B313">
            <v>26</v>
          </cell>
          <cell r="C313" t="str">
            <v>Other Expenses</v>
          </cell>
          <cell r="D313" t="str">
            <v>Manufacturing Expenses - Packing Material Consumed</v>
          </cell>
          <cell r="E313">
            <v>7311227.8099999996</v>
          </cell>
          <cell r="F313">
            <v>0</v>
          </cell>
          <cell r="G313">
            <v>7311227.8099999996</v>
          </cell>
          <cell r="H313">
            <v>0</v>
          </cell>
          <cell r="I313">
            <v>0</v>
          </cell>
          <cell r="J313">
            <v>0</v>
          </cell>
        </row>
        <row r="314">
          <cell r="A314" t="str">
            <v>PACKSAFE</v>
          </cell>
          <cell r="B314">
            <v>15</v>
          </cell>
          <cell r="C314" t="str">
            <v>Trade Receivables</v>
          </cell>
          <cell r="D314" t="str">
            <v>Other Debts</v>
          </cell>
          <cell r="E314">
            <v>361125</v>
          </cell>
          <cell r="F314">
            <v>0</v>
          </cell>
          <cell r="G314">
            <v>361125</v>
          </cell>
          <cell r="H314">
            <v>0</v>
          </cell>
          <cell r="I314">
            <v>0</v>
          </cell>
          <cell r="J314">
            <v>0</v>
          </cell>
        </row>
        <row r="315">
          <cell r="A315" t="str">
            <v>PANCHSHEEL TRADING CORPN., NAGPUR</v>
          </cell>
          <cell r="B315">
            <v>7</v>
          </cell>
          <cell r="C315" t="str">
            <v>Trade Payables</v>
          </cell>
          <cell r="D315" t="str">
            <v>Trade Payables</v>
          </cell>
          <cell r="E315">
            <v>0</v>
          </cell>
          <cell r="F315">
            <v>0</v>
          </cell>
          <cell r="G315">
            <v>0</v>
          </cell>
          <cell r="H315">
            <v>3172</v>
          </cell>
          <cell r="I315">
            <v>0</v>
          </cell>
          <cell r="J315">
            <v>3172</v>
          </cell>
        </row>
        <row r="316">
          <cell r="A316" t="str">
            <v>Payable to Boiler Fireman Charges</v>
          </cell>
          <cell r="B316">
            <v>7</v>
          </cell>
          <cell r="C316" t="str">
            <v>Trade Payables</v>
          </cell>
          <cell r="D316" t="str">
            <v>Trade Payables - Others</v>
          </cell>
          <cell r="E316">
            <v>0</v>
          </cell>
          <cell r="F316">
            <v>0</v>
          </cell>
          <cell r="G316">
            <v>0</v>
          </cell>
          <cell r="H316">
            <v>274949</v>
          </cell>
          <cell r="I316">
            <v>0</v>
          </cell>
          <cell r="J316">
            <v>274949</v>
          </cell>
        </row>
        <row r="317">
          <cell r="A317" t="str">
            <v>Payable To Raw Material Sorting</v>
          </cell>
          <cell r="B317">
            <v>7</v>
          </cell>
          <cell r="C317" t="str">
            <v>Trade Payables</v>
          </cell>
          <cell r="D317" t="str">
            <v>Trade Payables - Others</v>
          </cell>
          <cell r="E317">
            <v>0</v>
          </cell>
          <cell r="F317">
            <v>0</v>
          </cell>
          <cell r="G317">
            <v>0</v>
          </cell>
          <cell r="H317">
            <v>423402</v>
          </cell>
          <cell r="I317">
            <v>0</v>
          </cell>
          <cell r="J317">
            <v>423402</v>
          </cell>
        </row>
        <row r="318">
          <cell r="A318" t="str">
            <v>Payable Waste Paper Feeding Charges</v>
          </cell>
          <cell r="B318">
            <v>7</v>
          </cell>
          <cell r="C318" t="str">
            <v>Trade Payables</v>
          </cell>
          <cell r="D318" t="str">
            <v>Trade Payables - Others</v>
          </cell>
          <cell r="E318">
            <v>0</v>
          </cell>
          <cell r="F318">
            <v>0</v>
          </cell>
          <cell r="G318">
            <v>0</v>
          </cell>
          <cell r="H318">
            <v>523713</v>
          </cell>
          <cell r="I318">
            <v>0</v>
          </cell>
          <cell r="J318">
            <v>523713</v>
          </cell>
        </row>
        <row r="319">
          <cell r="A319" t="str">
            <v>PENALTY ON CGST</v>
          </cell>
          <cell r="B319">
            <v>26</v>
          </cell>
          <cell r="C319" t="str">
            <v>Other Expenses</v>
          </cell>
          <cell r="D319" t="str">
            <v>Establishment Expenses-Rates &amp; Taxes</v>
          </cell>
          <cell r="E319">
            <v>0</v>
          </cell>
          <cell r="F319">
            <v>0</v>
          </cell>
          <cell r="G319">
            <v>0</v>
          </cell>
          <cell r="H319">
            <v>0</v>
          </cell>
          <cell r="I319">
            <v>0</v>
          </cell>
          <cell r="J319">
            <v>0</v>
          </cell>
        </row>
        <row r="320">
          <cell r="A320" t="str">
            <v>Penalty on Custom Duty</v>
          </cell>
          <cell r="B320">
            <v>26</v>
          </cell>
          <cell r="C320" t="str">
            <v>Other Expenses</v>
          </cell>
          <cell r="D320" t="str">
            <v>Establishment Expenses-Rates &amp; Taxes</v>
          </cell>
          <cell r="E320">
            <v>0</v>
          </cell>
          <cell r="F320">
            <v>0</v>
          </cell>
          <cell r="G320">
            <v>0</v>
          </cell>
          <cell r="H320">
            <v>0</v>
          </cell>
          <cell r="I320">
            <v>0</v>
          </cell>
          <cell r="J320">
            <v>0</v>
          </cell>
        </row>
        <row r="321">
          <cell r="A321" t="str">
            <v>Penalty on Excise Duty</v>
          </cell>
          <cell r="B321">
            <v>26</v>
          </cell>
          <cell r="C321" t="str">
            <v>Other Expenses</v>
          </cell>
          <cell r="D321" t="str">
            <v>Establishment Expenses-Rates &amp; Taxes</v>
          </cell>
          <cell r="E321">
            <v>0</v>
          </cell>
          <cell r="F321">
            <v>0</v>
          </cell>
          <cell r="G321">
            <v>0</v>
          </cell>
          <cell r="H321">
            <v>0</v>
          </cell>
          <cell r="I321">
            <v>0</v>
          </cell>
          <cell r="J321">
            <v>0</v>
          </cell>
        </row>
        <row r="322">
          <cell r="A322" t="str">
            <v>PENALTY ON SGST</v>
          </cell>
          <cell r="B322">
            <v>26</v>
          </cell>
          <cell r="C322" t="str">
            <v>Other Expenses</v>
          </cell>
          <cell r="D322" t="str">
            <v>Establishment Expenses-Rates &amp; Taxes</v>
          </cell>
          <cell r="E322">
            <v>0</v>
          </cell>
          <cell r="F322">
            <v>0</v>
          </cell>
          <cell r="G322">
            <v>0</v>
          </cell>
          <cell r="H322">
            <v>0</v>
          </cell>
          <cell r="I322">
            <v>0</v>
          </cell>
          <cell r="J322">
            <v>0</v>
          </cell>
        </row>
        <row r="323">
          <cell r="A323" t="str">
            <v>Penalty to Compliance (MSEI)</v>
          </cell>
          <cell r="B323">
            <v>26</v>
          </cell>
          <cell r="C323" t="str">
            <v>Other Expenses</v>
          </cell>
          <cell r="D323" t="str">
            <v>Establishment Expenses-Rates &amp; Taxes</v>
          </cell>
          <cell r="E323">
            <v>281000</v>
          </cell>
          <cell r="F323">
            <v>0</v>
          </cell>
          <cell r="G323">
            <v>281000</v>
          </cell>
          <cell r="H323">
            <v>0</v>
          </cell>
          <cell r="I323">
            <v>0</v>
          </cell>
          <cell r="J323">
            <v>0</v>
          </cell>
        </row>
        <row r="324">
          <cell r="A324" t="str">
            <v>Plant &amp; Machinery</v>
          </cell>
          <cell r="B324">
            <v>10</v>
          </cell>
          <cell r="C324" t="str">
            <v>Fixed Assets</v>
          </cell>
          <cell r="D324" t="str">
            <v>Tangible Asset</v>
          </cell>
          <cell r="E324">
            <v>217294094.62</v>
          </cell>
          <cell r="F324">
            <v>0</v>
          </cell>
          <cell r="G324">
            <v>217294094.62</v>
          </cell>
          <cell r="H324">
            <v>0</v>
          </cell>
          <cell r="I324">
            <v>0</v>
          </cell>
          <cell r="J324">
            <v>0</v>
          </cell>
        </row>
        <row r="325">
          <cell r="A325" t="str">
            <v>Pooja Atul Hurkat</v>
          </cell>
          <cell r="B325">
            <v>7</v>
          </cell>
          <cell r="C325" t="str">
            <v>Trade Payables</v>
          </cell>
          <cell r="D325" t="str">
            <v>Trade Payables - Others</v>
          </cell>
          <cell r="E325">
            <v>0</v>
          </cell>
          <cell r="F325">
            <v>0</v>
          </cell>
          <cell r="G325">
            <v>0</v>
          </cell>
          <cell r="H325">
            <v>81000</v>
          </cell>
          <cell r="I325">
            <v>0</v>
          </cell>
          <cell r="J325">
            <v>81000</v>
          </cell>
        </row>
        <row r="326">
          <cell r="A326" t="str">
            <v>Pooja Expenses</v>
          </cell>
          <cell r="B326">
            <v>26</v>
          </cell>
          <cell r="C326" t="str">
            <v>Other Expenses</v>
          </cell>
          <cell r="D326" t="str">
            <v>Establishment Expenses-General Expenses</v>
          </cell>
          <cell r="E326">
            <v>161998</v>
          </cell>
          <cell r="F326">
            <v>0</v>
          </cell>
          <cell r="G326">
            <v>161998</v>
          </cell>
          <cell r="H326">
            <v>0</v>
          </cell>
          <cell r="I326">
            <v>0</v>
          </cell>
          <cell r="J326">
            <v>0</v>
          </cell>
        </row>
        <row r="327">
          <cell r="A327" t="str">
            <v>Power &amp; Electricity Payable</v>
          </cell>
          <cell r="B327">
            <v>7</v>
          </cell>
          <cell r="C327" t="str">
            <v>Trade Payables</v>
          </cell>
          <cell r="D327" t="str">
            <v>Trade Payables - Others</v>
          </cell>
          <cell r="E327">
            <v>0</v>
          </cell>
          <cell r="F327">
            <v>0</v>
          </cell>
          <cell r="G327">
            <v>0</v>
          </cell>
          <cell r="H327">
            <v>4956590</v>
          </cell>
          <cell r="I327">
            <v>0</v>
          </cell>
          <cell r="J327">
            <v>4956590</v>
          </cell>
        </row>
        <row r="328">
          <cell r="A328" t="str">
            <v>Power Incentive Received</v>
          </cell>
          <cell r="B328">
            <v>26</v>
          </cell>
          <cell r="C328" t="str">
            <v>Other Expenses</v>
          </cell>
          <cell r="D328" t="str">
            <v>Manufacturing Expenses - Power &amp; Fuel Consumed</v>
          </cell>
          <cell r="E328">
            <v>0</v>
          </cell>
          <cell r="F328">
            <v>0</v>
          </cell>
          <cell r="G328">
            <v>0</v>
          </cell>
          <cell r="H328">
            <v>0</v>
          </cell>
          <cell r="I328">
            <v>0</v>
          </cell>
          <cell r="J328">
            <v>0</v>
          </cell>
        </row>
        <row r="329">
          <cell r="A329" t="str">
            <v>PR GLOBAL RESOURCES INDIA PRIVATE  LIMITED</v>
          </cell>
          <cell r="B329">
            <v>15</v>
          </cell>
          <cell r="C329" t="str">
            <v>Trade Receivables</v>
          </cell>
          <cell r="D329" t="str">
            <v>Other Debts</v>
          </cell>
          <cell r="E329">
            <v>213763</v>
          </cell>
          <cell r="F329">
            <v>0</v>
          </cell>
          <cell r="G329">
            <v>213763</v>
          </cell>
          <cell r="H329">
            <v>0</v>
          </cell>
          <cell r="I329">
            <v>0</v>
          </cell>
          <cell r="J329">
            <v>0</v>
          </cell>
        </row>
        <row r="330">
          <cell r="A330" t="str">
            <v>Pragathi Bearing Company</v>
          </cell>
          <cell r="B330">
            <v>7</v>
          </cell>
          <cell r="C330" t="str">
            <v>Trade Payables</v>
          </cell>
          <cell r="D330" t="str">
            <v>Trade Payables</v>
          </cell>
          <cell r="E330">
            <v>0</v>
          </cell>
          <cell r="F330">
            <v>0</v>
          </cell>
          <cell r="G330">
            <v>0</v>
          </cell>
          <cell r="H330">
            <v>0</v>
          </cell>
          <cell r="I330">
            <v>0</v>
          </cell>
          <cell r="J330">
            <v>0</v>
          </cell>
        </row>
        <row r="331">
          <cell r="A331" t="str">
            <v>Prakash Chaple</v>
          </cell>
          <cell r="B331">
            <v>12</v>
          </cell>
          <cell r="C331" t="str">
            <v>Long Term Loans &amp; Advances</v>
          </cell>
          <cell r="D331" t="str">
            <v>Loans and Advances to Employees</v>
          </cell>
          <cell r="E331">
            <v>0</v>
          </cell>
          <cell r="F331">
            <v>0</v>
          </cell>
          <cell r="G331">
            <v>0</v>
          </cell>
          <cell r="H331">
            <v>0</v>
          </cell>
          <cell r="I331">
            <v>0</v>
          </cell>
          <cell r="J331">
            <v>0</v>
          </cell>
        </row>
        <row r="332">
          <cell r="A332" t="str">
            <v>PRANSHU PAPER PVT. LTD.</v>
          </cell>
          <cell r="B332">
            <v>15</v>
          </cell>
          <cell r="C332" t="str">
            <v>Trade Receivables</v>
          </cell>
          <cell r="D332" t="str">
            <v>Other Debts</v>
          </cell>
          <cell r="E332">
            <v>3013137</v>
          </cell>
          <cell r="F332">
            <v>0</v>
          </cell>
          <cell r="G332">
            <v>3013137</v>
          </cell>
          <cell r="H332">
            <v>0</v>
          </cell>
          <cell r="I332">
            <v>0</v>
          </cell>
          <cell r="J332">
            <v>0</v>
          </cell>
        </row>
        <row r="333">
          <cell r="A333" t="str">
            <v>Prayag Industries</v>
          </cell>
          <cell r="B333">
            <v>8</v>
          </cell>
          <cell r="C333" t="str">
            <v>Other Current Liabilities</v>
          </cell>
          <cell r="D333" t="str">
            <v>Trade Payables for capital goods</v>
          </cell>
          <cell r="E333">
            <v>0</v>
          </cell>
          <cell r="F333">
            <v>0</v>
          </cell>
          <cell r="G333">
            <v>0</v>
          </cell>
          <cell r="H333">
            <v>0</v>
          </cell>
          <cell r="I333">
            <v>0</v>
          </cell>
          <cell r="J333">
            <v>0</v>
          </cell>
        </row>
        <row r="334">
          <cell r="A334" t="str">
            <v>Premier India Road Service, Nagpur</v>
          </cell>
          <cell r="B334">
            <v>7</v>
          </cell>
          <cell r="C334" t="str">
            <v>Trade Payables</v>
          </cell>
          <cell r="D334" t="str">
            <v>Trade Payables</v>
          </cell>
          <cell r="E334">
            <v>0</v>
          </cell>
          <cell r="F334">
            <v>0</v>
          </cell>
          <cell r="G334">
            <v>0</v>
          </cell>
          <cell r="H334">
            <v>36128</v>
          </cell>
          <cell r="I334">
            <v>0</v>
          </cell>
          <cell r="J334">
            <v>36128</v>
          </cell>
        </row>
        <row r="335">
          <cell r="A335" t="str">
            <v>Pre-Paid Renewal &amp; Registration</v>
          </cell>
          <cell r="B335">
            <v>18</v>
          </cell>
          <cell r="C335" t="str">
            <v>Other Current Assets</v>
          </cell>
          <cell r="D335" t="str">
            <v>Prepaid Expenses</v>
          </cell>
          <cell r="E335">
            <v>299526</v>
          </cell>
          <cell r="F335">
            <v>0</v>
          </cell>
          <cell r="G335">
            <v>299526</v>
          </cell>
          <cell r="H335">
            <v>0</v>
          </cell>
          <cell r="I335">
            <v>0</v>
          </cell>
          <cell r="J335">
            <v>0</v>
          </cell>
        </row>
        <row r="336">
          <cell r="A336" t="str">
            <v>Interest Receivable</v>
          </cell>
          <cell r="B336">
            <v>13</v>
          </cell>
          <cell r="C336" t="str">
            <v>Other Non-Current Assets</v>
          </cell>
          <cell r="D336" t="str">
            <v>Balance with Bank in Deposit Accounts</v>
          </cell>
          <cell r="E336">
            <v>131953</v>
          </cell>
          <cell r="F336">
            <v>0</v>
          </cell>
          <cell r="G336">
            <v>131953</v>
          </cell>
          <cell r="H336">
            <v>0</v>
          </cell>
          <cell r="I336">
            <v>0</v>
          </cell>
          <cell r="J336">
            <v>0</v>
          </cell>
        </row>
        <row r="337">
          <cell r="A337" t="str">
            <v>PRIYANKA TECHNOPACK PVT. LTD.</v>
          </cell>
          <cell r="B337">
            <v>15</v>
          </cell>
          <cell r="C337" t="str">
            <v>Trade Receivables</v>
          </cell>
          <cell r="D337" t="str">
            <v>Other Debts</v>
          </cell>
          <cell r="E337">
            <v>0</v>
          </cell>
          <cell r="F337">
            <v>0</v>
          </cell>
          <cell r="G337">
            <v>0</v>
          </cell>
          <cell r="H337">
            <v>0</v>
          </cell>
          <cell r="I337">
            <v>0</v>
          </cell>
          <cell r="J337">
            <v>0</v>
          </cell>
        </row>
        <row r="338">
          <cell r="A338" t="str">
            <v>Professional Fees</v>
          </cell>
          <cell r="B338">
            <v>26</v>
          </cell>
          <cell r="C338" t="str">
            <v>Other Expenses</v>
          </cell>
          <cell r="D338" t="str">
            <v>Establishment Expenses-Legal &amp; Professional Charges</v>
          </cell>
          <cell r="E338">
            <v>509760.8</v>
          </cell>
          <cell r="F338">
            <v>0</v>
          </cell>
          <cell r="G338">
            <v>509760.8</v>
          </cell>
          <cell r="H338">
            <v>0</v>
          </cell>
          <cell r="I338">
            <v>0</v>
          </cell>
          <cell r="J338">
            <v>0</v>
          </cell>
        </row>
        <row r="339">
          <cell r="A339" t="str">
            <v>Professional Tax</v>
          </cell>
          <cell r="B339">
            <v>26</v>
          </cell>
          <cell r="C339" t="str">
            <v>Other Expenses</v>
          </cell>
          <cell r="D339" t="str">
            <v>Establishment Expenses-Rates &amp; Taxes</v>
          </cell>
          <cell r="E339">
            <v>0</v>
          </cell>
          <cell r="F339">
            <v>0</v>
          </cell>
          <cell r="G339">
            <v>0</v>
          </cell>
          <cell r="H339">
            <v>0</v>
          </cell>
          <cell r="I339">
            <v>0</v>
          </cell>
          <cell r="J339">
            <v>0</v>
          </cell>
        </row>
        <row r="340">
          <cell r="A340" t="str">
            <v>Profit &amp; Loss A/C</v>
          </cell>
          <cell r="B340">
            <v>3</v>
          </cell>
          <cell r="C340" t="str">
            <v>Reserves &amp; Surplus</v>
          </cell>
          <cell r="D340" t="str">
            <v>Surplus</v>
          </cell>
          <cell r="E340">
            <v>0</v>
          </cell>
          <cell r="F340">
            <v>0</v>
          </cell>
          <cell r="G340">
            <v>0</v>
          </cell>
          <cell r="H340">
            <v>112979368.51000001</v>
          </cell>
          <cell r="I340">
            <v>0</v>
          </cell>
          <cell r="J340">
            <v>112979368.51000001</v>
          </cell>
        </row>
        <row r="341">
          <cell r="A341" t="str">
            <v>Profit on Sale of Asset</v>
          </cell>
          <cell r="B341">
            <v>20</v>
          </cell>
          <cell r="C341" t="str">
            <v>Other Income</v>
          </cell>
          <cell r="D341" t="str">
            <v>Profit on Sale of Asset</v>
          </cell>
          <cell r="E341">
            <v>0</v>
          </cell>
          <cell r="F341">
            <v>0</v>
          </cell>
          <cell r="G341">
            <v>0</v>
          </cell>
          <cell r="H341">
            <v>18263</v>
          </cell>
          <cell r="I341">
            <v>0</v>
          </cell>
          <cell r="J341">
            <v>18263</v>
          </cell>
        </row>
        <row r="342">
          <cell r="A342" t="str">
            <v>Profit on Sales Tax Under P.S.I.Scheme</v>
          </cell>
          <cell r="B342">
            <v>20</v>
          </cell>
          <cell r="C342" t="str">
            <v>Other Income</v>
          </cell>
          <cell r="D342" t="str">
            <v>Other Income</v>
          </cell>
          <cell r="E342">
            <v>0</v>
          </cell>
          <cell r="F342">
            <v>0</v>
          </cell>
          <cell r="G342">
            <v>0</v>
          </cell>
          <cell r="H342">
            <v>9443500</v>
          </cell>
          <cell r="I342">
            <v>0</v>
          </cell>
          <cell r="J342">
            <v>9443500</v>
          </cell>
        </row>
        <row r="343">
          <cell r="A343" t="str">
            <v>Provident Fund Contribution Exp.</v>
          </cell>
          <cell r="B343">
            <v>24</v>
          </cell>
          <cell r="C343" t="str">
            <v>Employee Benefit Expenses</v>
          </cell>
          <cell r="D343" t="str">
            <v>Contribution to Funds</v>
          </cell>
          <cell r="E343">
            <v>1171704</v>
          </cell>
          <cell r="F343">
            <v>0</v>
          </cell>
          <cell r="G343">
            <v>1171704</v>
          </cell>
          <cell r="H343">
            <v>0</v>
          </cell>
          <cell r="I343">
            <v>0</v>
          </cell>
          <cell r="J343">
            <v>0</v>
          </cell>
        </row>
        <row r="344">
          <cell r="A344" t="str">
            <v>Provision for Acturial Gratuity</v>
          </cell>
          <cell r="B344">
            <v>9</v>
          </cell>
          <cell r="C344" t="str">
            <v>Short Term Provision</v>
          </cell>
          <cell r="D344" t="str">
            <v>Provision for Employee Benefit</v>
          </cell>
          <cell r="E344">
            <v>0</v>
          </cell>
          <cell r="F344">
            <v>0</v>
          </cell>
          <cell r="G344">
            <v>0</v>
          </cell>
          <cell r="H344">
            <v>5136213</v>
          </cell>
          <cell r="I344">
            <v>0</v>
          </cell>
          <cell r="J344">
            <v>5136213</v>
          </cell>
        </row>
        <row r="345">
          <cell r="A345" t="str">
            <v>Provision for Depreciation Building</v>
          </cell>
          <cell r="B345">
            <v>10</v>
          </cell>
          <cell r="C345" t="str">
            <v>Fixed Assets</v>
          </cell>
          <cell r="D345" t="str">
            <v>Tangible Asset - PFD</v>
          </cell>
          <cell r="E345">
            <v>0</v>
          </cell>
          <cell r="F345">
            <v>0</v>
          </cell>
          <cell r="G345">
            <v>0</v>
          </cell>
          <cell r="H345">
            <v>3321516</v>
          </cell>
          <cell r="I345">
            <v>0</v>
          </cell>
          <cell r="J345">
            <v>3321516</v>
          </cell>
        </row>
        <row r="346">
          <cell r="A346" t="str">
            <v>Provision For Depreciation Computer</v>
          </cell>
          <cell r="B346">
            <v>10</v>
          </cell>
          <cell r="C346" t="str">
            <v>Fixed Assets</v>
          </cell>
          <cell r="D346" t="str">
            <v>Tangible Asset - PFD</v>
          </cell>
          <cell r="E346">
            <v>0</v>
          </cell>
          <cell r="F346">
            <v>0</v>
          </cell>
          <cell r="G346">
            <v>0</v>
          </cell>
          <cell r="H346">
            <v>939164</v>
          </cell>
          <cell r="I346">
            <v>0</v>
          </cell>
          <cell r="J346">
            <v>939164</v>
          </cell>
        </row>
        <row r="347">
          <cell r="A347" t="str">
            <v>Provision For Depreciation Electrical Installation</v>
          </cell>
          <cell r="B347">
            <v>10</v>
          </cell>
          <cell r="C347" t="str">
            <v>Fixed Assets</v>
          </cell>
          <cell r="D347" t="str">
            <v>Tangible Asset - PFD</v>
          </cell>
          <cell r="E347">
            <v>0</v>
          </cell>
          <cell r="F347">
            <v>0</v>
          </cell>
          <cell r="G347">
            <v>0</v>
          </cell>
          <cell r="H347">
            <v>16647093</v>
          </cell>
          <cell r="I347">
            <v>0</v>
          </cell>
          <cell r="J347">
            <v>16647093</v>
          </cell>
        </row>
        <row r="348">
          <cell r="A348" t="str">
            <v>Provision for Depreciation Factory Building</v>
          </cell>
          <cell r="B348">
            <v>10</v>
          </cell>
          <cell r="C348" t="str">
            <v>Fixed Assets</v>
          </cell>
          <cell r="D348" t="str">
            <v>Tangible Asset - PFD</v>
          </cell>
          <cell r="E348">
            <v>0</v>
          </cell>
          <cell r="F348">
            <v>0</v>
          </cell>
          <cell r="G348">
            <v>0</v>
          </cell>
          <cell r="H348">
            <v>379192</v>
          </cell>
          <cell r="I348">
            <v>0</v>
          </cell>
          <cell r="J348">
            <v>379192</v>
          </cell>
        </row>
        <row r="349">
          <cell r="A349" t="str">
            <v>Provision For Depreciation Furniture &amp; Fixture</v>
          </cell>
          <cell r="B349">
            <v>10</v>
          </cell>
          <cell r="C349" t="str">
            <v>Fixed Assets</v>
          </cell>
          <cell r="D349" t="str">
            <v>Tangible Asset - PFD</v>
          </cell>
          <cell r="E349">
            <v>0</v>
          </cell>
          <cell r="F349">
            <v>0</v>
          </cell>
          <cell r="G349">
            <v>0</v>
          </cell>
          <cell r="H349">
            <v>1478167</v>
          </cell>
          <cell r="I349">
            <v>0</v>
          </cell>
          <cell r="J349">
            <v>1478167</v>
          </cell>
        </row>
        <row r="350">
          <cell r="A350" t="str">
            <v>Provision For Depreciation Office Equipment</v>
          </cell>
          <cell r="B350">
            <v>10</v>
          </cell>
          <cell r="C350" t="str">
            <v>Fixed Assets</v>
          </cell>
          <cell r="D350" t="str">
            <v>Tangible Asset - PFD</v>
          </cell>
          <cell r="E350">
            <v>0</v>
          </cell>
          <cell r="F350">
            <v>0</v>
          </cell>
          <cell r="G350">
            <v>0</v>
          </cell>
          <cell r="H350">
            <v>753819</v>
          </cell>
          <cell r="I350">
            <v>0</v>
          </cell>
          <cell r="J350">
            <v>753819</v>
          </cell>
        </row>
        <row r="351">
          <cell r="A351" t="str">
            <v>Provision For Depreciation Plant &amp; Machinery</v>
          </cell>
          <cell r="B351">
            <v>10</v>
          </cell>
          <cell r="C351" t="str">
            <v>Fixed Assets</v>
          </cell>
          <cell r="D351" t="str">
            <v>Tangible Asset - PFD</v>
          </cell>
          <cell r="E351">
            <v>0</v>
          </cell>
          <cell r="F351">
            <v>0</v>
          </cell>
          <cell r="G351">
            <v>0</v>
          </cell>
          <cell r="H351">
            <v>92431427</v>
          </cell>
          <cell r="I351">
            <v>0</v>
          </cell>
          <cell r="J351">
            <v>92431427</v>
          </cell>
        </row>
        <row r="352">
          <cell r="A352" t="str">
            <v>Provision For Depreciation Vehicle</v>
          </cell>
          <cell r="B352">
            <v>10</v>
          </cell>
          <cell r="C352" t="str">
            <v>Fixed Assets</v>
          </cell>
          <cell r="D352" t="str">
            <v>Tangible Asset - PFD</v>
          </cell>
          <cell r="E352">
            <v>0</v>
          </cell>
          <cell r="F352">
            <v>0</v>
          </cell>
          <cell r="G352">
            <v>0</v>
          </cell>
          <cell r="H352">
            <v>189571</v>
          </cell>
          <cell r="I352">
            <v>0</v>
          </cell>
          <cell r="J352">
            <v>189571</v>
          </cell>
        </row>
        <row r="353">
          <cell r="A353" t="str">
            <v>Provision for I.T, A.Y.2017-18</v>
          </cell>
          <cell r="B353">
            <v>12</v>
          </cell>
          <cell r="C353" t="str">
            <v>Long Term Loans &amp; Advances</v>
          </cell>
          <cell r="D353" t="str">
            <v>Advance Income Tax</v>
          </cell>
          <cell r="E353">
            <v>34285</v>
          </cell>
          <cell r="F353">
            <v>0</v>
          </cell>
          <cell r="G353">
            <v>34285</v>
          </cell>
          <cell r="H353">
            <v>0</v>
          </cell>
          <cell r="I353">
            <v>0</v>
          </cell>
          <cell r="J353">
            <v>0</v>
          </cell>
        </row>
        <row r="354">
          <cell r="A354" t="str">
            <v>Income Tax Receivable (Refund)</v>
          </cell>
          <cell r="B354">
            <v>12</v>
          </cell>
          <cell r="C354" t="str">
            <v>Long Term Loans &amp; Advances</v>
          </cell>
          <cell r="D354" t="str">
            <v>Advance Income Tax</v>
          </cell>
          <cell r="E354">
            <v>17190</v>
          </cell>
          <cell r="F354">
            <v>0</v>
          </cell>
          <cell r="G354">
            <v>17190</v>
          </cell>
          <cell r="H354">
            <v>0</v>
          </cell>
          <cell r="I354">
            <v>0</v>
          </cell>
          <cell r="J354">
            <v>0</v>
          </cell>
        </row>
        <row r="355">
          <cell r="A355" t="str">
            <v>Provision For I.T. A.Y, 2005-06</v>
          </cell>
          <cell r="B355">
            <v>12</v>
          </cell>
          <cell r="C355" t="str">
            <v>Long Term Loans &amp; Advances</v>
          </cell>
          <cell r="D355" t="str">
            <v>Advance Income Tax</v>
          </cell>
          <cell r="E355">
            <v>122153</v>
          </cell>
          <cell r="F355">
            <v>0</v>
          </cell>
          <cell r="G355">
            <v>122153</v>
          </cell>
          <cell r="H355">
            <v>0</v>
          </cell>
          <cell r="I355">
            <v>0</v>
          </cell>
          <cell r="J355">
            <v>0</v>
          </cell>
        </row>
        <row r="356">
          <cell r="A356" t="str">
            <v>Provision for I.T. A.Y, 2013-14</v>
          </cell>
          <cell r="B356">
            <v>12</v>
          </cell>
          <cell r="C356" t="str">
            <v>Long Term Loans &amp; Advances</v>
          </cell>
          <cell r="D356" t="str">
            <v>Advance Income Tax</v>
          </cell>
          <cell r="E356">
            <v>139678</v>
          </cell>
          <cell r="F356">
            <v>0</v>
          </cell>
          <cell r="G356">
            <v>139678</v>
          </cell>
          <cell r="H356">
            <v>0</v>
          </cell>
          <cell r="I356">
            <v>0</v>
          </cell>
          <cell r="J356">
            <v>0</v>
          </cell>
        </row>
        <row r="357">
          <cell r="A357" t="str">
            <v>Provision for I.T. A.Y. 2008-09</v>
          </cell>
          <cell r="B357">
            <v>12</v>
          </cell>
          <cell r="C357" t="str">
            <v>Long Term Loans &amp; Advances</v>
          </cell>
          <cell r="D357" t="str">
            <v>Advance Income Tax</v>
          </cell>
          <cell r="E357">
            <v>271788</v>
          </cell>
          <cell r="F357">
            <v>0</v>
          </cell>
          <cell r="G357">
            <v>271788</v>
          </cell>
          <cell r="H357">
            <v>0</v>
          </cell>
          <cell r="I357">
            <v>0</v>
          </cell>
          <cell r="J357">
            <v>0</v>
          </cell>
        </row>
        <row r="358">
          <cell r="A358" t="str">
            <v>Provision for Income Tax (A.Y.2019-20)</v>
          </cell>
          <cell r="B358">
            <v>12</v>
          </cell>
          <cell r="C358" t="str">
            <v>Long Term Loans &amp; Advances</v>
          </cell>
          <cell r="D358" t="str">
            <v>Advance Income Tax</v>
          </cell>
          <cell r="E358">
            <v>0</v>
          </cell>
          <cell r="F358">
            <v>0</v>
          </cell>
          <cell r="G358">
            <v>0</v>
          </cell>
          <cell r="H358">
            <v>0</v>
          </cell>
          <cell r="I358">
            <v>0</v>
          </cell>
          <cell r="J358">
            <v>0</v>
          </cell>
        </row>
        <row r="359">
          <cell r="A359" t="str">
            <v>Provisions For Gratuity Payable</v>
          </cell>
          <cell r="B359">
            <v>9</v>
          </cell>
          <cell r="C359" t="str">
            <v>Short Term Provision</v>
          </cell>
          <cell r="D359" t="str">
            <v>Provision for Employee Benefit</v>
          </cell>
          <cell r="E359">
            <v>0</v>
          </cell>
          <cell r="F359">
            <v>0</v>
          </cell>
          <cell r="G359">
            <v>0</v>
          </cell>
          <cell r="H359">
            <v>3212027.7</v>
          </cell>
          <cell r="I359">
            <v>0</v>
          </cell>
          <cell r="J359">
            <v>3212027.7</v>
          </cell>
        </row>
        <row r="360">
          <cell r="A360" t="str">
            <v>PSI Under Sales Tax Deferal Receivable</v>
          </cell>
          <cell r="B360">
            <v>12</v>
          </cell>
          <cell r="C360" t="str">
            <v>Long Term Loans &amp; Advances</v>
          </cell>
          <cell r="D360" t="str">
            <v>Balance with Government Authorities</v>
          </cell>
          <cell r="E360">
            <v>12216191</v>
          </cell>
          <cell r="F360">
            <v>0</v>
          </cell>
          <cell r="G360">
            <v>12216191</v>
          </cell>
          <cell r="H360">
            <v>0</v>
          </cell>
          <cell r="I360">
            <v>0</v>
          </cell>
          <cell r="J360">
            <v>0</v>
          </cell>
        </row>
        <row r="361">
          <cell r="A361" t="str">
            <v>Punamchand &amp; Sons ( Jaliwala)</v>
          </cell>
          <cell r="B361">
            <v>7</v>
          </cell>
          <cell r="C361" t="str">
            <v>Trade Payables</v>
          </cell>
          <cell r="D361" t="str">
            <v>Trade Payables</v>
          </cell>
          <cell r="E361">
            <v>0</v>
          </cell>
          <cell r="F361">
            <v>0</v>
          </cell>
          <cell r="G361">
            <v>0</v>
          </cell>
          <cell r="H361">
            <v>0</v>
          </cell>
          <cell r="I361">
            <v>0</v>
          </cell>
          <cell r="J361">
            <v>0</v>
          </cell>
        </row>
        <row r="362">
          <cell r="A362" t="str">
            <v>Punjab Machine Tools</v>
          </cell>
          <cell r="B362">
            <v>7</v>
          </cell>
          <cell r="C362" t="str">
            <v>Trade Payables</v>
          </cell>
          <cell r="D362" t="str">
            <v>Trade Payables</v>
          </cell>
          <cell r="E362">
            <v>0</v>
          </cell>
          <cell r="F362">
            <v>0</v>
          </cell>
          <cell r="G362">
            <v>0</v>
          </cell>
          <cell r="H362">
            <v>26432</v>
          </cell>
          <cell r="I362">
            <v>0</v>
          </cell>
          <cell r="J362">
            <v>26432</v>
          </cell>
        </row>
        <row r="363">
          <cell r="A363" t="str">
            <v>Purchase Expenses : Chemical</v>
          </cell>
          <cell r="B363">
            <v>22</v>
          </cell>
          <cell r="C363" t="str">
            <v>Raw Material Consumed</v>
          </cell>
          <cell r="D363" t="str">
            <v>Raw Material Purchase</v>
          </cell>
          <cell r="E363">
            <v>610238</v>
          </cell>
          <cell r="F363">
            <v>0</v>
          </cell>
          <cell r="G363">
            <v>610238</v>
          </cell>
          <cell r="H363">
            <v>0</v>
          </cell>
          <cell r="I363">
            <v>0</v>
          </cell>
          <cell r="J363">
            <v>0</v>
          </cell>
        </row>
        <row r="364">
          <cell r="A364" t="str">
            <v>Purchase Expenses : Coal</v>
          </cell>
          <cell r="B364">
            <v>26</v>
          </cell>
          <cell r="C364" t="str">
            <v>Other Expenses</v>
          </cell>
          <cell r="D364" t="str">
            <v>Manufacturing Expenses - Power &amp; Fuel Consumed</v>
          </cell>
          <cell r="E364">
            <v>9875204.9800000004</v>
          </cell>
          <cell r="F364">
            <v>0</v>
          </cell>
          <cell r="G364">
            <v>9875204.9800000004</v>
          </cell>
          <cell r="H364">
            <v>0</v>
          </cell>
          <cell r="I364">
            <v>0</v>
          </cell>
          <cell r="J364">
            <v>0</v>
          </cell>
        </row>
        <row r="365">
          <cell r="A365" t="str">
            <v>Purchase Expenses : Occ</v>
          </cell>
          <cell r="B365">
            <v>22</v>
          </cell>
          <cell r="C365" t="str">
            <v>Raw Material Consumed</v>
          </cell>
          <cell r="D365" t="str">
            <v>Raw Material Purchase</v>
          </cell>
          <cell r="E365">
            <v>570000</v>
          </cell>
          <cell r="F365">
            <v>0</v>
          </cell>
          <cell r="G365">
            <v>570000</v>
          </cell>
          <cell r="H365">
            <v>0</v>
          </cell>
          <cell r="I365">
            <v>0</v>
          </cell>
          <cell r="J365">
            <v>0</v>
          </cell>
        </row>
        <row r="366">
          <cell r="A366" t="str">
            <v>Purchase Expenses : Packing Material</v>
          </cell>
          <cell r="B366">
            <v>26</v>
          </cell>
          <cell r="C366" t="str">
            <v>Other Expenses</v>
          </cell>
          <cell r="D366" t="str">
            <v>Manufacturing Expenses - Packing Material Consumed</v>
          </cell>
          <cell r="E366">
            <v>0</v>
          </cell>
          <cell r="F366">
            <v>0</v>
          </cell>
          <cell r="G366">
            <v>0</v>
          </cell>
          <cell r="H366">
            <v>0</v>
          </cell>
          <cell r="I366">
            <v>0</v>
          </cell>
          <cell r="J366">
            <v>0</v>
          </cell>
        </row>
        <row r="367">
          <cell r="A367" t="str">
            <v>Purchase Expenses : Waste Paper</v>
          </cell>
          <cell r="B367">
            <v>22</v>
          </cell>
          <cell r="C367" t="str">
            <v>Raw Material Consumed</v>
          </cell>
          <cell r="D367" t="str">
            <v>Raw Material Purchase</v>
          </cell>
          <cell r="E367">
            <v>107000</v>
          </cell>
          <cell r="F367">
            <v>0</v>
          </cell>
          <cell r="G367">
            <v>107000</v>
          </cell>
          <cell r="H367">
            <v>0</v>
          </cell>
          <cell r="I367">
            <v>0</v>
          </cell>
          <cell r="J367">
            <v>0</v>
          </cell>
        </row>
        <row r="368">
          <cell r="A368" t="str">
            <v>Purchase Import in Transit</v>
          </cell>
          <cell r="B368">
            <v>22</v>
          </cell>
          <cell r="C368" t="str">
            <v>Raw Material Consumed</v>
          </cell>
          <cell r="D368" t="str">
            <v>Raw Material Purchase</v>
          </cell>
          <cell r="E368">
            <v>741466</v>
          </cell>
          <cell r="F368">
            <v>0</v>
          </cell>
          <cell r="G368">
            <v>741466</v>
          </cell>
          <cell r="H368">
            <v>0</v>
          </cell>
          <cell r="I368">
            <v>0</v>
          </cell>
          <cell r="J368">
            <v>0</v>
          </cell>
        </row>
        <row r="369">
          <cell r="A369" t="str">
            <v>Purchase Of Store</v>
          </cell>
          <cell r="B369">
            <v>26</v>
          </cell>
          <cell r="C369" t="str">
            <v>Other Expenses</v>
          </cell>
          <cell r="D369" t="str">
            <v>Manufacturing Expenses - Stores &amp; Spares Consumed</v>
          </cell>
          <cell r="E369">
            <v>9155866.8599999994</v>
          </cell>
          <cell r="F369">
            <v>0</v>
          </cell>
          <cell r="G369">
            <v>9155866.8599999994</v>
          </cell>
          <cell r="H369">
            <v>0</v>
          </cell>
          <cell r="I369">
            <v>0</v>
          </cell>
          <cell r="J369">
            <v>0</v>
          </cell>
        </row>
        <row r="370">
          <cell r="A370" t="str">
            <v>R &amp; Y LOGISTICS PVT. LTD</v>
          </cell>
          <cell r="B370">
            <v>7</v>
          </cell>
          <cell r="C370" t="str">
            <v>Trade Payables</v>
          </cell>
          <cell r="D370" t="str">
            <v>Trade Payables - Others</v>
          </cell>
          <cell r="E370">
            <v>5079</v>
          </cell>
          <cell r="F370">
            <v>0</v>
          </cell>
          <cell r="G370">
            <v>5079</v>
          </cell>
          <cell r="H370">
            <v>0</v>
          </cell>
          <cell r="I370">
            <v>0</v>
          </cell>
          <cell r="J370">
            <v>0</v>
          </cell>
        </row>
        <row r="371">
          <cell r="A371" t="str">
            <v>R. R. Controls</v>
          </cell>
          <cell r="B371">
            <v>8</v>
          </cell>
          <cell r="C371" t="str">
            <v>Other Current Liabilities</v>
          </cell>
          <cell r="D371" t="str">
            <v>Trade Payables for capital goods</v>
          </cell>
          <cell r="E371">
            <v>0</v>
          </cell>
          <cell r="F371">
            <v>0</v>
          </cell>
          <cell r="G371">
            <v>0</v>
          </cell>
          <cell r="H371">
            <v>0</v>
          </cell>
          <cell r="I371">
            <v>0</v>
          </cell>
          <cell r="J371">
            <v>0</v>
          </cell>
        </row>
        <row r="372">
          <cell r="A372" t="str">
            <v>R.A. KRAFT PAPERS LIMITED,</v>
          </cell>
          <cell r="B372">
            <v>15</v>
          </cell>
          <cell r="C372" t="str">
            <v>Trade Receivables</v>
          </cell>
          <cell r="D372" t="str">
            <v>Other Debts</v>
          </cell>
          <cell r="E372">
            <v>553617</v>
          </cell>
          <cell r="F372">
            <v>0</v>
          </cell>
          <cell r="G372">
            <v>553617</v>
          </cell>
          <cell r="H372">
            <v>0</v>
          </cell>
          <cell r="I372">
            <v>0</v>
          </cell>
          <cell r="J372">
            <v>0</v>
          </cell>
        </row>
        <row r="373">
          <cell r="A373" t="str">
            <v>R.C.CORRUPACK PVT. LTD.</v>
          </cell>
          <cell r="B373">
            <v>15</v>
          </cell>
          <cell r="C373" t="str">
            <v>Trade Receivables</v>
          </cell>
          <cell r="D373" t="str">
            <v>Other Debts</v>
          </cell>
          <cell r="E373">
            <v>2558371</v>
          </cell>
          <cell r="F373">
            <v>0</v>
          </cell>
          <cell r="G373">
            <v>2558371</v>
          </cell>
          <cell r="H373">
            <v>0</v>
          </cell>
          <cell r="I373">
            <v>0</v>
          </cell>
          <cell r="J373">
            <v>0</v>
          </cell>
        </row>
        <row r="374">
          <cell r="A374" t="str">
            <v>R.S. Kraft Papers Ltd</v>
          </cell>
          <cell r="B374">
            <v>15</v>
          </cell>
          <cell r="C374" t="str">
            <v>Trade Receivables</v>
          </cell>
          <cell r="D374" t="str">
            <v>Other Debts</v>
          </cell>
          <cell r="E374">
            <v>22988933</v>
          </cell>
          <cell r="F374">
            <v>0</v>
          </cell>
          <cell r="G374">
            <v>22988933</v>
          </cell>
          <cell r="H374">
            <v>0</v>
          </cell>
          <cell r="I374">
            <v>0</v>
          </cell>
          <cell r="J374">
            <v>0</v>
          </cell>
        </row>
        <row r="375">
          <cell r="A375" t="str">
            <v>Raghav Enterprises</v>
          </cell>
          <cell r="B375">
            <v>7</v>
          </cell>
          <cell r="C375" t="str">
            <v>Trade Payables</v>
          </cell>
          <cell r="D375" t="str">
            <v>Trade Payables</v>
          </cell>
          <cell r="E375">
            <v>0</v>
          </cell>
          <cell r="F375">
            <v>0</v>
          </cell>
          <cell r="G375">
            <v>0</v>
          </cell>
          <cell r="H375">
            <v>8142548</v>
          </cell>
          <cell r="I375">
            <v>0</v>
          </cell>
          <cell r="J375">
            <v>8142548</v>
          </cell>
        </row>
        <row r="376">
          <cell r="A376" t="str">
            <v>Raghuvir Parmar</v>
          </cell>
          <cell r="B376">
            <v>12</v>
          </cell>
          <cell r="C376" t="str">
            <v>Long Term Loans &amp; Advances</v>
          </cell>
          <cell r="D376" t="str">
            <v>Loans and Advances to Employees</v>
          </cell>
          <cell r="E376">
            <v>0</v>
          </cell>
          <cell r="F376">
            <v>0</v>
          </cell>
          <cell r="G376">
            <v>0</v>
          </cell>
          <cell r="H376">
            <v>0</v>
          </cell>
          <cell r="I376">
            <v>0</v>
          </cell>
          <cell r="J376">
            <v>0</v>
          </cell>
        </row>
        <row r="377">
          <cell r="A377" t="str">
            <v>Rajesh Gas Agencies</v>
          </cell>
          <cell r="B377">
            <v>7</v>
          </cell>
          <cell r="C377" t="str">
            <v>Trade Payables</v>
          </cell>
          <cell r="D377" t="str">
            <v>Trade Payables</v>
          </cell>
          <cell r="E377">
            <v>0</v>
          </cell>
          <cell r="F377">
            <v>0</v>
          </cell>
          <cell r="G377">
            <v>0</v>
          </cell>
          <cell r="H377">
            <v>1495</v>
          </cell>
          <cell r="I377">
            <v>0</v>
          </cell>
          <cell r="J377">
            <v>1495</v>
          </cell>
        </row>
        <row r="378">
          <cell r="A378" t="str">
            <v>RAMKRISHNA PAPER MART</v>
          </cell>
          <cell r="B378">
            <v>7</v>
          </cell>
          <cell r="C378" t="str">
            <v>Trade Payables</v>
          </cell>
          <cell r="D378" t="str">
            <v>Trade Payables</v>
          </cell>
          <cell r="E378">
            <v>0</v>
          </cell>
          <cell r="F378">
            <v>0</v>
          </cell>
          <cell r="G378">
            <v>0</v>
          </cell>
          <cell r="H378">
            <v>0</v>
          </cell>
          <cell r="I378">
            <v>0</v>
          </cell>
          <cell r="J378">
            <v>0</v>
          </cell>
        </row>
        <row r="379">
          <cell r="A379" t="str">
            <v>Rate Difference : Coal Purchase</v>
          </cell>
          <cell r="B379">
            <v>26</v>
          </cell>
          <cell r="C379" t="str">
            <v>Other Expenses</v>
          </cell>
          <cell r="D379" t="str">
            <v>Manufacturing Expenses - Power &amp; Fuel Consumed</v>
          </cell>
          <cell r="E379">
            <v>0</v>
          </cell>
          <cell r="F379">
            <v>0</v>
          </cell>
          <cell r="G379">
            <v>0</v>
          </cell>
          <cell r="H379">
            <v>0</v>
          </cell>
          <cell r="I379">
            <v>0</v>
          </cell>
          <cell r="J379">
            <v>0</v>
          </cell>
        </row>
        <row r="380">
          <cell r="A380" t="str">
            <v>Rates &amp; Taxes</v>
          </cell>
          <cell r="B380">
            <v>26</v>
          </cell>
          <cell r="C380" t="str">
            <v>Other Expenses</v>
          </cell>
          <cell r="D380" t="str">
            <v>Establishment Expenses-Rates &amp; Taxes</v>
          </cell>
          <cell r="E380">
            <v>154260</v>
          </cell>
          <cell r="F380">
            <v>0</v>
          </cell>
          <cell r="G380">
            <v>154260</v>
          </cell>
          <cell r="H380">
            <v>0</v>
          </cell>
          <cell r="I380">
            <v>0</v>
          </cell>
          <cell r="J380">
            <v>0</v>
          </cell>
        </row>
        <row r="381">
          <cell r="A381" t="str">
            <v>Ravi Trading Company</v>
          </cell>
          <cell r="B381">
            <v>7</v>
          </cell>
          <cell r="C381" t="str">
            <v>Trade Payables</v>
          </cell>
          <cell r="D381" t="str">
            <v>Trade Payables</v>
          </cell>
          <cell r="E381">
            <v>0</v>
          </cell>
          <cell r="F381">
            <v>0</v>
          </cell>
          <cell r="G381">
            <v>0</v>
          </cell>
          <cell r="H381">
            <v>0</v>
          </cell>
          <cell r="I381">
            <v>0</v>
          </cell>
          <cell r="J381">
            <v>0</v>
          </cell>
        </row>
        <row r="382">
          <cell r="A382" t="str">
            <v>Ravindra Kumbhare</v>
          </cell>
          <cell r="B382">
            <v>12</v>
          </cell>
          <cell r="C382" t="str">
            <v>Long Term Loans &amp; Advances</v>
          </cell>
          <cell r="D382" t="str">
            <v>Loans and Advances to Employees</v>
          </cell>
          <cell r="E382">
            <v>2000</v>
          </cell>
          <cell r="F382">
            <v>0</v>
          </cell>
          <cell r="G382">
            <v>2000</v>
          </cell>
          <cell r="H382">
            <v>0</v>
          </cell>
          <cell r="I382">
            <v>0</v>
          </cell>
          <cell r="J382">
            <v>0</v>
          </cell>
        </row>
        <row r="383">
          <cell r="A383" t="str">
            <v>Raw Material Sorting Charges</v>
          </cell>
          <cell r="B383">
            <v>26</v>
          </cell>
          <cell r="C383" t="str">
            <v>Other Expenses</v>
          </cell>
          <cell r="D383" t="str">
            <v>Manufacturin Expenses - RM Sorting Charges</v>
          </cell>
          <cell r="E383">
            <v>4167429</v>
          </cell>
          <cell r="F383">
            <v>0</v>
          </cell>
          <cell r="G383">
            <v>4167429</v>
          </cell>
          <cell r="H383">
            <v>0</v>
          </cell>
          <cell r="I383">
            <v>0</v>
          </cell>
          <cell r="J383">
            <v>0</v>
          </cell>
        </row>
        <row r="384">
          <cell r="A384" t="str">
            <v>RCM CGST PAYABLE</v>
          </cell>
          <cell r="B384">
            <v>12</v>
          </cell>
          <cell r="C384" t="str">
            <v>Long Term Loans &amp; Advances</v>
          </cell>
          <cell r="D384" t="str">
            <v>GST</v>
          </cell>
          <cell r="E384">
            <v>0</v>
          </cell>
          <cell r="F384">
            <v>0</v>
          </cell>
          <cell r="G384">
            <v>0</v>
          </cell>
          <cell r="H384">
            <v>100502.93</v>
          </cell>
          <cell r="I384">
            <v>0</v>
          </cell>
          <cell r="J384">
            <v>100502.93</v>
          </cell>
        </row>
        <row r="385">
          <cell r="A385" t="str">
            <v>RCM IGST PAYABLE</v>
          </cell>
          <cell r="B385">
            <v>12</v>
          </cell>
          <cell r="C385" t="str">
            <v>Long Term Loans &amp; Advances</v>
          </cell>
          <cell r="D385" t="str">
            <v>GST</v>
          </cell>
          <cell r="E385">
            <v>486323.88</v>
          </cell>
          <cell r="F385">
            <v>0</v>
          </cell>
          <cell r="G385">
            <v>486323.88</v>
          </cell>
          <cell r="H385">
            <v>0</v>
          </cell>
          <cell r="I385">
            <v>0</v>
          </cell>
          <cell r="J385">
            <v>0</v>
          </cell>
        </row>
        <row r="386">
          <cell r="A386" t="str">
            <v>RCM on IGST  (Inward Supply)</v>
          </cell>
          <cell r="B386">
            <v>12</v>
          </cell>
          <cell r="C386" t="str">
            <v>Long Term Loans &amp; Advances</v>
          </cell>
          <cell r="D386" t="str">
            <v>GST</v>
          </cell>
          <cell r="E386">
            <v>0</v>
          </cell>
          <cell r="F386">
            <v>0</v>
          </cell>
          <cell r="G386">
            <v>0</v>
          </cell>
          <cell r="H386">
            <v>0</v>
          </cell>
          <cell r="I386">
            <v>0</v>
          </cell>
          <cell r="J386">
            <v>0</v>
          </cell>
        </row>
        <row r="387">
          <cell r="A387" t="str">
            <v>RCM SGST PAYABLE</v>
          </cell>
          <cell r="B387">
            <v>12</v>
          </cell>
          <cell r="C387" t="str">
            <v>Long Term Loans &amp; Advances</v>
          </cell>
          <cell r="D387" t="str">
            <v>GST</v>
          </cell>
          <cell r="E387">
            <v>0</v>
          </cell>
          <cell r="F387">
            <v>0</v>
          </cell>
          <cell r="G387">
            <v>0</v>
          </cell>
          <cell r="H387">
            <v>80872.929999999993</v>
          </cell>
          <cell r="I387">
            <v>0</v>
          </cell>
          <cell r="J387">
            <v>80872.929999999993</v>
          </cell>
        </row>
        <row r="388">
          <cell r="A388" t="str">
            <v>CGST @ 9% on OCC Expenses</v>
          </cell>
          <cell r="B388">
            <v>12</v>
          </cell>
          <cell r="C388" t="str">
            <v>Long Term Loans &amp; Advances</v>
          </cell>
          <cell r="D388" t="str">
            <v>GST</v>
          </cell>
          <cell r="E388">
            <v>0</v>
          </cell>
          <cell r="F388">
            <v>0</v>
          </cell>
          <cell r="G388">
            <v>0</v>
          </cell>
          <cell r="H388">
            <v>0</v>
          </cell>
          <cell r="I388">
            <v>0</v>
          </cell>
          <cell r="J388">
            <v>0</v>
          </cell>
        </row>
        <row r="389">
          <cell r="A389" t="str">
            <v>INPUT RCM ON SGST</v>
          </cell>
          <cell r="B389">
            <v>12</v>
          </cell>
          <cell r="C389" t="str">
            <v>Long Term Loans &amp; Advances</v>
          </cell>
          <cell r="D389" t="str">
            <v>GST</v>
          </cell>
          <cell r="E389">
            <v>0</v>
          </cell>
          <cell r="F389">
            <v>0</v>
          </cell>
          <cell r="G389">
            <v>0</v>
          </cell>
          <cell r="H389">
            <v>0</v>
          </cell>
          <cell r="I389">
            <v>0</v>
          </cell>
          <cell r="J389">
            <v>0</v>
          </cell>
        </row>
        <row r="390">
          <cell r="A390" t="str">
            <v>SGST @ 9% on OCC Expenses</v>
          </cell>
          <cell r="B390">
            <v>12</v>
          </cell>
          <cell r="C390" t="str">
            <v>Long Term Loans &amp; Advances</v>
          </cell>
          <cell r="D390" t="str">
            <v>GST</v>
          </cell>
          <cell r="E390">
            <v>0</v>
          </cell>
          <cell r="F390">
            <v>0</v>
          </cell>
          <cell r="G390">
            <v>0</v>
          </cell>
          <cell r="H390">
            <v>0</v>
          </cell>
          <cell r="I390">
            <v>0</v>
          </cell>
          <cell r="J390">
            <v>0</v>
          </cell>
        </row>
        <row r="391">
          <cell r="A391" t="str">
            <v>Relief Lab Pvt. Ltd.</v>
          </cell>
          <cell r="B391">
            <v>7</v>
          </cell>
          <cell r="C391" t="str">
            <v>Trade Payables</v>
          </cell>
          <cell r="D391" t="str">
            <v>Trade Payables - Others</v>
          </cell>
          <cell r="E391">
            <v>0</v>
          </cell>
          <cell r="F391">
            <v>0</v>
          </cell>
          <cell r="G391">
            <v>0</v>
          </cell>
          <cell r="H391">
            <v>51508</v>
          </cell>
          <cell r="I391">
            <v>0</v>
          </cell>
          <cell r="J391">
            <v>51508</v>
          </cell>
        </row>
        <row r="392">
          <cell r="A392" t="str">
            <v>Remuneration To Directors</v>
          </cell>
          <cell r="B392">
            <v>24</v>
          </cell>
          <cell r="C392" t="str">
            <v>Employee Benefit Expenses</v>
          </cell>
          <cell r="D392" t="str">
            <v>Salary &amp; Wages</v>
          </cell>
          <cell r="E392">
            <v>4800000</v>
          </cell>
          <cell r="F392">
            <v>0</v>
          </cell>
          <cell r="G392">
            <v>4800000</v>
          </cell>
          <cell r="H392">
            <v>0</v>
          </cell>
          <cell r="I392">
            <v>0</v>
          </cell>
          <cell r="J392">
            <v>0</v>
          </cell>
        </row>
        <row r="393">
          <cell r="A393" t="str">
            <v>Renewal &amp; Registration Expenses</v>
          </cell>
          <cell r="B393">
            <v>26</v>
          </cell>
          <cell r="C393" t="str">
            <v>Other Expenses</v>
          </cell>
          <cell r="D393" t="str">
            <v>Establishment Expenses-General Expenses</v>
          </cell>
          <cell r="E393">
            <v>319093</v>
          </cell>
          <cell r="F393">
            <v>0</v>
          </cell>
          <cell r="G393">
            <v>319093</v>
          </cell>
          <cell r="H393">
            <v>0</v>
          </cell>
          <cell r="I393">
            <v>0</v>
          </cell>
          <cell r="J393">
            <v>0</v>
          </cell>
        </row>
        <row r="394">
          <cell r="A394" t="str">
            <v>Repair &amp; Maint. To Building</v>
          </cell>
          <cell r="B394">
            <v>26</v>
          </cell>
          <cell r="C394" t="str">
            <v>Other Expenses</v>
          </cell>
          <cell r="D394" t="str">
            <v>Manufacturing Expenses-Repairs &amp; Maintainence Building</v>
          </cell>
          <cell r="E394">
            <v>954273.6</v>
          </cell>
          <cell r="F394">
            <v>0</v>
          </cell>
          <cell r="G394">
            <v>954273.6</v>
          </cell>
          <cell r="H394">
            <v>0</v>
          </cell>
          <cell r="I394">
            <v>0</v>
          </cell>
          <cell r="J394">
            <v>0</v>
          </cell>
        </row>
        <row r="395">
          <cell r="A395" t="str">
            <v>Repair &amp; Maintenance to Other Assets</v>
          </cell>
          <cell r="B395">
            <v>26</v>
          </cell>
          <cell r="C395" t="str">
            <v>Other Expenses</v>
          </cell>
          <cell r="D395" t="str">
            <v>Establishment Expenses-Rep. &amp; Maint. Others</v>
          </cell>
          <cell r="E395">
            <v>409071.26</v>
          </cell>
          <cell r="F395">
            <v>0</v>
          </cell>
          <cell r="G395">
            <v>409071.26</v>
          </cell>
          <cell r="H395">
            <v>0</v>
          </cell>
          <cell r="I395">
            <v>0</v>
          </cell>
          <cell r="J395">
            <v>0</v>
          </cell>
        </row>
        <row r="396">
          <cell r="A396" t="str">
            <v>Revaluation Reserve</v>
          </cell>
          <cell r="B396">
            <v>3</v>
          </cell>
          <cell r="C396" t="str">
            <v>Reserves &amp; Surplus</v>
          </cell>
          <cell r="D396" t="str">
            <v>Capital Reserve</v>
          </cell>
          <cell r="E396">
            <v>0</v>
          </cell>
          <cell r="F396">
            <v>0</v>
          </cell>
          <cell r="G396">
            <v>0</v>
          </cell>
          <cell r="H396">
            <v>50905004</v>
          </cell>
          <cell r="I396">
            <v>0</v>
          </cell>
          <cell r="J396">
            <v>50905004</v>
          </cell>
        </row>
        <row r="397">
          <cell r="A397" t="str">
            <v>ROC Filing Charges</v>
          </cell>
          <cell r="B397">
            <v>26</v>
          </cell>
          <cell r="C397" t="str">
            <v>Other Expenses</v>
          </cell>
          <cell r="D397" t="str">
            <v>Establishment Expenses-Rates &amp; Taxes</v>
          </cell>
          <cell r="E397">
            <v>24500</v>
          </cell>
          <cell r="F397">
            <v>0</v>
          </cell>
          <cell r="G397">
            <v>24500</v>
          </cell>
          <cell r="H397">
            <v>0</v>
          </cell>
          <cell r="I397">
            <v>0</v>
          </cell>
          <cell r="J397">
            <v>0</v>
          </cell>
        </row>
        <row r="398">
          <cell r="A398" t="str">
            <v>ROUNAK STEEL</v>
          </cell>
          <cell r="B398">
            <v>7</v>
          </cell>
          <cell r="C398" t="str">
            <v>Trade Payables</v>
          </cell>
          <cell r="D398" t="str">
            <v>Trade Payables</v>
          </cell>
          <cell r="E398">
            <v>0</v>
          </cell>
          <cell r="F398">
            <v>0</v>
          </cell>
          <cell r="G398">
            <v>0</v>
          </cell>
          <cell r="H398">
            <v>1127420</v>
          </cell>
          <cell r="I398">
            <v>0</v>
          </cell>
          <cell r="J398">
            <v>1127420</v>
          </cell>
        </row>
        <row r="399">
          <cell r="A399" t="str">
            <v>Round Offf</v>
          </cell>
          <cell r="B399">
            <v>26</v>
          </cell>
          <cell r="C399" t="str">
            <v>Other Expenses</v>
          </cell>
          <cell r="D399" t="str">
            <v>Establishment Expenses-General Expenses</v>
          </cell>
          <cell r="E399">
            <v>0</v>
          </cell>
          <cell r="F399">
            <v>0</v>
          </cell>
          <cell r="G399">
            <v>0</v>
          </cell>
          <cell r="H399">
            <v>487.23</v>
          </cell>
          <cell r="I399">
            <v>0</v>
          </cell>
          <cell r="J399">
            <v>487.23</v>
          </cell>
        </row>
        <row r="400">
          <cell r="A400" t="str">
            <v>S.B.I. Dividend A/c 2011-12 [ A/C.NO. 32572411218]</v>
          </cell>
          <cell r="B400">
            <v>16</v>
          </cell>
          <cell r="C400" t="str">
            <v>Cash And Bank Balances</v>
          </cell>
          <cell r="D400" t="str">
            <v>Balance With Bank - Other Bank Balance</v>
          </cell>
          <cell r="E400">
            <v>84224</v>
          </cell>
          <cell r="F400">
            <v>-770.5</v>
          </cell>
          <cell r="G400">
            <v>83453.5</v>
          </cell>
          <cell r="H400">
            <v>0</v>
          </cell>
          <cell r="I400">
            <v>0</v>
          </cell>
          <cell r="J400">
            <v>0</v>
          </cell>
        </row>
        <row r="401">
          <cell r="A401" t="str">
            <v>S.B.I. Indl.Fin.Br. Trustee HPML Empl.G.G.Scheme</v>
          </cell>
          <cell r="B401">
            <v>16</v>
          </cell>
          <cell r="C401" t="str">
            <v>Cash And Bank Balances</v>
          </cell>
          <cell r="D401" t="str">
            <v>Balance With Bank - Current A/c</v>
          </cell>
          <cell r="E401">
            <v>49097</v>
          </cell>
          <cell r="F401">
            <v>0</v>
          </cell>
          <cell r="G401">
            <v>49097</v>
          </cell>
          <cell r="H401">
            <v>0</v>
          </cell>
          <cell r="I401">
            <v>0</v>
          </cell>
          <cell r="J401">
            <v>0</v>
          </cell>
        </row>
        <row r="402">
          <cell r="A402" t="str">
            <v>S.B.I. Term Loan ( 2 Cr) No. 35531440563</v>
          </cell>
          <cell r="B402">
            <v>4</v>
          </cell>
          <cell r="C402" t="str">
            <v>Long Term Borrowings</v>
          </cell>
          <cell r="D402" t="str">
            <v>Secured - From Banks - Term Loan</v>
          </cell>
          <cell r="E402">
            <v>0</v>
          </cell>
          <cell r="F402">
            <v>0</v>
          </cell>
          <cell r="G402">
            <v>0</v>
          </cell>
          <cell r="H402">
            <v>7150762</v>
          </cell>
          <cell r="I402">
            <v>0</v>
          </cell>
          <cell r="J402">
            <v>7150762</v>
          </cell>
        </row>
        <row r="403">
          <cell r="A403" t="str">
            <v>S.B.I. Term Loan A/c (033517180072)  4 Cr</v>
          </cell>
          <cell r="B403">
            <v>4</v>
          </cell>
          <cell r="C403" t="str">
            <v>Long Term Borrowings</v>
          </cell>
          <cell r="D403" t="str">
            <v>Secured - From Banks - Term Loan</v>
          </cell>
          <cell r="E403">
            <v>0</v>
          </cell>
          <cell r="F403">
            <v>0</v>
          </cell>
          <cell r="G403">
            <v>0</v>
          </cell>
          <cell r="H403">
            <v>695244</v>
          </cell>
          <cell r="I403">
            <v>0</v>
          </cell>
          <cell r="J403">
            <v>695244</v>
          </cell>
        </row>
        <row r="404">
          <cell r="A404" t="str">
            <v>S.B.I. Term Loan Additional (A/cNo.35294966669) 1.5</v>
          </cell>
          <cell r="B404">
            <v>4</v>
          </cell>
          <cell r="C404" t="str">
            <v>Long Term Borrowings</v>
          </cell>
          <cell r="D404" t="str">
            <v>Secured - From Banks - Term Loan</v>
          </cell>
          <cell r="E404">
            <v>0</v>
          </cell>
          <cell r="F404">
            <v>0</v>
          </cell>
          <cell r="G404">
            <v>0</v>
          </cell>
          <cell r="H404">
            <v>5601686</v>
          </cell>
          <cell r="I404">
            <v>0</v>
          </cell>
          <cell r="J404">
            <v>5601686</v>
          </cell>
        </row>
        <row r="405">
          <cell r="A405" t="str">
            <v>S.B.I. Term Loan New A/c (34484493547) 1.5 Cr</v>
          </cell>
          <cell r="B405">
            <v>4</v>
          </cell>
          <cell r="C405" t="str">
            <v>Long Term Borrowings</v>
          </cell>
          <cell r="D405" t="str">
            <v>Secured - From Banks - Term Loan</v>
          </cell>
          <cell r="E405">
            <v>0</v>
          </cell>
          <cell r="F405">
            <v>0</v>
          </cell>
          <cell r="G405">
            <v>0</v>
          </cell>
          <cell r="H405">
            <v>253317</v>
          </cell>
          <cell r="I405">
            <v>0</v>
          </cell>
          <cell r="J405">
            <v>253317</v>
          </cell>
        </row>
        <row r="406">
          <cell r="A406" t="str">
            <v>S.K.Gupta (P) Ltd,Nagpur</v>
          </cell>
          <cell r="B406">
            <v>7</v>
          </cell>
          <cell r="C406" t="str">
            <v>Trade Payables</v>
          </cell>
          <cell r="D406" t="str">
            <v>Trade Payables</v>
          </cell>
          <cell r="E406">
            <v>0</v>
          </cell>
          <cell r="F406">
            <v>0</v>
          </cell>
          <cell r="G406">
            <v>0</v>
          </cell>
          <cell r="H406">
            <v>0</v>
          </cell>
          <cell r="I406">
            <v>0</v>
          </cell>
          <cell r="J406">
            <v>0</v>
          </cell>
        </row>
        <row r="407">
          <cell r="A407" t="str">
            <v>Sachin Dehankar</v>
          </cell>
          <cell r="B407">
            <v>12</v>
          </cell>
          <cell r="C407" t="str">
            <v>Long Term Loans &amp; Advances</v>
          </cell>
          <cell r="D407" t="str">
            <v>Loans and Advances to Employees</v>
          </cell>
          <cell r="E407">
            <v>0</v>
          </cell>
          <cell r="F407">
            <v>0</v>
          </cell>
          <cell r="G407">
            <v>0</v>
          </cell>
          <cell r="H407">
            <v>0</v>
          </cell>
          <cell r="I407">
            <v>0</v>
          </cell>
          <cell r="J407">
            <v>0</v>
          </cell>
        </row>
        <row r="408">
          <cell r="A408" t="str">
            <v>Safety Packagers (P) Ltd.</v>
          </cell>
          <cell r="B408">
            <v>15</v>
          </cell>
          <cell r="C408" t="str">
            <v>Trade Receivables</v>
          </cell>
          <cell r="D408" t="str">
            <v>Other Debts</v>
          </cell>
          <cell r="E408">
            <v>392445</v>
          </cell>
          <cell r="F408">
            <v>0</v>
          </cell>
          <cell r="G408">
            <v>392445</v>
          </cell>
          <cell r="H408">
            <v>0</v>
          </cell>
          <cell r="I408">
            <v>0</v>
          </cell>
          <cell r="J408">
            <v>0</v>
          </cell>
        </row>
        <row r="409">
          <cell r="A409" t="str">
            <v>Safexpress Pvt. Ltd.</v>
          </cell>
          <cell r="B409">
            <v>7</v>
          </cell>
          <cell r="C409" t="str">
            <v>Trade Payables</v>
          </cell>
          <cell r="D409" t="str">
            <v>Trade Payables</v>
          </cell>
          <cell r="E409">
            <v>0</v>
          </cell>
          <cell r="F409">
            <v>0</v>
          </cell>
          <cell r="G409">
            <v>0</v>
          </cell>
          <cell r="H409">
            <v>0</v>
          </cell>
          <cell r="I409">
            <v>0</v>
          </cell>
          <cell r="J409">
            <v>0</v>
          </cell>
        </row>
        <row r="410">
          <cell r="A410" t="str">
            <v>Saini Transport Co.</v>
          </cell>
          <cell r="B410">
            <v>7</v>
          </cell>
          <cell r="C410" t="str">
            <v>Trade Payables</v>
          </cell>
          <cell r="D410" t="str">
            <v>Trade Payables</v>
          </cell>
          <cell r="E410">
            <v>0</v>
          </cell>
          <cell r="F410">
            <v>0</v>
          </cell>
          <cell r="G410">
            <v>0</v>
          </cell>
          <cell r="H410">
            <v>879467</v>
          </cell>
          <cell r="I410">
            <v>0</v>
          </cell>
          <cell r="J410">
            <v>879467</v>
          </cell>
        </row>
        <row r="411">
          <cell r="A411" t="str">
            <v>Salary Payable</v>
          </cell>
          <cell r="B411">
            <v>8</v>
          </cell>
          <cell r="C411" t="str">
            <v>Other Current Liabilities</v>
          </cell>
          <cell r="D411" t="str">
            <v>Employee Payables</v>
          </cell>
          <cell r="E411">
            <v>0</v>
          </cell>
          <cell r="F411">
            <v>0</v>
          </cell>
          <cell r="G411">
            <v>0</v>
          </cell>
          <cell r="H411">
            <v>803704</v>
          </cell>
          <cell r="I411">
            <v>0</v>
          </cell>
          <cell r="J411">
            <v>803704</v>
          </cell>
        </row>
        <row r="412">
          <cell r="A412" t="str">
            <v>Salary to Company Secretary</v>
          </cell>
          <cell r="B412">
            <v>24</v>
          </cell>
          <cell r="C412" t="str">
            <v>Employee Benefit Expenses</v>
          </cell>
          <cell r="D412" t="str">
            <v>Salary &amp; Wages</v>
          </cell>
          <cell r="E412">
            <v>203540</v>
          </cell>
          <cell r="F412">
            <v>0</v>
          </cell>
          <cell r="G412">
            <v>203540</v>
          </cell>
          <cell r="H412">
            <v>0</v>
          </cell>
          <cell r="I412">
            <v>0</v>
          </cell>
          <cell r="J412">
            <v>0</v>
          </cell>
        </row>
        <row r="413">
          <cell r="A413" t="str">
            <v>Salary To Factory Adm. Staff</v>
          </cell>
          <cell r="B413">
            <v>24</v>
          </cell>
          <cell r="C413" t="str">
            <v>Employee Benefit Expenses</v>
          </cell>
          <cell r="D413" t="str">
            <v>Salary &amp; Wages</v>
          </cell>
          <cell r="E413">
            <v>1626242</v>
          </cell>
          <cell r="F413">
            <v>0</v>
          </cell>
          <cell r="G413">
            <v>1626242</v>
          </cell>
          <cell r="H413">
            <v>0</v>
          </cell>
          <cell r="I413">
            <v>0</v>
          </cell>
          <cell r="J413">
            <v>0</v>
          </cell>
        </row>
        <row r="414">
          <cell r="A414" t="str">
            <v>Salary To Office Staff</v>
          </cell>
          <cell r="B414">
            <v>24</v>
          </cell>
          <cell r="C414" t="str">
            <v>Employee Benefit Expenses</v>
          </cell>
          <cell r="D414" t="str">
            <v>Salary &amp; Wages</v>
          </cell>
          <cell r="E414">
            <v>2273038</v>
          </cell>
          <cell r="F414">
            <v>0</v>
          </cell>
          <cell r="G414">
            <v>2273038</v>
          </cell>
          <cell r="H414">
            <v>0</v>
          </cell>
          <cell r="I414">
            <v>0</v>
          </cell>
          <cell r="J414">
            <v>0</v>
          </cell>
        </row>
        <row r="415">
          <cell r="A415" t="str">
            <v>Salary To Other Factory Staff</v>
          </cell>
          <cell r="B415">
            <v>24</v>
          </cell>
          <cell r="C415" t="str">
            <v>Employee Benefit Expenses</v>
          </cell>
          <cell r="D415" t="str">
            <v>Salary &amp; Wages</v>
          </cell>
          <cell r="E415">
            <v>8511335</v>
          </cell>
          <cell r="F415">
            <v>0</v>
          </cell>
          <cell r="G415">
            <v>8511335</v>
          </cell>
          <cell r="H415">
            <v>0</v>
          </cell>
          <cell r="I415">
            <v>0</v>
          </cell>
          <cell r="J415">
            <v>0</v>
          </cell>
        </row>
        <row r="416">
          <cell r="A416" t="str">
            <v>Sale Transit Insurance @0.30%</v>
          </cell>
          <cell r="B416">
            <v>19</v>
          </cell>
          <cell r="C416" t="str">
            <v>Revenue From Operations</v>
          </cell>
          <cell r="D416" t="str">
            <v>Sale of Goods - Manufacturing Sales</v>
          </cell>
          <cell r="E416">
            <v>0</v>
          </cell>
          <cell r="F416">
            <v>0</v>
          </cell>
          <cell r="G416">
            <v>0</v>
          </cell>
          <cell r="H416">
            <v>755246</v>
          </cell>
          <cell r="I416">
            <v>0</v>
          </cell>
          <cell r="J416">
            <v>755246</v>
          </cell>
        </row>
        <row r="417">
          <cell r="A417" t="str">
            <v>SALES A/C GST</v>
          </cell>
          <cell r="B417">
            <v>19</v>
          </cell>
          <cell r="C417" t="str">
            <v>Revenue From Operations</v>
          </cell>
          <cell r="D417" t="str">
            <v>Sale of Goods - Manufacturing Sales</v>
          </cell>
          <cell r="E417">
            <v>0</v>
          </cell>
          <cell r="F417">
            <v>0</v>
          </cell>
          <cell r="G417">
            <v>0</v>
          </cell>
          <cell r="H417">
            <v>609002318.29999995</v>
          </cell>
          <cell r="I417">
            <v>0</v>
          </cell>
          <cell r="J417">
            <v>609002318.29999995</v>
          </cell>
        </row>
        <row r="418">
          <cell r="A418" t="str">
            <v>SALES A/C INTERASTATE</v>
          </cell>
          <cell r="B418">
            <v>19</v>
          </cell>
          <cell r="C418" t="str">
            <v>Revenue From Operations</v>
          </cell>
          <cell r="D418" t="str">
            <v>Sale of Goods - Manufacturing Sales</v>
          </cell>
          <cell r="E418">
            <v>0</v>
          </cell>
          <cell r="F418">
            <v>0</v>
          </cell>
          <cell r="G418">
            <v>0</v>
          </cell>
          <cell r="H418">
            <v>77113878.299999997</v>
          </cell>
          <cell r="I418">
            <v>0</v>
          </cell>
          <cell r="J418">
            <v>77113878.299999997</v>
          </cell>
        </row>
        <row r="419">
          <cell r="A419" t="str">
            <v>Sales Return Account (GST Sales)</v>
          </cell>
          <cell r="B419">
            <v>19</v>
          </cell>
          <cell r="C419" t="str">
            <v>Revenue From Operations</v>
          </cell>
          <cell r="D419" t="str">
            <v>Sale of Goods - Manufacturing Sales</v>
          </cell>
          <cell r="E419">
            <v>245586</v>
          </cell>
          <cell r="F419">
            <v>0</v>
          </cell>
          <cell r="G419">
            <v>245586</v>
          </cell>
          <cell r="H419">
            <v>0</v>
          </cell>
          <cell r="I419">
            <v>0</v>
          </cell>
          <cell r="J419">
            <v>0</v>
          </cell>
        </row>
        <row r="420">
          <cell r="A420" t="str">
            <v>SALES TAX ASSESSMENT 2012-13</v>
          </cell>
          <cell r="B420">
            <v>26</v>
          </cell>
          <cell r="C420" t="str">
            <v>Other Expenses</v>
          </cell>
          <cell r="D420" t="str">
            <v>Establishment Expenses-Rates &amp; Taxes</v>
          </cell>
          <cell r="E420">
            <v>23653</v>
          </cell>
          <cell r="F420">
            <v>0</v>
          </cell>
          <cell r="G420">
            <v>23653</v>
          </cell>
          <cell r="H420">
            <v>0</v>
          </cell>
          <cell r="I420">
            <v>0</v>
          </cell>
          <cell r="J420">
            <v>0</v>
          </cell>
        </row>
        <row r="421">
          <cell r="A421" t="str">
            <v>Sanjamkaur Saini</v>
          </cell>
          <cell r="B421">
            <v>4</v>
          </cell>
          <cell r="C421" t="str">
            <v>Long Term Borrowings</v>
          </cell>
          <cell r="D421" t="str">
            <v>Unsecured-From Related Party</v>
          </cell>
          <cell r="E421">
            <v>0</v>
          </cell>
          <cell r="F421">
            <v>0</v>
          </cell>
          <cell r="G421">
            <v>0</v>
          </cell>
          <cell r="H421">
            <v>874676</v>
          </cell>
          <cell r="I421">
            <v>0</v>
          </cell>
          <cell r="J421">
            <v>874676</v>
          </cell>
        </row>
        <row r="422">
          <cell r="A422" t="str">
            <v>Sanjay Fulzele</v>
          </cell>
          <cell r="B422">
            <v>7</v>
          </cell>
          <cell r="C422" t="str">
            <v>Trade Payables</v>
          </cell>
          <cell r="D422" t="str">
            <v>Trade Payables - Others</v>
          </cell>
          <cell r="E422">
            <v>0</v>
          </cell>
          <cell r="F422">
            <v>0</v>
          </cell>
          <cell r="G422">
            <v>0</v>
          </cell>
          <cell r="H422">
            <v>2600</v>
          </cell>
          <cell r="I422">
            <v>0</v>
          </cell>
          <cell r="J422">
            <v>2600</v>
          </cell>
        </row>
        <row r="423">
          <cell r="A423" t="str">
            <v>Sanjay Tiwari</v>
          </cell>
          <cell r="B423">
            <v>12</v>
          </cell>
          <cell r="C423" t="str">
            <v>Long Term Loans &amp; Advances</v>
          </cell>
          <cell r="D423" t="str">
            <v>Loans and Advances to Employees</v>
          </cell>
          <cell r="E423">
            <v>0</v>
          </cell>
          <cell r="F423">
            <v>0</v>
          </cell>
          <cell r="G423">
            <v>0</v>
          </cell>
          <cell r="H423">
            <v>0</v>
          </cell>
          <cell r="I423">
            <v>0</v>
          </cell>
          <cell r="J423">
            <v>0</v>
          </cell>
        </row>
        <row r="424">
          <cell r="A424" t="str">
            <v>Saraswati General Stores, Nagpur</v>
          </cell>
          <cell r="B424">
            <v>7</v>
          </cell>
          <cell r="C424" t="str">
            <v>Trade Payables</v>
          </cell>
          <cell r="D424" t="str">
            <v>Trade Payables</v>
          </cell>
          <cell r="E424">
            <v>0</v>
          </cell>
          <cell r="F424">
            <v>0</v>
          </cell>
          <cell r="G424">
            <v>0</v>
          </cell>
          <cell r="H424">
            <v>85602</v>
          </cell>
          <cell r="I424">
            <v>0</v>
          </cell>
          <cell r="J424">
            <v>85602</v>
          </cell>
        </row>
        <row r="425">
          <cell r="A425" t="str">
            <v>Sartaj Manindersingh Saini</v>
          </cell>
          <cell r="B425">
            <v>4</v>
          </cell>
          <cell r="C425" t="str">
            <v>Long Term Borrowings</v>
          </cell>
          <cell r="D425" t="str">
            <v>Unsecured-From Related Party</v>
          </cell>
          <cell r="E425">
            <v>0</v>
          </cell>
          <cell r="F425">
            <v>0</v>
          </cell>
          <cell r="G425">
            <v>0</v>
          </cell>
          <cell r="H425">
            <v>1640020</v>
          </cell>
          <cell r="I425">
            <v>0</v>
          </cell>
          <cell r="J425">
            <v>1640020</v>
          </cell>
        </row>
        <row r="426">
          <cell r="A426" t="str">
            <v>Saurashtra Marketing Corporation</v>
          </cell>
          <cell r="B426">
            <v>7</v>
          </cell>
          <cell r="C426" t="str">
            <v>Trade Payables</v>
          </cell>
          <cell r="D426" t="str">
            <v>Trade Payables</v>
          </cell>
          <cell r="E426">
            <v>0</v>
          </cell>
          <cell r="F426">
            <v>0</v>
          </cell>
          <cell r="G426">
            <v>0</v>
          </cell>
          <cell r="H426">
            <v>0</v>
          </cell>
          <cell r="I426">
            <v>0</v>
          </cell>
          <cell r="J426">
            <v>0</v>
          </cell>
        </row>
        <row r="427">
          <cell r="A427" t="str">
            <v>Securities Premium (351165@25)</v>
          </cell>
          <cell r="B427">
            <v>3</v>
          </cell>
          <cell r="C427" t="str">
            <v>Reserves &amp; Surplus</v>
          </cell>
          <cell r="D427" t="str">
            <v>Securities Premium</v>
          </cell>
          <cell r="E427">
            <v>0</v>
          </cell>
          <cell r="F427">
            <v>0</v>
          </cell>
          <cell r="G427">
            <v>0</v>
          </cell>
          <cell r="H427">
            <v>8664946</v>
          </cell>
          <cell r="I427">
            <v>0</v>
          </cell>
          <cell r="J427">
            <v>8664946</v>
          </cell>
        </row>
        <row r="428">
          <cell r="A428" t="str">
            <v>Security Service Charges</v>
          </cell>
          <cell r="B428">
            <v>26</v>
          </cell>
          <cell r="C428" t="str">
            <v>Other Expenses</v>
          </cell>
          <cell r="D428" t="str">
            <v>Manufacturing Expenses - Security Service Charges</v>
          </cell>
          <cell r="E428">
            <v>689707</v>
          </cell>
          <cell r="F428">
            <v>0</v>
          </cell>
          <cell r="G428">
            <v>689707</v>
          </cell>
          <cell r="H428">
            <v>0</v>
          </cell>
          <cell r="I428">
            <v>0</v>
          </cell>
          <cell r="J428">
            <v>0</v>
          </cell>
        </row>
        <row r="429">
          <cell r="A429" t="str">
            <v>SEZ SALE (SPECIAL ECONOMIC ZONE)</v>
          </cell>
          <cell r="B429">
            <v>19</v>
          </cell>
          <cell r="C429" t="str">
            <v>Revenue From Operations</v>
          </cell>
          <cell r="D429" t="str">
            <v>Sale of Goods - Manufacturing Sales</v>
          </cell>
          <cell r="E429">
            <v>0</v>
          </cell>
          <cell r="F429">
            <v>0</v>
          </cell>
          <cell r="G429">
            <v>0</v>
          </cell>
          <cell r="H429">
            <v>21264856</v>
          </cell>
          <cell r="I429">
            <v>0</v>
          </cell>
          <cell r="J429">
            <v>21264856</v>
          </cell>
        </row>
        <row r="430">
          <cell r="A430" t="str">
            <v>SGST @ 9% ON OTHER PURCHASE</v>
          </cell>
          <cell r="B430">
            <v>12</v>
          </cell>
          <cell r="C430" t="str">
            <v>Long Term Loans &amp; Advances</v>
          </cell>
          <cell r="D430" t="str">
            <v>GST</v>
          </cell>
          <cell r="E430">
            <v>0</v>
          </cell>
          <cell r="F430">
            <v>0</v>
          </cell>
          <cell r="G430">
            <v>0</v>
          </cell>
          <cell r="H430">
            <v>0</v>
          </cell>
          <cell r="I430">
            <v>0</v>
          </cell>
          <cell r="J430">
            <v>0</v>
          </cell>
        </row>
        <row r="431">
          <cell r="A431" t="str">
            <v>SGST Payable ( F. Y. 2018-19)</v>
          </cell>
          <cell r="B431">
            <v>12</v>
          </cell>
          <cell r="C431" t="str">
            <v>Long Term Loans &amp; Advances</v>
          </cell>
          <cell r="D431" t="str">
            <v>GST</v>
          </cell>
          <cell r="E431">
            <v>0</v>
          </cell>
          <cell r="F431">
            <v>0</v>
          </cell>
          <cell r="G431">
            <v>0</v>
          </cell>
          <cell r="H431">
            <v>0</v>
          </cell>
          <cell r="I431">
            <v>0</v>
          </cell>
          <cell r="J431">
            <v>0</v>
          </cell>
        </row>
        <row r="432">
          <cell r="A432" t="str">
            <v>SGST Payable ( F. Y. 2019-20 )</v>
          </cell>
          <cell r="B432">
            <v>12</v>
          </cell>
          <cell r="C432" t="str">
            <v>Long Term Loans &amp; Advances</v>
          </cell>
          <cell r="D432" t="str">
            <v>GST</v>
          </cell>
          <cell r="E432">
            <v>0</v>
          </cell>
          <cell r="F432">
            <v>0</v>
          </cell>
          <cell r="G432">
            <v>0</v>
          </cell>
          <cell r="H432">
            <v>449757.14</v>
          </cell>
          <cell r="I432">
            <v>0</v>
          </cell>
          <cell r="J432">
            <v>449757.14</v>
          </cell>
        </row>
        <row r="433">
          <cell r="A433" t="str">
            <v>SGST PAYABLE (F.Y. 2017-18)</v>
          </cell>
          <cell r="B433">
            <v>12</v>
          </cell>
          <cell r="C433" t="str">
            <v>Long Term Loans &amp; Advances</v>
          </cell>
          <cell r="D433" t="str">
            <v>GST</v>
          </cell>
          <cell r="E433">
            <v>0</v>
          </cell>
          <cell r="F433">
            <v>0</v>
          </cell>
          <cell r="G433">
            <v>0</v>
          </cell>
          <cell r="H433">
            <v>0</v>
          </cell>
          <cell r="I433">
            <v>0</v>
          </cell>
          <cell r="J433">
            <v>0</v>
          </cell>
        </row>
        <row r="434">
          <cell r="A434" t="str">
            <v>Shah Baheti Chandak &amp; Co.</v>
          </cell>
          <cell r="B434">
            <v>7</v>
          </cell>
          <cell r="C434" t="str">
            <v>Trade Payables</v>
          </cell>
          <cell r="D434" t="str">
            <v>Trade Payables</v>
          </cell>
          <cell r="E434">
            <v>0</v>
          </cell>
          <cell r="F434">
            <v>0</v>
          </cell>
          <cell r="G434">
            <v>0</v>
          </cell>
          <cell r="H434">
            <v>0</v>
          </cell>
          <cell r="I434">
            <v>0</v>
          </cell>
          <cell r="J434">
            <v>0</v>
          </cell>
        </row>
        <row r="435">
          <cell r="A435" t="str">
            <v>Shahnawaj Khan</v>
          </cell>
          <cell r="B435">
            <v>12</v>
          </cell>
          <cell r="C435" t="str">
            <v>Long Term Loans &amp; Advances</v>
          </cell>
          <cell r="D435" t="str">
            <v>Loans and Advances to Employees</v>
          </cell>
          <cell r="E435">
            <v>0</v>
          </cell>
          <cell r="F435">
            <v>0</v>
          </cell>
          <cell r="G435">
            <v>0</v>
          </cell>
          <cell r="H435">
            <v>0</v>
          </cell>
          <cell r="I435">
            <v>0</v>
          </cell>
          <cell r="J435">
            <v>0</v>
          </cell>
        </row>
        <row r="436">
          <cell r="A436" t="str">
            <v>Shalimar Wire Industries Limited</v>
          </cell>
          <cell r="B436">
            <v>7</v>
          </cell>
          <cell r="C436" t="str">
            <v>Trade Payables</v>
          </cell>
          <cell r="D436" t="str">
            <v>Trade Payables</v>
          </cell>
          <cell r="E436">
            <v>0</v>
          </cell>
          <cell r="F436">
            <v>0</v>
          </cell>
          <cell r="G436">
            <v>0</v>
          </cell>
          <cell r="H436">
            <v>0</v>
          </cell>
          <cell r="I436">
            <v>0</v>
          </cell>
          <cell r="J436">
            <v>0</v>
          </cell>
        </row>
        <row r="437">
          <cell r="A437" t="str">
            <v>Shankar Traders (Sale)</v>
          </cell>
          <cell r="B437">
            <v>15</v>
          </cell>
          <cell r="C437" t="str">
            <v>Trade Receivables</v>
          </cell>
          <cell r="D437" t="str">
            <v>Other Debts</v>
          </cell>
          <cell r="E437">
            <v>1153357</v>
          </cell>
          <cell r="F437">
            <v>0</v>
          </cell>
          <cell r="G437">
            <v>1153357</v>
          </cell>
          <cell r="H437">
            <v>0</v>
          </cell>
          <cell r="I437">
            <v>0</v>
          </cell>
          <cell r="J437">
            <v>0</v>
          </cell>
        </row>
        <row r="438">
          <cell r="A438" t="str">
            <v>Shankar Trading Company</v>
          </cell>
          <cell r="B438">
            <v>15</v>
          </cell>
          <cell r="C438" t="str">
            <v>Trade Receivables</v>
          </cell>
          <cell r="D438" t="str">
            <v>Other Debts</v>
          </cell>
          <cell r="E438">
            <v>0</v>
          </cell>
          <cell r="F438">
            <v>0</v>
          </cell>
          <cell r="G438">
            <v>0</v>
          </cell>
          <cell r="H438">
            <v>0</v>
          </cell>
          <cell r="I438">
            <v>0</v>
          </cell>
          <cell r="J438">
            <v>0</v>
          </cell>
        </row>
        <row r="439">
          <cell r="A439" t="str">
            <v>SHARADCHANDRA P. SHAH AGENCY PVT. LTD. , MUMBAI</v>
          </cell>
          <cell r="B439">
            <v>7</v>
          </cell>
          <cell r="C439" t="str">
            <v>Trade Payables</v>
          </cell>
          <cell r="D439" t="str">
            <v>Trade Payables - Others</v>
          </cell>
          <cell r="E439">
            <v>0</v>
          </cell>
          <cell r="F439">
            <v>0</v>
          </cell>
          <cell r="G439">
            <v>0</v>
          </cell>
          <cell r="H439">
            <v>0</v>
          </cell>
          <cell r="I439">
            <v>0</v>
          </cell>
          <cell r="J439">
            <v>0</v>
          </cell>
        </row>
        <row r="440">
          <cell r="A440" t="str">
            <v>SHARP GRAPHICS</v>
          </cell>
          <cell r="B440">
            <v>7</v>
          </cell>
          <cell r="C440" t="str">
            <v>Trade Payables</v>
          </cell>
          <cell r="D440" t="str">
            <v>Trade Payables - Others</v>
          </cell>
          <cell r="E440">
            <v>5552</v>
          </cell>
          <cell r="F440">
            <v>0</v>
          </cell>
          <cell r="G440">
            <v>5552</v>
          </cell>
          <cell r="H440">
            <v>0</v>
          </cell>
          <cell r="I440">
            <v>0</v>
          </cell>
          <cell r="J440">
            <v>0</v>
          </cell>
        </row>
        <row r="441">
          <cell r="A441" t="str">
            <v>Shiba Sambhu Traders Odisha</v>
          </cell>
          <cell r="B441">
            <v>7</v>
          </cell>
          <cell r="C441" t="str">
            <v>Trade Payables</v>
          </cell>
          <cell r="D441" t="str">
            <v>Trade Payables</v>
          </cell>
          <cell r="E441">
            <v>0</v>
          </cell>
          <cell r="F441">
            <v>0</v>
          </cell>
          <cell r="G441">
            <v>0</v>
          </cell>
          <cell r="H441">
            <v>0</v>
          </cell>
          <cell r="I441">
            <v>0</v>
          </cell>
          <cell r="J441">
            <v>0</v>
          </cell>
        </row>
        <row r="442">
          <cell r="A442" t="str">
            <v>SHIVAM TRADERS, NAGPUR</v>
          </cell>
          <cell r="B442">
            <v>7</v>
          </cell>
          <cell r="C442" t="str">
            <v>Trade Payables</v>
          </cell>
          <cell r="D442" t="str">
            <v>Trade Payables</v>
          </cell>
          <cell r="E442">
            <v>0</v>
          </cell>
          <cell r="F442">
            <v>0</v>
          </cell>
          <cell r="G442">
            <v>0</v>
          </cell>
          <cell r="H442">
            <v>137081</v>
          </cell>
          <cell r="I442">
            <v>0</v>
          </cell>
          <cell r="J442">
            <v>137081</v>
          </cell>
        </row>
        <row r="443">
          <cell r="A443" t="str">
            <v>Short Provision Against Insu. Claim</v>
          </cell>
          <cell r="B443">
            <v>26</v>
          </cell>
          <cell r="C443" t="str">
            <v>Other Expenses</v>
          </cell>
          <cell r="D443" t="str">
            <v>Establishment Expenses-General Expenses</v>
          </cell>
          <cell r="E443">
            <v>0</v>
          </cell>
          <cell r="F443">
            <v>0</v>
          </cell>
          <cell r="G443">
            <v>0</v>
          </cell>
          <cell r="H443">
            <v>77175</v>
          </cell>
          <cell r="I443">
            <v>0</v>
          </cell>
          <cell r="J443">
            <v>77175</v>
          </cell>
        </row>
        <row r="444">
          <cell r="A444" t="str">
            <v>Short Provision of Incentive/Bonus</v>
          </cell>
          <cell r="B444">
            <v>24</v>
          </cell>
          <cell r="C444" t="str">
            <v>Employee Benefit Expenses</v>
          </cell>
          <cell r="D444" t="str">
            <v>Salary &amp; Wages</v>
          </cell>
          <cell r="E444">
            <v>140595</v>
          </cell>
          <cell r="F444">
            <v>0</v>
          </cell>
          <cell r="G444">
            <v>140595</v>
          </cell>
          <cell r="H444">
            <v>0</v>
          </cell>
          <cell r="I444">
            <v>0</v>
          </cell>
          <cell r="J444">
            <v>0</v>
          </cell>
        </row>
        <row r="445">
          <cell r="A445" t="str">
            <v>SHREE FLEX PRINT PVT.LTD.</v>
          </cell>
          <cell r="B445">
            <v>15</v>
          </cell>
          <cell r="C445" t="str">
            <v>Trade Receivables</v>
          </cell>
          <cell r="D445" t="str">
            <v>Other Debts</v>
          </cell>
          <cell r="E445">
            <v>2982040</v>
          </cell>
          <cell r="F445">
            <v>0</v>
          </cell>
          <cell r="G445">
            <v>2982040</v>
          </cell>
          <cell r="H445">
            <v>0</v>
          </cell>
          <cell r="I445">
            <v>0</v>
          </cell>
          <cell r="J445">
            <v>0</v>
          </cell>
        </row>
        <row r="446">
          <cell r="A446" t="str">
            <v>SHREE INDUSTRIES</v>
          </cell>
          <cell r="B446">
            <v>15</v>
          </cell>
          <cell r="C446" t="str">
            <v>Trade Receivables</v>
          </cell>
          <cell r="D446" t="str">
            <v>Other Debts</v>
          </cell>
          <cell r="E446">
            <v>108452</v>
          </cell>
          <cell r="F446">
            <v>0</v>
          </cell>
          <cell r="G446">
            <v>108452</v>
          </cell>
          <cell r="H446">
            <v>0</v>
          </cell>
          <cell r="I446">
            <v>0</v>
          </cell>
          <cell r="J446">
            <v>0</v>
          </cell>
        </row>
        <row r="447">
          <cell r="A447" t="str">
            <v>Shree Trade Links (Pkg)</v>
          </cell>
          <cell r="B447">
            <v>7</v>
          </cell>
          <cell r="C447" t="str">
            <v>Trade Payables</v>
          </cell>
          <cell r="D447" t="str">
            <v>Trade Payables</v>
          </cell>
          <cell r="E447">
            <v>0</v>
          </cell>
          <cell r="F447">
            <v>0</v>
          </cell>
          <cell r="G447">
            <v>0</v>
          </cell>
          <cell r="H447">
            <v>9167</v>
          </cell>
          <cell r="I447">
            <v>0</v>
          </cell>
          <cell r="J447">
            <v>9167</v>
          </cell>
        </row>
        <row r="448">
          <cell r="A448" t="str">
            <v>Shri Balaji Tradelink</v>
          </cell>
          <cell r="B448">
            <v>7</v>
          </cell>
          <cell r="C448" t="str">
            <v>Trade Payables</v>
          </cell>
          <cell r="D448" t="str">
            <v>Trade Payables</v>
          </cell>
          <cell r="E448">
            <v>0</v>
          </cell>
          <cell r="F448">
            <v>0</v>
          </cell>
          <cell r="G448">
            <v>0</v>
          </cell>
          <cell r="H448">
            <v>3584869</v>
          </cell>
          <cell r="I448">
            <v>0</v>
          </cell>
          <cell r="J448">
            <v>3584869</v>
          </cell>
        </row>
        <row r="449">
          <cell r="A449" t="str">
            <v>SHRI SIDDHIVINAYAKA ENTERPRISES(Comm)</v>
          </cell>
          <cell r="B449">
            <v>15</v>
          </cell>
          <cell r="C449" t="str">
            <v>Trade Receivables</v>
          </cell>
          <cell r="D449" t="str">
            <v>Trade Receivables</v>
          </cell>
          <cell r="E449">
            <v>0</v>
          </cell>
          <cell r="F449">
            <v>0</v>
          </cell>
          <cell r="G449">
            <v>0</v>
          </cell>
          <cell r="H449">
            <v>0</v>
          </cell>
          <cell r="I449">
            <v>0</v>
          </cell>
          <cell r="J449">
            <v>0</v>
          </cell>
        </row>
        <row r="450">
          <cell r="A450" t="str">
            <v>Shriram Packers</v>
          </cell>
          <cell r="B450">
            <v>15</v>
          </cell>
          <cell r="C450" t="str">
            <v>Trade Receivables</v>
          </cell>
          <cell r="D450" t="str">
            <v>Other Debts</v>
          </cell>
          <cell r="E450">
            <v>0</v>
          </cell>
          <cell r="F450">
            <v>0</v>
          </cell>
          <cell r="G450">
            <v>0</v>
          </cell>
          <cell r="H450">
            <v>0</v>
          </cell>
          <cell r="I450">
            <v>0</v>
          </cell>
          <cell r="J450">
            <v>0</v>
          </cell>
        </row>
        <row r="451">
          <cell r="A451" t="str">
            <v>SHUBH PACK</v>
          </cell>
          <cell r="B451">
            <v>15</v>
          </cell>
          <cell r="C451" t="str">
            <v>Trade Receivables</v>
          </cell>
          <cell r="D451" t="str">
            <v>Other Debts</v>
          </cell>
          <cell r="E451">
            <v>0</v>
          </cell>
          <cell r="F451">
            <v>0</v>
          </cell>
          <cell r="G451">
            <v>0</v>
          </cell>
          <cell r="H451">
            <v>0</v>
          </cell>
          <cell r="I451">
            <v>0</v>
          </cell>
          <cell r="J451">
            <v>0</v>
          </cell>
        </row>
        <row r="452">
          <cell r="A452" t="str">
            <v>SHUBHAM ENTERPRISES</v>
          </cell>
          <cell r="B452">
            <v>7</v>
          </cell>
          <cell r="C452" t="str">
            <v>Trade Payables</v>
          </cell>
          <cell r="D452" t="str">
            <v>Trade Payables</v>
          </cell>
          <cell r="E452">
            <v>0</v>
          </cell>
          <cell r="F452">
            <v>0</v>
          </cell>
          <cell r="G452">
            <v>0</v>
          </cell>
          <cell r="H452">
            <v>145449</v>
          </cell>
          <cell r="I452">
            <v>0</v>
          </cell>
          <cell r="J452">
            <v>145449</v>
          </cell>
        </row>
        <row r="453">
          <cell r="A453" t="str">
            <v>Site Development Expenses</v>
          </cell>
          <cell r="B453">
            <v>26</v>
          </cell>
          <cell r="C453" t="str">
            <v>Other Expenses</v>
          </cell>
          <cell r="D453" t="str">
            <v>Establishment Expenses-General Expenses</v>
          </cell>
          <cell r="E453">
            <v>374511.51</v>
          </cell>
          <cell r="F453">
            <v>0</v>
          </cell>
          <cell r="G453">
            <v>374511.51</v>
          </cell>
          <cell r="H453">
            <v>0</v>
          </cell>
          <cell r="I453">
            <v>0</v>
          </cell>
          <cell r="J453">
            <v>0</v>
          </cell>
        </row>
        <row r="454">
          <cell r="A454" t="str">
            <v>SIZE REBATE</v>
          </cell>
          <cell r="B454">
            <v>19</v>
          </cell>
          <cell r="C454" t="str">
            <v>Revenue From Operations</v>
          </cell>
          <cell r="D454" t="str">
            <v>Sale of Goods - Manufacturing Sales</v>
          </cell>
          <cell r="E454">
            <v>100400</v>
          </cell>
          <cell r="F454">
            <v>0</v>
          </cell>
          <cell r="G454">
            <v>100400</v>
          </cell>
          <cell r="H454">
            <v>0</v>
          </cell>
          <cell r="I454">
            <v>0</v>
          </cell>
          <cell r="J454">
            <v>0</v>
          </cell>
        </row>
        <row r="455">
          <cell r="A455" t="str">
            <v>Snehlata A. Lakhotiya</v>
          </cell>
          <cell r="B455">
            <v>4</v>
          </cell>
          <cell r="C455" t="str">
            <v>Long Term Borrowings</v>
          </cell>
          <cell r="D455" t="str">
            <v>Unsecured-From Related Party</v>
          </cell>
          <cell r="E455">
            <v>0</v>
          </cell>
          <cell r="F455">
            <v>0</v>
          </cell>
          <cell r="G455">
            <v>0</v>
          </cell>
          <cell r="H455">
            <v>1749357</v>
          </cell>
          <cell r="I455">
            <v>0</v>
          </cell>
          <cell r="J455">
            <v>1749357</v>
          </cell>
        </row>
        <row r="456">
          <cell r="A456" t="str">
            <v>Somani Packers</v>
          </cell>
          <cell r="B456">
            <v>7</v>
          </cell>
          <cell r="C456" t="str">
            <v>Trade Payables</v>
          </cell>
          <cell r="D456" t="str">
            <v>Trade Payables</v>
          </cell>
          <cell r="E456">
            <v>0</v>
          </cell>
          <cell r="F456">
            <v>0</v>
          </cell>
          <cell r="G456">
            <v>0</v>
          </cell>
          <cell r="H456">
            <v>16225</v>
          </cell>
          <cell r="I456">
            <v>0</v>
          </cell>
          <cell r="J456">
            <v>16225</v>
          </cell>
        </row>
        <row r="457">
          <cell r="A457" t="str">
            <v>SREERAM PACKING INDUSTRIES</v>
          </cell>
          <cell r="B457">
            <v>15</v>
          </cell>
          <cell r="C457" t="str">
            <v>Trade Receivables</v>
          </cell>
          <cell r="D457" t="str">
            <v>Trade Receivables</v>
          </cell>
          <cell r="E457">
            <v>0</v>
          </cell>
          <cell r="F457">
            <v>0</v>
          </cell>
          <cell r="G457">
            <v>0</v>
          </cell>
          <cell r="H457">
            <v>0</v>
          </cell>
          <cell r="I457">
            <v>0</v>
          </cell>
          <cell r="J457">
            <v>0</v>
          </cell>
        </row>
        <row r="458">
          <cell r="A458" t="str">
            <v>Staff Profession Tax Payable</v>
          </cell>
          <cell r="B458">
            <v>8</v>
          </cell>
          <cell r="C458" t="str">
            <v>Other Current Liabilities</v>
          </cell>
          <cell r="D458" t="str">
            <v>Statutory Dues</v>
          </cell>
          <cell r="E458">
            <v>0</v>
          </cell>
          <cell r="F458">
            <v>0</v>
          </cell>
          <cell r="G458">
            <v>0</v>
          </cell>
          <cell r="H458">
            <v>10225</v>
          </cell>
          <cell r="I458">
            <v>0</v>
          </cell>
          <cell r="J458">
            <v>10225</v>
          </cell>
        </row>
        <row r="459">
          <cell r="A459" t="str">
            <v>Staff Welfare Expenses</v>
          </cell>
          <cell r="B459">
            <v>24</v>
          </cell>
          <cell r="C459" t="str">
            <v>Employee Benefit Expenses</v>
          </cell>
          <cell r="D459" t="str">
            <v>Staff Welfare Expenses</v>
          </cell>
          <cell r="E459">
            <v>0</v>
          </cell>
          <cell r="F459">
            <v>0</v>
          </cell>
          <cell r="G459">
            <v>0</v>
          </cell>
          <cell r="H459">
            <v>0</v>
          </cell>
          <cell r="I459">
            <v>0</v>
          </cell>
          <cell r="J459">
            <v>0</v>
          </cell>
        </row>
        <row r="460">
          <cell r="A460" t="str">
            <v>State Bank Of India C.C.,Sme Br.</v>
          </cell>
          <cell r="B460">
            <v>6</v>
          </cell>
          <cell r="C460" t="str">
            <v>Short Term Borrowings</v>
          </cell>
          <cell r="D460" t="str">
            <v>Secured - From Banks - Working Capital Loan</v>
          </cell>
          <cell r="E460">
            <v>0</v>
          </cell>
          <cell r="F460">
            <v>0</v>
          </cell>
          <cell r="G460">
            <v>0</v>
          </cell>
          <cell r="H460">
            <v>61843530.590000004</v>
          </cell>
          <cell r="I460">
            <v>0</v>
          </cell>
          <cell r="J460">
            <v>61843530.590000004</v>
          </cell>
        </row>
        <row r="461">
          <cell r="A461" t="str">
            <v>State Compensation on Cess</v>
          </cell>
          <cell r="B461">
            <v>26</v>
          </cell>
          <cell r="C461" t="str">
            <v>Other Expenses</v>
          </cell>
          <cell r="D461" t="str">
            <v>Manufacturing Expenses - Power &amp; Fuel Consumed</v>
          </cell>
          <cell r="E461">
            <v>5558970</v>
          </cell>
          <cell r="F461">
            <v>0</v>
          </cell>
          <cell r="G461">
            <v>5558970</v>
          </cell>
          <cell r="H461">
            <v>0</v>
          </cell>
          <cell r="I461">
            <v>0</v>
          </cell>
          <cell r="J461">
            <v>0</v>
          </cell>
        </row>
        <row r="462">
          <cell r="A462" t="str">
            <v>Stationery &amp; Printing Charges</v>
          </cell>
          <cell r="B462">
            <v>26</v>
          </cell>
          <cell r="C462" t="str">
            <v>Other Expenses</v>
          </cell>
          <cell r="D462" t="str">
            <v>Establishment Expenses-Printing &amp; Stationery</v>
          </cell>
          <cell r="E462">
            <v>237277.27</v>
          </cell>
          <cell r="F462">
            <v>0</v>
          </cell>
          <cell r="G462">
            <v>237277.27</v>
          </cell>
          <cell r="H462">
            <v>0</v>
          </cell>
          <cell r="I462">
            <v>0</v>
          </cell>
          <cell r="J462">
            <v>0</v>
          </cell>
        </row>
        <row r="463">
          <cell r="A463" t="str">
            <v>Statutory Audit Fees (Darak &amp; Asso)</v>
          </cell>
          <cell r="B463">
            <v>26</v>
          </cell>
          <cell r="C463" t="str">
            <v>Other Expenses</v>
          </cell>
          <cell r="D463" t="str">
            <v>Establishment Expenses-Auditors Remuneration</v>
          </cell>
          <cell r="E463">
            <v>275000</v>
          </cell>
          <cell r="F463">
            <v>0</v>
          </cell>
          <cell r="G463">
            <v>275000</v>
          </cell>
          <cell r="H463">
            <v>0</v>
          </cell>
          <cell r="I463">
            <v>0</v>
          </cell>
          <cell r="J463">
            <v>0</v>
          </cell>
        </row>
        <row r="464">
          <cell r="A464" t="str">
            <v>Stock Audit Bank Charges</v>
          </cell>
          <cell r="B464">
            <v>25</v>
          </cell>
          <cell r="C464" t="str">
            <v>Finance Costs</v>
          </cell>
          <cell r="D464" t="str">
            <v>Other Borrowing Costs</v>
          </cell>
          <cell r="E464">
            <v>0</v>
          </cell>
          <cell r="F464">
            <v>0</v>
          </cell>
          <cell r="G464">
            <v>0</v>
          </cell>
          <cell r="H464">
            <v>0</v>
          </cell>
          <cell r="I464">
            <v>0</v>
          </cell>
          <cell r="J464">
            <v>0</v>
          </cell>
        </row>
        <row r="465">
          <cell r="A465" t="str">
            <v>Sumed Borkar</v>
          </cell>
          <cell r="B465">
            <v>12</v>
          </cell>
          <cell r="C465" t="str">
            <v>Long Term Loans &amp; Advances</v>
          </cell>
          <cell r="D465" t="str">
            <v>Loans and Advances to Employees</v>
          </cell>
          <cell r="E465">
            <v>73000</v>
          </cell>
          <cell r="F465">
            <v>0</v>
          </cell>
          <cell r="G465">
            <v>73000</v>
          </cell>
          <cell r="H465">
            <v>0</v>
          </cell>
          <cell r="I465">
            <v>0</v>
          </cell>
          <cell r="J465">
            <v>0</v>
          </cell>
        </row>
        <row r="466">
          <cell r="A466" t="str">
            <v>Summit Agencies</v>
          </cell>
          <cell r="B466">
            <v>7</v>
          </cell>
          <cell r="C466" t="str">
            <v>Trade Payables</v>
          </cell>
          <cell r="D466" t="str">
            <v>Trade Payables</v>
          </cell>
          <cell r="E466">
            <v>0</v>
          </cell>
          <cell r="F466">
            <v>0</v>
          </cell>
          <cell r="G466">
            <v>0</v>
          </cell>
          <cell r="H466">
            <v>64723</v>
          </cell>
          <cell r="I466">
            <v>0</v>
          </cell>
          <cell r="J466">
            <v>64723</v>
          </cell>
        </row>
        <row r="467">
          <cell r="A467" t="str">
            <v>SUNDARAM FINANCE LTD : N006700059(CAR Loan)</v>
          </cell>
          <cell r="B467">
            <v>4</v>
          </cell>
          <cell r="C467" t="str">
            <v>Long Term Borrowings</v>
          </cell>
          <cell r="D467" t="str">
            <v>Secured - From Other - Term Loan</v>
          </cell>
          <cell r="E467">
            <v>0</v>
          </cell>
          <cell r="F467">
            <v>0</v>
          </cell>
          <cell r="G467">
            <v>0</v>
          </cell>
          <cell r="H467">
            <v>0</v>
          </cell>
          <cell r="I467">
            <v>0</v>
          </cell>
          <cell r="J467">
            <v>0</v>
          </cell>
        </row>
        <row r="468">
          <cell r="A468" t="str">
            <v>SUNDARAM FINANCE LTD :N006700064 (ForkLift)</v>
          </cell>
          <cell r="B468">
            <v>4</v>
          </cell>
          <cell r="C468" t="str">
            <v>Long Term Borrowings</v>
          </cell>
          <cell r="D468" t="str">
            <v>Secured - From Other - Term Loan</v>
          </cell>
          <cell r="E468">
            <v>0</v>
          </cell>
          <cell r="F468">
            <v>0</v>
          </cell>
          <cell r="G468">
            <v>0</v>
          </cell>
          <cell r="H468">
            <v>32212</v>
          </cell>
          <cell r="I468">
            <v>0</v>
          </cell>
          <cell r="J468">
            <v>32212</v>
          </cell>
        </row>
        <row r="469">
          <cell r="A469" t="str">
            <v>SUNDARAM FINANCE LTD :N036300010 (Tractor)</v>
          </cell>
          <cell r="B469">
            <v>4</v>
          </cell>
          <cell r="C469" t="str">
            <v>Long Term Borrowings</v>
          </cell>
          <cell r="D469" t="str">
            <v>Secured - From Other - Term Loan</v>
          </cell>
          <cell r="E469">
            <v>0</v>
          </cell>
          <cell r="F469">
            <v>0</v>
          </cell>
          <cell r="G469">
            <v>0</v>
          </cell>
          <cell r="H469">
            <v>98185</v>
          </cell>
          <cell r="I469">
            <v>0</v>
          </cell>
          <cell r="J469">
            <v>98185</v>
          </cell>
        </row>
        <row r="470">
          <cell r="A470" t="str">
            <v>SUNDER NAMKEEN</v>
          </cell>
          <cell r="B470">
            <v>15</v>
          </cell>
          <cell r="C470" t="str">
            <v>Trade Receivables</v>
          </cell>
          <cell r="D470" t="str">
            <v>Other Debts</v>
          </cell>
          <cell r="E470">
            <v>213539</v>
          </cell>
          <cell r="F470">
            <v>0</v>
          </cell>
          <cell r="G470">
            <v>213539</v>
          </cell>
          <cell r="H470">
            <v>0</v>
          </cell>
          <cell r="I470">
            <v>0</v>
          </cell>
          <cell r="J470">
            <v>0</v>
          </cell>
        </row>
        <row r="471">
          <cell r="A471" t="str">
            <v>Sundry Balance W/Off</v>
          </cell>
          <cell r="B471">
            <v>26</v>
          </cell>
          <cell r="C471" t="str">
            <v>Other Expenses</v>
          </cell>
          <cell r="D471" t="str">
            <v>Establishment Expenses-General Expenses</v>
          </cell>
          <cell r="E471">
            <v>199368.3</v>
          </cell>
          <cell r="F471">
            <v>0</v>
          </cell>
          <cell r="G471">
            <v>199368.3</v>
          </cell>
          <cell r="H471">
            <v>0</v>
          </cell>
          <cell r="I471">
            <v>0</v>
          </cell>
          <cell r="J471">
            <v>0</v>
          </cell>
        </row>
        <row r="472">
          <cell r="A472" t="str">
            <v>Sunil Enterprises (SALE)</v>
          </cell>
          <cell r="B472">
            <v>15</v>
          </cell>
          <cell r="C472" t="str">
            <v>Trade Receivables</v>
          </cell>
          <cell r="D472" t="str">
            <v>Other Debts</v>
          </cell>
          <cell r="E472">
            <v>1168754</v>
          </cell>
          <cell r="F472">
            <v>0</v>
          </cell>
          <cell r="G472">
            <v>1168754</v>
          </cell>
          <cell r="H472">
            <v>0</v>
          </cell>
          <cell r="I472">
            <v>0</v>
          </cell>
          <cell r="J472">
            <v>0</v>
          </cell>
        </row>
        <row r="473">
          <cell r="A473" t="str">
            <v>Sunil Nate</v>
          </cell>
          <cell r="B473">
            <v>12</v>
          </cell>
          <cell r="C473" t="str">
            <v>Long Term Loans &amp; Advances</v>
          </cell>
          <cell r="D473" t="str">
            <v>Loans and Advances to Employees</v>
          </cell>
          <cell r="E473">
            <v>22000</v>
          </cell>
          <cell r="F473">
            <v>0</v>
          </cell>
          <cell r="G473">
            <v>22000</v>
          </cell>
          <cell r="H473">
            <v>0</v>
          </cell>
          <cell r="I473">
            <v>0</v>
          </cell>
          <cell r="J473">
            <v>0</v>
          </cell>
        </row>
        <row r="474">
          <cell r="A474" t="str">
            <v>Suryakant Sadawarti</v>
          </cell>
          <cell r="B474">
            <v>12</v>
          </cell>
          <cell r="C474" t="str">
            <v>Long Term Loans &amp; Advances</v>
          </cell>
          <cell r="D474" t="str">
            <v>Loans and Advances to Employees</v>
          </cell>
          <cell r="E474">
            <v>0</v>
          </cell>
          <cell r="F474">
            <v>0</v>
          </cell>
          <cell r="G474">
            <v>0</v>
          </cell>
          <cell r="H474">
            <v>0</v>
          </cell>
          <cell r="I474">
            <v>0</v>
          </cell>
          <cell r="J474">
            <v>0</v>
          </cell>
        </row>
        <row r="475">
          <cell r="A475" t="str">
            <v>SWASTIK PAPER BOX</v>
          </cell>
          <cell r="B475">
            <v>15</v>
          </cell>
          <cell r="C475" t="str">
            <v>Trade Receivables</v>
          </cell>
          <cell r="D475" t="str">
            <v>Other Debts</v>
          </cell>
          <cell r="E475">
            <v>0</v>
          </cell>
          <cell r="F475">
            <v>0</v>
          </cell>
          <cell r="G475">
            <v>0</v>
          </cell>
          <cell r="H475">
            <v>0</v>
          </cell>
          <cell r="I475">
            <v>0</v>
          </cell>
          <cell r="J475">
            <v>0</v>
          </cell>
        </row>
        <row r="476">
          <cell r="A476" t="str">
            <v>Tanisha Resins P. Ltd., Nagpur</v>
          </cell>
          <cell r="B476">
            <v>7</v>
          </cell>
          <cell r="C476" t="str">
            <v>Trade Payables</v>
          </cell>
          <cell r="D476" t="str">
            <v>Trade Payables</v>
          </cell>
          <cell r="E476">
            <v>0</v>
          </cell>
          <cell r="F476">
            <v>0</v>
          </cell>
          <cell r="G476">
            <v>0</v>
          </cell>
          <cell r="H476">
            <v>351168</v>
          </cell>
          <cell r="I476">
            <v>0</v>
          </cell>
          <cell r="J476">
            <v>351168</v>
          </cell>
        </row>
        <row r="477">
          <cell r="A477" t="str">
            <v>TDS  (A. Y. 2019-20)</v>
          </cell>
          <cell r="B477">
            <v>12</v>
          </cell>
          <cell r="C477" t="str">
            <v>Long Term Loans &amp; Advances</v>
          </cell>
          <cell r="D477" t="str">
            <v>Advance Income Tax</v>
          </cell>
          <cell r="E477">
            <v>0</v>
          </cell>
          <cell r="F477">
            <v>0</v>
          </cell>
          <cell r="G477">
            <v>0</v>
          </cell>
          <cell r="H477">
            <v>0</v>
          </cell>
          <cell r="I477">
            <v>0</v>
          </cell>
          <cell r="J477">
            <v>0</v>
          </cell>
        </row>
        <row r="478">
          <cell r="A478" t="str">
            <v>Tds  Payable On  Professional</v>
          </cell>
          <cell r="B478">
            <v>8</v>
          </cell>
          <cell r="C478" t="str">
            <v>Other Current Liabilities</v>
          </cell>
          <cell r="D478" t="str">
            <v>Statutory Dues</v>
          </cell>
          <cell r="E478">
            <v>0</v>
          </cell>
          <cell r="F478">
            <v>0</v>
          </cell>
          <cell r="G478">
            <v>0</v>
          </cell>
          <cell r="H478">
            <v>101044</v>
          </cell>
          <cell r="I478">
            <v>0</v>
          </cell>
          <cell r="J478">
            <v>101044</v>
          </cell>
        </row>
        <row r="479">
          <cell r="A479" t="str">
            <v>TDS (A. Y. 2020-21)</v>
          </cell>
          <cell r="B479">
            <v>12</v>
          </cell>
          <cell r="C479" t="str">
            <v>Long Term Loans &amp; Advances</v>
          </cell>
          <cell r="D479" t="str">
            <v>Advance Income Tax</v>
          </cell>
          <cell r="E479">
            <v>15292</v>
          </cell>
          <cell r="F479">
            <v>0</v>
          </cell>
          <cell r="G479">
            <v>15292</v>
          </cell>
          <cell r="H479">
            <v>0</v>
          </cell>
          <cell r="I479">
            <v>0</v>
          </cell>
          <cell r="J479">
            <v>0</v>
          </cell>
        </row>
        <row r="480">
          <cell r="A480" t="str">
            <v>T.C.S. (A.Y.2020-21)</v>
          </cell>
          <cell r="B480">
            <v>12</v>
          </cell>
          <cell r="C480" t="str">
            <v>Long Term Loans &amp; Advances</v>
          </cell>
          <cell r="D480" t="str">
            <v>Advance Income Tax</v>
          </cell>
          <cell r="E480">
            <v>44002</v>
          </cell>
          <cell r="F480">
            <v>0</v>
          </cell>
          <cell r="G480">
            <v>44002</v>
          </cell>
          <cell r="H480">
            <v>0</v>
          </cell>
          <cell r="I480">
            <v>0</v>
          </cell>
          <cell r="J480">
            <v>0</v>
          </cell>
        </row>
        <row r="481">
          <cell r="A481" t="str">
            <v>TDS Excess Paid</v>
          </cell>
          <cell r="B481">
            <v>26</v>
          </cell>
          <cell r="C481" t="str">
            <v>Other Expenses</v>
          </cell>
          <cell r="D481" t="str">
            <v>Establishment Expenses-Rates &amp; Taxes</v>
          </cell>
          <cell r="E481">
            <v>21</v>
          </cell>
          <cell r="F481">
            <v>0</v>
          </cell>
          <cell r="G481">
            <v>21</v>
          </cell>
          <cell r="H481">
            <v>0</v>
          </cell>
          <cell r="I481">
            <v>0</v>
          </cell>
          <cell r="J481">
            <v>0</v>
          </cell>
        </row>
        <row r="482">
          <cell r="A482" t="str">
            <v>TDS Excess Paid FY 15-16</v>
          </cell>
          <cell r="B482">
            <v>12</v>
          </cell>
          <cell r="C482" t="str">
            <v>Long Term Loans &amp; Advances</v>
          </cell>
          <cell r="D482" t="str">
            <v>Advance Income Tax</v>
          </cell>
          <cell r="E482">
            <v>0</v>
          </cell>
          <cell r="F482">
            <v>0</v>
          </cell>
          <cell r="G482">
            <v>0</v>
          </cell>
          <cell r="H482">
            <v>0</v>
          </cell>
          <cell r="I482">
            <v>0</v>
          </cell>
          <cell r="J482">
            <v>0</v>
          </cell>
        </row>
        <row r="483">
          <cell r="A483" t="str">
            <v>Tds Payable  On Office Rent</v>
          </cell>
          <cell r="B483">
            <v>8</v>
          </cell>
          <cell r="C483" t="str">
            <v>Other Current Liabilities</v>
          </cell>
          <cell r="D483" t="str">
            <v>Statutory Dues</v>
          </cell>
          <cell r="E483">
            <v>0</v>
          </cell>
          <cell r="F483">
            <v>0</v>
          </cell>
          <cell r="G483">
            <v>0</v>
          </cell>
          <cell r="H483">
            <v>3900</v>
          </cell>
          <cell r="I483">
            <v>0</v>
          </cell>
          <cell r="J483">
            <v>3900</v>
          </cell>
        </row>
        <row r="484">
          <cell r="A484" t="str">
            <v>TDS Payable Dealers Commission</v>
          </cell>
          <cell r="B484">
            <v>8</v>
          </cell>
          <cell r="C484" t="str">
            <v>Other Current Liabilities</v>
          </cell>
          <cell r="D484" t="str">
            <v>Statutory Dues</v>
          </cell>
          <cell r="E484">
            <v>0</v>
          </cell>
          <cell r="F484">
            <v>0</v>
          </cell>
          <cell r="G484">
            <v>0</v>
          </cell>
          <cell r="H484">
            <v>5038</v>
          </cell>
          <cell r="I484">
            <v>0</v>
          </cell>
          <cell r="J484">
            <v>5038</v>
          </cell>
        </row>
        <row r="485">
          <cell r="A485" t="str">
            <v>TDS Payable on Commission</v>
          </cell>
          <cell r="B485">
            <v>8</v>
          </cell>
          <cell r="C485" t="str">
            <v>Other Current Liabilities</v>
          </cell>
          <cell r="D485" t="str">
            <v>Statutory Dues</v>
          </cell>
          <cell r="E485">
            <v>0</v>
          </cell>
          <cell r="F485">
            <v>0</v>
          </cell>
          <cell r="G485">
            <v>0</v>
          </cell>
          <cell r="H485">
            <v>1902</v>
          </cell>
          <cell r="I485">
            <v>0</v>
          </cell>
          <cell r="J485">
            <v>1902</v>
          </cell>
        </row>
        <row r="486">
          <cell r="A486" t="str">
            <v>Tds Payable On Contractors</v>
          </cell>
          <cell r="B486">
            <v>8</v>
          </cell>
          <cell r="C486" t="str">
            <v>Other Current Liabilities</v>
          </cell>
          <cell r="D486" t="str">
            <v>Statutory Dues</v>
          </cell>
          <cell r="E486">
            <v>0</v>
          </cell>
          <cell r="F486">
            <v>0</v>
          </cell>
          <cell r="G486">
            <v>0</v>
          </cell>
          <cell r="H486">
            <v>16393.04</v>
          </cell>
          <cell r="I486">
            <v>0</v>
          </cell>
          <cell r="J486">
            <v>16393.04</v>
          </cell>
        </row>
        <row r="487">
          <cell r="A487" t="str">
            <v>Tds Payable On Interest</v>
          </cell>
          <cell r="B487">
            <v>8</v>
          </cell>
          <cell r="C487" t="str">
            <v>Other Current Liabilities</v>
          </cell>
          <cell r="D487" t="str">
            <v>Statutory Dues</v>
          </cell>
          <cell r="E487">
            <v>0</v>
          </cell>
          <cell r="F487">
            <v>0</v>
          </cell>
          <cell r="G487">
            <v>0</v>
          </cell>
          <cell r="H487">
            <v>47856</v>
          </cell>
          <cell r="I487">
            <v>0</v>
          </cell>
          <cell r="J487">
            <v>47856</v>
          </cell>
        </row>
        <row r="488">
          <cell r="A488" t="str">
            <v>Tds Payable On Salary</v>
          </cell>
          <cell r="B488">
            <v>8</v>
          </cell>
          <cell r="C488" t="str">
            <v>Other Current Liabilities</v>
          </cell>
          <cell r="D488" t="str">
            <v>Statutory Dues</v>
          </cell>
          <cell r="E488">
            <v>0</v>
          </cell>
          <cell r="F488">
            <v>0</v>
          </cell>
          <cell r="G488">
            <v>0</v>
          </cell>
          <cell r="H488">
            <v>1977</v>
          </cell>
          <cell r="I488">
            <v>0</v>
          </cell>
          <cell r="J488">
            <v>1977</v>
          </cell>
        </row>
        <row r="489">
          <cell r="A489" t="str">
            <v>TDS Payable on Transporter</v>
          </cell>
          <cell r="B489">
            <v>8</v>
          </cell>
          <cell r="C489" t="str">
            <v>Other Current Liabilities</v>
          </cell>
          <cell r="D489" t="str">
            <v>Statutory Dues</v>
          </cell>
          <cell r="E489">
            <v>0</v>
          </cell>
          <cell r="F489">
            <v>0</v>
          </cell>
          <cell r="G489">
            <v>0</v>
          </cell>
          <cell r="H489">
            <v>51303.4</v>
          </cell>
          <cell r="I489">
            <v>0</v>
          </cell>
          <cell r="J489">
            <v>51303.4</v>
          </cell>
        </row>
        <row r="490">
          <cell r="A490" t="str">
            <v>TDSPAYABLE ON REMUNERATION</v>
          </cell>
          <cell r="B490">
            <v>8</v>
          </cell>
          <cell r="C490" t="str">
            <v>Other Current Liabilities</v>
          </cell>
          <cell r="D490" t="str">
            <v>Statutory Dues</v>
          </cell>
          <cell r="E490">
            <v>0</v>
          </cell>
          <cell r="F490">
            <v>0</v>
          </cell>
          <cell r="G490">
            <v>0</v>
          </cell>
          <cell r="H490">
            <v>92000</v>
          </cell>
          <cell r="I490">
            <v>0</v>
          </cell>
          <cell r="J490">
            <v>92000</v>
          </cell>
        </row>
        <row r="491">
          <cell r="A491" t="str">
            <v>Telephone Charges</v>
          </cell>
          <cell r="B491">
            <v>26</v>
          </cell>
          <cell r="C491" t="str">
            <v>Other Expenses</v>
          </cell>
          <cell r="D491" t="str">
            <v>Establishment Expenses-Telephone Charges</v>
          </cell>
          <cell r="E491">
            <v>57609.08</v>
          </cell>
          <cell r="F491">
            <v>0</v>
          </cell>
          <cell r="G491">
            <v>57609.08</v>
          </cell>
          <cell r="H491">
            <v>0</v>
          </cell>
          <cell r="I491">
            <v>0</v>
          </cell>
          <cell r="J491">
            <v>0</v>
          </cell>
        </row>
        <row r="492">
          <cell r="A492" t="str">
            <v>Telephone Charges Payable</v>
          </cell>
          <cell r="B492">
            <v>7</v>
          </cell>
          <cell r="C492" t="str">
            <v>Trade Payables</v>
          </cell>
          <cell r="D492" t="str">
            <v>Trade Payables - Others</v>
          </cell>
          <cell r="E492">
            <v>0</v>
          </cell>
          <cell r="F492">
            <v>0</v>
          </cell>
          <cell r="G492">
            <v>0</v>
          </cell>
          <cell r="H492">
            <v>1579</v>
          </cell>
          <cell r="I492">
            <v>0</v>
          </cell>
          <cell r="J492">
            <v>1579</v>
          </cell>
        </row>
        <row r="493">
          <cell r="A493" t="str">
            <v>Testing &amp; Inspection Fees</v>
          </cell>
          <cell r="B493">
            <v>26</v>
          </cell>
          <cell r="C493" t="str">
            <v>Other Expenses</v>
          </cell>
          <cell r="D493" t="str">
            <v>Manufacturing Expenses - Factory Expenses</v>
          </cell>
          <cell r="E493">
            <v>97188</v>
          </cell>
          <cell r="F493">
            <v>0</v>
          </cell>
          <cell r="G493">
            <v>97188</v>
          </cell>
          <cell r="H493">
            <v>0</v>
          </cell>
          <cell r="I493">
            <v>0</v>
          </cell>
          <cell r="J493">
            <v>0</v>
          </cell>
        </row>
        <row r="494">
          <cell r="A494" t="str">
            <v>Thakkar Agencies</v>
          </cell>
          <cell r="B494">
            <v>8</v>
          </cell>
          <cell r="C494" t="str">
            <v>Other Current Liabilities</v>
          </cell>
          <cell r="D494" t="str">
            <v>Trade Payables for capital goods</v>
          </cell>
          <cell r="E494">
            <v>0</v>
          </cell>
          <cell r="F494">
            <v>0</v>
          </cell>
          <cell r="G494">
            <v>0</v>
          </cell>
          <cell r="H494">
            <v>0</v>
          </cell>
          <cell r="I494">
            <v>0</v>
          </cell>
          <cell r="J494">
            <v>0</v>
          </cell>
        </row>
        <row r="495">
          <cell r="A495" t="str">
            <v>Tilakraj Inderpal, Nagpur</v>
          </cell>
          <cell r="B495">
            <v>7</v>
          </cell>
          <cell r="C495" t="str">
            <v>Trade Payables</v>
          </cell>
          <cell r="D495" t="str">
            <v>Trade Payables</v>
          </cell>
          <cell r="E495">
            <v>0</v>
          </cell>
          <cell r="F495">
            <v>0</v>
          </cell>
          <cell r="G495">
            <v>0</v>
          </cell>
          <cell r="H495">
            <v>553184</v>
          </cell>
          <cell r="I495">
            <v>0</v>
          </cell>
          <cell r="J495">
            <v>553184</v>
          </cell>
        </row>
        <row r="496">
          <cell r="A496" t="str">
            <v>Trade Discount</v>
          </cell>
          <cell r="B496">
            <v>19</v>
          </cell>
          <cell r="C496" t="str">
            <v>Revenue From Operations</v>
          </cell>
          <cell r="D496" t="str">
            <v>Sale of Goods - Manufacturing Sales</v>
          </cell>
          <cell r="E496">
            <v>61964</v>
          </cell>
          <cell r="F496">
            <v>0</v>
          </cell>
          <cell r="G496">
            <v>61964</v>
          </cell>
          <cell r="H496">
            <v>0</v>
          </cell>
          <cell r="I496">
            <v>0</v>
          </cell>
          <cell r="J496">
            <v>0</v>
          </cell>
        </row>
        <row r="497">
          <cell r="A497" t="str">
            <v>Travelling Expenses</v>
          </cell>
          <cell r="B497">
            <v>26</v>
          </cell>
          <cell r="C497" t="str">
            <v>Other Expenses</v>
          </cell>
          <cell r="D497" t="str">
            <v>Establishment Expenses-Travelling &amp; Conveyance</v>
          </cell>
          <cell r="E497">
            <v>1281082.44</v>
          </cell>
          <cell r="F497">
            <v>0</v>
          </cell>
          <cell r="G497">
            <v>1281082.44</v>
          </cell>
          <cell r="H497">
            <v>0</v>
          </cell>
          <cell r="I497">
            <v>0</v>
          </cell>
          <cell r="J497">
            <v>0</v>
          </cell>
        </row>
        <row r="498">
          <cell r="A498" t="str">
            <v>Unipack</v>
          </cell>
          <cell r="B498">
            <v>7</v>
          </cell>
          <cell r="C498" t="str">
            <v>Trade Payables</v>
          </cell>
          <cell r="D498" t="str">
            <v>Trade Payables</v>
          </cell>
          <cell r="E498">
            <v>0</v>
          </cell>
          <cell r="F498">
            <v>0</v>
          </cell>
          <cell r="G498">
            <v>0</v>
          </cell>
          <cell r="H498">
            <v>88755</v>
          </cell>
          <cell r="I498">
            <v>0</v>
          </cell>
          <cell r="J498">
            <v>88755</v>
          </cell>
        </row>
        <row r="499">
          <cell r="A499" t="str">
            <v>UNIPACK (SALE)</v>
          </cell>
          <cell r="B499">
            <v>15</v>
          </cell>
          <cell r="C499" t="str">
            <v>Trade Receivables</v>
          </cell>
          <cell r="D499" t="str">
            <v>Other Debts</v>
          </cell>
          <cell r="E499">
            <v>333284</v>
          </cell>
          <cell r="F499">
            <v>0</v>
          </cell>
          <cell r="G499">
            <v>333284</v>
          </cell>
          <cell r="H499">
            <v>0</v>
          </cell>
          <cell r="I499">
            <v>0</v>
          </cell>
          <cell r="J499">
            <v>0</v>
          </cell>
        </row>
        <row r="500">
          <cell r="A500" t="str">
            <v>Urd Purchase  On Waste Paper</v>
          </cell>
          <cell r="B500">
            <v>22</v>
          </cell>
          <cell r="C500" t="str">
            <v>Raw Material Consumed</v>
          </cell>
          <cell r="D500" t="str">
            <v>Raw Material Purchase</v>
          </cell>
          <cell r="E500">
            <v>676306.5</v>
          </cell>
          <cell r="F500">
            <v>0</v>
          </cell>
          <cell r="G500">
            <v>676306.5</v>
          </cell>
          <cell r="H500">
            <v>0</v>
          </cell>
          <cell r="I500">
            <v>0</v>
          </cell>
          <cell r="J500">
            <v>0</v>
          </cell>
        </row>
        <row r="501">
          <cell r="A501" t="str">
            <v>URD Purchase of Chemical</v>
          </cell>
          <cell r="B501">
            <v>22</v>
          </cell>
          <cell r="C501" t="str">
            <v>Raw Material Consumed</v>
          </cell>
          <cell r="D501" t="str">
            <v>Raw Material Purchase</v>
          </cell>
          <cell r="E501">
            <v>900</v>
          </cell>
          <cell r="F501">
            <v>0</v>
          </cell>
          <cell r="G501">
            <v>900</v>
          </cell>
          <cell r="H501">
            <v>0</v>
          </cell>
          <cell r="I501">
            <v>0</v>
          </cell>
          <cell r="J501">
            <v>0</v>
          </cell>
        </row>
        <row r="502">
          <cell r="A502" t="str">
            <v>Urd Purchase On Packing Material</v>
          </cell>
          <cell r="B502">
            <v>26</v>
          </cell>
          <cell r="C502" t="str">
            <v>Other Expenses</v>
          </cell>
          <cell r="D502" t="str">
            <v>Manufacturing Expenses - Packing Material Consumed</v>
          </cell>
          <cell r="E502">
            <v>350000</v>
          </cell>
          <cell r="F502">
            <v>0</v>
          </cell>
          <cell r="G502">
            <v>350000</v>
          </cell>
          <cell r="H502">
            <v>0</v>
          </cell>
          <cell r="I502">
            <v>0</v>
          </cell>
          <cell r="J502">
            <v>0</v>
          </cell>
        </row>
        <row r="503">
          <cell r="A503" t="str">
            <v>UTSAV PAPER PRODUCTS</v>
          </cell>
          <cell r="B503">
            <v>15</v>
          </cell>
          <cell r="C503" t="str">
            <v>Trade Receivables</v>
          </cell>
          <cell r="D503" t="str">
            <v>Other Debts</v>
          </cell>
          <cell r="E503">
            <v>122689</v>
          </cell>
          <cell r="F503">
            <v>0</v>
          </cell>
          <cell r="G503">
            <v>122689</v>
          </cell>
          <cell r="H503">
            <v>0</v>
          </cell>
          <cell r="I503">
            <v>0</v>
          </cell>
          <cell r="J503">
            <v>0</v>
          </cell>
        </row>
        <row r="504">
          <cell r="A504" t="str">
            <v>Uttam Shetty &amp; Co</v>
          </cell>
          <cell r="B504">
            <v>7</v>
          </cell>
          <cell r="C504" t="str">
            <v>Trade Payables</v>
          </cell>
          <cell r="D504" t="str">
            <v>Trade Payables - Others</v>
          </cell>
          <cell r="E504">
            <v>0</v>
          </cell>
          <cell r="F504">
            <v>0</v>
          </cell>
          <cell r="G504">
            <v>0</v>
          </cell>
          <cell r="H504">
            <v>92820</v>
          </cell>
          <cell r="I504">
            <v>0</v>
          </cell>
          <cell r="J504">
            <v>92820</v>
          </cell>
        </row>
        <row r="505">
          <cell r="A505" t="str">
            <v>Vaibhav Enterprises</v>
          </cell>
          <cell r="B505">
            <v>7</v>
          </cell>
          <cell r="C505" t="str">
            <v>Trade Payables</v>
          </cell>
          <cell r="D505" t="str">
            <v>Trade Payables</v>
          </cell>
          <cell r="E505">
            <v>0</v>
          </cell>
          <cell r="F505">
            <v>0</v>
          </cell>
          <cell r="G505">
            <v>0</v>
          </cell>
          <cell r="H505">
            <v>2274218</v>
          </cell>
          <cell r="I505">
            <v>0</v>
          </cell>
          <cell r="J505">
            <v>2274218</v>
          </cell>
        </row>
        <row r="506">
          <cell r="A506" t="str">
            <v>Varuna Industries, Nagpur</v>
          </cell>
          <cell r="B506">
            <v>7</v>
          </cell>
          <cell r="C506" t="str">
            <v>Trade Payables</v>
          </cell>
          <cell r="D506" t="str">
            <v>Trade Payables</v>
          </cell>
          <cell r="E506">
            <v>0</v>
          </cell>
          <cell r="F506">
            <v>0</v>
          </cell>
          <cell r="G506">
            <v>0</v>
          </cell>
          <cell r="H506">
            <v>0</v>
          </cell>
          <cell r="I506">
            <v>0</v>
          </cell>
          <cell r="J506">
            <v>0</v>
          </cell>
        </row>
        <row r="507">
          <cell r="A507" t="str">
            <v>VAT (Earlier Tax Paid ) F.Y. 16-17</v>
          </cell>
          <cell r="B507">
            <v>26</v>
          </cell>
          <cell r="C507" t="str">
            <v>Other Expenses</v>
          </cell>
          <cell r="D507" t="str">
            <v>Establishment Expenses-Rates &amp; Taxes</v>
          </cell>
          <cell r="E507">
            <v>0</v>
          </cell>
          <cell r="F507">
            <v>0</v>
          </cell>
          <cell r="G507">
            <v>0</v>
          </cell>
          <cell r="H507">
            <v>0</v>
          </cell>
          <cell r="I507">
            <v>0</v>
          </cell>
          <cell r="J507">
            <v>0</v>
          </cell>
        </row>
        <row r="508">
          <cell r="A508" t="str">
            <v>VAT (Earlier Tax Paid ) F.Y. 17-18</v>
          </cell>
          <cell r="B508">
            <v>26</v>
          </cell>
          <cell r="C508" t="str">
            <v>Other Expenses</v>
          </cell>
          <cell r="D508" t="str">
            <v>Establishment Expenses-Rates &amp; Taxes</v>
          </cell>
          <cell r="E508">
            <v>0</v>
          </cell>
          <cell r="F508">
            <v>0</v>
          </cell>
          <cell r="G508">
            <v>0</v>
          </cell>
          <cell r="H508">
            <v>0</v>
          </cell>
          <cell r="I508">
            <v>0</v>
          </cell>
          <cell r="J508">
            <v>0</v>
          </cell>
        </row>
        <row r="509">
          <cell r="A509" t="str">
            <v>VAT Tax Expenses</v>
          </cell>
          <cell r="B509">
            <v>26</v>
          </cell>
          <cell r="C509" t="str">
            <v>Other Expenses</v>
          </cell>
          <cell r="D509" t="str">
            <v>Establishment Expenses-Rates &amp; Taxes</v>
          </cell>
          <cell r="E509">
            <v>24429.360000000001</v>
          </cell>
          <cell r="F509">
            <v>0</v>
          </cell>
          <cell r="G509">
            <v>24429.360000000001</v>
          </cell>
          <cell r="H509">
            <v>0</v>
          </cell>
          <cell r="I509">
            <v>0</v>
          </cell>
          <cell r="J509">
            <v>0</v>
          </cell>
        </row>
        <row r="510">
          <cell r="A510" t="str">
            <v>VAT Assessment Order 2014-15</v>
          </cell>
          <cell r="B510">
            <v>26</v>
          </cell>
          <cell r="C510" t="str">
            <v>Other Expenses</v>
          </cell>
          <cell r="D510" t="str">
            <v>Establishment Expenses-Rates &amp; Taxes</v>
          </cell>
          <cell r="E510">
            <v>0</v>
          </cell>
          <cell r="F510">
            <v>0</v>
          </cell>
          <cell r="G510">
            <v>0</v>
          </cell>
          <cell r="H510">
            <v>0</v>
          </cell>
          <cell r="I510">
            <v>0</v>
          </cell>
          <cell r="J510">
            <v>0</v>
          </cell>
        </row>
        <row r="511">
          <cell r="A511" t="str">
            <v>VAT Audit Fees : (Shah Baheti)</v>
          </cell>
          <cell r="B511">
            <v>26</v>
          </cell>
          <cell r="C511" t="str">
            <v>Other Expenses</v>
          </cell>
          <cell r="D511" t="str">
            <v>Establishment Expenses-Legal &amp; Professional Charges</v>
          </cell>
          <cell r="E511">
            <v>0</v>
          </cell>
          <cell r="F511">
            <v>0</v>
          </cell>
          <cell r="G511">
            <v>0</v>
          </cell>
          <cell r="H511">
            <v>0</v>
          </cell>
          <cell r="I511">
            <v>0</v>
          </cell>
          <cell r="J511">
            <v>0</v>
          </cell>
        </row>
        <row r="512">
          <cell r="A512" t="str">
            <v>Vat for F. Y. 2015-16</v>
          </cell>
          <cell r="B512">
            <v>26</v>
          </cell>
          <cell r="C512" t="str">
            <v>Other Expenses</v>
          </cell>
          <cell r="D512" t="str">
            <v>Establishment Expenses-Rates &amp; Taxes</v>
          </cell>
          <cell r="E512">
            <v>14674</v>
          </cell>
          <cell r="F512">
            <v>0</v>
          </cell>
          <cell r="G512">
            <v>14674</v>
          </cell>
          <cell r="H512">
            <v>0</v>
          </cell>
          <cell r="I512">
            <v>0</v>
          </cell>
          <cell r="J512">
            <v>0</v>
          </cell>
        </row>
        <row r="513">
          <cell r="A513" t="str">
            <v>VAT Payable ( F.Y. 16-17 )</v>
          </cell>
          <cell r="B513">
            <v>12</v>
          </cell>
          <cell r="C513" t="str">
            <v>Long Term Loans &amp; Advances</v>
          </cell>
          <cell r="D513" t="str">
            <v>Balance with Government Authorities</v>
          </cell>
          <cell r="E513">
            <v>0</v>
          </cell>
          <cell r="F513">
            <v>0</v>
          </cell>
          <cell r="G513">
            <v>0</v>
          </cell>
          <cell r="H513">
            <v>0</v>
          </cell>
          <cell r="I513">
            <v>0</v>
          </cell>
          <cell r="J513">
            <v>0</v>
          </cell>
        </row>
        <row r="514">
          <cell r="A514" t="str">
            <v>VAT Payable (F.Y. 2017-18)</v>
          </cell>
          <cell r="B514">
            <v>12</v>
          </cell>
          <cell r="C514" t="str">
            <v>Long Term Loans &amp; Advances</v>
          </cell>
          <cell r="D514" t="str">
            <v>Balance with Government Authorities</v>
          </cell>
          <cell r="E514">
            <v>0</v>
          </cell>
          <cell r="F514">
            <v>0</v>
          </cell>
          <cell r="G514">
            <v>0</v>
          </cell>
          <cell r="H514">
            <v>0</v>
          </cell>
          <cell r="I514">
            <v>0</v>
          </cell>
          <cell r="J514">
            <v>0</v>
          </cell>
        </row>
        <row r="515">
          <cell r="A515" t="str">
            <v>VAT Receivable  (F.Y. 14-15)</v>
          </cell>
          <cell r="B515">
            <v>12</v>
          </cell>
          <cell r="C515" t="str">
            <v>Long Term Loans &amp; Advances</v>
          </cell>
          <cell r="D515" t="str">
            <v>Balance with Government Authorities</v>
          </cell>
          <cell r="E515">
            <v>0</v>
          </cell>
          <cell r="F515">
            <v>0</v>
          </cell>
          <cell r="G515">
            <v>0</v>
          </cell>
          <cell r="H515">
            <v>0</v>
          </cell>
          <cell r="I515">
            <v>0</v>
          </cell>
          <cell r="J515">
            <v>0</v>
          </cell>
        </row>
        <row r="516">
          <cell r="A516" t="str">
            <v>VEENA INDUSTRIES</v>
          </cell>
          <cell r="B516">
            <v>15</v>
          </cell>
          <cell r="C516" t="str">
            <v>Trade Receivables</v>
          </cell>
          <cell r="D516" t="str">
            <v>Other Debts</v>
          </cell>
          <cell r="E516">
            <v>0</v>
          </cell>
          <cell r="F516">
            <v>0</v>
          </cell>
          <cell r="G516">
            <v>0</v>
          </cell>
          <cell r="H516">
            <v>0</v>
          </cell>
          <cell r="I516">
            <v>0</v>
          </cell>
          <cell r="J516">
            <v>0</v>
          </cell>
        </row>
        <row r="517">
          <cell r="A517" t="str">
            <v>Vehicle</v>
          </cell>
          <cell r="B517">
            <v>10</v>
          </cell>
          <cell r="C517" t="str">
            <v>Fixed Assets</v>
          </cell>
          <cell r="D517" t="str">
            <v>Tangible Asset</v>
          </cell>
          <cell r="E517">
            <v>2991111</v>
          </cell>
          <cell r="F517">
            <v>0</v>
          </cell>
          <cell r="G517">
            <v>2991111</v>
          </cell>
          <cell r="H517">
            <v>0</v>
          </cell>
          <cell r="I517">
            <v>0</v>
          </cell>
          <cell r="J517">
            <v>0</v>
          </cell>
        </row>
        <row r="518">
          <cell r="A518" t="str">
            <v>Vehicle Diesel Expenses</v>
          </cell>
          <cell r="B518">
            <v>26</v>
          </cell>
          <cell r="C518" t="str">
            <v>Other Expenses</v>
          </cell>
          <cell r="D518" t="str">
            <v>Establishment Expenses-Rep. &amp; Maint. Vehicle</v>
          </cell>
          <cell r="E518">
            <v>332580</v>
          </cell>
          <cell r="F518">
            <v>0</v>
          </cell>
          <cell r="G518">
            <v>332580</v>
          </cell>
          <cell r="H518">
            <v>0</v>
          </cell>
          <cell r="I518">
            <v>0</v>
          </cell>
          <cell r="J518">
            <v>0</v>
          </cell>
        </row>
        <row r="519">
          <cell r="A519" t="str">
            <v>Vehicle Repair &amp; Maintenance</v>
          </cell>
          <cell r="B519">
            <v>26</v>
          </cell>
          <cell r="C519" t="str">
            <v>Other Expenses</v>
          </cell>
          <cell r="D519" t="str">
            <v>Establishment Expenses-Rep. &amp; Maint. Vehicle</v>
          </cell>
          <cell r="E519">
            <v>254656</v>
          </cell>
          <cell r="F519">
            <v>0</v>
          </cell>
          <cell r="G519">
            <v>254656</v>
          </cell>
          <cell r="H519">
            <v>0</v>
          </cell>
          <cell r="I519">
            <v>0</v>
          </cell>
          <cell r="J519">
            <v>0</v>
          </cell>
        </row>
        <row r="520">
          <cell r="A520" t="str">
            <v>Vertex Films Pvt. Ltd.</v>
          </cell>
          <cell r="B520">
            <v>7</v>
          </cell>
          <cell r="C520" t="str">
            <v>Trade Payables</v>
          </cell>
          <cell r="D520" t="str">
            <v>Trade Payables</v>
          </cell>
          <cell r="E520">
            <v>0</v>
          </cell>
          <cell r="F520">
            <v>0</v>
          </cell>
          <cell r="G520">
            <v>0</v>
          </cell>
          <cell r="H520">
            <v>8130</v>
          </cell>
          <cell r="I520">
            <v>0</v>
          </cell>
          <cell r="J520">
            <v>8130</v>
          </cell>
        </row>
        <row r="521">
          <cell r="A521" t="str">
            <v>Vidarbha Bearing &amp; Belting Co. P. Ltd.</v>
          </cell>
          <cell r="B521">
            <v>7</v>
          </cell>
          <cell r="C521" t="str">
            <v>Trade Payables</v>
          </cell>
          <cell r="D521" t="str">
            <v>Trade Payables</v>
          </cell>
          <cell r="E521">
            <v>0</v>
          </cell>
          <cell r="F521">
            <v>0</v>
          </cell>
          <cell r="G521">
            <v>0</v>
          </cell>
          <cell r="H521">
            <v>4434</v>
          </cell>
          <cell r="I521">
            <v>0</v>
          </cell>
          <cell r="J521">
            <v>4434</v>
          </cell>
        </row>
        <row r="522">
          <cell r="A522" t="str">
            <v>Vidhanis Tradelink Pvt. Ltd.</v>
          </cell>
          <cell r="B522">
            <v>7</v>
          </cell>
          <cell r="C522" t="str">
            <v>Trade Payables</v>
          </cell>
          <cell r="D522" t="str">
            <v>Trade Payables</v>
          </cell>
          <cell r="E522">
            <v>0</v>
          </cell>
          <cell r="F522">
            <v>0</v>
          </cell>
          <cell r="G522">
            <v>0</v>
          </cell>
          <cell r="H522">
            <v>699844</v>
          </cell>
          <cell r="I522">
            <v>0</v>
          </cell>
          <cell r="J522">
            <v>699844</v>
          </cell>
        </row>
        <row r="523">
          <cell r="A523" t="str">
            <v>Village Computer System, Nagpur</v>
          </cell>
          <cell r="B523">
            <v>7</v>
          </cell>
          <cell r="C523" t="str">
            <v>Trade Payables</v>
          </cell>
          <cell r="D523" t="str">
            <v>Trade Payables</v>
          </cell>
          <cell r="E523">
            <v>0</v>
          </cell>
          <cell r="F523">
            <v>0</v>
          </cell>
          <cell r="G523">
            <v>0</v>
          </cell>
          <cell r="H523">
            <v>7780</v>
          </cell>
          <cell r="I523">
            <v>0</v>
          </cell>
          <cell r="J523">
            <v>7780</v>
          </cell>
        </row>
        <row r="524">
          <cell r="A524" t="str">
            <v>Visy Recycling</v>
          </cell>
          <cell r="B524">
            <v>7</v>
          </cell>
          <cell r="C524" t="str">
            <v>Trade Payables</v>
          </cell>
          <cell r="D524" t="str">
            <v>Trade Payables</v>
          </cell>
          <cell r="E524">
            <v>0</v>
          </cell>
          <cell r="F524">
            <v>0</v>
          </cell>
          <cell r="G524">
            <v>0</v>
          </cell>
          <cell r="H524">
            <v>0</v>
          </cell>
          <cell r="I524">
            <v>0</v>
          </cell>
          <cell r="J524">
            <v>0</v>
          </cell>
        </row>
        <row r="525">
          <cell r="A525" t="str">
            <v>Voith Paper Fabrics India Ltd.</v>
          </cell>
          <cell r="B525">
            <v>7</v>
          </cell>
          <cell r="C525" t="str">
            <v>Trade Payables</v>
          </cell>
          <cell r="D525" t="str">
            <v>Trade Payables</v>
          </cell>
          <cell r="E525">
            <v>0</v>
          </cell>
          <cell r="F525">
            <v>0</v>
          </cell>
          <cell r="G525">
            <v>0</v>
          </cell>
          <cell r="H525">
            <v>0</v>
          </cell>
          <cell r="I525">
            <v>0</v>
          </cell>
          <cell r="J525">
            <v>0</v>
          </cell>
        </row>
        <row r="526">
          <cell r="A526" t="str">
            <v>Walkover Industries</v>
          </cell>
          <cell r="B526">
            <v>15</v>
          </cell>
          <cell r="C526" t="str">
            <v>Trade Receivables</v>
          </cell>
          <cell r="D526" t="str">
            <v>Other Debts</v>
          </cell>
          <cell r="E526">
            <v>0</v>
          </cell>
          <cell r="F526">
            <v>0</v>
          </cell>
          <cell r="G526">
            <v>0</v>
          </cell>
          <cell r="H526">
            <v>0</v>
          </cell>
          <cell r="I526">
            <v>0</v>
          </cell>
          <cell r="J526">
            <v>0</v>
          </cell>
        </row>
        <row r="527">
          <cell r="A527" t="str">
            <v>Walter &amp; Associates, Mumbai</v>
          </cell>
          <cell r="B527">
            <v>7</v>
          </cell>
          <cell r="C527" t="str">
            <v>Trade Payables</v>
          </cell>
          <cell r="D527" t="str">
            <v>Trade Payables</v>
          </cell>
          <cell r="E527">
            <v>0</v>
          </cell>
          <cell r="F527">
            <v>0</v>
          </cell>
          <cell r="G527">
            <v>0</v>
          </cell>
          <cell r="H527">
            <v>226800</v>
          </cell>
          <cell r="I527">
            <v>0</v>
          </cell>
          <cell r="J527">
            <v>226800</v>
          </cell>
        </row>
        <row r="528">
          <cell r="A528" t="str">
            <v>Waste Desposable Expenses</v>
          </cell>
          <cell r="B528">
            <v>26</v>
          </cell>
          <cell r="C528" t="str">
            <v>Other Expenses</v>
          </cell>
          <cell r="D528" t="str">
            <v>Manufacturing Expenses - Factory Expenses</v>
          </cell>
          <cell r="E528">
            <v>0</v>
          </cell>
          <cell r="F528">
            <v>0</v>
          </cell>
          <cell r="G528">
            <v>0</v>
          </cell>
          <cell r="H528">
            <v>0</v>
          </cell>
          <cell r="I528">
            <v>0</v>
          </cell>
          <cell r="J528">
            <v>0</v>
          </cell>
        </row>
        <row r="529">
          <cell r="A529" t="str">
            <v>Waste Desposable Expenses(Plastic Dispose)</v>
          </cell>
          <cell r="B529">
            <v>26</v>
          </cell>
          <cell r="C529" t="str">
            <v>Other Expenses</v>
          </cell>
          <cell r="D529" t="str">
            <v>Manufacturing Expenses - Factory Expenses</v>
          </cell>
          <cell r="E529">
            <v>199906.5</v>
          </cell>
          <cell r="F529">
            <v>0</v>
          </cell>
          <cell r="G529">
            <v>199906.5</v>
          </cell>
          <cell r="H529">
            <v>0</v>
          </cell>
          <cell r="I529">
            <v>0</v>
          </cell>
          <cell r="J529">
            <v>0</v>
          </cell>
        </row>
        <row r="530">
          <cell r="A530" t="str">
            <v>Waste Paper Feeding  Charges</v>
          </cell>
          <cell r="B530">
            <v>26</v>
          </cell>
          <cell r="C530" t="str">
            <v>Other Expenses</v>
          </cell>
          <cell r="D530" t="str">
            <v>Manufacturing Expenses - Waste Paper Feeding Chgs</v>
          </cell>
          <cell r="E530">
            <v>6659960</v>
          </cell>
          <cell r="F530">
            <v>0</v>
          </cell>
          <cell r="G530">
            <v>6659960</v>
          </cell>
          <cell r="H530">
            <v>0</v>
          </cell>
          <cell r="I530">
            <v>0</v>
          </cell>
          <cell r="J530">
            <v>0</v>
          </cell>
        </row>
        <row r="531">
          <cell r="A531" t="str">
            <v>Waste Paper Purchase</v>
          </cell>
          <cell r="B531">
            <v>22</v>
          </cell>
          <cell r="C531" t="str">
            <v>Raw Material Consumed</v>
          </cell>
          <cell r="D531" t="str">
            <v>Raw Material Purchase</v>
          </cell>
          <cell r="E531">
            <v>237660256.5</v>
          </cell>
          <cell r="F531">
            <v>0</v>
          </cell>
          <cell r="G531">
            <v>237660256.5</v>
          </cell>
          <cell r="H531">
            <v>0</v>
          </cell>
          <cell r="I531">
            <v>0</v>
          </cell>
          <cell r="J531">
            <v>0</v>
          </cell>
        </row>
        <row r="532">
          <cell r="A532" t="str">
            <v>Western Coal Fields Ltd.</v>
          </cell>
          <cell r="B532">
            <v>17</v>
          </cell>
          <cell r="C532" t="str">
            <v>Short Term Loans &amp; Advances</v>
          </cell>
          <cell r="D532" t="str">
            <v>Advance to Suppliers</v>
          </cell>
          <cell r="E532">
            <v>0</v>
          </cell>
          <cell r="F532">
            <v>0</v>
          </cell>
          <cell r="G532">
            <v>0</v>
          </cell>
          <cell r="H532">
            <v>841449.98</v>
          </cell>
          <cell r="I532">
            <v>0</v>
          </cell>
          <cell r="J532">
            <v>841449.98</v>
          </cell>
        </row>
        <row r="533">
          <cell r="A533" t="str">
            <v>W-I-P Building</v>
          </cell>
          <cell r="B533">
            <v>10</v>
          </cell>
          <cell r="C533" t="str">
            <v>Fixed Assets</v>
          </cell>
          <cell r="D533" t="str">
            <v>Capital WIP</v>
          </cell>
          <cell r="E533">
            <v>172560</v>
          </cell>
          <cell r="F533">
            <v>0</v>
          </cell>
          <cell r="G533">
            <v>172560</v>
          </cell>
          <cell r="H533">
            <v>0</v>
          </cell>
          <cell r="I533">
            <v>0</v>
          </cell>
          <cell r="J533">
            <v>0</v>
          </cell>
        </row>
        <row r="534">
          <cell r="A534" t="str">
            <v>W-I-P Plant &amp; Machinery</v>
          </cell>
          <cell r="B534">
            <v>10</v>
          </cell>
          <cell r="C534" t="str">
            <v>Fixed Assets</v>
          </cell>
          <cell r="D534" t="str">
            <v>Capital WIP</v>
          </cell>
          <cell r="E534">
            <v>229919.2</v>
          </cell>
          <cell r="F534">
            <v>0</v>
          </cell>
          <cell r="G534">
            <v>229919.2</v>
          </cell>
          <cell r="H534">
            <v>0</v>
          </cell>
          <cell r="I534">
            <v>0</v>
          </cell>
          <cell r="J534">
            <v>0</v>
          </cell>
        </row>
        <row r="535">
          <cell r="A535" t="str">
            <v>Worlds Window Wardha Infrastructure Pvt Ltd</v>
          </cell>
          <cell r="B535">
            <v>7</v>
          </cell>
          <cell r="C535" t="str">
            <v>Trade Payables</v>
          </cell>
          <cell r="D535" t="str">
            <v>Trade Payables - Others</v>
          </cell>
          <cell r="E535">
            <v>0</v>
          </cell>
          <cell r="F535">
            <v>0</v>
          </cell>
          <cell r="G535">
            <v>0</v>
          </cell>
          <cell r="H535">
            <v>52406</v>
          </cell>
          <cell r="I535">
            <v>0</v>
          </cell>
          <cell r="J535">
            <v>52406</v>
          </cell>
        </row>
        <row r="536">
          <cell r="A536" t="str">
            <v>Xerox Charges</v>
          </cell>
          <cell r="B536">
            <v>26</v>
          </cell>
          <cell r="C536" t="str">
            <v>Other Expenses</v>
          </cell>
          <cell r="D536" t="str">
            <v>Establishment Expenses-General Expenses</v>
          </cell>
          <cell r="E536">
            <v>5716</v>
          </cell>
          <cell r="F536">
            <v>0</v>
          </cell>
          <cell r="G536">
            <v>5716</v>
          </cell>
          <cell r="H536">
            <v>0</v>
          </cell>
          <cell r="I536">
            <v>0</v>
          </cell>
          <cell r="J536">
            <v>0</v>
          </cell>
        </row>
        <row r="537">
          <cell r="A537" t="str">
            <v>Yadav Engineering</v>
          </cell>
          <cell r="B537">
            <v>7</v>
          </cell>
          <cell r="C537" t="str">
            <v>Trade Payables</v>
          </cell>
          <cell r="D537" t="str">
            <v>Trade Payables</v>
          </cell>
          <cell r="E537">
            <v>0</v>
          </cell>
          <cell r="F537">
            <v>0</v>
          </cell>
          <cell r="G537">
            <v>0</v>
          </cell>
          <cell r="H537">
            <v>0</v>
          </cell>
          <cell r="I537">
            <v>0</v>
          </cell>
          <cell r="J537">
            <v>0</v>
          </cell>
        </row>
        <row r="538">
          <cell r="A538" t="str">
            <v>SUHANI ENTERPRISES</v>
          </cell>
          <cell r="B538">
            <v>7</v>
          </cell>
          <cell r="C538" t="str">
            <v>Trade Payables</v>
          </cell>
          <cell r="D538" t="str">
            <v>Trade Payables</v>
          </cell>
          <cell r="E538">
            <v>0</v>
          </cell>
          <cell r="F538">
            <v>0</v>
          </cell>
          <cell r="G538">
            <v>0</v>
          </cell>
          <cell r="H538">
            <v>142942</v>
          </cell>
          <cell r="I538">
            <v>0</v>
          </cell>
          <cell r="J538">
            <v>142942</v>
          </cell>
        </row>
        <row r="539">
          <cell r="A539" t="str">
            <v>YASH COMMERCIALS</v>
          </cell>
          <cell r="B539">
            <v>15</v>
          </cell>
          <cell r="C539" t="str">
            <v>Trade Receivables</v>
          </cell>
          <cell r="D539" t="str">
            <v>Other Debts</v>
          </cell>
          <cell r="E539">
            <v>18060676</v>
          </cell>
          <cell r="F539">
            <v>0</v>
          </cell>
          <cell r="G539">
            <v>18060676</v>
          </cell>
          <cell r="H539">
            <v>0</v>
          </cell>
          <cell r="I539">
            <v>0</v>
          </cell>
          <cell r="J539">
            <v>0</v>
          </cell>
        </row>
        <row r="540">
          <cell r="A540" t="str">
            <v>Yash Electric Co.</v>
          </cell>
          <cell r="B540">
            <v>7</v>
          </cell>
          <cell r="C540" t="str">
            <v>Trade Payables</v>
          </cell>
          <cell r="D540" t="str">
            <v>Trade Payables - Others</v>
          </cell>
          <cell r="E540">
            <v>0</v>
          </cell>
          <cell r="F540">
            <v>0</v>
          </cell>
          <cell r="G540">
            <v>0</v>
          </cell>
          <cell r="H540">
            <v>0</v>
          </cell>
          <cell r="I540">
            <v>0</v>
          </cell>
          <cell r="J540">
            <v>0</v>
          </cell>
        </row>
        <row r="541">
          <cell r="A541" t="str">
            <v>Zibo Huacheng Imp And Exp. Co. Ltd.</v>
          </cell>
          <cell r="B541">
            <v>8</v>
          </cell>
          <cell r="C541" t="str">
            <v>Long Term Loans &amp; Advances</v>
          </cell>
          <cell r="D541" t="str">
            <v>Advance For Capital Goods</v>
          </cell>
          <cell r="E541">
            <v>0</v>
          </cell>
          <cell r="F541">
            <v>0</v>
          </cell>
          <cell r="G541">
            <v>0</v>
          </cell>
          <cell r="H541">
            <v>0</v>
          </cell>
          <cell r="I541">
            <v>0</v>
          </cell>
          <cell r="J541">
            <v>0</v>
          </cell>
        </row>
      </sheetData>
      <sheetData sheetId="15"/>
      <sheetData sheetId="16"/>
      <sheetData sheetId="1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cer" refreshedDate="44371.570390856483" createdVersion="3" refreshedVersion="7" minRefreshableVersion="3" recordCount="723" xr:uid="{00000000-000A-0000-FFFF-FFFF04000000}">
  <cacheSource type="worksheet">
    <worksheetSource ref="A4:P727" sheet="TB final"/>
  </cacheSource>
  <cacheFields count="16">
    <cacheField name="PARTICULARS" numFmtId="0">
      <sharedItems containsBlank="1" count="727">
        <s v="A K R G &amp; Associates, Nagpur"/>
        <s v="Darak and Associates"/>
        <s v="Visy Recycling Europe Limited"/>
        <s v="IMTRADE PAPER &amp; PLASTICS BV"/>
        <s v="Uttej Polymers &amp; Chemicals"/>
        <s v="Shepards Shipping Services (India) Pvt. Ltd."/>
        <s v="Scorpio Systems"/>
        <s v="S. S. Traders"/>
        <s v="SHUBHAM ENTERPRISES (SALE)"/>
        <s v="MELOSCH EXPORT GMBH"/>
        <s v="SAVITRI ENTERPRISES (WP)"/>
        <s v="Seion Enterprises"/>
        <s v="Pratik Enterprises"/>
        <s v="NIRAJ ENGINEERING CO.PVT.LTD..,"/>
        <s v="Maheshwari Agency"/>
        <s v="Dhruti P. Modi"/>
        <s v="Rama Consultancy Services"/>
        <s v="Aditya Freight Carriers"/>
        <s v="Apex Automation &amp; Security Systems"/>
        <s v="Aayush Chem"/>
        <s v="NAV DURGA BOILER &amp; EQUIPMENTS P. LTD."/>
        <s v="B P &amp; Company"/>
        <s v="Khemka Motors"/>
        <s v="SBR Steels Pvt. Ltd.,Aurangabad"/>
        <s v="McSparr Test Systems &amp; Chemicals Pvt. Ltd."/>
        <s v="Cardan India"/>
        <s v="CENTRAL SCIENTIFIC CO."/>
        <s v="Advance Income Tax (A.Y. 2019-20)"/>
        <s v="TDS (A Y 2021-2022)"/>
        <s v="Advance Income Tax (A.Y. 2020-21)"/>
        <s v="Advance Income Tax (A.Y. 2021-22)"/>
        <s v="Advertisement Expenses"/>
        <s v="AJANTA KRAFT"/>
        <s v="Akhilesh Automobiles"/>
        <s v="Align Components (P) Ltd.,"/>
        <s v="ALIGN COMPONENTS (P) LTD., (BU-II)"/>
        <s v="ALLIANCE INTERNATIONAL DWC-LLC"/>
        <s v="SRUSHTI SEVA PRIVATE LIMITED"/>
        <s v="Advance Ag, Clearing-Frwd :OCC"/>
        <s v="Ambuja Cements Ltd."/>
        <s v="Ramrao Nagose"/>
        <s v="Vinod Samdurkar"/>
        <s v="Sudhakar Raut"/>
        <s v="Amol Kakade"/>
        <s v="Nitin Thakre"/>
        <s v="Naresh Erpate"/>
        <s v="Amil Warthi"/>
        <s v="Rahul Bagde"/>
        <s v="CANUSA HERSHMAN RECYCLING CO."/>
        <s v="Cellmark Netherlands B.V."/>
        <s v="Amruta Enterprises, Nagpur"/>
        <s v="ANAMIKA TRADERS"/>
        <s v="KEDAR PAPER CONVERSIONS (--36ADFPK0203M1ZT)"/>
        <s v="CHANDRA SALES CORPORATION(SALE) (--27ADQPA0441E1Z0)"/>
        <s v="YONGJIN CORPORATION"/>
        <s v="SHREE RAJENDRA CASH COMPANY"/>
        <s v="UNIVERSAL INFRA &amp; AGRI OILS PVT.LTD"/>
        <s v="SAVITRI ENTERPRISES"/>
        <s v="MANGAL  PAPERS"/>
        <s v="DIVYA SALES CORPORATION"/>
        <s v="DR. B. P. TAORI"/>
        <s v="Sri Shiv Sai Transport Co."/>
        <s v="MAHENDRA PRINTING PRESS"/>
        <s v="Agrawal Fasteners"/>
        <s v="Althem Engineers P. Ltd."/>
        <s v="R. Cargo , Bhandara"/>
        <s v="Sai Prabha Traders"/>
        <s v="Anilkumar M. Lakhotiya (Loan A/C)"/>
        <s v="ANISH INDUSTRIES"/>
        <s v="Anita Lakhotiya"/>
        <s v="Ankur Seeds Pvt. Ltd., Nagpur"/>
        <s v="Festival Expenses"/>
        <s v="Loss on Discardment of F A"/>
        <s v="Loss on Sale of PL &amp; Mc"/>
        <s v="Site Development Expenses"/>
        <s v="Annual Custody Fees"/>
        <s v="Annual Listing Fees"/>
        <s v="Prior Period Expenses"/>
        <s v="Anurag Steel"/>
        <s v="Industrial Boilers Limited, Vapi"/>
        <s v="ISHAN PARYAVARAN (P) LTD.,"/>
        <s v="ARIHANT ENTERPRISES"/>
        <s v="ARIHANT ENTERPRISES (KEDAR)"/>
        <s v="Arkil Chem P. Ltd."/>
        <s v="Aru Technocratics"/>
        <s v="Assessment Refund"/>
        <s v="Atul V Hurkat HUF"/>
        <s v="Audit Expenses (Darak)"/>
        <s v="Audit Expenses : (Sales Tax )"/>
        <s v="Audit Expenses (Walter)"/>
        <s v="Audit Expenses : (Excise)"/>
        <s v="Audit Fees Payable"/>
        <s v="Jaikay International"/>
        <s v="Baburao Kendre"/>
        <s v="Jai Durga Construction"/>
        <s v="Jain Acids &amp; Chemicals"/>
        <s v="MEGA TECHNO SERVICES, NAGPUR"/>
        <s v="Continental Belting Pvt. Ltd."/>
        <s v="M. H. Industries"/>
        <s v="KOTHARI ASSOCIATES"/>
        <s v="Other Sales"/>
        <s v="Premier India Enterprises"/>
        <s v="Palak Gen Trade LLP"/>
        <s v="Bad Debts"/>
        <s v="Balaji Enterprises"/>
        <s v="Baljit Kaur Manindersingh Saini"/>
        <s v="Bank Commission &amp; Charges"/>
        <s v="CSR (CORPORATE SOCIAL RESPONSIBILITY)"/>
        <s v="Commission on Export"/>
        <s v="Bank Facility Charges"/>
        <s v="BANK GUARANTEE CHARGES"/>
        <s v="Bank Loan Processing Fees"/>
        <s v="Batish Chemicals I India Pvt.Ltd."/>
        <s v="Bearing Centre"/>
        <s v="Best Engineering Works Regd. Punjab"/>
        <s v="BHARADWAJ PACKAGING PVT. LTD."/>
        <s v="VEDANT PACKERS PVT.LTD."/>
        <s v="VISHWA KUTUMB PVT.LTD."/>
        <s v="ANANT SHREE AGENCY"/>
        <s v="SAMRAT PACKAGING"/>
        <s v="SAMPAC"/>
        <s v="BHOLANATH MITRA"/>
        <s v="Boiler Fireman  (Feeding Charges)"/>
        <s v="Custom Duty on Machinery"/>
        <s v="Books News Paper &amp; Perodicals"/>
        <s v="Building"/>
        <s v="Foreign Exchange Fluctuation on Fixed Assets"/>
        <s v="Carriage Inward [ Plant &amp; Machinery]"/>
        <s v="Capital Reserves"/>
        <s v="Carriage Inward (Sale)"/>
        <s v="Interest on TCS"/>
        <s v="Interest on Innova Veh.Loan Axix Bank"/>
        <s v="Carriage Inward : Machinery Rep&amp;Maint"/>
        <s v="Carriage Inward { Store }"/>
        <s v="Carriage Outward Machinery"/>
        <s v="Cash"/>
        <s v="CGST @ 9% ON OTHER PURCHASE"/>
        <s v="SGST @ 2.5 % on Chemical"/>
        <s v="CGST @ 2.5% on Chemical"/>
        <s v="CGST @ 14% on Other Purchase"/>
        <s v="CGST  @ 2.5% on Coal Purchase"/>
        <s v="CGST @ 2.5 % on Packing Material"/>
        <s v="CGST @ 2.5% ON WASTE PAPER"/>
        <s v="CGST @ 6 % ON Chemical"/>
        <s v="CGST @ 6 % ON OTHER PURCHASE"/>
        <s v="CGST @ 6 % SALES"/>
        <s v="CGST @9% ON BANK CHARGES"/>
        <s v="CGST @ 9%  on Chemical Purchase"/>
        <s v="CGST @ 9 % ON COMMISSION"/>
        <s v="Cgst @9% on Export Expenses"/>
        <s v="CGST @ 9% on Insurance Policies"/>
        <s v="CGST @ 9% on Packing"/>
        <s v="CGST @ 9% on Telephone Charges"/>
        <s v="CGST @ 9% on Transport"/>
        <s v="CGST @9% on Other Sales"/>
        <s v="SGST @ 2.5% on Other Purchase"/>
        <s v="SGST @14 % on Other Purchase"/>
        <s v="SGST  @ 2.5% on Coal Purchase"/>
        <s v="SGST @ 2.5 % on Packing Material"/>
        <s v="SGST @ 2.5% ON WASTE PAPER"/>
        <s v="SGST @ 6 % ON Chemical"/>
        <s v="SGST @ 6% ON OTHER PURCHASE"/>
        <s v="SGST @  6% SALES"/>
        <s v="SGST @9% ON BANK CHARGES"/>
        <s v="SGST @ 9% on Chemical Purchase"/>
        <s v="SGST @ 9% ON COMMISSION"/>
        <s v="Sgst @9% on Export Expenses"/>
        <s v="SGST @ 9 % on Insurance Policies"/>
        <s v="SGST @ 9% on Packing"/>
        <s v="SGST @ 9% on Telephone Charges"/>
        <s v="SGST @ 9% on Transport"/>
        <s v="CGST @ 2.5 % on Other Purchase"/>
        <s v="SGST @9% ON OTHER SALES"/>
        <s v="CGST Payable ( F. Y. 2018-19)"/>
        <s v="CGST Payable ( F.Y. 2017-18)"/>
        <s v="CGST PAYABLE ( F.Y. 2019-20)"/>
        <s v="CGST RECEIVABLE F.Y. 2020-21"/>
        <s v="CGST Payable ( F.Y. 2019-20 )"/>
        <s v="CHACHA GOODS CARRIERS"/>
        <s v="Chandak Nursing Home"/>
        <s v="CHANDRA COAL PVT. LTD. (SALE)"/>
        <s v="CHANDRA COAL PVT.LTD."/>
        <s v="CHANDRA SALES CORPORATION [ WP]"/>
        <s v="CHANDRA SALES CORPORATION(SALE)"/>
        <s v="Chandrashekhar Balki"/>
        <s v="Chemical Purchase"/>
        <s v="Chowdhary Packagers"/>
        <s v="CIPARO B.V."/>
        <s v="Clearing &amp; Forwarding on WP Import"/>
        <s v="Clearing &amp; Fwd. Chgs.On Import M/C"/>
        <s v="Coal Liasioning Charges"/>
        <s v="Coal Purchase"/>
        <s v="COMMISSION ON SALES (HSN/SAC : 9961)"/>
        <s v="Commission On Sales Account"/>
        <s v="Computer"/>
        <s v="Consultation Charges"/>
        <s v="CONTAINER CORPORATION OF INDIA LTD"/>
        <s v="Contribution to ESIC Payable"/>
        <s v="Contribution To P.F. Payable"/>
        <s v="Conveyance Expenses"/>
        <s v="Conveyance To Directors"/>
        <s v="COSMIC CORPORATION"/>
        <s v="Courier &amp; Postage Charges"/>
        <s v="Covid-19 Expenses (Corona)"/>
        <s v="Credit Not Availed Ag.GST (F.Y. 18-19)"/>
        <s v="CSR Expenses"/>
        <s v="CST Payable  (F.Y. 2016- 17 )"/>
        <s v="Cst Tax Expenses"/>
        <s v="Dandong Shengxing Paper Machinery, China"/>
        <s v="Deekay &amp; Company"/>
        <s v="DEEP SALES CORPORATION"/>
        <s v="Deferred Tax Liabilities (Net)"/>
        <s v="Deposit for  COAL to MSMC"/>
        <s v="Deposit for LPG Domestic Cylender Connection"/>
        <s v="DEPOSIT FOR SBI  BG 3,90,000 [ TDR. 37091487639]"/>
        <s v="Deposit with SBI for Custom 8.25 Lac BG[Rs. 206250]"/>
        <s v="Deposit with Import (OCC)"/>
        <s v="Deposit with M.S.E.B."/>
        <s v="Deposit With SBI for MPCB 5 Lac BG [Rs.1,25,000]"/>
        <s v="Deposits For Office Premises"/>
        <s v="Deposits For Telephone"/>
        <s v="Deposits Group Gratuity Fund"/>
        <s v="Deposits with S.B.I. for LC Margin Rs.3,75,000/-"/>
        <s v="Depreciation Electrical Installation"/>
        <s v="Depreciation On Building"/>
        <s v="Depreciation On Computer"/>
        <s v="Depreciation on Furniture &amp; Fixture"/>
        <s v="Depreciation on Office Equipment"/>
        <s v="Depreciation On Plant &amp; Machinery"/>
        <s v="Depreciation on Vehicle"/>
        <s v="DEV CHEMICAL"/>
        <s v="Dhanraj Raut"/>
        <s v="CHANDRASHEKHAR JAPULKAR"/>
        <s v="Diksha Dharme"/>
        <s v="Dhawal Dinesh Kawade"/>
        <s v="DILIPKUMAR PATEL"/>
        <s v="Directors Sitting Fees"/>
        <s v="Discount &amp; Billing Diff Account (HSN/SAC: 4804)"/>
        <s v="SALES A/C INTERASTATE"/>
        <s v="Direct Export Sales"/>
        <s v="DISTRIBUTION LOGISTICS INFRASTRUCTURE PVT.LTD."/>
        <s v="Dividend Payable"/>
        <s v="Payable to Investor education &amp; Protection Fund"/>
        <s v="Donation Account"/>
        <s v="Drashta Power Consultants Pvt. Ltd."/>
        <s v="DURGA INDUSTRIAL  SECURITY, NAGPUR"/>
        <s v="Durga Traders"/>
        <s v="Dyaneshwer Sarode"/>
        <s v="ECONOMIC PACKAGING CORPORATION"/>
        <s v="Electrical Installation"/>
        <s v="Equity Share Capital"/>
        <s v="ESIC (Employees State Insurance Corpn)"/>
        <s v="E-TDS Filing Charges"/>
        <s v="E-Voting Expenses"/>
        <s v="Ex Gratia Payment"/>
        <s v="Excise Aud Para Expenses"/>
        <s v="Exempted Ag.Chemical Purchase"/>
        <s v="Export Expenses for Clearing &amp; Forwarding"/>
        <s v="EXPORT SALE"/>
        <s v="Factory Cleaning Charges"/>
        <s v="Factory Misc Expenses"/>
        <s v="Factory Power &amp; Electricity Charges"/>
        <s v="Factory Tea &amp; Other Expenses"/>
        <s v="Fees To Registrar"/>
        <s v="Finished Goods Expenses"/>
        <s v="Finished Goods Packing &amp; Allied Charges"/>
        <s v="Finished Goods Packing &amp; Allied Payable"/>
        <s v="First Flight Couriers Ltd."/>
        <s v="Flexible Abrasives Pvt.Ltd., Ar'bad"/>
        <s v="For B G Rs.58000/- (AC 325726636355)"/>
        <s v="For BG 350000 for WCL :A/c 34928264708"/>
        <s v="For BG[MSEB] 12.50 LAC :A/c 35633066338"/>
        <s v="Foreign Exchange Fluctuation"/>
        <s v="Franking Charges for Import O.C.C."/>
        <s v="Franking Charges Payable Ag Import OCC"/>
        <s v="Freehold Land"/>
        <s v="FREIGHT ( SALES)"/>
        <s v="Furniture &amp; Fixture"/>
        <s v="Ganga Iron &amp; Steel Trading Co.Ltd."/>
        <s v="Ganpat Steel Industries"/>
        <s v="General Reserves"/>
        <s v="Globe Engineering Company"/>
        <s v="Gratuity To Staff"/>
        <s v="Green Agro Industries"/>
        <s v="Haitek Industrial Fabrics Pvt. Ltd., Haryana"/>
        <s v="GST Annual Filing Chgs. FY 17-18"/>
        <s v="GST Audit Fees"/>
        <s v="GST Audit"/>
        <s v="GST Audit Fees A. Y. 2019-2020"/>
        <s v="GST Audit Fees F.Y.2018-19"/>
        <s v="GST Audit Fees (Shah Baheti Chandak)"/>
        <s v="GST Audit Fees Payable"/>
        <s v="GST E-Return Charges"/>
        <s v="Gujrat Ambuja Exports Ltd.,"/>
        <s v="Gupta Machinery Stores, Nagpur"/>
        <s v="Hazelkaur Manindersingh Saini"/>
        <s v="Hemant Mahure"/>
        <s v="Hindustan Mill Stores, Nagpur"/>
        <s v="HORIZON PACKS PVT. LTD."/>
        <s v="SHIVA PACKAGING INDUSTRIES"/>
        <s v="HORIZON PACKS PVT.LTD.(KHAMGAON)"/>
        <s v="House Rent"/>
        <s v="IGST Payable ( F. Y. 2018-19)"/>
        <s v="IGST @12 % on Other Purchase"/>
        <s v="IGST @12% on Transport"/>
        <s v="IGST @ 12 % SALES"/>
        <s v="IGST @ 18% on Chemical"/>
        <s v="IGST @ 18%  on Other Purchase"/>
        <s v="IGST @ 18 % On Packing Purchase"/>
        <s v="IGST @5 % ON IMPORT Occ"/>
        <s v="IGST @ 5% on Waste Paper"/>
        <s v="IGST Payable ( F. Y. 2019-20 )"/>
        <s v="IGST Receivable F.Y. 2020-21"/>
        <s v="IGST Payable (F.Y. 2017-18)"/>
        <s v="IKP Industries Pvt. Ltd."/>
        <s v="Import Waste Paper Purchase"/>
        <s v="Incentive/ Bonus Payable"/>
        <s v="Incentive/ Bonus to Staff"/>
        <s v="Inder Trade &amp; Industry, Bikaner"/>
        <s v="Indocast Industries"/>
        <s v="INDRAYANI PAPER PORD. PVT. LTD."/>
        <s v="Innovative Solutions &amp; System"/>
        <s v="Insurance Charges For Marine"/>
        <s v="Insurance Charges for Marine Export"/>
        <s v="Insurance Charges To Other"/>
        <s v="Insurance Claim Receivable( Accident Claim)"/>
        <s v="Insurance Pre-Paid"/>
        <s v="Interest Receivable on Power"/>
        <s v="Interest  From Bank (F.D.)"/>
        <s v="Purchase Compensation"/>
        <s v="Provision of Earlier Year"/>
        <s v="Interest  on Excise Duty"/>
        <s v="Interest Accured On Deposit"/>
        <s v="Interest for Car Loan to Sundaram Finance"/>
        <s v="Interest For Forklift to Sundaram Finance"/>
        <s v="Interest For Tractor to Sundaram Finance"/>
        <s v="Interest on Add.T/L (1.5Cr)...6669"/>
        <s v="Interest on Bank Term Loan ( 2 Cr.)...0563"/>
        <s v="Interest on CGST"/>
        <s v="Interest On Custom Duty"/>
        <s v="Interest On IGST"/>
        <s v="Interest on Income Tax"/>
        <s v="GST  Paid Expenses"/>
        <s v="INTEREST ON PROFESSIONAL TAX"/>
        <s v="Interest on Provident Fund"/>
        <s v="Interest On Sales Tax"/>
        <s v="Interest on SGST"/>
        <s v="Interest On Tds"/>
        <s v="Interest on VAT A.Y. 14-15"/>
        <s v="Interest on Vat F.Y. 2015-16"/>
        <s v="Interest Payable"/>
        <s v="Interest To Bank"/>
        <s v="Interest to Bank on T/L (1.5 Cr.).....3547"/>
        <s v="Interest to Bank on T/L (4 Cr.)....80072"/>
        <s v="Interest To Others"/>
        <s v="Internal Audit Fees (Khandelwal)"/>
        <s v="INTRATECH"/>
        <s v="J.S.M. Marketing, Nagpur"/>
        <s v="SHREE ENTERPRISES [ URD]"/>
        <s v="SHREE ENTERPRISES [WP]"/>
        <s v="JAGPIN BREWERIES LTD."/>
        <s v="JAI MAHALAXMI ENTERPRISES"/>
        <s v="Jai Mata Di Waste Paper"/>
        <s v="Jainam Multi-Product (India) Pvt Ltd"/>
        <s v="JANAKSONS &amp; COMPANY"/>
        <s v="Span Communications"/>
        <s v="Supreme Elmech Pvt. Ltd."/>
        <s v="Jarnailsingh Saini (Loan A/c)"/>
        <s v="JB Lightings"/>
        <s v="Jenson International"/>
        <s v="Jenson Trading Corporation"/>
        <s v="JIGAR TRADING COMPANY"/>
        <s v="JINDAL MEDICOSE, NAGPUR"/>
        <s v="Jitendra Nikhare"/>
        <s v="Jus Enterprises"/>
        <s v="K.R.V. Express"/>
        <s v="Kailash Kaur Jarnailsingh Saini"/>
        <s v="KARAN ENTERPRISES (WP)"/>
        <s v="KEDAR PAPER CONVERSIONS"/>
        <s v="Kunal Jain"/>
        <s v="L. A. Trading Company"/>
        <s v="L.I.C. Payable"/>
        <s v="Labour Welfare Fund"/>
        <s v="LAKHOTIYA TRADERS PVT. LTD."/>
        <s v="Lakhotiya Traders Pvt. Ltd. (Sale)"/>
        <s v="TAWAKKAL SCRAP"/>
        <s v="Lark Dyechem"/>
        <s v="Late Fee"/>
        <s v="Lc Charges"/>
        <s v="Leave Encashment"/>
        <s v="Leave Encashment Payable"/>
        <s v="Legal &amp; Proffessional  Charges"/>
        <s v="Lusha Print N Pack"/>
        <s v="Maa Tarini Traders"/>
        <s v="Machinery Exp for Boiler Material BED"/>
        <s v="Machinery Repair &amp; Maint Diesel Exp."/>
        <s v="Machinery Repair &amp; Maint To Electrical"/>
        <s v="Machinery Repair &amp; Maintenance"/>
        <s v="Mahalaxmi Fire Services, Nagpur"/>
        <s v="Maharashtra State Mining Corp. Ltd."/>
        <s v="Mahesh Mirashe"/>
        <s v="Makharia Machineries Pvt. Ltd."/>
        <s v="Manish Computer"/>
        <s v="Manohar Rewatkar"/>
        <s v="Manoj Gore"/>
        <s v="MAT Credit Entitlement (A.Y. 14-15)"/>
        <s v="Mat Credit Entitlement (A.Y. 2012-13)"/>
        <s v="MAT Credit Entitlement A.Y. 15-16"/>
        <s v="Mat Credit Entitlement A.Y.2018-19"/>
        <s v="MAT Credit Entitlement A.Y. 2019-2020"/>
        <s v="MAT Utilised (A.Y.13-14)"/>
        <s v="MCS Share Tranfer Agent Limited"/>
        <s v="Medical Aids To Staff"/>
        <s v="Membership &amp; Subscription"/>
        <s v="Metropolitan Stock Exchange of India(MSEI)"/>
        <s v="Mohd. Anish Abdul Aziz"/>
        <s v="MOHIT PAPER PACKAGING INDUSTRY"/>
        <s v="MSC Agency (India) Pvt. Ltd."/>
        <s v="MSC Mediterranean Shipping Company S.A."/>
        <s v="Nagpur Telangana Roadways"/>
        <s v="Narayan Auto Part Service"/>
        <s v="Narayan Prasad Warthi"/>
        <s v="NEWPORT CH INTERNATIONAL LLC"/>
        <s v="Nilkanth Nikhare"/>
        <s v="NINGBO KIN-LINK FRICTION CO. LTD.(Export)"/>
        <s v="Niraj Engineering Co. Pvt. Ltd"/>
        <s v="Niranjan Koche"/>
        <s v="Non -Eligible GST (Disallowed)"/>
        <s v="Non Receivable GST Prior Expenses"/>
        <s v="Non-Receivable Excise Expenses"/>
        <s v="Office Cleaning Charges"/>
        <s v="Office Electricity Charges"/>
        <s v="Office Electricity Payable"/>
        <s v="Office Equipment"/>
        <s v="Office Misc. Expenses"/>
        <s v="Office Rent"/>
        <s v="Office Tea &amp; Other Exp."/>
        <s v="OM SAI ENGINEERING"/>
        <s v="Opening Stock"/>
        <s v="ORIENTAL TRADING COMPANY"/>
        <s v="ORIGAMI CELLULO PVT.LTD."/>
        <s v="Other Charges : Chemical"/>
        <s v="Other Charges : Chemical (NON-GST)"/>
        <s v="Other Charges : Coal"/>
        <s v="Other Charges : M/c Repair &amp; Maint."/>
        <s v="Other Charges : Packing (Non-GST)"/>
        <s v="Other Charges : Packing Material"/>
        <s v="Other Charges :- Repair &amp; Maint Building"/>
        <s v="Other Charges : Vehicle Repair &amp; Maint."/>
        <s v="Other Import OCC Expenses"/>
        <s v="Other Professional Fees (Darak)"/>
        <s v="Other Professional Fees : (Shah Baheti)"/>
        <s v="Other Professional Fees : (Walter)"/>
        <s v="PACKING CHARGES"/>
        <s v="Packing Material Purchase"/>
        <s v="PACKSAFE"/>
        <s v="PANCHSHEEL TRADING CORPN., NAGPUR"/>
        <s v="Payable to Boiler Fireman Charges"/>
        <s v="Payable To Raw Material Sorting"/>
        <s v="Payable Waste Paper Feeding Charges"/>
        <s v="PENALTY ON CGST"/>
        <s v="Penalty on Custom Duty"/>
        <s v="Penalty on Excise Duty"/>
        <s v="PENALTY ON SGST"/>
        <s v="Penalty to Compliance (MSEI)"/>
        <s v="Plant &amp; Machinery"/>
        <s v="Pooja Atul Hurkat"/>
        <s v="Pooja Expenses"/>
        <s v="Power &amp; Electricity Payable"/>
        <s v="Power Incentive Received"/>
        <s v="PR GLOBAL RESOURCES INDIA PRIVATE  LIMITED"/>
        <s v="Pragathi Bearing Company"/>
        <s v="Prakash Chaple"/>
        <s v="PRANSHU PAPER PVT. LTD."/>
        <s v="Prayag Industries"/>
        <s v="Premier India Road Service, Nagpur"/>
        <s v="Pre-Paid Renewal &amp; Registration"/>
        <s v="Interest Receivable"/>
        <s v="PRIYANKA TECHNOPACK PVT. LTD."/>
        <s v="Professional Fees"/>
        <s v="Professional Tax"/>
        <s v="Profit &amp; Loss A/C"/>
        <s v="Profit on Sale of Asset"/>
        <s v="Profit on Sales Tax Under P.S.I.Scheme"/>
        <s v="Provident Fund Contribution Exp."/>
        <s v="Provision for Acturial Gratuity"/>
        <s v="Provision for Depreciation Building"/>
        <s v="Provision For Depreciation Computer"/>
        <s v="Provision For Depreciation Electrical Installation"/>
        <s v="Provision for Depreciation Factory Building"/>
        <s v="Provision For Depreciation Furniture &amp; Fixture"/>
        <s v="Provision For Depreciation Office Equipment"/>
        <s v="Provision For Depreciation Plant &amp; Machinery"/>
        <s v="Provision For Depreciation Vehicle"/>
        <s v="Provision for I.T, A.Y.2017-18"/>
        <s v="Income Tax Receivable (Refund)"/>
        <s v="Interest on I.T. Refund A.Y. 2020-21"/>
        <s v="Provision For I.T. A.Y, 2005-06"/>
        <s v="Income Tax Refunf A.Y. 2020-21"/>
        <s v="Provision for I.T. A.Y, 2013-14"/>
        <s v="Provision for I.T. A.Y. 2008-09"/>
        <s v="Income Tax Receivable AY 2020-21"/>
        <s v="Provision for Income Tax (A.Y.2019-20)"/>
        <s v="Remuneration Payable"/>
        <s v="Provisions For Gratuity Payable"/>
        <s v="CSR Expenses payable"/>
        <s v="PSI Under Sales Tax Deferal Receivable"/>
        <s v="Punamchand &amp; Sons ( Jaliwala)"/>
        <s v="Punjab Machine Tools"/>
        <s v="Purchase Expenses : Chemical"/>
        <s v="Purchase Expenses : Coal"/>
        <s v="Purchase Expenses : Occ"/>
        <s v="Purchase Expenses : Packing Material"/>
        <s v="Purchase Expenses : Waste Paper"/>
        <s v="Purchase Import in Transit"/>
        <s v="Purchase Of Store"/>
        <s v="R &amp; Y LOGISTICS PVT. LTD"/>
        <s v="R. R. Controls"/>
        <s v="R.A. KRAFT PAPERS LIMITED,"/>
        <s v="R.C.CORRUPACK PVT. LTD."/>
        <s v="R.S. Kraft Papers Ltd"/>
        <s v="Raghav Enterprises"/>
        <s v="Raghuvir Parmar"/>
        <s v="Rajesh Gas Agencies"/>
        <s v="RAMKRISHNA PAPER MART"/>
        <s v="Rate Difference : Coal Purchase"/>
        <s v="Rates &amp; Taxes"/>
        <s v="Ravi Trading Company"/>
        <s v="Ravindra Kumbhare"/>
        <s v="Raw Material Sorting Charges"/>
        <s v="RCM CGST PAYABLE"/>
        <s v="RCM IGST PAYABLE"/>
        <s v="RCM on IGST  (Inward Supply)"/>
        <s v="INPUT RCM ON CGST"/>
        <s v="INPUT RCM on IGST"/>
        <s v="RCM SGST PAYABLE"/>
        <s v="CGST @ 9% on OCC Expenses"/>
        <s v="INPUT RCM ON SGST"/>
        <s v="SGST @ 9% on OCC Expenses"/>
        <s v="Relief Lab Pvt. Ltd."/>
        <s v="KAILASH CHAND AGRAWAL(REMUNERATION)"/>
        <s v="Remuneration To Directors"/>
        <s v="Renewal &amp; Registration Expenses"/>
        <s v="Repair &amp; Maint. To Building"/>
        <s v="Repair &amp; Maintenance to Other Assets"/>
        <s v="Revaluation Reserve"/>
        <s v="ROC Filing Charges"/>
        <s v="ROUNAK STEEL"/>
        <s v="Round Offf"/>
        <s v="S.B.I. Dividend A/c 2011-12 [ A/C.NO. 32572411218]"/>
        <s v="S.B.I. Indl.Fin.Br. Trustee HPML Empl.G.G.Scheme"/>
        <s v="S.B.I. Term Loan ( 2 Cr) No. 35531440563"/>
        <s v="S.B.I. Term Loan A/c (033517180072)  4 Cr"/>
        <s v="S.B.I. Term Loan Additional (A/cNo.35294966669) 1.5"/>
        <s v="S.B.I. Term Loan New A/c (34484493547) 1.5 Cr"/>
        <s v="S.K.Gupta (P) Ltd,Nagpur"/>
        <s v="Sachin Dehankar"/>
        <s v="Safety Packagers (P) Ltd."/>
        <s v="Safexpress Pvt. Ltd."/>
        <s v="Saini Transport Co."/>
        <s v="Salary Payable"/>
        <s v="Salary to Company Secretary"/>
        <s v="Salary to G M (Gaurav Lakhotiya)"/>
        <s v="Salary To Factory Adm. Staff"/>
        <s v="Salary To Office Staff"/>
        <s v="Salary To Other Factory Staff"/>
        <s v="Sale Transit Insurance @0.30%"/>
        <s v="SALES A/C GST"/>
        <s v="Sales Return Account (GST Sales)"/>
        <s v="SALES TAX ASSESSMENT 2012-13"/>
        <s v="Sanjamkaur Saini"/>
        <s v="Sanjay Fulzele"/>
        <s v="Sanjay Tiwari"/>
        <s v="Saraswati General Stores, Nagpur"/>
        <s v="Sartaj Manindersingh Saini"/>
        <s v="Saurashtra Marketing Corporation"/>
        <s v="Securities Premium (351165@25)"/>
        <s v="Security Service Charges"/>
        <s v="SEZ SALE (SPECIAL ECONOMIC ZONE)"/>
        <s v="SGST @ 9% ON OTHER PURCHASE"/>
        <s v="SGST Payable ( F. Y. 2018-19)"/>
        <s v="SGST Payable ( F. Y. 2019-20 )"/>
        <s v="SGST PAYABLE (F.Y. 2017-18)"/>
        <s v="Shah Baheti Chandak &amp; Co."/>
        <s v="Shahnawaj Khan"/>
        <s v="Shalimar Wire Industries Limited"/>
        <s v="Shankar Traders (Sale)"/>
        <s v="Shankar Trading Company"/>
        <s v="SHARADCHANDRA P. SHAH AGENCY PVT. LTD. , MUMBAI"/>
        <s v="SHARP GRAPHICS"/>
        <s v="Shiba Sambhu Traders Odisha"/>
        <s v="SHIVAM TRADERS, NAGPUR"/>
        <s v="Short Provision Against Insu. Claim"/>
        <s v="Short Provision of Incentive/Bonus"/>
        <s v="SHREE FLEX PRINT PVT.LTD."/>
        <s v="SHREE INDUSTRIES"/>
        <s v="Shree Trade Links (Pkg)"/>
        <s v="Shri Balaji Tradelink"/>
        <s v="SHRI SIDDHIVINAYAKA ENTERPRISES(Comm)"/>
        <s v="Shriram Packers"/>
        <s v="SHUBH PACK"/>
        <s v="SHUBHAM ENTERPRISES"/>
        <s v="Site Development Expenses (Gardening)"/>
        <s v="SIZE REBATE"/>
        <s v="Snehlata A. Lakhotiya"/>
        <s v="Somani Packers"/>
        <s v="SREERAM PACKING INDUSTRIES"/>
        <s v="Staff Profession Tax Payable"/>
        <s v="Staff Welfare Expenses"/>
        <s v="State Bank Of India C.C.,Sme Br."/>
        <s v="State Compensation on Cess"/>
        <s v="Stationery &amp; Printing Charges"/>
        <s v="Statutory Audit Fees (Darak &amp; Asso)"/>
        <s v="Stock Audit Bank Charges"/>
        <s v="Sumed Borkar"/>
        <s v="Summit Agencies"/>
        <s v="SUNDARAM FINANCE LTD : N006700059(CAR Loan)"/>
        <s v="SUNDARAM FINANCE LTD :N006700064 (ForkLift)"/>
        <s v="SUNDARAM FINANCE LTD :N036300010 (Tractor)"/>
        <s v="SUNDER NAMKEEN"/>
        <s v="Sundry Balance W/Off"/>
        <s v="Sunil Enterprises (SALE)"/>
        <s v="Sunil Nate"/>
        <s v="Suryakant Sadawarti"/>
        <s v="SWASTIK PAPER BOX"/>
        <s v="Tanisha Resins P. Ltd., Nagpur"/>
        <s v="TDS  (A. Y. 2019-20)"/>
        <s v="Tds  Payable On  Professional"/>
        <s v="TCS Payable ON SALES ( 6 CR)"/>
        <s v="TDS (A. Y. 2020-21)"/>
        <s v="T.C.S. (A.Y.2020-21)"/>
        <s v="T C S F.Y. 2020-21"/>
        <s v="TCS on  CHEMICAL"/>
        <s v="TCS ON WP"/>
        <s v="TDS Excess Paid"/>
        <s v="TDS Excess Paid FY 15-16"/>
        <s v="Tds Payable  On Office Rent"/>
        <s v="TDS Payable Dealers Commission"/>
        <s v="TDS Payable on Commission"/>
        <s v="Tds Payable On Contractors"/>
        <s v="Tds Payable On Interest"/>
        <s v="Tds Payable On Salary"/>
        <s v="TDS Payable on Transporter"/>
        <s v="TDSPAYABLE ON REMUNERATION"/>
        <s v="Telephone Charges"/>
        <s v="Telephone Charges Payable"/>
        <s v="Testing &amp; Inspection Fees"/>
        <s v="Thakkar Agencies"/>
        <s v="Tilakraj Inderpal, Nagpur"/>
        <s v="Trade Discount"/>
        <s v="Travelling Expenses"/>
        <s v="Unipack"/>
        <s v="UNIPACK (SALE)"/>
        <s v="Urd Purchase  On Waste Paper"/>
        <s v="URD Purchase of Chemical"/>
        <s v="Urd Purchase On Packing Material"/>
        <s v="UTSAV PAPER PRODUCTS"/>
        <s v="Uttam Shetty &amp; Co"/>
        <s v="Vaibhav Enterprises"/>
        <s v="Varuna Industries, Nagpur"/>
        <s v="VAT (Earlier Tax Paid ) F.Y. 16-17"/>
        <s v="VAT (Earlier Tax Paid ) F.Y. 17-18"/>
        <s v="VAT Tax Expenses"/>
        <s v="VAT Assessment Order 2014-15"/>
        <s v="VAT Audit Fees : (Shah Baheti)"/>
        <s v="Air Fans, Pune"/>
        <s v="Bank Inspection Charges"/>
        <s v="Bhupinder Singh Coal Depot"/>
        <s v="Butterfly"/>
        <s v="CGST PAYABLE ( F.Y. 2020-2021)"/>
        <s v="Dashmesh Dhaba (Kondhali Restaurnt)"/>
        <s v="D. V. &amp; Associates"/>
        <s v="Girish Murarka &amp; Co., Mumbai"/>
        <s v="IGST PAYABLE (F.Y. 2020- 2021)"/>
        <s v="Interest on GECLBank T/L (1.46 Cr).....1281"/>
        <s v="Jai Hanuman Industries, Nagpur"/>
        <s v="JAYSHREE INDUSTRIES"/>
        <s v="Lathia Rubber Mfg Co Pvt Ltd [Unit : Vapi]"/>
        <s v="MAERSK LINE INDIA PVT LTD"/>
        <s v="MODI INDUSTRIES"/>
        <s v="Monk Automation P. Ltd., Nashik"/>
        <s v="NAGPUR AUTO SERVICES"/>
        <s v="Provision for Income Tax (A.Y. 2020-21)"/>
        <s v="R.D. PATEL TABACCO BIDI WORKS PVT.LTD."/>
        <s v="S.A. ENTERPRISES"/>
        <s v="SATTIK PACKAGING PVT .LTD."/>
        <s v="S.B.I. ( GECL)  Term Loan A/c 39366011281(1.46 Cr)"/>
        <s v="SGST PAYABLE ( F.Y. 2019-20)"/>
        <s v="SGST RECEIVABLE F.Y. 2020-21"/>
        <s v="SGST PAYABLE (F.Y.2020-2021)"/>
        <s v="SHREE LAKSHMI PAPER TRADING"/>
        <s v="Vat for F. Y. 2015-16"/>
        <s v="VAT Payable ( F.Y. 16-17 )"/>
        <s v="VAT Payable (F.Y. 2017-18)"/>
        <s v="VAT Receivable  (F.Y. 14-15)"/>
        <s v="VEENA INDUSTRIES"/>
        <s v="Vehicle"/>
        <s v="Vehicle Diesel Expenses"/>
        <s v="Vehicle Repair &amp; Maintenance"/>
        <s v="Vertex Films Pvt. Ltd."/>
        <s v="Vidarbha Bearing &amp; Belting Co. P. Ltd."/>
        <s v="Vidhanis Tradelink Pvt. Ltd."/>
        <s v="Village Computer System, Nagpur"/>
        <s v="Visy Recycling"/>
        <s v="Voith Paper Fabrics India Ltd."/>
        <s v="Walkover Industries"/>
        <s v="Walter &amp; Associates, Mumbai"/>
        <s v="Waste Desposable Expenses"/>
        <s v="Waste Desposable Expenses(Plastic Dispose)"/>
        <s v="Waste Paper Feeding  Charges"/>
        <s v="Waste Paper Purchase"/>
        <s v="Western Coal Fields Ltd."/>
        <s v="W-I-P Building"/>
        <s v="W-I-P Plant &amp; Machinery"/>
        <s v="Worlds Window Wardha Infrastructure Pvt Ltd"/>
        <s v="Xerox Charges"/>
        <s v="Yadav Engineering"/>
        <s v="SUHANI ENTERPRISES"/>
        <s v="YASH COMMERCIALS"/>
        <s v="Kessels Engineering Works Pvt. Ltd."/>
        <s v="Yash Electric Co."/>
        <s v="Zibo Huacheng Imp And Exp. Co. Ltd."/>
        <m/>
        <s v="IT Refund FY 2019-20" u="1"/>
        <s v="SALES A/C INTERASTATE (SALES A/C INTERnSTATE)" u="1"/>
        <s v="Discardment of Fixed Assets" u="1"/>
        <s v="Other Income" u="1"/>
      </sharedItems>
    </cacheField>
    <cacheField name="Note" numFmtId="0">
      <sharedItems containsString="0" containsBlank="1" containsNumber="1" containsInteger="1" minValue="2" maxValue="26" count="22">
        <n v="7"/>
        <n v="15"/>
        <n v="12"/>
        <n v="26"/>
        <n v="17"/>
        <n v="4"/>
        <n v="8"/>
        <n v="20"/>
        <n v="25"/>
        <n v="10"/>
        <n v="3"/>
        <n v="16"/>
        <n v="22"/>
        <n v="5"/>
        <n v="18"/>
        <n v="13"/>
        <n v="9"/>
        <n v="24"/>
        <n v="19"/>
        <n v="2"/>
        <m/>
        <n v="6"/>
      </sharedItems>
    </cacheField>
    <cacheField name="BS Main Head" numFmtId="0">
      <sharedItems containsBlank="1" count="25">
        <s v="Trade Payables"/>
        <s v="Trade Receivables"/>
        <s v="Long Term Loans &amp; Advances"/>
        <s v="Other Expenses"/>
        <s v="Short Term Loans &amp; Advances"/>
        <s v="Long Term Borrowings"/>
        <s v="Other Current Liabilities"/>
        <s v="Other Income"/>
        <s v="Finance Costs"/>
        <s v="Fixed Assets"/>
        <s v="Reserves &amp; Surplus"/>
        <s v="Cash And Bank Balances"/>
        <s v="Raw Material Consumed"/>
        <s v="Deferred Tax Liabilities "/>
        <s v="Other Current Assets"/>
        <s v="Other Financial Assets"/>
        <s v="Short Term Provision"/>
        <s v="Depreciation &amp; Amortisation"/>
        <s v="Employee Benefit Expenses"/>
        <s v="Revenue From Operations"/>
        <s v="Share Capital"/>
        <s v="opening stock"/>
        <s v="Short Term Borrowings"/>
        <m/>
        <s v="Other Non-Current Assets" u="1"/>
      </sharedItems>
    </cacheField>
    <cacheField name="BS Sub Head" numFmtId="0">
      <sharedItems containsBlank="1" count="90">
        <s v="Trade Payables - Others"/>
        <s v="Trade Payables"/>
        <s v="Other Debts"/>
        <s v="Advance Income Tax"/>
        <s v="Selling &amp; Dist.-Advertisement Expenses"/>
        <s v="Advance to Suppliers"/>
        <s v="Loans and Advances to Employees"/>
        <s v="Trade Receivables"/>
        <s v="Unsecured-From Related Party"/>
        <s v="Establishment Expenses-General Expenses"/>
        <s v="Establishment Expenses-Listing Expense"/>
        <s v="Trade Payables for capital goods"/>
        <s v="Assessment Refund"/>
        <s v="Establishment Expenses-Auditors Remuneration"/>
        <s v="Scrape Sale"/>
        <s v="Bad Debts"/>
        <s v="Establishment Expenses-Bank Charges"/>
        <s v="Establishment Expenses-CSR"/>
        <s v="Selling &amp; Dist.-Discount &amp; Commission"/>
        <s v="Other Borrowing Costs"/>
        <s v="Manufacturing Expenses - Factory Expenses"/>
        <s v="Establishment Expenses-Office Expenses"/>
        <s v="Tangible Asset"/>
        <s v="Capital Reserve"/>
        <s v="Establishment Expenses-Rates &amp; Taxes"/>
        <s v="Manufacturing Expenses-Repairs &amp; Maintainence Machinery"/>
        <s v="Cash On Hand"/>
        <s v="GST"/>
        <s v="Raw Material Purchase"/>
        <s v="Manufacturing Expenses - Power &amp; Fuel Consumed"/>
        <s v="Establishment Expenses-Legal &amp; Professional Charges"/>
        <s v="Statutory Dues"/>
        <s v="Establishment Expenses-Travelling &amp; Conveyance"/>
        <s v="Balance with Government Authorities"/>
        <s v="Deferred Tax Liability"/>
        <s v="Deposits"/>
        <s v="Long Term Deposits"/>
        <s v="Balance with Bank in Deposit Accounts"/>
        <s v="Provision for Employee Benefit"/>
        <s v="Depreciation"/>
        <s v="Salary &amp; Wages"/>
        <s v="Sale of Goods - Manufacturing Sales"/>
        <s v="Dividend Payable"/>
        <s v="Donation"/>
        <s v="Issued, Subscribed &amp; Paid Up"/>
        <s v="Contribution to Funds"/>
        <s v="Selling &amp; Dist.-Clearing &amp; Forwarding"/>
        <s v="Manufacturin Expenses - FG Packing &amp; Allied Chgs"/>
        <s v="Foreign Exchange Fluctuation Gain on RM"/>
        <s v="General Reserve"/>
        <s v="Establishment Expenses-Rent"/>
        <s v="Selling &amp; Dist.-Insurance on Sales"/>
        <s v="Establishment Expenses-Insurance Charges"/>
        <s v="Insurance claim Receivable"/>
        <s v="Prepaid Expenses"/>
        <s v="Interest Received"/>
        <s v="Other Income"/>
        <s v="Interest Expenses"/>
        <s v="Other Current Liabilities"/>
        <s v="MAT Credit Entitlement"/>
        <s v="Staff Welfare Expenses"/>
        <s v="Other Debts - Export"/>
        <s v="opening stock"/>
        <s v="Manufacturing Expenses - Packing Material Consumed"/>
        <s v="Establishment Expenses-Rep. &amp; Maint. Others"/>
        <s v="Surplus"/>
        <s v="Profit on Sale of Asset"/>
        <s v="Tangible Asset - PFD"/>
        <s v="CSR Expenses  Payable"/>
        <s v="Manufacturing Expenses - Stores &amp; Spares Consumed"/>
        <s v="Manufacturin Expenses - RM Sorting Charges"/>
        <s v="Manufacturing Expenses-Repairs &amp; Maintainence Building"/>
        <s v="Balance With Bank - Other Bank Balance"/>
        <s v="Balance With Bank - Current A/c"/>
        <s v="Secured - From Banks - Term Loan"/>
        <s v="Employee Payables"/>
        <s v="Securities Premium"/>
        <s v="Manufacturing Expenses - Security Service Charges"/>
        <s v="Secured - From Banks - Working Capital Loan"/>
        <s v="Establishment Expenses-Printing &amp; Stationery"/>
        <s v="Secured - From Other - Term Loan"/>
        <s v="Establishment Expenses-Telephone Charges"/>
        <s v="Establishment Expenses-Rep. &amp; Maint. Vehicle"/>
        <s v="Manufacturing Expenses - Waste Paper Feeding Chgs"/>
        <s v="Capital WIP"/>
        <s v="Advance For Capital Goods"/>
        <m/>
        <s v="Income Tax Refund Receivable" u="1"/>
        <s v="Interest Receivable" u="1"/>
        <s v="Establishment Expenses-Commission Expenses" u="1"/>
      </sharedItems>
    </cacheField>
    <cacheField name="Dr." numFmtId="166">
      <sharedItems containsSemiMixedTypes="0" containsString="0" containsNumber="1" minValue="0" maxValue="1414542251.77"/>
    </cacheField>
    <cacheField name="Adj" numFmtId="166">
      <sharedItems containsString="0" containsBlank="1" containsNumber="1" containsInteger="1" minValue="-1255580" maxValue="280877"/>
    </cacheField>
    <cacheField name="Dr. Final HYR" numFmtId="166">
      <sharedItems containsSemiMixedTypes="0" containsString="0" containsNumber="1" minValue="-333919" maxValue="1413567548.77"/>
    </cacheField>
    <cacheField name="Cr." numFmtId="166">
      <sharedItems containsSemiMixedTypes="0" containsString="0" containsNumber="1" minValue="0" maxValue="1414542251.55"/>
    </cacheField>
    <cacheField name="Adj2" numFmtId="166">
      <sharedItems containsString="0" containsBlank="1" containsNumber="1" containsInteger="1" minValue="-1255580" maxValue="280877"/>
    </cacheField>
    <cacheField name="Cr. Final HYR" numFmtId="166">
      <sharedItems containsSemiMixedTypes="0" containsString="0" containsNumber="1" minValue="0" maxValue="1413567548.55"/>
    </cacheField>
    <cacheField name="Dr. 2019-20" numFmtId="0">
      <sharedItems containsSemiMixedTypes="0" containsString="0" containsNumber="1" minValue="0" maxValue="1255100493.1099999"/>
    </cacheField>
    <cacheField name="Adj3" numFmtId="166">
      <sharedItems containsString="0" containsBlank="1" containsNumber="1" minValue="-770.5" maxValue="20.5"/>
    </cacheField>
    <cacheField name="Dr. Final 2019-20" numFmtId="166">
      <sharedItems containsSemiMixedTypes="0" containsString="0" containsNumber="1" minValue="0" maxValue="1255099743.1099999"/>
    </cacheField>
    <cacheField name="Cr. 2019-20" numFmtId="166">
      <sharedItems containsSemiMixedTypes="0" containsString="0" containsNumber="1" minValue="0" maxValue="1255100003.1100001"/>
    </cacheField>
    <cacheField name="Adj4" numFmtId="166">
      <sharedItems containsString="0" containsBlank="1" containsNumber="1" containsInteger="1" minValue="-750" maxValue="-750"/>
    </cacheField>
    <cacheField name="Cr. Final 2019-20" numFmtId="166">
      <sharedItems containsSemiMixedTypes="0" containsString="0" containsNumber="1" minValue="0" maxValue="1255099253.11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3">
  <r>
    <x v="0"/>
    <x v="0"/>
    <x v="0"/>
    <x v="0"/>
    <n v="0"/>
    <m/>
    <n v="0"/>
    <n v="156125"/>
    <m/>
    <n v="156125"/>
    <n v="0"/>
    <m/>
    <n v="0"/>
    <n v="135000"/>
    <m/>
    <n v="135000"/>
  </r>
  <r>
    <x v="1"/>
    <x v="0"/>
    <x v="0"/>
    <x v="0"/>
    <n v="0"/>
    <m/>
    <n v="0"/>
    <n v="247500"/>
    <m/>
    <n v="247500"/>
    <n v="0"/>
    <m/>
    <n v="0"/>
    <n v="0"/>
    <m/>
    <n v="0"/>
  </r>
  <r>
    <x v="2"/>
    <x v="0"/>
    <x v="0"/>
    <x v="1"/>
    <n v="0"/>
    <m/>
    <n v="0"/>
    <n v="0"/>
    <m/>
    <n v="0"/>
    <n v="0"/>
    <m/>
    <n v="0"/>
    <n v="0"/>
    <m/>
    <n v="0"/>
  </r>
  <r>
    <x v="3"/>
    <x v="0"/>
    <x v="0"/>
    <x v="1"/>
    <n v="0"/>
    <m/>
    <n v="0"/>
    <n v="4370857"/>
    <m/>
    <n v="4370857"/>
    <n v="0"/>
    <m/>
    <n v="0"/>
    <n v="0"/>
    <m/>
    <n v="0"/>
  </r>
  <r>
    <x v="4"/>
    <x v="0"/>
    <x v="0"/>
    <x v="1"/>
    <n v="0"/>
    <m/>
    <n v="0"/>
    <n v="377600"/>
    <m/>
    <n v="377600"/>
    <n v="0"/>
    <m/>
    <n v="0"/>
    <n v="0"/>
    <m/>
    <n v="0"/>
  </r>
  <r>
    <x v="5"/>
    <x v="0"/>
    <x v="0"/>
    <x v="0"/>
    <n v="20183"/>
    <m/>
    <n v="20183"/>
    <n v="0"/>
    <m/>
    <n v="0"/>
    <n v="0"/>
    <m/>
    <n v="0"/>
    <n v="0"/>
    <m/>
    <n v="0"/>
  </r>
  <r>
    <x v="6"/>
    <x v="0"/>
    <x v="0"/>
    <x v="0"/>
    <n v="0"/>
    <m/>
    <n v="0"/>
    <n v="25470"/>
    <m/>
    <n v="25470"/>
    <n v="0"/>
    <m/>
    <n v="0"/>
    <n v="0"/>
    <m/>
    <n v="0"/>
  </r>
  <r>
    <x v="7"/>
    <x v="0"/>
    <x v="0"/>
    <x v="0"/>
    <n v="0"/>
    <m/>
    <n v="0"/>
    <n v="2195"/>
    <m/>
    <n v="2195"/>
    <n v="0"/>
    <m/>
    <n v="0"/>
    <n v="0"/>
    <m/>
    <n v="0"/>
  </r>
  <r>
    <x v="8"/>
    <x v="1"/>
    <x v="1"/>
    <x v="2"/>
    <n v="173031"/>
    <m/>
    <n v="173031"/>
    <n v="0"/>
    <m/>
    <n v="0"/>
    <n v="0"/>
    <m/>
    <n v="0"/>
    <n v="0"/>
    <m/>
    <n v="0"/>
  </r>
  <r>
    <x v="9"/>
    <x v="0"/>
    <x v="0"/>
    <x v="1"/>
    <n v="0"/>
    <m/>
    <n v="0"/>
    <n v="0"/>
    <m/>
    <n v="0"/>
    <n v="0"/>
    <m/>
    <n v="0"/>
    <n v="0"/>
    <m/>
    <n v="0"/>
  </r>
  <r>
    <x v="10"/>
    <x v="0"/>
    <x v="0"/>
    <x v="1"/>
    <n v="0"/>
    <m/>
    <n v="0"/>
    <n v="401154"/>
    <m/>
    <n v="401154"/>
    <n v="0"/>
    <m/>
    <n v="0"/>
    <n v="0"/>
    <m/>
    <n v="0"/>
  </r>
  <r>
    <x v="11"/>
    <x v="0"/>
    <x v="0"/>
    <x v="1"/>
    <n v="0"/>
    <m/>
    <n v="0"/>
    <n v="204940"/>
    <m/>
    <n v="204940"/>
    <n v="0"/>
    <m/>
    <n v="0"/>
    <n v="0"/>
    <m/>
    <n v="0"/>
  </r>
  <r>
    <x v="12"/>
    <x v="0"/>
    <x v="0"/>
    <x v="1"/>
    <n v="0"/>
    <m/>
    <n v="0"/>
    <n v="1343333"/>
    <m/>
    <n v="1343333"/>
    <n v="0"/>
    <m/>
    <n v="0"/>
    <n v="0"/>
    <m/>
    <n v="0"/>
  </r>
  <r>
    <x v="13"/>
    <x v="0"/>
    <x v="0"/>
    <x v="1"/>
    <n v="0"/>
    <m/>
    <n v="0"/>
    <n v="379282"/>
    <m/>
    <n v="379282"/>
    <n v="0"/>
    <m/>
    <n v="0"/>
    <n v="0"/>
    <m/>
    <n v="0"/>
  </r>
  <r>
    <x v="14"/>
    <x v="0"/>
    <x v="0"/>
    <x v="1"/>
    <n v="0"/>
    <m/>
    <n v="0"/>
    <n v="2568965"/>
    <m/>
    <n v="2568965"/>
    <n v="0"/>
    <m/>
    <n v="0"/>
    <n v="0"/>
    <m/>
    <n v="0"/>
  </r>
  <r>
    <x v="15"/>
    <x v="0"/>
    <x v="0"/>
    <x v="1"/>
    <n v="0"/>
    <m/>
    <n v="0"/>
    <n v="334448"/>
    <m/>
    <n v="334448"/>
    <n v="0"/>
    <m/>
    <n v="0"/>
    <n v="0"/>
    <m/>
    <n v="0"/>
  </r>
  <r>
    <x v="16"/>
    <x v="0"/>
    <x v="0"/>
    <x v="0"/>
    <n v="10000"/>
    <m/>
    <n v="10000"/>
    <n v="0"/>
    <m/>
    <n v="0"/>
    <n v="0"/>
    <m/>
    <n v="0"/>
    <n v="0"/>
    <m/>
    <n v="0"/>
  </r>
  <r>
    <x v="17"/>
    <x v="0"/>
    <x v="0"/>
    <x v="0"/>
    <n v="0"/>
    <m/>
    <n v="0"/>
    <n v="0"/>
    <m/>
    <n v="0"/>
    <n v="0"/>
    <m/>
    <n v="0"/>
    <n v="892701"/>
    <m/>
    <n v="892701"/>
  </r>
  <r>
    <x v="18"/>
    <x v="0"/>
    <x v="0"/>
    <x v="0"/>
    <n v="0"/>
    <m/>
    <n v="0"/>
    <n v="50553"/>
    <m/>
    <n v="50553"/>
    <n v="0"/>
    <m/>
    <n v="0"/>
    <n v="0"/>
    <m/>
    <n v="0"/>
  </r>
  <r>
    <x v="19"/>
    <x v="0"/>
    <x v="0"/>
    <x v="0"/>
    <n v="0"/>
    <m/>
    <n v="0"/>
    <n v="0"/>
    <m/>
    <n v="0"/>
    <n v="0"/>
    <m/>
    <n v="0"/>
    <n v="0"/>
    <m/>
    <n v="0"/>
  </r>
  <r>
    <x v="20"/>
    <x v="0"/>
    <x v="0"/>
    <x v="0"/>
    <n v="0"/>
    <m/>
    <n v="0"/>
    <n v="0"/>
    <m/>
    <n v="0"/>
    <n v="0"/>
    <m/>
    <n v="0"/>
    <n v="0"/>
    <m/>
    <n v="0"/>
  </r>
  <r>
    <x v="21"/>
    <x v="0"/>
    <x v="0"/>
    <x v="0"/>
    <n v="0"/>
    <m/>
    <n v="0"/>
    <n v="82125"/>
    <m/>
    <n v="82125"/>
    <n v="0"/>
    <m/>
    <n v="0"/>
    <n v="0"/>
    <m/>
    <n v="0"/>
  </r>
  <r>
    <x v="22"/>
    <x v="0"/>
    <x v="0"/>
    <x v="0"/>
    <n v="0"/>
    <m/>
    <n v="0"/>
    <n v="3244"/>
    <m/>
    <n v="3244"/>
    <n v="0"/>
    <m/>
    <n v="0"/>
    <n v="0"/>
    <m/>
    <n v="0"/>
  </r>
  <r>
    <x v="23"/>
    <x v="0"/>
    <x v="0"/>
    <x v="0"/>
    <n v="0"/>
    <m/>
    <n v="0"/>
    <n v="117270"/>
    <m/>
    <n v="117270"/>
    <n v="0"/>
    <m/>
    <n v="0"/>
    <n v="0"/>
    <m/>
    <n v="0"/>
  </r>
  <r>
    <x v="24"/>
    <x v="0"/>
    <x v="0"/>
    <x v="0"/>
    <n v="0"/>
    <m/>
    <n v="0"/>
    <n v="0"/>
    <m/>
    <n v="0"/>
    <n v="0"/>
    <m/>
    <n v="0"/>
    <n v="0"/>
    <m/>
    <n v="0"/>
  </r>
  <r>
    <x v="25"/>
    <x v="0"/>
    <x v="0"/>
    <x v="0"/>
    <n v="0"/>
    <m/>
    <n v="0"/>
    <n v="32332"/>
    <m/>
    <n v="32332"/>
    <n v="0"/>
    <m/>
    <n v="0"/>
    <n v="0"/>
    <m/>
    <n v="0"/>
  </r>
  <r>
    <x v="26"/>
    <x v="0"/>
    <x v="0"/>
    <x v="0"/>
    <n v="0"/>
    <m/>
    <n v="0"/>
    <n v="4520"/>
    <m/>
    <n v="4520"/>
    <n v="0"/>
    <m/>
    <n v="0"/>
    <n v="0"/>
    <m/>
    <n v="0"/>
  </r>
  <r>
    <x v="27"/>
    <x v="2"/>
    <x v="2"/>
    <x v="3"/>
    <n v="0"/>
    <m/>
    <n v="0"/>
    <n v="0"/>
    <m/>
    <n v="0"/>
    <n v="0"/>
    <m/>
    <n v="0"/>
    <n v="0"/>
    <m/>
    <n v="0"/>
  </r>
  <r>
    <x v="28"/>
    <x v="2"/>
    <x v="2"/>
    <x v="3"/>
    <n v="12349"/>
    <m/>
    <n v="12349"/>
    <n v="0"/>
    <m/>
    <n v="0"/>
    <n v="0"/>
    <m/>
    <n v="0"/>
    <n v="0"/>
    <m/>
    <n v="0"/>
  </r>
  <r>
    <x v="29"/>
    <x v="2"/>
    <x v="2"/>
    <x v="3"/>
    <n v="0"/>
    <m/>
    <n v="0"/>
    <n v="0"/>
    <m/>
    <n v="0"/>
    <n v="3800000"/>
    <m/>
    <n v="3800000"/>
    <n v="0"/>
    <m/>
    <n v="0"/>
  </r>
  <r>
    <x v="30"/>
    <x v="2"/>
    <x v="2"/>
    <x v="3"/>
    <n v="13000000"/>
    <m/>
    <n v="13000000"/>
    <n v="0"/>
    <m/>
    <n v="0"/>
    <n v="0"/>
    <m/>
    <n v="0"/>
    <n v="0"/>
    <m/>
    <n v="0"/>
  </r>
  <r>
    <x v="31"/>
    <x v="3"/>
    <x v="3"/>
    <x v="4"/>
    <n v="69186"/>
    <m/>
    <n v="69186"/>
    <n v="0"/>
    <m/>
    <n v="0"/>
    <n v="113158"/>
    <m/>
    <n v="113158"/>
    <n v="0"/>
    <m/>
    <n v="0"/>
  </r>
  <r>
    <x v="32"/>
    <x v="1"/>
    <x v="1"/>
    <x v="2"/>
    <n v="3825310"/>
    <m/>
    <n v="3825310"/>
    <n v="0"/>
    <m/>
    <n v="0"/>
    <n v="1426108"/>
    <m/>
    <n v="1426108"/>
    <n v="0"/>
    <m/>
    <n v="0"/>
  </r>
  <r>
    <x v="33"/>
    <x v="0"/>
    <x v="0"/>
    <x v="0"/>
    <n v="0"/>
    <m/>
    <n v="0"/>
    <n v="0"/>
    <m/>
    <n v="0"/>
    <n v="0"/>
    <m/>
    <n v="0"/>
    <n v="6800"/>
    <m/>
    <n v="6800"/>
  </r>
  <r>
    <x v="34"/>
    <x v="1"/>
    <x v="1"/>
    <x v="2"/>
    <n v="3124400"/>
    <m/>
    <n v="3124400"/>
    <n v="0"/>
    <m/>
    <n v="0"/>
    <n v="1152502"/>
    <m/>
    <n v="1152502"/>
    <n v="0"/>
    <m/>
    <n v="0"/>
  </r>
  <r>
    <x v="35"/>
    <x v="1"/>
    <x v="1"/>
    <x v="2"/>
    <n v="7858026.4299999997"/>
    <m/>
    <n v="7858026.4299999997"/>
    <n v="0"/>
    <m/>
    <n v="0"/>
    <n v="3898375"/>
    <m/>
    <n v="3898375"/>
    <n v="0"/>
    <m/>
    <n v="0"/>
  </r>
  <r>
    <x v="36"/>
    <x v="4"/>
    <x v="4"/>
    <x v="5"/>
    <n v="0"/>
    <m/>
    <n v="0"/>
    <n v="0"/>
    <m/>
    <n v="0"/>
    <n v="0"/>
    <m/>
    <n v="0"/>
    <n v="0"/>
    <m/>
    <n v="0"/>
  </r>
  <r>
    <x v="37"/>
    <x v="0"/>
    <x v="0"/>
    <x v="0"/>
    <n v="0"/>
    <m/>
    <n v="0"/>
    <n v="33750"/>
    <m/>
    <n v="33750"/>
    <n v="0"/>
    <m/>
    <n v="0"/>
    <n v="0"/>
    <m/>
    <n v="0"/>
  </r>
  <r>
    <x v="38"/>
    <x v="4"/>
    <x v="4"/>
    <x v="5"/>
    <n v="0"/>
    <m/>
    <n v="0"/>
    <n v="0"/>
    <m/>
    <n v="0"/>
    <n v="0"/>
    <m/>
    <n v="0"/>
    <n v="0"/>
    <m/>
    <n v="0"/>
  </r>
  <r>
    <x v="39"/>
    <x v="0"/>
    <x v="0"/>
    <x v="1"/>
    <n v="0"/>
    <m/>
    <n v="0"/>
    <n v="0"/>
    <m/>
    <n v="0"/>
    <n v="0"/>
    <m/>
    <n v="0"/>
    <n v="54318"/>
    <m/>
    <n v="54318"/>
  </r>
  <r>
    <x v="40"/>
    <x v="2"/>
    <x v="2"/>
    <x v="6"/>
    <n v="11000"/>
    <m/>
    <n v="11000"/>
    <n v="0"/>
    <m/>
    <n v="0"/>
    <n v="0"/>
    <m/>
    <n v="0"/>
    <n v="0"/>
    <m/>
    <n v="0"/>
  </r>
  <r>
    <x v="41"/>
    <x v="2"/>
    <x v="2"/>
    <x v="6"/>
    <n v="5000"/>
    <m/>
    <n v="5000"/>
    <n v="0"/>
    <m/>
    <n v="0"/>
    <n v="0"/>
    <m/>
    <n v="0"/>
    <n v="0"/>
    <m/>
    <n v="0"/>
  </r>
  <r>
    <x v="42"/>
    <x v="2"/>
    <x v="2"/>
    <x v="6"/>
    <n v="2500"/>
    <m/>
    <n v="2500"/>
    <n v="0"/>
    <m/>
    <n v="0"/>
    <n v="0"/>
    <m/>
    <n v="0"/>
    <n v="0"/>
    <m/>
    <n v="0"/>
  </r>
  <r>
    <x v="43"/>
    <x v="2"/>
    <x v="2"/>
    <x v="6"/>
    <n v="4500"/>
    <m/>
    <n v="4500"/>
    <n v="0"/>
    <m/>
    <n v="0"/>
    <n v="4000"/>
    <m/>
    <n v="4000"/>
    <n v="0"/>
    <m/>
    <n v="0"/>
  </r>
  <r>
    <x v="44"/>
    <x v="2"/>
    <x v="2"/>
    <x v="6"/>
    <n v="12000"/>
    <m/>
    <n v="12000"/>
    <n v="0"/>
    <m/>
    <n v="0"/>
    <n v="0"/>
    <m/>
    <n v="0"/>
    <n v="0"/>
    <m/>
    <n v="0"/>
  </r>
  <r>
    <x v="45"/>
    <x v="2"/>
    <x v="2"/>
    <x v="6"/>
    <n v="1000"/>
    <m/>
    <n v="1000"/>
    <n v="0"/>
    <m/>
    <n v="0"/>
    <n v="0"/>
    <m/>
    <n v="0"/>
    <n v="0"/>
    <m/>
    <n v="0"/>
  </r>
  <r>
    <x v="46"/>
    <x v="2"/>
    <x v="2"/>
    <x v="6"/>
    <n v="0"/>
    <m/>
    <n v="0"/>
    <n v="0"/>
    <m/>
    <n v="0"/>
    <n v="0"/>
    <m/>
    <n v="0"/>
    <n v="0"/>
    <m/>
    <n v="0"/>
  </r>
  <r>
    <x v="47"/>
    <x v="2"/>
    <x v="2"/>
    <x v="6"/>
    <n v="0"/>
    <m/>
    <n v="0"/>
    <n v="0"/>
    <m/>
    <n v="0"/>
    <n v="0"/>
    <m/>
    <n v="0"/>
    <n v="0"/>
    <m/>
    <n v="0"/>
  </r>
  <r>
    <x v="48"/>
    <x v="0"/>
    <x v="0"/>
    <x v="1"/>
    <n v="0"/>
    <m/>
    <n v="0"/>
    <n v="0"/>
    <m/>
    <n v="0"/>
    <n v="0"/>
    <m/>
    <n v="0"/>
    <n v="0"/>
    <m/>
    <n v="0"/>
  </r>
  <r>
    <x v="49"/>
    <x v="0"/>
    <x v="0"/>
    <x v="1"/>
    <n v="0"/>
    <m/>
    <n v="0"/>
    <n v="0"/>
    <m/>
    <n v="0"/>
    <n v="0"/>
    <m/>
    <n v="0"/>
    <n v="0"/>
    <m/>
    <n v="0"/>
  </r>
  <r>
    <x v="50"/>
    <x v="0"/>
    <x v="0"/>
    <x v="1"/>
    <n v="0"/>
    <m/>
    <n v="0"/>
    <n v="68388"/>
    <m/>
    <n v="68388"/>
    <n v="0"/>
    <m/>
    <n v="0"/>
    <n v="136776"/>
    <m/>
    <n v="136776"/>
  </r>
  <r>
    <x v="51"/>
    <x v="0"/>
    <x v="0"/>
    <x v="1"/>
    <n v="6461"/>
    <m/>
    <n v="6461"/>
    <n v="0"/>
    <m/>
    <n v="0"/>
    <n v="0"/>
    <m/>
    <n v="0"/>
    <n v="222332"/>
    <m/>
    <n v="222332"/>
  </r>
  <r>
    <x v="52"/>
    <x v="1"/>
    <x v="1"/>
    <x v="7"/>
    <n v="0"/>
    <m/>
    <n v="0"/>
    <n v="0"/>
    <m/>
    <n v="0"/>
    <n v="0"/>
    <m/>
    <n v="0"/>
    <n v="0"/>
    <m/>
    <n v="0"/>
  </r>
  <r>
    <x v="53"/>
    <x v="1"/>
    <x v="1"/>
    <x v="7"/>
    <n v="0"/>
    <m/>
    <n v="0"/>
    <n v="0"/>
    <m/>
    <n v="0"/>
    <n v="0"/>
    <m/>
    <n v="0"/>
    <n v="0"/>
    <m/>
    <n v="0"/>
  </r>
  <r>
    <x v="54"/>
    <x v="1"/>
    <x v="1"/>
    <x v="7"/>
    <n v="0"/>
    <m/>
    <n v="0"/>
    <n v="0"/>
    <m/>
    <n v="0"/>
    <n v="0"/>
    <m/>
    <n v="0"/>
    <n v="0"/>
    <m/>
    <n v="0"/>
  </r>
  <r>
    <x v="55"/>
    <x v="1"/>
    <x v="1"/>
    <x v="7"/>
    <n v="0"/>
    <m/>
    <n v="0"/>
    <n v="0"/>
    <m/>
    <n v="0"/>
    <n v="0"/>
    <m/>
    <n v="0"/>
    <n v="0"/>
    <m/>
    <n v="0"/>
  </r>
  <r>
    <x v="56"/>
    <x v="1"/>
    <x v="1"/>
    <x v="7"/>
    <n v="0"/>
    <m/>
    <n v="0"/>
    <n v="34754"/>
    <m/>
    <n v="34754"/>
    <n v="0"/>
    <m/>
    <n v="0"/>
    <n v="0"/>
    <m/>
    <n v="0"/>
  </r>
  <r>
    <x v="57"/>
    <x v="1"/>
    <x v="1"/>
    <x v="7"/>
    <n v="0"/>
    <m/>
    <n v="0"/>
    <n v="0"/>
    <m/>
    <n v="0"/>
    <n v="0"/>
    <m/>
    <n v="0"/>
    <n v="0"/>
    <m/>
    <n v="0"/>
  </r>
  <r>
    <x v="58"/>
    <x v="1"/>
    <x v="1"/>
    <x v="7"/>
    <n v="3430"/>
    <m/>
    <n v="3430"/>
    <n v="0"/>
    <m/>
    <n v="0"/>
    <n v="0"/>
    <m/>
    <n v="0"/>
    <n v="0"/>
    <m/>
    <n v="0"/>
  </r>
  <r>
    <x v="59"/>
    <x v="1"/>
    <x v="1"/>
    <x v="7"/>
    <n v="890949"/>
    <m/>
    <n v="890949"/>
    <n v="0"/>
    <m/>
    <n v="0"/>
    <n v="0"/>
    <m/>
    <n v="0"/>
    <n v="0"/>
    <m/>
    <n v="0"/>
  </r>
  <r>
    <x v="60"/>
    <x v="0"/>
    <x v="0"/>
    <x v="0"/>
    <n v="0"/>
    <m/>
    <n v="0"/>
    <n v="0"/>
    <m/>
    <n v="0"/>
    <n v="2384"/>
    <m/>
    <n v="2384"/>
    <n v="0"/>
    <m/>
    <n v="0"/>
  </r>
  <r>
    <x v="61"/>
    <x v="0"/>
    <x v="0"/>
    <x v="0"/>
    <n v="0"/>
    <m/>
    <n v="0"/>
    <n v="0"/>
    <m/>
    <n v="0"/>
    <n v="0"/>
    <m/>
    <n v="0"/>
    <n v="16500"/>
    <m/>
    <n v="16500"/>
  </r>
  <r>
    <x v="62"/>
    <x v="0"/>
    <x v="0"/>
    <x v="0"/>
    <n v="0"/>
    <m/>
    <n v="0"/>
    <n v="58240"/>
    <m/>
    <n v="58240"/>
    <n v="0"/>
    <m/>
    <n v="0"/>
    <n v="0"/>
    <m/>
    <n v="0"/>
  </r>
  <r>
    <x v="63"/>
    <x v="0"/>
    <x v="0"/>
    <x v="0"/>
    <n v="0"/>
    <m/>
    <n v="0"/>
    <n v="0"/>
    <m/>
    <n v="0"/>
    <n v="0"/>
    <m/>
    <n v="0"/>
    <n v="0"/>
    <m/>
    <n v="0"/>
  </r>
  <r>
    <x v="64"/>
    <x v="4"/>
    <x v="4"/>
    <x v="5"/>
    <n v="0"/>
    <m/>
    <n v="0"/>
    <n v="0"/>
    <m/>
    <n v="0"/>
    <n v="0"/>
    <m/>
    <n v="0"/>
    <n v="0"/>
    <m/>
    <n v="0"/>
  </r>
  <r>
    <x v="65"/>
    <x v="0"/>
    <x v="0"/>
    <x v="0"/>
    <n v="0"/>
    <m/>
    <n v="0"/>
    <n v="0"/>
    <m/>
    <n v="0"/>
    <n v="0"/>
    <m/>
    <n v="0"/>
    <n v="0"/>
    <m/>
    <n v="0"/>
  </r>
  <r>
    <x v="66"/>
    <x v="0"/>
    <x v="0"/>
    <x v="0"/>
    <n v="0"/>
    <m/>
    <n v="0"/>
    <n v="0"/>
    <m/>
    <n v="0"/>
    <n v="0"/>
    <m/>
    <n v="0"/>
    <n v="0"/>
    <m/>
    <n v="0"/>
  </r>
  <r>
    <x v="67"/>
    <x v="5"/>
    <x v="5"/>
    <x v="8"/>
    <n v="0"/>
    <m/>
    <n v="0"/>
    <n v="2353055"/>
    <m/>
    <n v="2353055"/>
    <n v="0"/>
    <m/>
    <n v="0"/>
    <n v="2186694"/>
    <m/>
    <n v="2186694"/>
  </r>
  <r>
    <x v="68"/>
    <x v="0"/>
    <x v="0"/>
    <x v="0"/>
    <n v="0"/>
    <m/>
    <n v="0"/>
    <n v="0"/>
    <m/>
    <n v="0"/>
    <n v="0"/>
    <m/>
    <n v="0"/>
    <n v="0"/>
    <m/>
    <n v="0"/>
  </r>
  <r>
    <x v="69"/>
    <x v="5"/>
    <x v="5"/>
    <x v="8"/>
    <n v="0"/>
    <m/>
    <n v="0"/>
    <n v="941222"/>
    <m/>
    <n v="941222"/>
    <n v="0"/>
    <m/>
    <n v="0"/>
    <n v="874676"/>
    <m/>
    <n v="874676"/>
  </r>
  <r>
    <x v="70"/>
    <x v="0"/>
    <x v="0"/>
    <x v="1"/>
    <n v="0"/>
    <m/>
    <n v="0"/>
    <n v="0"/>
    <m/>
    <n v="0"/>
    <n v="0"/>
    <m/>
    <n v="0"/>
    <n v="30012"/>
    <m/>
    <n v="30012"/>
  </r>
  <r>
    <x v="71"/>
    <x v="3"/>
    <x v="3"/>
    <x v="9"/>
    <n v="116330"/>
    <m/>
    <n v="116330"/>
    <n v="0"/>
    <m/>
    <n v="0"/>
    <n v="0"/>
    <m/>
    <n v="0"/>
    <n v="0"/>
    <m/>
    <n v="0"/>
  </r>
  <r>
    <x v="72"/>
    <x v="3"/>
    <x v="3"/>
    <x v="9"/>
    <n v="1353054"/>
    <m/>
    <n v="1353054"/>
    <n v="0"/>
    <m/>
    <n v="0"/>
    <n v="0"/>
    <m/>
    <n v="0"/>
    <n v="0"/>
    <m/>
    <n v="0"/>
  </r>
  <r>
    <x v="73"/>
    <x v="3"/>
    <x v="3"/>
    <x v="9"/>
    <n v="31846"/>
    <m/>
    <n v="31846"/>
    <n v="0"/>
    <m/>
    <n v="0"/>
    <n v="0"/>
    <m/>
    <n v="0"/>
    <n v="0"/>
    <m/>
    <n v="0"/>
  </r>
  <r>
    <x v="74"/>
    <x v="3"/>
    <x v="3"/>
    <x v="9"/>
    <n v="0"/>
    <m/>
    <n v="0"/>
    <n v="0"/>
    <m/>
    <n v="0"/>
    <n v="0"/>
    <m/>
    <n v="0"/>
    <n v="0"/>
    <m/>
    <n v="0"/>
  </r>
  <r>
    <x v="75"/>
    <x v="3"/>
    <x v="3"/>
    <x v="9"/>
    <n v="19000"/>
    <m/>
    <n v="19000"/>
    <n v="0"/>
    <m/>
    <n v="0"/>
    <n v="9000"/>
    <m/>
    <n v="9000"/>
    <n v="0"/>
    <m/>
    <n v="0"/>
  </r>
  <r>
    <x v="76"/>
    <x v="3"/>
    <x v="3"/>
    <x v="10"/>
    <n v="9000"/>
    <m/>
    <n v="9000"/>
    <n v="0"/>
    <m/>
    <n v="0"/>
    <n v="64000"/>
    <m/>
    <n v="64000"/>
    <n v="0"/>
    <m/>
    <n v="0"/>
  </r>
  <r>
    <x v="77"/>
    <x v="3"/>
    <x v="3"/>
    <x v="10"/>
    <n v="0"/>
    <m/>
    <n v="0"/>
    <n v="0"/>
    <m/>
    <n v="0"/>
    <n v="0"/>
    <m/>
    <n v="0"/>
    <n v="0"/>
    <m/>
    <n v="0"/>
  </r>
  <r>
    <x v="78"/>
    <x v="6"/>
    <x v="6"/>
    <x v="11"/>
    <n v="0"/>
    <m/>
    <n v="0"/>
    <n v="0"/>
    <m/>
    <n v="0"/>
    <n v="0"/>
    <m/>
    <n v="0"/>
    <n v="0"/>
    <m/>
    <n v="0"/>
  </r>
  <r>
    <x v="79"/>
    <x v="6"/>
    <x v="6"/>
    <x v="11"/>
    <n v="0"/>
    <m/>
    <n v="0"/>
    <n v="0"/>
    <m/>
    <n v="0"/>
    <n v="0"/>
    <m/>
    <n v="0"/>
    <n v="0"/>
    <m/>
    <n v="0"/>
  </r>
  <r>
    <x v="80"/>
    <x v="4"/>
    <x v="4"/>
    <x v="5"/>
    <n v="0"/>
    <m/>
    <n v="0"/>
    <n v="0"/>
    <m/>
    <n v="0"/>
    <n v="0"/>
    <m/>
    <n v="0"/>
    <n v="0"/>
    <m/>
    <n v="0"/>
  </r>
  <r>
    <x v="81"/>
    <x v="1"/>
    <x v="1"/>
    <x v="2"/>
    <n v="0"/>
    <m/>
    <n v="0"/>
    <n v="0"/>
    <m/>
    <n v="0"/>
    <n v="0"/>
    <m/>
    <n v="0"/>
    <n v="0"/>
    <m/>
    <n v="0"/>
  </r>
  <r>
    <x v="82"/>
    <x v="1"/>
    <x v="1"/>
    <x v="2"/>
    <n v="0"/>
    <m/>
    <n v="0"/>
    <n v="0"/>
    <m/>
    <n v="0"/>
    <n v="0"/>
    <m/>
    <n v="0"/>
    <n v="0"/>
    <m/>
    <n v="0"/>
  </r>
  <r>
    <x v="83"/>
    <x v="0"/>
    <x v="0"/>
    <x v="1"/>
    <n v="0"/>
    <m/>
    <n v="0"/>
    <n v="0"/>
    <m/>
    <n v="0"/>
    <n v="0"/>
    <m/>
    <n v="0"/>
    <n v="0"/>
    <m/>
    <n v="0"/>
  </r>
  <r>
    <x v="84"/>
    <x v="0"/>
    <x v="0"/>
    <x v="0"/>
    <n v="0"/>
    <m/>
    <n v="0"/>
    <n v="0"/>
    <m/>
    <n v="0"/>
    <n v="0"/>
    <m/>
    <n v="0"/>
    <n v="46846"/>
    <m/>
    <n v="46846"/>
  </r>
  <r>
    <x v="85"/>
    <x v="7"/>
    <x v="7"/>
    <x v="12"/>
    <n v="0"/>
    <m/>
    <n v="0"/>
    <n v="0"/>
    <m/>
    <n v="0"/>
    <n v="0"/>
    <m/>
    <n v="0"/>
    <n v="6442"/>
    <m/>
    <n v="6442"/>
  </r>
  <r>
    <x v="86"/>
    <x v="0"/>
    <x v="0"/>
    <x v="1"/>
    <n v="0"/>
    <m/>
    <n v="0"/>
    <n v="0"/>
    <m/>
    <n v="0"/>
    <n v="0"/>
    <m/>
    <n v="0"/>
    <n v="0"/>
    <m/>
    <n v="0"/>
  </r>
  <r>
    <x v="87"/>
    <x v="3"/>
    <x v="3"/>
    <x v="13"/>
    <n v="0"/>
    <m/>
    <n v="0"/>
    <n v="0"/>
    <m/>
    <n v="0"/>
    <n v="3827"/>
    <m/>
    <n v="3827"/>
    <n v="0"/>
    <m/>
    <n v="0"/>
  </r>
  <r>
    <x v="88"/>
    <x v="3"/>
    <x v="3"/>
    <x v="13"/>
    <n v="4000"/>
    <m/>
    <n v="4000"/>
    <n v="0"/>
    <m/>
    <n v="0"/>
    <n v="0"/>
    <m/>
    <n v="0"/>
    <n v="0"/>
    <m/>
    <n v="0"/>
  </r>
  <r>
    <x v="89"/>
    <x v="3"/>
    <x v="3"/>
    <x v="13"/>
    <n v="0"/>
    <m/>
    <n v="0"/>
    <n v="0"/>
    <m/>
    <n v="0"/>
    <n v="7719"/>
    <m/>
    <n v="7719"/>
    <n v="0"/>
    <m/>
    <n v="0"/>
  </r>
  <r>
    <x v="90"/>
    <x v="3"/>
    <x v="3"/>
    <x v="13"/>
    <n v="0"/>
    <m/>
    <n v="0"/>
    <n v="0"/>
    <m/>
    <n v="0"/>
    <n v="0"/>
    <m/>
    <n v="0"/>
    <n v="0"/>
    <m/>
    <n v="0"/>
  </r>
  <r>
    <x v="91"/>
    <x v="0"/>
    <x v="0"/>
    <x v="0"/>
    <n v="0"/>
    <m/>
    <n v="0"/>
    <n v="0"/>
    <m/>
    <n v="0"/>
    <n v="0"/>
    <m/>
    <n v="0"/>
    <n v="243500"/>
    <m/>
    <n v="243500"/>
  </r>
  <r>
    <x v="92"/>
    <x v="0"/>
    <x v="0"/>
    <x v="0"/>
    <n v="36037"/>
    <m/>
    <n v="36037"/>
    <n v="0"/>
    <m/>
    <n v="0"/>
    <n v="0"/>
    <m/>
    <n v="0"/>
    <n v="0"/>
    <m/>
    <n v="0"/>
  </r>
  <r>
    <x v="93"/>
    <x v="0"/>
    <x v="0"/>
    <x v="0"/>
    <n v="0"/>
    <m/>
    <n v="0"/>
    <n v="0"/>
    <m/>
    <n v="0"/>
    <n v="0"/>
    <m/>
    <n v="0"/>
    <n v="0"/>
    <m/>
    <n v="0"/>
  </r>
  <r>
    <x v="94"/>
    <x v="0"/>
    <x v="0"/>
    <x v="0"/>
    <n v="0"/>
    <m/>
    <n v="0"/>
    <n v="0"/>
    <m/>
    <n v="0"/>
    <n v="0"/>
    <m/>
    <n v="0"/>
    <n v="0"/>
    <m/>
    <n v="0"/>
  </r>
  <r>
    <x v="95"/>
    <x v="0"/>
    <x v="0"/>
    <x v="0"/>
    <n v="0"/>
    <m/>
    <n v="0"/>
    <n v="0"/>
    <m/>
    <n v="0"/>
    <n v="0"/>
    <m/>
    <n v="0"/>
    <n v="0"/>
    <m/>
    <n v="0"/>
  </r>
  <r>
    <x v="96"/>
    <x v="0"/>
    <x v="0"/>
    <x v="0"/>
    <n v="0"/>
    <m/>
    <n v="0"/>
    <n v="0"/>
    <m/>
    <n v="0"/>
    <n v="0"/>
    <m/>
    <n v="0"/>
    <n v="0"/>
    <m/>
    <n v="0"/>
  </r>
  <r>
    <x v="97"/>
    <x v="4"/>
    <x v="4"/>
    <x v="5"/>
    <n v="57713"/>
    <m/>
    <n v="57713"/>
    <n v="0"/>
    <m/>
    <n v="0"/>
    <n v="0"/>
    <m/>
    <n v="0"/>
    <n v="0"/>
    <m/>
    <n v="0"/>
  </r>
  <r>
    <x v="98"/>
    <x v="0"/>
    <x v="0"/>
    <x v="0"/>
    <n v="0"/>
    <m/>
    <n v="0"/>
    <n v="0"/>
    <m/>
    <n v="0"/>
    <n v="0"/>
    <m/>
    <n v="0"/>
    <n v="0"/>
    <m/>
    <n v="0"/>
  </r>
  <r>
    <x v="99"/>
    <x v="0"/>
    <x v="0"/>
    <x v="0"/>
    <n v="0"/>
    <m/>
    <n v="0"/>
    <n v="0"/>
    <m/>
    <n v="0"/>
    <n v="0"/>
    <m/>
    <n v="0"/>
    <n v="0"/>
    <m/>
    <n v="0"/>
  </r>
  <r>
    <x v="100"/>
    <x v="7"/>
    <x v="7"/>
    <x v="14"/>
    <n v="0"/>
    <m/>
    <n v="0"/>
    <n v="25865"/>
    <m/>
    <n v="25865"/>
    <n v="0"/>
    <m/>
    <n v="0"/>
    <n v="0"/>
    <m/>
    <n v="0"/>
  </r>
  <r>
    <x v="101"/>
    <x v="0"/>
    <x v="0"/>
    <x v="0"/>
    <n v="0"/>
    <m/>
    <n v="0"/>
    <n v="0"/>
    <m/>
    <n v="0"/>
    <n v="0"/>
    <m/>
    <n v="0"/>
    <n v="0"/>
    <m/>
    <n v="0"/>
  </r>
  <r>
    <x v="102"/>
    <x v="0"/>
    <x v="0"/>
    <x v="0"/>
    <n v="0"/>
    <m/>
    <n v="0"/>
    <n v="0"/>
    <m/>
    <n v="0"/>
    <n v="0"/>
    <m/>
    <n v="0"/>
    <n v="0"/>
    <m/>
    <n v="0"/>
  </r>
  <r>
    <x v="103"/>
    <x v="3"/>
    <x v="3"/>
    <x v="15"/>
    <n v="0"/>
    <m/>
    <n v="0"/>
    <n v="0"/>
    <m/>
    <n v="0"/>
    <n v="2927"/>
    <m/>
    <n v="2927"/>
    <n v="0"/>
    <m/>
    <n v="0"/>
  </r>
  <r>
    <x v="104"/>
    <x v="0"/>
    <x v="0"/>
    <x v="1"/>
    <n v="0"/>
    <m/>
    <n v="0"/>
    <n v="61249"/>
    <m/>
    <n v="61249"/>
    <n v="0"/>
    <m/>
    <n v="0"/>
    <n v="72103"/>
    <m/>
    <n v="72103"/>
  </r>
  <r>
    <x v="105"/>
    <x v="5"/>
    <x v="5"/>
    <x v="8"/>
    <n v="0"/>
    <m/>
    <n v="0"/>
    <n v="1176528"/>
    <m/>
    <n v="1176528"/>
    <n v="0"/>
    <m/>
    <n v="0"/>
    <n v="1093348"/>
    <m/>
    <n v="1093348"/>
  </r>
  <r>
    <x v="106"/>
    <x v="3"/>
    <x v="3"/>
    <x v="16"/>
    <n v="134911.04000000001"/>
    <m/>
    <n v="134911.04000000001"/>
    <n v="0"/>
    <m/>
    <n v="0"/>
    <n v="475603.13"/>
    <n v="20.5"/>
    <n v="475623.63"/>
    <n v="0"/>
    <m/>
    <n v="0"/>
  </r>
  <r>
    <x v="107"/>
    <x v="3"/>
    <x v="3"/>
    <x v="17"/>
    <n v="629000"/>
    <n v="280877"/>
    <n v="909877"/>
    <n v="0"/>
    <m/>
    <n v="0"/>
    <n v="380250"/>
    <m/>
    <n v="380250"/>
    <n v="0"/>
    <m/>
    <n v="0"/>
  </r>
  <r>
    <x v="108"/>
    <x v="3"/>
    <x v="3"/>
    <x v="18"/>
    <n v="313371"/>
    <m/>
    <n v="313371"/>
    <n v="0"/>
    <m/>
    <n v="0"/>
    <n v="0"/>
    <m/>
    <n v="0"/>
    <n v="0"/>
    <m/>
    <n v="0"/>
  </r>
  <r>
    <x v="109"/>
    <x v="3"/>
    <x v="3"/>
    <x v="16"/>
    <n v="91200"/>
    <m/>
    <n v="91200"/>
    <n v="0"/>
    <m/>
    <n v="0"/>
    <n v="132600"/>
    <m/>
    <n v="132600"/>
    <n v="0"/>
    <m/>
    <n v="0"/>
  </r>
  <r>
    <x v="110"/>
    <x v="8"/>
    <x v="8"/>
    <x v="19"/>
    <n v="97878"/>
    <m/>
    <n v="97878"/>
    <n v="0"/>
    <m/>
    <n v="0"/>
    <n v="185908"/>
    <m/>
    <n v="185908"/>
    <n v="0"/>
    <m/>
    <n v="0"/>
  </r>
  <r>
    <x v="111"/>
    <x v="8"/>
    <x v="8"/>
    <x v="19"/>
    <n v="274305"/>
    <m/>
    <n v="274305"/>
    <n v="0"/>
    <m/>
    <n v="0"/>
    <n v="140000"/>
    <m/>
    <n v="140000"/>
    <n v="0"/>
    <m/>
    <n v="0"/>
  </r>
  <r>
    <x v="112"/>
    <x v="0"/>
    <x v="0"/>
    <x v="1"/>
    <n v="0"/>
    <m/>
    <n v="0"/>
    <n v="262245"/>
    <m/>
    <n v="262245"/>
    <n v="0"/>
    <m/>
    <n v="0"/>
    <n v="0"/>
    <m/>
    <n v="0"/>
  </r>
  <r>
    <x v="113"/>
    <x v="0"/>
    <x v="0"/>
    <x v="1"/>
    <n v="0"/>
    <m/>
    <n v="0"/>
    <n v="209878"/>
    <m/>
    <n v="209878"/>
    <n v="0"/>
    <m/>
    <n v="0"/>
    <n v="53563"/>
    <m/>
    <n v="53563"/>
  </r>
  <r>
    <x v="114"/>
    <x v="0"/>
    <x v="0"/>
    <x v="1"/>
    <n v="0"/>
    <m/>
    <n v="0"/>
    <n v="0"/>
    <m/>
    <n v="0"/>
    <n v="0"/>
    <m/>
    <n v="0"/>
    <n v="0"/>
    <m/>
    <n v="0"/>
  </r>
  <r>
    <x v="115"/>
    <x v="1"/>
    <x v="1"/>
    <x v="7"/>
    <n v="0"/>
    <m/>
    <n v="0"/>
    <n v="0"/>
    <m/>
    <n v="0"/>
    <n v="0"/>
    <m/>
    <n v="0"/>
    <n v="0"/>
    <m/>
    <n v="0"/>
  </r>
  <r>
    <x v="116"/>
    <x v="1"/>
    <x v="1"/>
    <x v="7"/>
    <n v="0"/>
    <m/>
    <n v="0"/>
    <n v="0"/>
    <m/>
    <n v="0"/>
    <n v="0"/>
    <m/>
    <n v="0"/>
    <n v="0"/>
    <m/>
    <n v="0"/>
  </r>
  <r>
    <x v="117"/>
    <x v="1"/>
    <x v="1"/>
    <x v="7"/>
    <n v="0"/>
    <m/>
    <n v="0"/>
    <n v="0"/>
    <m/>
    <n v="0"/>
    <n v="0"/>
    <m/>
    <n v="0"/>
    <n v="0"/>
    <m/>
    <n v="0"/>
  </r>
  <r>
    <x v="118"/>
    <x v="1"/>
    <x v="1"/>
    <x v="7"/>
    <n v="1585664"/>
    <m/>
    <n v="1585664"/>
    <n v="0"/>
    <m/>
    <n v="0"/>
    <n v="0"/>
    <m/>
    <n v="0"/>
    <n v="0"/>
    <m/>
    <n v="0"/>
  </r>
  <r>
    <x v="119"/>
    <x v="1"/>
    <x v="1"/>
    <x v="7"/>
    <n v="0"/>
    <m/>
    <n v="0"/>
    <n v="0"/>
    <m/>
    <n v="0"/>
    <n v="0"/>
    <m/>
    <n v="0"/>
    <n v="0"/>
    <m/>
    <n v="0"/>
  </r>
  <r>
    <x v="120"/>
    <x v="1"/>
    <x v="1"/>
    <x v="7"/>
    <n v="0"/>
    <m/>
    <n v="0"/>
    <n v="0"/>
    <m/>
    <n v="0"/>
    <n v="0"/>
    <m/>
    <n v="0"/>
    <n v="0"/>
    <m/>
    <n v="0"/>
  </r>
  <r>
    <x v="121"/>
    <x v="2"/>
    <x v="2"/>
    <x v="6"/>
    <n v="0"/>
    <m/>
    <n v="0"/>
    <n v="0"/>
    <m/>
    <n v="0"/>
    <n v="2000"/>
    <m/>
    <n v="2000"/>
    <n v="0"/>
    <m/>
    <n v="0"/>
  </r>
  <r>
    <x v="122"/>
    <x v="3"/>
    <x v="3"/>
    <x v="20"/>
    <n v="3207346"/>
    <m/>
    <n v="3207346"/>
    <n v="0"/>
    <m/>
    <n v="0"/>
    <n v="3586075"/>
    <m/>
    <n v="3586075"/>
    <n v="0"/>
    <m/>
    <n v="0"/>
  </r>
  <r>
    <x v="123"/>
    <x v="3"/>
    <x v="3"/>
    <x v="20"/>
    <n v="0"/>
    <m/>
    <n v="0"/>
    <n v="0"/>
    <m/>
    <n v="0"/>
    <n v="0"/>
    <m/>
    <n v="0"/>
    <n v="0"/>
    <m/>
    <n v="0"/>
  </r>
  <r>
    <x v="124"/>
    <x v="3"/>
    <x v="3"/>
    <x v="21"/>
    <n v="2575"/>
    <m/>
    <n v="2575"/>
    <n v="0"/>
    <m/>
    <n v="0"/>
    <n v="3442"/>
    <m/>
    <n v="3442"/>
    <n v="0"/>
    <m/>
    <n v="0"/>
  </r>
  <r>
    <x v="125"/>
    <x v="9"/>
    <x v="9"/>
    <x v="22"/>
    <n v="58923230.630000003"/>
    <m/>
    <n v="58923230.630000003"/>
    <n v="0"/>
    <m/>
    <n v="0"/>
    <n v="56016203.549999997"/>
    <m/>
    <n v="56016203.549999997"/>
    <n v="0"/>
    <m/>
    <n v="0"/>
  </r>
  <r>
    <x v="126"/>
    <x v="9"/>
    <x v="9"/>
    <x v="22"/>
    <n v="0"/>
    <m/>
    <n v="0"/>
    <n v="0"/>
    <m/>
    <n v="0"/>
    <n v="0"/>
    <m/>
    <n v="0"/>
    <n v="0"/>
    <m/>
    <n v="0"/>
  </r>
  <r>
    <x v="127"/>
    <x v="9"/>
    <x v="9"/>
    <x v="22"/>
    <n v="0"/>
    <m/>
    <n v="0"/>
    <n v="0"/>
    <m/>
    <n v="0"/>
    <n v="0"/>
    <m/>
    <n v="0"/>
    <n v="0"/>
    <m/>
    <n v="0"/>
  </r>
  <r>
    <x v="128"/>
    <x v="10"/>
    <x v="10"/>
    <x v="23"/>
    <n v="0"/>
    <m/>
    <n v="0"/>
    <n v="20413989"/>
    <m/>
    <n v="20413989"/>
    <n v="0"/>
    <m/>
    <n v="0"/>
    <n v="20413989"/>
    <m/>
    <n v="20413989"/>
  </r>
  <r>
    <x v="129"/>
    <x v="3"/>
    <x v="3"/>
    <x v="24"/>
    <n v="0"/>
    <m/>
    <n v="0"/>
    <n v="0"/>
    <m/>
    <n v="0"/>
    <n v="6500"/>
    <m/>
    <n v="6500"/>
    <n v="0"/>
    <m/>
    <n v="0"/>
  </r>
  <r>
    <x v="130"/>
    <x v="3"/>
    <x v="3"/>
    <x v="24"/>
    <n v="5531"/>
    <m/>
    <n v="5531"/>
    <n v="0"/>
    <m/>
    <n v="0"/>
    <n v="0"/>
    <m/>
    <n v="0"/>
    <n v="0"/>
    <m/>
    <n v="0"/>
  </r>
  <r>
    <x v="131"/>
    <x v="3"/>
    <x v="3"/>
    <x v="24"/>
    <n v="0"/>
    <m/>
    <n v="0"/>
    <n v="0"/>
    <m/>
    <n v="0"/>
    <n v="0"/>
    <m/>
    <n v="0"/>
    <n v="0"/>
    <m/>
    <n v="0"/>
  </r>
  <r>
    <x v="132"/>
    <x v="3"/>
    <x v="3"/>
    <x v="25"/>
    <n v="364309"/>
    <m/>
    <n v="364309"/>
    <n v="0"/>
    <m/>
    <n v="0"/>
    <n v="373855"/>
    <m/>
    <n v="373855"/>
    <n v="0"/>
    <m/>
    <n v="0"/>
  </r>
  <r>
    <x v="133"/>
    <x v="3"/>
    <x v="3"/>
    <x v="20"/>
    <n v="95263"/>
    <m/>
    <n v="95263"/>
    <n v="0"/>
    <m/>
    <n v="0"/>
    <n v="95134"/>
    <m/>
    <n v="95134"/>
    <n v="0"/>
    <m/>
    <n v="0"/>
  </r>
  <r>
    <x v="134"/>
    <x v="3"/>
    <x v="3"/>
    <x v="20"/>
    <n v="81600"/>
    <m/>
    <n v="81600"/>
    <n v="0"/>
    <m/>
    <n v="0"/>
    <n v="64762"/>
    <m/>
    <n v="64762"/>
    <n v="0"/>
    <m/>
    <n v="0"/>
  </r>
  <r>
    <x v="135"/>
    <x v="11"/>
    <x v="11"/>
    <x v="26"/>
    <n v="255504"/>
    <m/>
    <n v="255504"/>
    <n v="0"/>
    <m/>
    <n v="0"/>
    <n v="234166"/>
    <n v="0"/>
    <n v="234166"/>
    <n v="0"/>
    <m/>
    <n v="0"/>
  </r>
  <r>
    <x v="136"/>
    <x v="2"/>
    <x v="2"/>
    <x v="27"/>
    <n v="0"/>
    <m/>
    <n v="0"/>
    <n v="0"/>
    <m/>
    <n v="0"/>
    <n v="0"/>
    <m/>
    <n v="0"/>
    <n v="0"/>
    <m/>
    <n v="0"/>
  </r>
  <r>
    <x v="137"/>
    <x v="2"/>
    <x v="2"/>
    <x v="27"/>
    <n v="0"/>
    <m/>
    <n v="0"/>
    <n v="0"/>
    <m/>
    <n v="0"/>
    <n v="0"/>
    <m/>
    <n v="0"/>
    <n v="0"/>
    <m/>
    <n v="0"/>
  </r>
  <r>
    <x v="138"/>
    <x v="2"/>
    <x v="2"/>
    <x v="27"/>
    <n v="0"/>
    <m/>
    <n v="0"/>
    <n v="0"/>
    <m/>
    <n v="0"/>
    <n v="0"/>
    <m/>
    <n v="0"/>
    <n v="0"/>
    <m/>
    <n v="0"/>
  </r>
  <r>
    <x v="139"/>
    <x v="2"/>
    <x v="2"/>
    <x v="27"/>
    <n v="0"/>
    <m/>
    <n v="0"/>
    <n v="0"/>
    <m/>
    <n v="0"/>
    <n v="0"/>
    <m/>
    <n v="0"/>
    <n v="0"/>
    <m/>
    <n v="0"/>
  </r>
  <r>
    <x v="140"/>
    <x v="2"/>
    <x v="2"/>
    <x v="27"/>
    <n v="0"/>
    <m/>
    <n v="0"/>
    <n v="0"/>
    <m/>
    <n v="0"/>
    <n v="0"/>
    <m/>
    <n v="0"/>
    <n v="0"/>
    <m/>
    <n v="0"/>
  </r>
  <r>
    <x v="141"/>
    <x v="2"/>
    <x v="2"/>
    <x v="27"/>
    <n v="0"/>
    <m/>
    <n v="0"/>
    <n v="0"/>
    <m/>
    <n v="0"/>
    <n v="0"/>
    <m/>
    <n v="0"/>
    <n v="0"/>
    <m/>
    <n v="0"/>
  </r>
  <r>
    <x v="142"/>
    <x v="2"/>
    <x v="2"/>
    <x v="27"/>
    <n v="0"/>
    <m/>
    <n v="0"/>
    <n v="0"/>
    <m/>
    <n v="0"/>
    <n v="0"/>
    <m/>
    <n v="0"/>
    <n v="0"/>
    <m/>
    <n v="0"/>
  </r>
  <r>
    <x v="143"/>
    <x v="2"/>
    <x v="2"/>
    <x v="27"/>
    <n v="0"/>
    <m/>
    <n v="0"/>
    <n v="0"/>
    <m/>
    <n v="0"/>
    <n v="0"/>
    <m/>
    <n v="0"/>
    <n v="0"/>
    <m/>
    <n v="0"/>
  </r>
  <r>
    <x v="144"/>
    <x v="2"/>
    <x v="2"/>
    <x v="27"/>
    <n v="0"/>
    <m/>
    <n v="0"/>
    <n v="0"/>
    <m/>
    <n v="0"/>
    <n v="0"/>
    <m/>
    <n v="0"/>
    <n v="0"/>
    <m/>
    <n v="0"/>
  </r>
  <r>
    <x v="145"/>
    <x v="2"/>
    <x v="2"/>
    <x v="27"/>
    <n v="0"/>
    <m/>
    <n v="0"/>
    <n v="0"/>
    <m/>
    <n v="0"/>
    <n v="0"/>
    <m/>
    <n v="0"/>
    <n v="0"/>
    <m/>
    <n v="0"/>
  </r>
  <r>
    <x v="146"/>
    <x v="2"/>
    <x v="2"/>
    <x v="27"/>
    <n v="0"/>
    <m/>
    <n v="0"/>
    <n v="0"/>
    <m/>
    <n v="0"/>
    <n v="0"/>
    <m/>
    <n v="0"/>
    <n v="0"/>
    <m/>
    <n v="0"/>
  </r>
  <r>
    <x v="147"/>
    <x v="2"/>
    <x v="2"/>
    <x v="27"/>
    <n v="0"/>
    <m/>
    <n v="0"/>
    <n v="0"/>
    <m/>
    <n v="0"/>
    <n v="0"/>
    <m/>
    <n v="0"/>
    <n v="0"/>
    <m/>
    <n v="0"/>
  </r>
  <r>
    <x v="148"/>
    <x v="2"/>
    <x v="2"/>
    <x v="27"/>
    <n v="0"/>
    <m/>
    <n v="0"/>
    <n v="0"/>
    <m/>
    <n v="0"/>
    <n v="0"/>
    <m/>
    <n v="0"/>
    <n v="0"/>
    <m/>
    <n v="0"/>
  </r>
  <r>
    <x v="149"/>
    <x v="2"/>
    <x v="2"/>
    <x v="27"/>
    <n v="0"/>
    <m/>
    <n v="0"/>
    <n v="0"/>
    <m/>
    <n v="0"/>
    <n v="0"/>
    <m/>
    <n v="0"/>
    <n v="0"/>
    <m/>
    <n v="0"/>
  </r>
  <r>
    <x v="150"/>
    <x v="2"/>
    <x v="2"/>
    <x v="27"/>
    <n v="0"/>
    <m/>
    <n v="0"/>
    <n v="0"/>
    <m/>
    <n v="0"/>
    <n v="0"/>
    <m/>
    <n v="0"/>
    <n v="0"/>
    <m/>
    <n v="0"/>
  </r>
  <r>
    <x v="151"/>
    <x v="2"/>
    <x v="2"/>
    <x v="27"/>
    <n v="0"/>
    <m/>
    <n v="0"/>
    <n v="0"/>
    <m/>
    <n v="0"/>
    <n v="0"/>
    <m/>
    <n v="0"/>
    <n v="0"/>
    <m/>
    <n v="0"/>
  </r>
  <r>
    <x v="152"/>
    <x v="2"/>
    <x v="2"/>
    <x v="27"/>
    <n v="0"/>
    <m/>
    <n v="0"/>
    <n v="0"/>
    <m/>
    <n v="0"/>
    <n v="0"/>
    <m/>
    <n v="0"/>
    <n v="0"/>
    <m/>
    <n v="0"/>
  </r>
  <r>
    <x v="153"/>
    <x v="2"/>
    <x v="2"/>
    <x v="27"/>
    <n v="0"/>
    <m/>
    <n v="0"/>
    <n v="0"/>
    <m/>
    <n v="0"/>
    <n v="0"/>
    <m/>
    <n v="0"/>
    <n v="0"/>
    <m/>
    <n v="0"/>
  </r>
  <r>
    <x v="154"/>
    <x v="2"/>
    <x v="2"/>
    <x v="27"/>
    <n v="0"/>
    <m/>
    <n v="0"/>
    <n v="0"/>
    <m/>
    <n v="0"/>
    <n v="0"/>
    <m/>
    <n v="0"/>
    <n v="0"/>
    <m/>
    <n v="0"/>
  </r>
  <r>
    <x v="155"/>
    <x v="2"/>
    <x v="2"/>
    <x v="27"/>
    <n v="0"/>
    <m/>
    <n v="0"/>
    <n v="0"/>
    <m/>
    <n v="0"/>
    <n v="0"/>
    <m/>
    <n v="0"/>
    <n v="0"/>
    <m/>
    <n v="0"/>
  </r>
  <r>
    <x v="156"/>
    <x v="2"/>
    <x v="2"/>
    <x v="27"/>
    <n v="0"/>
    <m/>
    <n v="0"/>
    <n v="0"/>
    <m/>
    <n v="0"/>
    <n v="0"/>
    <m/>
    <n v="0"/>
    <n v="0"/>
    <m/>
    <n v="0"/>
  </r>
  <r>
    <x v="157"/>
    <x v="2"/>
    <x v="2"/>
    <x v="27"/>
    <n v="0"/>
    <m/>
    <n v="0"/>
    <n v="0"/>
    <m/>
    <n v="0"/>
    <n v="0"/>
    <m/>
    <n v="0"/>
    <n v="0"/>
    <m/>
    <n v="0"/>
  </r>
  <r>
    <x v="158"/>
    <x v="2"/>
    <x v="2"/>
    <x v="27"/>
    <n v="0"/>
    <m/>
    <n v="0"/>
    <n v="0"/>
    <m/>
    <n v="0"/>
    <n v="0"/>
    <m/>
    <n v="0"/>
    <n v="0"/>
    <m/>
    <n v="0"/>
  </r>
  <r>
    <x v="159"/>
    <x v="2"/>
    <x v="2"/>
    <x v="27"/>
    <n v="0"/>
    <m/>
    <n v="0"/>
    <n v="0"/>
    <m/>
    <n v="0"/>
    <n v="0"/>
    <m/>
    <n v="0"/>
    <n v="0"/>
    <m/>
    <n v="0"/>
  </r>
  <r>
    <x v="160"/>
    <x v="2"/>
    <x v="2"/>
    <x v="27"/>
    <n v="0"/>
    <m/>
    <n v="0"/>
    <n v="0"/>
    <m/>
    <n v="0"/>
    <n v="0"/>
    <m/>
    <n v="0"/>
    <n v="0"/>
    <m/>
    <n v="0"/>
  </r>
  <r>
    <x v="161"/>
    <x v="2"/>
    <x v="2"/>
    <x v="27"/>
    <n v="0"/>
    <m/>
    <n v="0"/>
    <n v="0"/>
    <m/>
    <n v="0"/>
    <n v="0"/>
    <m/>
    <n v="0"/>
    <n v="0"/>
    <m/>
    <n v="0"/>
  </r>
  <r>
    <x v="162"/>
    <x v="2"/>
    <x v="2"/>
    <x v="27"/>
    <n v="0"/>
    <m/>
    <n v="0"/>
    <n v="0"/>
    <m/>
    <n v="0"/>
    <n v="0"/>
    <m/>
    <n v="0"/>
    <n v="0"/>
    <m/>
    <n v="0"/>
  </r>
  <r>
    <x v="163"/>
    <x v="2"/>
    <x v="2"/>
    <x v="27"/>
    <n v="0"/>
    <m/>
    <n v="0"/>
    <n v="0"/>
    <m/>
    <n v="0"/>
    <n v="0"/>
    <m/>
    <n v="0"/>
    <n v="0"/>
    <m/>
    <n v="0"/>
  </r>
  <r>
    <x v="164"/>
    <x v="2"/>
    <x v="2"/>
    <x v="27"/>
    <n v="0"/>
    <m/>
    <n v="0"/>
    <n v="0"/>
    <m/>
    <n v="0"/>
    <n v="0"/>
    <m/>
    <n v="0"/>
    <n v="0"/>
    <m/>
    <n v="0"/>
  </r>
  <r>
    <x v="165"/>
    <x v="2"/>
    <x v="2"/>
    <x v="27"/>
    <n v="0"/>
    <m/>
    <n v="0"/>
    <n v="0"/>
    <m/>
    <n v="0"/>
    <n v="0"/>
    <m/>
    <n v="0"/>
    <n v="0"/>
    <m/>
    <n v="0"/>
  </r>
  <r>
    <x v="166"/>
    <x v="2"/>
    <x v="2"/>
    <x v="27"/>
    <n v="0"/>
    <m/>
    <n v="0"/>
    <n v="0"/>
    <m/>
    <n v="0"/>
    <n v="0"/>
    <m/>
    <n v="0"/>
    <n v="0"/>
    <m/>
    <n v="0"/>
  </r>
  <r>
    <x v="167"/>
    <x v="2"/>
    <x v="2"/>
    <x v="27"/>
    <n v="0"/>
    <m/>
    <n v="0"/>
    <n v="0"/>
    <m/>
    <n v="0"/>
    <n v="0"/>
    <m/>
    <n v="0"/>
    <n v="0"/>
    <m/>
    <n v="0"/>
  </r>
  <r>
    <x v="168"/>
    <x v="2"/>
    <x v="2"/>
    <x v="27"/>
    <n v="0"/>
    <m/>
    <n v="0"/>
    <n v="0"/>
    <m/>
    <n v="0"/>
    <n v="0"/>
    <m/>
    <n v="0"/>
    <n v="0"/>
    <m/>
    <n v="0"/>
  </r>
  <r>
    <x v="169"/>
    <x v="2"/>
    <x v="2"/>
    <x v="27"/>
    <n v="0"/>
    <m/>
    <n v="0"/>
    <n v="0"/>
    <m/>
    <n v="0"/>
    <n v="0"/>
    <m/>
    <n v="0"/>
    <n v="0"/>
    <m/>
    <n v="0"/>
  </r>
  <r>
    <x v="170"/>
    <x v="2"/>
    <x v="2"/>
    <x v="27"/>
    <n v="0"/>
    <m/>
    <n v="0"/>
    <n v="0"/>
    <m/>
    <n v="0"/>
    <n v="0"/>
    <m/>
    <n v="0"/>
    <n v="0"/>
    <m/>
    <n v="0"/>
  </r>
  <r>
    <x v="171"/>
    <x v="2"/>
    <x v="2"/>
    <x v="27"/>
    <n v="0"/>
    <m/>
    <n v="0"/>
    <n v="0"/>
    <m/>
    <n v="0"/>
    <n v="0"/>
    <m/>
    <n v="0"/>
    <n v="0"/>
    <m/>
    <n v="0"/>
  </r>
  <r>
    <x v="172"/>
    <x v="2"/>
    <x v="2"/>
    <x v="27"/>
    <n v="0"/>
    <m/>
    <n v="0"/>
    <n v="0"/>
    <m/>
    <n v="0"/>
    <n v="0"/>
    <m/>
    <n v="0"/>
    <n v="0"/>
    <m/>
    <n v="0"/>
  </r>
  <r>
    <x v="173"/>
    <x v="2"/>
    <x v="2"/>
    <x v="27"/>
    <n v="0"/>
    <m/>
    <n v="0"/>
    <n v="0"/>
    <m/>
    <n v="0"/>
    <n v="0"/>
    <m/>
    <n v="0"/>
    <n v="0"/>
    <m/>
    <n v="0"/>
  </r>
  <r>
    <x v="174"/>
    <x v="2"/>
    <x v="2"/>
    <x v="27"/>
    <n v="0"/>
    <m/>
    <n v="0"/>
    <n v="0"/>
    <m/>
    <n v="0"/>
    <n v="0"/>
    <m/>
    <n v="0"/>
    <n v="0"/>
    <m/>
    <n v="0"/>
  </r>
  <r>
    <x v="175"/>
    <x v="2"/>
    <x v="2"/>
    <x v="27"/>
    <n v="0"/>
    <m/>
    <n v="0"/>
    <n v="0"/>
    <m/>
    <n v="0"/>
    <n v="0"/>
    <m/>
    <n v="0"/>
    <n v="0"/>
    <m/>
    <n v="0"/>
  </r>
  <r>
    <x v="176"/>
    <x v="2"/>
    <x v="2"/>
    <x v="27"/>
    <n v="61274.11"/>
    <m/>
    <n v="61274.11"/>
    <n v="0"/>
    <m/>
    <n v="0"/>
    <n v="0"/>
    <m/>
    <n v="0"/>
    <n v="0"/>
    <m/>
    <n v="0"/>
  </r>
  <r>
    <x v="177"/>
    <x v="2"/>
    <x v="2"/>
    <x v="27"/>
    <n v="0"/>
    <m/>
    <n v="0"/>
    <n v="0"/>
    <m/>
    <n v="0"/>
    <n v="1108272.6399999999"/>
    <m/>
    <n v="1108272.6399999999"/>
    <n v="0"/>
    <m/>
    <n v="0"/>
  </r>
  <r>
    <x v="178"/>
    <x v="0"/>
    <x v="0"/>
    <x v="0"/>
    <n v="0"/>
    <m/>
    <n v="0"/>
    <n v="0"/>
    <m/>
    <n v="0"/>
    <n v="0"/>
    <m/>
    <n v="0"/>
    <n v="0"/>
    <m/>
    <n v="0"/>
  </r>
  <r>
    <x v="179"/>
    <x v="0"/>
    <x v="0"/>
    <x v="0"/>
    <n v="0"/>
    <m/>
    <n v="0"/>
    <n v="0"/>
    <m/>
    <n v="0"/>
    <n v="0"/>
    <m/>
    <n v="0"/>
    <n v="7300"/>
    <m/>
    <n v="7300"/>
  </r>
  <r>
    <x v="180"/>
    <x v="1"/>
    <x v="1"/>
    <x v="2"/>
    <n v="19377618"/>
    <m/>
    <n v="19377618"/>
    <n v="0"/>
    <m/>
    <n v="0"/>
    <n v="2655823"/>
    <m/>
    <n v="2655823"/>
    <n v="0"/>
    <m/>
    <n v="0"/>
  </r>
  <r>
    <x v="181"/>
    <x v="0"/>
    <x v="0"/>
    <x v="1"/>
    <n v="0"/>
    <m/>
    <n v="0"/>
    <n v="0"/>
    <m/>
    <n v="0"/>
    <n v="0"/>
    <m/>
    <n v="0"/>
    <n v="173652"/>
    <m/>
    <n v="173652"/>
  </r>
  <r>
    <x v="182"/>
    <x v="0"/>
    <x v="0"/>
    <x v="1"/>
    <n v="0"/>
    <m/>
    <n v="0"/>
    <n v="638291"/>
    <m/>
    <n v="638291"/>
    <n v="0"/>
    <m/>
    <n v="0"/>
    <n v="0"/>
    <m/>
    <n v="0"/>
  </r>
  <r>
    <x v="183"/>
    <x v="1"/>
    <x v="1"/>
    <x v="2"/>
    <n v="396306"/>
    <m/>
    <n v="396306"/>
    <n v="0"/>
    <m/>
    <n v="0"/>
    <n v="4304700"/>
    <m/>
    <n v="4304700"/>
    <n v="0"/>
    <m/>
    <n v="0"/>
  </r>
  <r>
    <x v="184"/>
    <x v="2"/>
    <x v="2"/>
    <x v="6"/>
    <n v="4000"/>
    <m/>
    <n v="4000"/>
    <n v="0"/>
    <m/>
    <n v="0"/>
    <n v="7000"/>
    <m/>
    <n v="7000"/>
    <n v="0"/>
    <m/>
    <n v="0"/>
  </r>
  <r>
    <x v="185"/>
    <x v="12"/>
    <x v="12"/>
    <x v="28"/>
    <n v="34675595"/>
    <m/>
    <n v="34675595"/>
    <n v="0"/>
    <m/>
    <n v="0"/>
    <n v="41533028.75"/>
    <m/>
    <n v="41533028.75"/>
    <n v="0"/>
    <m/>
    <n v="0"/>
  </r>
  <r>
    <x v="186"/>
    <x v="1"/>
    <x v="1"/>
    <x v="2"/>
    <n v="614111"/>
    <m/>
    <n v="614111"/>
    <n v="0"/>
    <m/>
    <n v="0"/>
    <n v="886060"/>
    <m/>
    <n v="886060"/>
    <n v="0"/>
    <m/>
    <n v="0"/>
  </r>
  <r>
    <x v="187"/>
    <x v="0"/>
    <x v="0"/>
    <x v="1"/>
    <n v="0"/>
    <m/>
    <n v="0"/>
    <n v="0"/>
    <m/>
    <n v="0"/>
    <n v="0"/>
    <m/>
    <n v="0"/>
    <n v="0"/>
    <m/>
    <n v="0"/>
  </r>
  <r>
    <x v="188"/>
    <x v="12"/>
    <x v="12"/>
    <x v="28"/>
    <n v="25835930"/>
    <m/>
    <n v="25835930"/>
    <n v="0"/>
    <m/>
    <n v="0"/>
    <n v="48514808.600000001"/>
    <m/>
    <n v="48514808.600000001"/>
    <n v="0"/>
    <m/>
    <n v="0"/>
  </r>
  <r>
    <x v="189"/>
    <x v="3"/>
    <x v="3"/>
    <x v="25"/>
    <n v="171625"/>
    <m/>
    <n v="171625"/>
    <n v="0"/>
    <m/>
    <n v="0"/>
    <n v="219361"/>
    <m/>
    <n v="219361"/>
    <n v="0"/>
    <m/>
    <n v="0"/>
  </r>
  <r>
    <x v="190"/>
    <x v="3"/>
    <x v="3"/>
    <x v="29"/>
    <n v="61275"/>
    <m/>
    <n v="61275"/>
    <n v="0"/>
    <m/>
    <n v="0"/>
    <n v="923225"/>
    <m/>
    <n v="923225"/>
    <n v="0"/>
    <m/>
    <n v="0"/>
  </r>
  <r>
    <x v="191"/>
    <x v="3"/>
    <x v="3"/>
    <x v="29"/>
    <n v="38717565.439999998"/>
    <m/>
    <n v="38717565.439999998"/>
    <n v="0"/>
    <m/>
    <n v="0"/>
    <n v="44460025.039999999"/>
    <m/>
    <n v="44460025.039999999"/>
    <n v="0"/>
    <m/>
    <n v="0"/>
  </r>
  <r>
    <x v="192"/>
    <x v="3"/>
    <x v="3"/>
    <x v="18"/>
    <n v="1806809"/>
    <m/>
    <n v="1806809"/>
    <n v="0"/>
    <m/>
    <n v="0"/>
    <n v="1723504"/>
    <m/>
    <n v="1723504"/>
    <n v="0"/>
    <m/>
    <n v="0"/>
  </r>
  <r>
    <x v="193"/>
    <x v="3"/>
    <x v="3"/>
    <x v="18"/>
    <n v="81671"/>
    <m/>
    <n v="81671"/>
    <n v="0"/>
    <m/>
    <n v="0"/>
    <n v="38030"/>
    <m/>
    <n v="38030"/>
    <n v="0"/>
    <m/>
    <n v="0"/>
  </r>
  <r>
    <x v="194"/>
    <x v="9"/>
    <x v="9"/>
    <x v="22"/>
    <n v="744525.7"/>
    <m/>
    <n v="744525.7"/>
    <n v="0"/>
    <m/>
    <n v="0"/>
    <n v="1057200.7"/>
    <m/>
    <n v="1057200.7"/>
    <n v="0"/>
    <m/>
    <n v="0"/>
  </r>
  <r>
    <x v="195"/>
    <x v="3"/>
    <x v="3"/>
    <x v="30"/>
    <n v="7000"/>
    <m/>
    <n v="7000"/>
    <n v="0"/>
    <m/>
    <n v="0"/>
    <n v="7000"/>
    <m/>
    <n v="7000"/>
    <n v="0"/>
    <m/>
    <n v="0"/>
  </r>
  <r>
    <x v="196"/>
    <x v="4"/>
    <x v="4"/>
    <x v="5"/>
    <n v="0"/>
    <m/>
    <n v="0"/>
    <n v="0"/>
    <m/>
    <n v="0"/>
    <n v="42915.89"/>
    <m/>
    <n v="42915.89"/>
    <n v="0"/>
    <m/>
    <n v="0"/>
  </r>
  <r>
    <x v="197"/>
    <x v="6"/>
    <x v="6"/>
    <x v="31"/>
    <n v="0"/>
    <m/>
    <n v="0"/>
    <n v="23574"/>
    <m/>
    <n v="23574"/>
    <n v="0"/>
    <m/>
    <n v="0"/>
    <n v="21838"/>
    <m/>
    <n v="21838"/>
  </r>
  <r>
    <x v="198"/>
    <x v="6"/>
    <x v="6"/>
    <x v="31"/>
    <n v="0"/>
    <m/>
    <n v="0"/>
    <n v="206714"/>
    <m/>
    <n v="206714"/>
    <n v="0"/>
    <m/>
    <n v="0"/>
    <n v="184366"/>
    <m/>
    <n v="184366"/>
  </r>
  <r>
    <x v="199"/>
    <x v="3"/>
    <x v="3"/>
    <x v="32"/>
    <n v="30655"/>
    <m/>
    <n v="30655"/>
    <n v="0"/>
    <m/>
    <n v="0"/>
    <n v="28640"/>
    <m/>
    <n v="28640"/>
    <n v="0"/>
    <m/>
    <n v="0"/>
  </r>
  <r>
    <x v="200"/>
    <x v="3"/>
    <x v="3"/>
    <x v="32"/>
    <n v="25835"/>
    <m/>
    <n v="25835"/>
    <n v="0"/>
    <m/>
    <n v="0"/>
    <n v="45845"/>
    <m/>
    <n v="45845"/>
    <n v="0"/>
    <m/>
    <n v="0"/>
  </r>
  <r>
    <x v="201"/>
    <x v="1"/>
    <x v="1"/>
    <x v="2"/>
    <n v="62901"/>
    <m/>
    <n v="62901"/>
    <n v="0"/>
    <m/>
    <n v="0"/>
    <n v="2786944"/>
    <m/>
    <n v="2786944"/>
    <n v="0"/>
    <m/>
    <n v="0"/>
  </r>
  <r>
    <x v="202"/>
    <x v="3"/>
    <x v="3"/>
    <x v="9"/>
    <n v="44221.5"/>
    <m/>
    <n v="44221.5"/>
    <n v="0"/>
    <m/>
    <n v="0"/>
    <n v="60454"/>
    <m/>
    <n v="60454"/>
    <n v="0"/>
    <m/>
    <n v="0"/>
  </r>
  <r>
    <x v="203"/>
    <x v="3"/>
    <x v="3"/>
    <x v="9"/>
    <n v="500"/>
    <m/>
    <n v="500"/>
    <n v="0"/>
    <m/>
    <n v="0"/>
    <n v="0"/>
    <m/>
    <n v="0"/>
    <n v="0"/>
    <m/>
    <n v="0"/>
  </r>
  <r>
    <x v="204"/>
    <x v="2"/>
    <x v="2"/>
    <x v="27"/>
    <n v="0"/>
    <m/>
    <n v="0"/>
    <n v="0"/>
    <m/>
    <n v="0"/>
    <n v="0"/>
    <m/>
    <n v="0"/>
    <n v="0"/>
    <m/>
    <n v="0"/>
  </r>
  <r>
    <x v="205"/>
    <x v="3"/>
    <x v="3"/>
    <x v="24"/>
    <n v="0"/>
    <m/>
    <n v="0"/>
    <n v="0"/>
    <m/>
    <n v="0"/>
    <n v="0"/>
    <m/>
    <n v="0"/>
    <n v="0"/>
    <m/>
    <n v="0"/>
  </r>
  <r>
    <x v="206"/>
    <x v="2"/>
    <x v="2"/>
    <x v="33"/>
    <n v="0"/>
    <m/>
    <n v="0"/>
    <n v="0"/>
    <m/>
    <n v="0"/>
    <n v="0"/>
    <m/>
    <n v="0"/>
    <n v="0"/>
    <m/>
    <n v="0"/>
  </r>
  <r>
    <x v="207"/>
    <x v="3"/>
    <x v="3"/>
    <x v="24"/>
    <n v="0"/>
    <m/>
    <n v="0"/>
    <n v="0"/>
    <m/>
    <n v="0"/>
    <n v="2500"/>
    <m/>
    <n v="2500"/>
    <n v="0"/>
    <m/>
    <n v="0"/>
  </r>
  <r>
    <x v="208"/>
    <x v="4"/>
    <x v="4"/>
    <x v="5"/>
    <n v="0"/>
    <m/>
    <n v="0"/>
    <n v="0"/>
    <m/>
    <n v="0"/>
    <n v="0"/>
    <m/>
    <n v="0"/>
    <n v="0"/>
    <m/>
    <n v="0"/>
  </r>
  <r>
    <x v="209"/>
    <x v="0"/>
    <x v="0"/>
    <x v="1"/>
    <n v="0"/>
    <m/>
    <n v="0"/>
    <n v="2151570"/>
    <m/>
    <n v="2151570"/>
    <n v="0"/>
    <m/>
    <n v="0"/>
    <n v="2430503"/>
    <m/>
    <n v="2430503"/>
  </r>
  <r>
    <x v="210"/>
    <x v="1"/>
    <x v="1"/>
    <x v="2"/>
    <n v="0"/>
    <m/>
    <n v="0"/>
    <n v="0"/>
    <m/>
    <n v="0"/>
    <n v="0"/>
    <m/>
    <n v="0"/>
    <n v="0"/>
    <m/>
    <n v="0"/>
  </r>
  <r>
    <x v="211"/>
    <x v="13"/>
    <x v="13"/>
    <x v="34"/>
    <n v="0"/>
    <m/>
    <n v="0"/>
    <n v="20264926"/>
    <m/>
    <n v="20264926"/>
    <n v="0"/>
    <m/>
    <n v="0"/>
    <n v="20113961"/>
    <m/>
    <n v="20113961"/>
  </r>
  <r>
    <x v="212"/>
    <x v="14"/>
    <x v="14"/>
    <x v="35"/>
    <n v="1137100"/>
    <m/>
    <n v="1137100"/>
    <n v="0"/>
    <m/>
    <n v="0"/>
    <n v="1137100"/>
    <m/>
    <n v="1137100"/>
    <n v="0"/>
    <m/>
    <n v="0"/>
  </r>
  <r>
    <x v="213"/>
    <x v="2"/>
    <x v="2"/>
    <x v="36"/>
    <n v="6800"/>
    <m/>
    <n v="6800"/>
    <n v="0"/>
    <m/>
    <n v="0"/>
    <n v="6800"/>
    <m/>
    <n v="6800"/>
    <n v="0"/>
    <m/>
    <n v="0"/>
  </r>
  <r>
    <x v="214"/>
    <x v="15"/>
    <x v="15"/>
    <x v="37"/>
    <n v="0"/>
    <m/>
    <n v="0"/>
    <n v="0"/>
    <m/>
    <n v="0"/>
    <n v="0"/>
    <m/>
    <n v="0"/>
    <n v="0"/>
    <m/>
    <n v="0"/>
  </r>
  <r>
    <x v="215"/>
    <x v="15"/>
    <x v="15"/>
    <x v="37"/>
    <n v="206250"/>
    <m/>
    <n v="206250"/>
    <n v="0"/>
    <m/>
    <n v="0"/>
    <n v="0"/>
    <m/>
    <n v="0"/>
    <n v="0"/>
    <m/>
    <n v="0"/>
  </r>
  <r>
    <x v="216"/>
    <x v="14"/>
    <x v="14"/>
    <x v="35"/>
    <n v="50000"/>
    <m/>
    <n v="50000"/>
    <n v="0"/>
    <m/>
    <n v="0"/>
    <n v="470000"/>
    <m/>
    <n v="470000"/>
    <n v="0"/>
    <m/>
    <n v="0"/>
  </r>
  <r>
    <x v="217"/>
    <x v="2"/>
    <x v="2"/>
    <x v="36"/>
    <n v="248200"/>
    <m/>
    <n v="248200"/>
    <n v="0"/>
    <m/>
    <n v="0"/>
    <n v="248200"/>
    <m/>
    <n v="248200"/>
    <n v="0"/>
    <m/>
    <n v="0"/>
  </r>
  <r>
    <x v="218"/>
    <x v="15"/>
    <x v="15"/>
    <x v="37"/>
    <n v="125000"/>
    <m/>
    <n v="125000"/>
    <n v="0"/>
    <m/>
    <n v="0"/>
    <n v="125000"/>
    <m/>
    <n v="125000"/>
    <n v="0"/>
    <m/>
    <n v="0"/>
  </r>
  <r>
    <x v="219"/>
    <x v="2"/>
    <x v="2"/>
    <x v="36"/>
    <n v="200000"/>
    <m/>
    <n v="200000"/>
    <n v="0"/>
    <m/>
    <n v="0"/>
    <n v="200000"/>
    <m/>
    <n v="200000"/>
    <n v="0"/>
    <m/>
    <n v="0"/>
  </r>
  <r>
    <x v="220"/>
    <x v="2"/>
    <x v="2"/>
    <x v="36"/>
    <n v="10777"/>
    <m/>
    <n v="10777"/>
    <n v="0"/>
    <m/>
    <n v="0"/>
    <n v="9500"/>
    <m/>
    <n v="9500"/>
    <n v="0"/>
    <m/>
    <n v="0"/>
  </r>
  <r>
    <x v="221"/>
    <x v="16"/>
    <x v="16"/>
    <x v="38"/>
    <n v="4778693"/>
    <m/>
    <n v="4778693"/>
    <n v="0"/>
    <m/>
    <n v="0"/>
    <n v="4494616"/>
    <m/>
    <n v="4494616"/>
    <n v="0"/>
    <m/>
    <n v="0"/>
  </r>
  <r>
    <x v="222"/>
    <x v="15"/>
    <x v="15"/>
    <x v="37"/>
    <n v="0"/>
    <m/>
    <n v="0"/>
    <n v="0"/>
    <m/>
    <n v="0"/>
    <n v="0"/>
    <m/>
    <n v="0"/>
    <n v="0"/>
    <m/>
    <n v="0"/>
  </r>
  <r>
    <x v="223"/>
    <x v="9"/>
    <x v="17"/>
    <x v="39"/>
    <n v="1861537"/>
    <m/>
    <n v="1861537"/>
    <n v="0"/>
    <m/>
    <n v="0"/>
    <n v="1885458"/>
    <m/>
    <n v="1885458"/>
    <n v="0"/>
    <m/>
    <n v="0"/>
  </r>
  <r>
    <x v="224"/>
    <x v="9"/>
    <x v="17"/>
    <x v="39"/>
    <n v="1834185"/>
    <m/>
    <n v="1834185"/>
    <n v="0"/>
    <m/>
    <n v="0"/>
    <n v="1743151"/>
    <m/>
    <n v="1743151"/>
    <n v="0"/>
    <m/>
    <n v="0"/>
  </r>
  <r>
    <x v="225"/>
    <x v="9"/>
    <x v="17"/>
    <x v="39"/>
    <n v="46790"/>
    <m/>
    <n v="46790"/>
    <n v="0"/>
    <m/>
    <n v="0"/>
    <n v="92736"/>
    <m/>
    <n v="92736"/>
    <n v="0"/>
    <m/>
    <n v="0"/>
  </r>
  <r>
    <x v="226"/>
    <x v="9"/>
    <x v="17"/>
    <x v="39"/>
    <n v="46907"/>
    <m/>
    <n v="46907"/>
    <n v="0"/>
    <m/>
    <n v="0"/>
    <n v="57979"/>
    <m/>
    <n v="57979"/>
    <n v="0"/>
    <m/>
    <n v="0"/>
  </r>
  <r>
    <x v="227"/>
    <x v="9"/>
    <x v="17"/>
    <x v="39"/>
    <n v="103253"/>
    <m/>
    <n v="103253"/>
    <n v="0"/>
    <m/>
    <n v="0"/>
    <n v="24077"/>
    <m/>
    <n v="24077"/>
    <n v="0"/>
    <m/>
    <n v="0"/>
  </r>
  <r>
    <x v="228"/>
    <x v="9"/>
    <x v="17"/>
    <x v="39"/>
    <n v="13466161"/>
    <m/>
    <n v="13466161"/>
    <n v="0"/>
    <m/>
    <n v="0"/>
    <n v="13101740"/>
    <m/>
    <n v="13101740"/>
    <n v="0"/>
    <m/>
    <n v="0"/>
  </r>
  <r>
    <x v="229"/>
    <x v="9"/>
    <x v="17"/>
    <x v="39"/>
    <n v="369149"/>
    <m/>
    <n v="369149"/>
    <n v="0"/>
    <m/>
    <n v="0"/>
    <n v="287798"/>
    <m/>
    <n v="287798"/>
    <n v="0"/>
    <m/>
    <n v="0"/>
  </r>
  <r>
    <x v="230"/>
    <x v="1"/>
    <x v="1"/>
    <x v="2"/>
    <n v="0"/>
    <m/>
    <n v="0"/>
    <n v="0"/>
    <m/>
    <n v="0"/>
    <n v="0"/>
    <m/>
    <n v="0"/>
    <n v="10037"/>
    <m/>
    <n v="10037"/>
  </r>
  <r>
    <x v="231"/>
    <x v="2"/>
    <x v="2"/>
    <x v="6"/>
    <n v="0"/>
    <m/>
    <n v="0"/>
    <n v="0"/>
    <m/>
    <n v="0"/>
    <n v="0"/>
    <m/>
    <n v="0"/>
    <n v="0"/>
    <m/>
    <n v="0"/>
  </r>
  <r>
    <x v="232"/>
    <x v="2"/>
    <x v="2"/>
    <x v="6"/>
    <n v="0"/>
    <m/>
    <n v="0"/>
    <n v="0"/>
    <m/>
    <n v="0"/>
    <n v="0"/>
    <m/>
    <n v="0"/>
    <n v="0"/>
    <m/>
    <n v="0"/>
  </r>
  <r>
    <x v="233"/>
    <x v="2"/>
    <x v="2"/>
    <x v="6"/>
    <n v="6000"/>
    <m/>
    <n v="6000"/>
    <n v="0"/>
    <m/>
    <n v="0"/>
    <n v="0"/>
    <m/>
    <n v="0"/>
    <n v="0"/>
    <m/>
    <n v="0"/>
  </r>
  <r>
    <x v="234"/>
    <x v="0"/>
    <x v="0"/>
    <x v="1"/>
    <n v="0"/>
    <m/>
    <n v="0"/>
    <n v="24300"/>
    <m/>
    <n v="24300"/>
    <n v="0"/>
    <m/>
    <n v="0"/>
    <n v="29160"/>
    <m/>
    <n v="29160"/>
  </r>
  <r>
    <x v="235"/>
    <x v="2"/>
    <x v="2"/>
    <x v="6"/>
    <n v="0"/>
    <m/>
    <n v="0"/>
    <n v="0"/>
    <m/>
    <n v="0"/>
    <n v="0"/>
    <m/>
    <n v="0"/>
    <n v="0"/>
    <m/>
    <n v="0"/>
  </r>
  <r>
    <x v="236"/>
    <x v="17"/>
    <x v="18"/>
    <x v="40"/>
    <n v="28500"/>
    <m/>
    <n v="28500"/>
    <n v="0"/>
    <m/>
    <n v="0"/>
    <n v="15000"/>
    <m/>
    <n v="15000"/>
    <n v="0"/>
    <m/>
    <n v="0"/>
  </r>
  <r>
    <x v="237"/>
    <x v="18"/>
    <x v="19"/>
    <x v="41"/>
    <n v="30200530"/>
    <m/>
    <n v="30200530"/>
    <n v="0"/>
    <m/>
    <n v="0"/>
    <n v="30585779"/>
    <m/>
    <n v="30585779"/>
    <n v="0"/>
    <m/>
    <n v="0"/>
  </r>
  <r>
    <x v="238"/>
    <x v="18"/>
    <x v="19"/>
    <x v="41"/>
    <n v="0"/>
    <m/>
    <n v="0"/>
    <n v="80530681.049999997"/>
    <m/>
    <n v="80530681.049999997"/>
    <n v="0"/>
    <m/>
    <n v="0"/>
    <n v="77113878.299999997"/>
    <m/>
    <n v="77113878.299999997"/>
  </r>
  <r>
    <x v="239"/>
    <x v="18"/>
    <x v="19"/>
    <x v="41"/>
    <n v="0"/>
    <m/>
    <n v="0"/>
    <n v="16211566"/>
    <m/>
    <n v="16211566"/>
    <n v="0"/>
    <m/>
    <n v="0"/>
    <n v="0"/>
    <m/>
    <n v="0"/>
  </r>
  <r>
    <x v="240"/>
    <x v="0"/>
    <x v="0"/>
    <x v="0"/>
    <n v="811474.84"/>
    <m/>
    <n v="811474.84"/>
    <n v="0"/>
    <m/>
    <n v="0"/>
    <n v="0"/>
    <m/>
    <n v="0"/>
    <n v="49644.76"/>
    <m/>
    <n v="49644.76"/>
  </r>
  <r>
    <x v="241"/>
    <x v="6"/>
    <x v="6"/>
    <x v="42"/>
    <n v="0"/>
    <m/>
    <n v="0"/>
    <n v="0"/>
    <m/>
    <n v="0"/>
    <n v="0"/>
    <m/>
    <n v="0"/>
    <n v="0"/>
    <m/>
    <n v="0"/>
  </r>
  <r>
    <x v="242"/>
    <x v="6"/>
    <x v="6"/>
    <x v="42"/>
    <n v="0"/>
    <m/>
    <n v="0"/>
    <n v="0"/>
    <m/>
    <n v="0"/>
    <n v="0"/>
    <m/>
    <n v="0"/>
    <n v="85050"/>
    <n v="-750"/>
    <n v="84300"/>
  </r>
  <r>
    <x v="243"/>
    <x v="3"/>
    <x v="3"/>
    <x v="43"/>
    <n v="56000"/>
    <m/>
    <n v="56000"/>
    <n v="0"/>
    <m/>
    <n v="0"/>
    <n v="13002"/>
    <m/>
    <n v="13002"/>
    <n v="0"/>
    <m/>
    <n v="0"/>
  </r>
  <r>
    <x v="244"/>
    <x v="4"/>
    <x v="4"/>
    <x v="5"/>
    <n v="0"/>
    <m/>
    <n v="0"/>
    <n v="0"/>
    <m/>
    <n v="0"/>
    <n v="18000"/>
    <m/>
    <n v="18000"/>
    <n v="0"/>
    <m/>
    <n v="0"/>
  </r>
  <r>
    <x v="245"/>
    <x v="0"/>
    <x v="0"/>
    <x v="1"/>
    <n v="0"/>
    <m/>
    <n v="0"/>
    <n v="0"/>
    <m/>
    <n v="0"/>
    <n v="0"/>
    <m/>
    <n v="0"/>
    <n v="56640"/>
    <m/>
    <n v="56640"/>
  </r>
  <r>
    <x v="246"/>
    <x v="0"/>
    <x v="0"/>
    <x v="1"/>
    <n v="0"/>
    <m/>
    <n v="0"/>
    <n v="4423234"/>
    <m/>
    <n v="4423234"/>
    <n v="0"/>
    <m/>
    <n v="0"/>
    <n v="5099431"/>
    <m/>
    <n v="5099431"/>
  </r>
  <r>
    <x v="247"/>
    <x v="0"/>
    <x v="0"/>
    <x v="1"/>
    <n v="0"/>
    <m/>
    <n v="0"/>
    <n v="0"/>
    <m/>
    <n v="0"/>
    <n v="0"/>
    <m/>
    <n v="0"/>
    <n v="0"/>
    <m/>
    <n v="0"/>
  </r>
  <r>
    <x v="248"/>
    <x v="1"/>
    <x v="1"/>
    <x v="2"/>
    <n v="0"/>
    <m/>
    <n v="0"/>
    <n v="0"/>
    <m/>
    <n v="0"/>
    <n v="0"/>
    <m/>
    <n v="0"/>
    <n v="0"/>
    <m/>
    <n v="0"/>
  </r>
  <r>
    <x v="249"/>
    <x v="9"/>
    <x v="9"/>
    <x v="22"/>
    <n v="26188107.010000002"/>
    <m/>
    <n v="26188107.010000002"/>
    <n v="0"/>
    <m/>
    <n v="0"/>
    <n v="28473033.399999999"/>
    <m/>
    <n v="28473033.399999999"/>
    <n v="0"/>
    <m/>
    <n v="0"/>
  </r>
  <r>
    <x v="250"/>
    <x v="19"/>
    <x v="20"/>
    <x v="44"/>
    <n v="0"/>
    <m/>
    <n v="0"/>
    <n v="26922650"/>
    <m/>
    <n v="26922650"/>
    <n v="0"/>
    <m/>
    <n v="0"/>
    <n v="26922650"/>
    <m/>
    <n v="26922650"/>
  </r>
  <r>
    <x v="251"/>
    <x v="17"/>
    <x v="18"/>
    <x v="45"/>
    <n v="212650"/>
    <m/>
    <n v="212650"/>
    <n v="0"/>
    <m/>
    <n v="0"/>
    <n v="236394"/>
    <m/>
    <n v="236394"/>
    <n v="0"/>
    <m/>
    <n v="0"/>
  </r>
  <r>
    <x v="252"/>
    <x v="3"/>
    <x v="3"/>
    <x v="24"/>
    <n v="0"/>
    <m/>
    <n v="0"/>
    <n v="0"/>
    <m/>
    <n v="0"/>
    <n v="0"/>
    <m/>
    <n v="0"/>
    <n v="0"/>
    <m/>
    <n v="0"/>
  </r>
  <r>
    <x v="253"/>
    <x v="3"/>
    <x v="3"/>
    <x v="24"/>
    <n v="15900"/>
    <m/>
    <n v="15900"/>
    <n v="0"/>
    <m/>
    <n v="0"/>
    <n v="57414"/>
    <m/>
    <n v="57414"/>
    <n v="0"/>
    <m/>
    <n v="0"/>
  </r>
  <r>
    <x v="254"/>
    <x v="17"/>
    <x v="18"/>
    <x v="40"/>
    <n v="0"/>
    <m/>
    <n v="0"/>
    <n v="0"/>
    <m/>
    <n v="0"/>
    <n v="0"/>
    <m/>
    <n v="0"/>
    <n v="0"/>
    <m/>
    <n v="0"/>
  </r>
  <r>
    <x v="255"/>
    <x v="3"/>
    <x v="3"/>
    <x v="24"/>
    <n v="0"/>
    <m/>
    <n v="0"/>
    <n v="0"/>
    <m/>
    <n v="0"/>
    <n v="0"/>
    <m/>
    <n v="0"/>
    <n v="0"/>
    <m/>
    <n v="0"/>
  </r>
  <r>
    <x v="256"/>
    <x v="12"/>
    <x v="12"/>
    <x v="28"/>
    <n v="0"/>
    <m/>
    <n v="0"/>
    <n v="0"/>
    <m/>
    <n v="0"/>
    <n v="0"/>
    <m/>
    <n v="0"/>
    <n v="0"/>
    <m/>
    <n v="0"/>
  </r>
  <r>
    <x v="257"/>
    <x v="3"/>
    <x v="3"/>
    <x v="46"/>
    <n v="2277589"/>
    <m/>
    <n v="2277589"/>
    <n v="0"/>
    <m/>
    <n v="0"/>
    <n v="491501"/>
    <m/>
    <n v="491501"/>
    <n v="0"/>
    <m/>
    <n v="0"/>
  </r>
  <r>
    <x v="258"/>
    <x v="18"/>
    <x v="19"/>
    <x v="41"/>
    <n v="0"/>
    <m/>
    <n v="0"/>
    <n v="0"/>
    <m/>
    <n v="0"/>
    <n v="0"/>
    <m/>
    <n v="0"/>
    <n v="10652264"/>
    <m/>
    <n v="10652264"/>
  </r>
  <r>
    <x v="259"/>
    <x v="3"/>
    <x v="3"/>
    <x v="20"/>
    <n v="64575"/>
    <m/>
    <n v="64575"/>
    <n v="0"/>
    <m/>
    <n v="0"/>
    <n v="58090"/>
    <m/>
    <n v="58090"/>
    <n v="0"/>
    <m/>
    <n v="0"/>
  </r>
  <r>
    <x v="260"/>
    <x v="3"/>
    <x v="3"/>
    <x v="20"/>
    <n v="244646.5"/>
    <m/>
    <n v="244646.5"/>
    <n v="0"/>
    <m/>
    <n v="0"/>
    <n v="242450"/>
    <m/>
    <n v="242450"/>
    <n v="0"/>
    <m/>
    <n v="0"/>
  </r>
  <r>
    <x v="261"/>
    <x v="3"/>
    <x v="3"/>
    <x v="29"/>
    <n v="66582536"/>
    <m/>
    <n v="66582536"/>
    <n v="0"/>
    <m/>
    <n v="0"/>
    <n v="70499746"/>
    <m/>
    <n v="70499746"/>
    <n v="0"/>
    <m/>
    <n v="0"/>
  </r>
  <r>
    <x v="262"/>
    <x v="3"/>
    <x v="3"/>
    <x v="20"/>
    <n v="218259"/>
    <m/>
    <n v="218259"/>
    <n v="0"/>
    <m/>
    <n v="0"/>
    <n v="289245"/>
    <m/>
    <n v="289245"/>
    <n v="0"/>
    <m/>
    <n v="0"/>
  </r>
  <r>
    <x v="263"/>
    <x v="3"/>
    <x v="3"/>
    <x v="24"/>
    <n v="50000"/>
    <m/>
    <n v="50000"/>
    <n v="0"/>
    <m/>
    <n v="0"/>
    <n v="50000"/>
    <m/>
    <n v="50000"/>
    <n v="0"/>
    <m/>
    <n v="0"/>
  </r>
  <r>
    <x v="264"/>
    <x v="3"/>
    <x v="3"/>
    <x v="20"/>
    <n v="7700"/>
    <m/>
    <n v="7700"/>
    <n v="0"/>
    <m/>
    <n v="0"/>
    <n v="28970.799999999999"/>
    <m/>
    <n v="28970.799999999999"/>
    <n v="0"/>
    <m/>
    <n v="0"/>
  </r>
  <r>
    <x v="265"/>
    <x v="3"/>
    <x v="3"/>
    <x v="47"/>
    <n v="2854617"/>
    <m/>
    <n v="2854617"/>
    <n v="0"/>
    <m/>
    <n v="0"/>
    <n v="2841598"/>
    <m/>
    <n v="2841598"/>
    <n v="0"/>
    <m/>
    <n v="0"/>
  </r>
  <r>
    <x v="266"/>
    <x v="0"/>
    <x v="0"/>
    <x v="0"/>
    <n v="0"/>
    <m/>
    <n v="0"/>
    <n v="279076"/>
    <m/>
    <n v="279076"/>
    <n v="0"/>
    <m/>
    <n v="0"/>
    <n v="303501"/>
    <m/>
    <n v="303501"/>
  </r>
  <r>
    <x v="267"/>
    <x v="0"/>
    <x v="0"/>
    <x v="1"/>
    <n v="0"/>
    <m/>
    <n v="0"/>
    <n v="0"/>
    <m/>
    <n v="0"/>
    <n v="0"/>
    <m/>
    <n v="0"/>
    <n v="0"/>
    <m/>
    <n v="0"/>
  </r>
  <r>
    <x v="268"/>
    <x v="0"/>
    <x v="0"/>
    <x v="1"/>
    <n v="0"/>
    <m/>
    <n v="0"/>
    <n v="0"/>
    <m/>
    <n v="0"/>
    <n v="0"/>
    <m/>
    <n v="0"/>
    <n v="0"/>
    <m/>
    <n v="0"/>
  </r>
  <r>
    <x v="269"/>
    <x v="15"/>
    <x v="15"/>
    <x v="37"/>
    <n v="0"/>
    <m/>
    <n v="0"/>
    <n v="0"/>
    <m/>
    <n v="0"/>
    <n v="0"/>
    <m/>
    <n v="0"/>
    <n v="0"/>
    <m/>
    <n v="0"/>
  </r>
  <r>
    <x v="270"/>
    <x v="15"/>
    <x v="15"/>
    <x v="37"/>
    <n v="0"/>
    <m/>
    <n v="0"/>
    <n v="0"/>
    <m/>
    <n v="0"/>
    <n v="447710"/>
    <m/>
    <n v="447710"/>
    <n v="0"/>
    <m/>
    <n v="0"/>
  </r>
  <r>
    <x v="271"/>
    <x v="15"/>
    <x v="15"/>
    <x v="37"/>
    <n v="1654054"/>
    <m/>
    <n v="1654054"/>
    <n v="0"/>
    <m/>
    <n v="0"/>
    <n v="1508572"/>
    <m/>
    <n v="1508572"/>
    <n v="0"/>
    <m/>
    <n v="0"/>
  </r>
  <r>
    <x v="272"/>
    <x v="7"/>
    <x v="7"/>
    <x v="48"/>
    <n v="0"/>
    <m/>
    <n v="0"/>
    <n v="1088007"/>
    <m/>
    <n v="1088007"/>
    <n v="0"/>
    <m/>
    <n v="0"/>
    <n v="588805"/>
    <m/>
    <n v="588805"/>
  </r>
  <r>
    <x v="273"/>
    <x v="12"/>
    <x v="12"/>
    <x v="28"/>
    <n v="202312.89"/>
    <m/>
    <n v="202312.89"/>
    <n v="0"/>
    <m/>
    <n v="0"/>
    <n v="358420"/>
    <m/>
    <n v="358420"/>
    <n v="0"/>
    <m/>
    <n v="0"/>
  </r>
  <r>
    <x v="274"/>
    <x v="0"/>
    <x v="0"/>
    <x v="0"/>
    <n v="0"/>
    <m/>
    <n v="0"/>
    <n v="0"/>
    <m/>
    <n v="0"/>
    <n v="0"/>
    <m/>
    <n v="0"/>
    <n v="83450"/>
    <m/>
    <n v="83450"/>
  </r>
  <r>
    <x v="275"/>
    <x v="9"/>
    <x v="9"/>
    <x v="22"/>
    <n v="33965000"/>
    <m/>
    <n v="33965000"/>
    <n v="0"/>
    <m/>
    <n v="0"/>
    <n v="33965000"/>
    <m/>
    <n v="33965000"/>
    <n v="0"/>
    <m/>
    <n v="0"/>
  </r>
  <r>
    <x v="276"/>
    <x v="18"/>
    <x v="19"/>
    <x v="41"/>
    <n v="8000"/>
    <m/>
    <n v="8000"/>
    <n v="0"/>
    <m/>
    <n v="0"/>
    <n v="0"/>
    <m/>
    <n v="0"/>
    <n v="1160"/>
    <m/>
    <n v="1160"/>
  </r>
  <r>
    <x v="277"/>
    <x v="9"/>
    <x v="9"/>
    <x v="22"/>
    <n v="1330213.03"/>
    <m/>
    <n v="1330213.03"/>
    <n v="0"/>
    <m/>
    <n v="0"/>
    <n v="1820294"/>
    <m/>
    <n v="1820294"/>
    <n v="0"/>
    <m/>
    <n v="0"/>
  </r>
  <r>
    <x v="278"/>
    <x v="0"/>
    <x v="0"/>
    <x v="1"/>
    <n v="0"/>
    <m/>
    <n v="0"/>
    <n v="57671"/>
    <m/>
    <n v="57671"/>
    <n v="0"/>
    <m/>
    <n v="0"/>
    <n v="136007"/>
    <m/>
    <n v="136007"/>
  </r>
  <r>
    <x v="279"/>
    <x v="0"/>
    <x v="0"/>
    <x v="1"/>
    <n v="0"/>
    <m/>
    <n v="0"/>
    <n v="0"/>
    <m/>
    <n v="0"/>
    <n v="0"/>
    <m/>
    <n v="0"/>
    <n v="0"/>
    <m/>
    <n v="0"/>
  </r>
  <r>
    <x v="280"/>
    <x v="10"/>
    <x v="10"/>
    <x v="49"/>
    <n v="0"/>
    <m/>
    <n v="0"/>
    <n v="1800000"/>
    <m/>
    <n v="1800000"/>
    <n v="0"/>
    <m/>
    <n v="0"/>
    <n v="1800000"/>
    <m/>
    <n v="1800000"/>
  </r>
  <r>
    <x v="281"/>
    <x v="0"/>
    <x v="0"/>
    <x v="1"/>
    <n v="0"/>
    <m/>
    <n v="0"/>
    <n v="0"/>
    <m/>
    <n v="0"/>
    <n v="0"/>
    <m/>
    <n v="0"/>
    <n v="0"/>
    <m/>
    <n v="0"/>
  </r>
  <r>
    <x v="282"/>
    <x v="17"/>
    <x v="18"/>
    <x v="45"/>
    <n v="921661"/>
    <n v="-1255580"/>
    <n v="-333919"/>
    <n v="0"/>
    <m/>
    <n v="0"/>
    <n v="850764"/>
    <m/>
    <n v="850764"/>
    <n v="0"/>
    <m/>
    <n v="0"/>
  </r>
  <r>
    <x v="283"/>
    <x v="0"/>
    <x v="0"/>
    <x v="0"/>
    <n v="0"/>
    <m/>
    <n v="0"/>
    <n v="0"/>
    <m/>
    <n v="0"/>
    <n v="0"/>
    <m/>
    <n v="0"/>
    <n v="175820"/>
    <m/>
    <n v="175820"/>
  </r>
  <r>
    <x v="284"/>
    <x v="0"/>
    <x v="0"/>
    <x v="0"/>
    <n v="0"/>
    <m/>
    <n v="0"/>
    <n v="116424"/>
    <m/>
    <n v="116424"/>
    <n v="0"/>
    <m/>
    <n v="0"/>
    <n v="0"/>
    <m/>
    <n v="0"/>
  </r>
  <r>
    <x v="285"/>
    <x v="3"/>
    <x v="3"/>
    <x v="9"/>
    <n v="0"/>
    <m/>
    <n v="0"/>
    <n v="0"/>
    <m/>
    <n v="0"/>
    <n v="25123"/>
    <m/>
    <n v="25123"/>
    <n v="0"/>
    <m/>
    <n v="0"/>
  </r>
  <r>
    <x v="286"/>
    <x v="3"/>
    <x v="3"/>
    <x v="30"/>
    <n v="45000"/>
    <m/>
    <n v="45000"/>
    <n v="0"/>
    <m/>
    <n v="0"/>
    <n v="10000"/>
    <m/>
    <n v="10000"/>
    <n v="0"/>
    <m/>
    <n v="0"/>
  </r>
  <r>
    <x v="287"/>
    <x v="3"/>
    <x v="3"/>
    <x v="30"/>
    <n v="0"/>
    <m/>
    <n v="0"/>
    <n v="0"/>
    <m/>
    <n v="0"/>
    <n v="0"/>
    <m/>
    <n v="0"/>
    <n v="0"/>
    <m/>
    <n v="0"/>
  </r>
  <r>
    <x v="288"/>
    <x v="3"/>
    <x v="3"/>
    <x v="30"/>
    <n v="0"/>
    <m/>
    <n v="0"/>
    <n v="0"/>
    <m/>
    <n v="0"/>
    <n v="45000"/>
    <m/>
    <n v="45000"/>
    <n v="0"/>
    <m/>
    <n v="0"/>
  </r>
  <r>
    <x v="289"/>
    <x v="3"/>
    <x v="3"/>
    <x v="30"/>
    <n v="0"/>
    <m/>
    <n v="0"/>
    <n v="0"/>
    <m/>
    <n v="0"/>
    <n v="40000"/>
    <m/>
    <n v="40000"/>
    <n v="0"/>
    <m/>
    <n v="0"/>
  </r>
  <r>
    <x v="290"/>
    <x v="3"/>
    <x v="3"/>
    <x v="30"/>
    <n v="0"/>
    <m/>
    <n v="0"/>
    <n v="0"/>
    <m/>
    <n v="0"/>
    <n v="0"/>
    <m/>
    <n v="0"/>
    <n v="0"/>
    <m/>
    <n v="0"/>
  </r>
  <r>
    <x v="291"/>
    <x v="0"/>
    <x v="0"/>
    <x v="0"/>
    <n v="0"/>
    <m/>
    <n v="0"/>
    <n v="0"/>
    <m/>
    <n v="0"/>
    <n v="0"/>
    <m/>
    <n v="0"/>
    <n v="76500"/>
    <m/>
    <n v="76500"/>
  </r>
  <r>
    <x v="292"/>
    <x v="3"/>
    <x v="3"/>
    <x v="9"/>
    <n v="36000"/>
    <m/>
    <n v="36000"/>
    <n v="0"/>
    <m/>
    <n v="0"/>
    <n v="36000"/>
    <m/>
    <n v="36000"/>
    <n v="0"/>
    <m/>
    <n v="0"/>
  </r>
  <r>
    <x v="293"/>
    <x v="0"/>
    <x v="0"/>
    <x v="1"/>
    <n v="0"/>
    <m/>
    <n v="0"/>
    <n v="0"/>
    <m/>
    <n v="0"/>
    <n v="0"/>
    <m/>
    <n v="0"/>
    <n v="2016000"/>
    <m/>
    <n v="2016000"/>
  </r>
  <r>
    <x v="294"/>
    <x v="0"/>
    <x v="0"/>
    <x v="0"/>
    <n v="0"/>
    <m/>
    <n v="0"/>
    <n v="8459"/>
    <m/>
    <n v="8459"/>
    <n v="0"/>
    <m/>
    <n v="0"/>
    <n v="7608"/>
    <m/>
    <n v="7608"/>
  </r>
  <r>
    <x v="295"/>
    <x v="5"/>
    <x v="5"/>
    <x v="8"/>
    <n v="0"/>
    <m/>
    <n v="0"/>
    <n v="1176528"/>
    <m/>
    <n v="1176528"/>
    <n v="0"/>
    <m/>
    <n v="0"/>
    <n v="1093348"/>
    <m/>
    <n v="1093348"/>
  </r>
  <r>
    <x v="296"/>
    <x v="2"/>
    <x v="2"/>
    <x v="6"/>
    <n v="27000"/>
    <m/>
    <n v="27000"/>
    <n v="0"/>
    <m/>
    <n v="0"/>
    <n v="38000"/>
    <m/>
    <n v="38000"/>
    <n v="0"/>
    <m/>
    <n v="0"/>
  </r>
  <r>
    <x v="297"/>
    <x v="0"/>
    <x v="0"/>
    <x v="1"/>
    <n v="0"/>
    <m/>
    <n v="0"/>
    <n v="67381.600000000006"/>
    <m/>
    <n v="67381.600000000006"/>
    <n v="0"/>
    <m/>
    <n v="0"/>
    <n v="67845.8"/>
    <m/>
    <n v="67845.8"/>
  </r>
  <r>
    <x v="298"/>
    <x v="1"/>
    <x v="1"/>
    <x v="7"/>
    <n v="1753713"/>
    <m/>
    <n v="1753713"/>
    <n v="0"/>
    <m/>
    <n v="0"/>
    <n v="0"/>
    <m/>
    <n v="0"/>
    <n v="0"/>
    <m/>
    <n v="0"/>
  </r>
  <r>
    <x v="299"/>
    <x v="1"/>
    <x v="1"/>
    <x v="7"/>
    <n v="0"/>
    <m/>
    <n v="0"/>
    <n v="0"/>
    <m/>
    <n v="0"/>
    <n v="0"/>
    <m/>
    <n v="0"/>
    <n v="0"/>
    <m/>
    <n v="0"/>
  </r>
  <r>
    <x v="300"/>
    <x v="1"/>
    <x v="1"/>
    <x v="7"/>
    <n v="0"/>
    <m/>
    <n v="0"/>
    <n v="0"/>
    <m/>
    <n v="0"/>
    <n v="0"/>
    <m/>
    <n v="0"/>
    <n v="0"/>
    <m/>
    <n v="0"/>
  </r>
  <r>
    <x v="301"/>
    <x v="3"/>
    <x v="3"/>
    <x v="50"/>
    <n v="8000"/>
    <m/>
    <n v="8000"/>
    <n v="0"/>
    <m/>
    <n v="0"/>
    <n v="0"/>
    <m/>
    <n v="0"/>
    <n v="0"/>
    <m/>
    <n v="0"/>
  </r>
  <r>
    <x v="302"/>
    <x v="2"/>
    <x v="2"/>
    <x v="27"/>
    <n v="0"/>
    <m/>
    <n v="0"/>
    <n v="0"/>
    <m/>
    <n v="0"/>
    <n v="0"/>
    <m/>
    <n v="0"/>
    <n v="0"/>
    <m/>
    <n v="0"/>
  </r>
  <r>
    <x v="303"/>
    <x v="2"/>
    <x v="2"/>
    <x v="27"/>
    <n v="0"/>
    <m/>
    <n v="0"/>
    <n v="0"/>
    <m/>
    <n v="0"/>
    <n v="0"/>
    <m/>
    <n v="0"/>
    <n v="0"/>
    <m/>
    <n v="0"/>
  </r>
  <r>
    <x v="304"/>
    <x v="2"/>
    <x v="2"/>
    <x v="27"/>
    <n v="0"/>
    <m/>
    <n v="0"/>
    <n v="0"/>
    <m/>
    <n v="0"/>
    <n v="0"/>
    <m/>
    <n v="0"/>
    <n v="0"/>
    <m/>
    <n v="0"/>
  </r>
  <r>
    <x v="305"/>
    <x v="2"/>
    <x v="2"/>
    <x v="27"/>
    <n v="0"/>
    <m/>
    <n v="0"/>
    <n v="0"/>
    <m/>
    <n v="0"/>
    <n v="0"/>
    <m/>
    <n v="0"/>
    <n v="0"/>
    <m/>
    <n v="0"/>
  </r>
  <r>
    <x v="306"/>
    <x v="2"/>
    <x v="2"/>
    <x v="27"/>
    <n v="0"/>
    <m/>
    <n v="0"/>
    <n v="0"/>
    <m/>
    <n v="0"/>
    <n v="0"/>
    <m/>
    <n v="0"/>
    <n v="0"/>
    <m/>
    <n v="0"/>
  </r>
  <r>
    <x v="307"/>
    <x v="2"/>
    <x v="2"/>
    <x v="27"/>
    <n v="0"/>
    <m/>
    <n v="0"/>
    <n v="0"/>
    <m/>
    <n v="0"/>
    <n v="0"/>
    <m/>
    <n v="0"/>
    <n v="0"/>
    <m/>
    <n v="0"/>
  </r>
  <r>
    <x v="308"/>
    <x v="2"/>
    <x v="2"/>
    <x v="27"/>
    <n v="0"/>
    <m/>
    <n v="0"/>
    <n v="0"/>
    <m/>
    <n v="0"/>
    <n v="0"/>
    <m/>
    <n v="0"/>
    <n v="0"/>
    <m/>
    <n v="0"/>
  </r>
  <r>
    <x v="309"/>
    <x v="2"/>
    <x v="2"/>
    <x v="27"/>
    <n v="0"/>
    <m/>
    <n v="0"/>
    <n v="0"/>
    <m/>
    <n v="0"/>
    <n v="0"/>
    <m/>
    <n v="0"/>
    <n v="0"/>
    <m/>
    <n v="0"/>
  </r>
  <r>
    <x v="310"/>
    <x v="2"/>
    <x v="2"/>
    <x v="27"/>
    <n v="0"/>
    <m/>
    <n v="0"/>
    <n v="0"/>
    <m/>
    <n v="0"/>
    <n v="0"/>
    <m/>
    <n v="0"/>
    <n v="0"/>
    <m/>
    <n v="0"/>
  </r>
  <r>
    <x v="311"/>
    <x v="2"/>
    <x v="2"/>
    <x v="27"/>
    <n v="0"/>
    <m/>
    <n v="0"/>
    <n v="0"/>
    <m/>
    <n v="0"/>
    <n v="0"/>
    <m/>
    <n v="0"/>
    <n v="208713.56"/>
    <m/>
    <n v="208713.56"/>
  </r>
  <r>
    <x v="312"/>
    <x v="2"/>
    <x v="2"/>
    <x v="27"/>
    <n v="74562"/>
    <m/>
    <n v="74562"/>
    <n v="0"/>
    <m/>
    <n v="0"/>
    <n v="0"/>
    <m/>
    <n v="0"/>
    <n v="0"/>
    <m/>
    <n v="0"/>
  </r>
  <r>
    <x v="313"/>
    <x v="2"/>
    <x v="2"/>
    <x v="27"/>
    <n v="0"/>
    <m/>
    <n v="0"/>
    <n v="0"/>
    <m/>
    <n v="0"/>
    <n v="0"/>
    <m/>
    <n v="0"/>
    <n v="0"/>
    <m/>
    <n v="0"/>
  </r>
  <r>
    <x v="314"/>
    <x v="0"/>
    <x v="0"/>
    <x v="1"/>
    <n v="0"/>
    <m/>
    <n v="0"/>
    <n v="0"/>
    <m/>
    <n v="0"/>
    <n v="0"/>
    <m/>
    <n v="0"/>
    <n v="1762042"/>
    <m/>
    <n v="1762042"/>
  </r>
  <r>
    <x v="315"/>
    <x v="12"/>
    <x v="12"/>
    <x v="28"/>
    <n v="97418771"/>
    <m/>
    <n v="97418771"/>
    <n v="0"/>
    <m/>
    <n v="0"/>
    <n v="119902440.14"/>
    <m/>
    <n v="119902440.14"/>
    <n v="0"/>
    <m/>
    <n v="0"/>
  </r>
  <r>
    <x v="316"/>
    <x v="16"/>
    <x v="16"/>
    <x v="38"/>
    <n v="0"/>
    <m/>
    <n v="0"/>
    <n v="1301094"/>
    <m/>
    <n v="1301094"/>
    <n v="0"/>
    <m/>
    <n v="0"/>
    <n v="1259230"/>
    <m/>
    <n v="1259230"/>
  </r>
  <r>
    <x v="317"/>
    <x v="17"/>
    <x v="18"/>
    <x v="40"/>
    <n v="1301094"/>
    <m/>
    <n v="1301094"/>
    <n v="0"/>
    <m/>
    <n v="0"/>
    <n v="1259230"/>
    <m/>
    <n v="1259230"/>
    <n v="0"/>
    <m/>
    <n v="0"/>
  </r>
  <r>
    <x v="318"/>
    <x v="0"/>
    <x v="0"/>
    <x v="1"/>
    <n v="0"/>
    <m/>
    <n v="0"/>
    <n v="0"/>
    <m/>
    <n v="0"/>
    <n v="0"/>
    <m/>
    <n v="0"/>
    <n v="0"/>
    <m/>
    <n v="0"/>
  </r>
  <r>
    <x v="319"/>
    <x v="0"/>
    <x v="0"/>
    <x v="1"/>
    <n v="0"/>
    <m/>
    <n v="0"/>
    <n v="11630"/>
    <m/>
    <n v="11630"/>
    <n v="0"/>
    <m/>
    <n v="0"/>
    <n v="102556"/>
    <m/>
    <n v="102556"/>
  </r>
  <r>
    <x v="320"/>
    <x v="1"/>
    <x v="1"/>
    <x v="2"/>
    <n v="330414"/>
    <m/>
    <n v="330414"/>
    <n v="0"/>
    <m/>
    <n v="0"/>
    <n v="238781"/>
    <m/>
    <n v="238781"/>
    <n v="0"/>
    <m/>
    <n v="0"/>
  </r>
  <r>
    <x v="321"/>
    <x v="4"/>
    <x v="4"/>
    <x v="5"/>
    <n v="0"/>
    <m/>
    <n v="0"/>
    <n v="0"/>
    <m/>
    <n v="0"/>
    <n v="932"/>
    <m/>
    <n v="932"/>
    <n v="0"/>
    <m/>
    <n v="0"/>
  </r>
  <r>
    <x v="322"/>
    <x v="3"/>
    <x v="3"/>
    <x v="51"/>
    <n v="295193"/>
    <m/>
    <n v="295193"/>
    <n v="0"/>
    <m/>
    <n v="0"/>
    <n v="86275"/>
    <m/>
    <n v="86275"/>
    <n v="0"/>
    <m/>
    <n v="0"/>
  </r>
  <r>
    <x v="323"/>
    <x v="3"/>
    <x v="3"/>
    <x v="4"/>
    <n v="45574"/>
    <m/>
    <n v="45574"/>
    <n v="0"/>
    <m/>
    <n v="0"/>
    <n v="25000"/>
    <m/>
    <n v="25000"/>
    <n v="0"/>
    <m/>
    <n v="0"/>
  </r>
  <r>
    <x v="324"/>
    <x v="3"/>
    <x v="3"/>
    <x v="52"/>
    <n v="907184"/>
    <m/>
    <n v="907184"/>
    <n v="0"/>
    <m/>
    <n v="0"/>
    <n v="944137"/>
    <m/>
    <n v="944137"/>
    <n v="0"/>
    <m/>
    <n v="0"/>
  </r>
  <r>
    <x v="325"/>
    <x v="14"/>
    <x v="14"/>
    <x v="53"/>
    <n v="545158"/>
    <m/>
    <n v="545158"/>
    <n v="0"/>
    <m/>
    <n v="0"/>
    <n v="0"/>
    <m/>
    <n v="0"/>
    <n v="0"/>
    <m/>
    <n v="0"/>
  </r>
  <r>
    <x v="326"/>
    <x v="14"/>
    <x v="14"/>
    <x v="54"/>
    <n v="469083"/>
    <m/>
    <n v="469083"/>
    <n v="0"/>
    <m/>
    <n v="0"/>
    <n v="414161"/>
    <m/>
    <n v="414161"/>
    <n v="0"/>
    <m/>
    <n v="0"/>
  </r>
  <r>
    <x v="327"/>
    <x v="0"/>
    <x v="0"/>
    <x v="0"/>
    <n v="10681"/>
    <m/>
    <n v="10681"/>
    <n v="0"/>
    <m/>
    <n v="0"/>
    <n v="0"/>
    <m/>
    <n v="0"/>
    <n v="0"/>
    <m/>
    <n v="0"/>
  </r>
  <r>
    <x v="328"/>
    <x v="7"/>
    <x v="7"/>
    <x v="55"/>
    <n v="0"/>
    <m/>
    <n v="0"/>
    <n v="75929"/>
    <m/>
    <n v="75929"/>
    <n v="0"/>
    <m/>
    <n v="0"/>
    <n v="169041"/>
    <m/>
    <n v="169041"/>
  </r>
  <r>
    <x v="329"/>
    <x v="12"/>
    <x v="12"/>
    <x v="28"/>
    <n v="0"/>
    <m/>
    <n v="0"/>
    <n v="902538"/>
    <m/>
    <n v="902538"/>
    <n v="0"/>
    <m/>
    <n v="0"/>
    <n v="0"/>
    <m/>
    <n v="0"/>
  </r>
  <r>
    <x v="330"/>
    <x v="7"/>
    <x v="7"/>
    <x v="56"/>
    <n v="1699939"/>
    <m/>
    <n v="1699939"/>
    <n v="0"/>
    <m/>
    <n v="0"/>
    <n v="0"/>
    <m/>
    <n v="0"/>
    <n v="8724"/>
    <m/>
    <n v="8724"/>
  </r>
  <r>
    <x v="331"/>
    <x v="3"/>
    <x v="3"/>
    <x v="24"/>
    <n v="0"/>
    <m/>
    <n v="0"/>
    <n v="0"/>
    <m/>
    <n v="0"/>
    <n v="0"/>
    <m/>
    <n v="0"/>
    <n v="0"/>
    <m/>
    <n v="0"/>
  </r>
  <r>
    <x v="332"/>
    <x v="7"/>
    <x v="7"/>
    <x v="56"/>
    <n v="0"/>
    <m/>
    <n v="0"/>
    <n v="0"/>
    <m/>
    <n v="0"/>
    <n v="0"/>
    <m/>
    <n v="0"/>
    <n v="0"/>
    <m/>
    <n v="0"/>
  </r>
  <r>
    <x v="333"/>
    <x v="8"/>
    <x v="8"/>
    <x v="57"/>
    <n v="0"/>
    <m/>
    <n v="0"/>
    <n v="0"/>
    <m/>
    <n v="0"/>
    <n v="3023"/>
    <m/>
    <n v="3023"/>
    <n v="0"/>
    <m/>
    <n v="0"/>
  </r>
  <r>
    <x v="334"/>
    <x v="8"/>
    <x v="8"/>
    <x v="57"/>
    <n v="1838"/>
    <m/>
    <n v="1838"/>
    <n v="0"/>
    <m/>
    <n v="0"/>
    <n v="29695"/>
    <m/>
    <n v="29695"/>
    <n v="0"/>
    <m/>
    <n v="0"/>
  </r>
  <r>
    <x v="335"/>
    <x v="8"/>
    <x v="8"/>
    <x v="57"/>
    <n v="2098"/>
    <m/>
    <n v="2098"/>
    <n v="0"/>
    <m/>
    <n v="0"/>
    <n v="38511"/>
    <m/>
    <n v="38511"/>
    <n v="0"/>
    <m/>
    <n v="0"/>
  </r>
  <r>
    <x v="336"/>
    <x v="8"/>
    <x v="8"/>
    <x v="57"/>
    <n v="368858"/>
    <m/>
    <n v="368858"/>
    <n v="0"/>
    <m/>
    <n v="0"/>
    <n v="672181"/>
    <m/>
    <n v="672181"/>
    <n v="0"/>
    <m/>
    <n v="0"/>
  </r>
  <r>
    <x v="337"/>
    <x v="8"/>
    <x v="8"/>
    <x v="57"/>
    <n v="460969"/>
    <m/>
    <n v="460969"/>
    <n v="0"/>
    <m/>
    <n v="0"/>
    <n v="867002"/>
    <m/>
    <n v="867002"/>
    <n v="0"/>
    <m/>
    <n v="0"/>
  </r>
  <r>
    <x v="338"/>
    <x v="3"/>
    <x v="3"/>
    <x v="24"/>
    <n v="7"/>
    <m/>
    <n v="7"/>
    <n v="0"/>
    <m/>
    <n v="0"/>
    <n v="5436"/>
    <m/>
    <n v="5436"/>
    <n v="0"/>
    <m/>
    <n v="0"/>
  </r>
  <r>
    <x v="339"/>
    <x v="3"/>
    <x v="3"/>
    <x v="24"/>
    <n v="10150"/>
    <m/>
    <n v="10150"/>
    <n v="0"/>
    <m/>
    <n v="0"/>
    <n v="27865"/>
    <m/>
    <n v="27865"/>
    <n v="0"/>
    <m/>
    <n v="0"/>
  </r>
  <r>
    <x v="340"/>
    <x v="3"/>
    <x v="3"/>
    <x v="24"/>
    <n v="468"/>
    <m/>
    <n v="468"/>
    <n v="0"/>
    <m/>
    <n v="0"/>
    <n v="2414"/>
    <m/>
    <n v="2414"/>
    <n v="0"/>
    <m/>
    <n v="0"/>
  </r>
  <r>
    <x v="341"/>
    <x v="3"/>
    <x v="3"/>
    <x v="24"/>
    <n v="19982"/>
    <m/>
    <n v="19982"/>
    <n v="0"/>
    <m/>
    <n v="0"/>
    <n v="285659"/>
    <m/>
    <n v="285659"/>
    <n v="0"/>
    <m/>
    <n v="0"/>
  </r>
  <r>
    <x v="342"/>
    <x v="3"/>
    <x v="3"/>
    <x v="24"/>
    <n v="76133"/>
    <m/>
    <n v="76133"/>
    <n v="0"/>
    <m/>
    <n v="0"/>
    <n v="0"/>
    <m/>
    <n v="0"/>
    <n v="0"/>
    <m/>
    <n v="0"/>
  </r>
  <r>
    <x v="343"/>
    <x v="3"/>
    <x v="3"/>
    <x v="24"/>
    <n v="0"/>
    <m/>
    <n v="0"/>
    <n v="0"/>
    <m/>
    <n v="0"/>
    <n v="200"/>
    <m/>
    <n v="200"/>
    <n v="0"/>
    <m/>
    <n v="0"/>
  </r>
  <r>
    <x v="344"/>
    <x v="3"/>
    <x v="3"/>
    <x v="24"/>
    <n v="0"/>
    <m/>
    <n v="0"/>
    <n v="0"/>
    <m/>
    <n v="0"/>
    <n v="5485"/>
    <m/>
    <n v="5485"/>
    <n v="0"/>
    <m/>
    <n v="0"/>
  </r>
  <r>
    <x v="345"/>
    <x v="3"/>
    <x v="3"/>
    <x v="24"/>
    <n v="0"/>
    <m/>
    <n v="0"/>
    <n v="0"/>
    <m/>
    <n v="0"/>
    <n v="29250"/>
    <m/>
    <n v="29250"/>
    <n v="0"/>
    <m/>
    <n v="0"/>
  </r>
  <r>
    <x v="346"/>
    <x v="3"/>
    <x v="3"/>
    <x v="24"/>
    <n v="7"/>
    <m/>
    <n v="7"/>
    <n v="0"/>
    <m/>
    <n v="0"/>
    <n v="5436"/>
    <m/>
    <n v="5436"/>
    <n v="0"/>
    <m/>
    <n v="0"/>
  </r>
  <r>
    <x v="347"/>
    <x v="3"/>
    <x v="3"/>
    <x v="24"/>
    <n v="4285"/>
    <m/>
    <n v="4285"/>
    <n v="0"/>
    <m/>
    <n v="0"/>
    <n v="2330"/>
    <m/>
    <n v="2330"/>
    <n v="0"/>
    <m/>
    <n v="0"/>
  </r>
  <r>
    <x v="348"/>
    <x v="7"/>
    <x v="7"/>
    <x v="56"/>
    <n v="0"/>
    <m/>
    <n v="0"/>
    <n v="0"/>
    <m/>
    <n v="0"/>
    <n v="0"/>
    <m/>
    <n v="0"/>
    <n v="0"/>
    <m/>
    <n v="0"/>
  </r>
  <r>
    <x v="349"/>
    <x v="3"/>
    <x v="3"/>
    <x v="24"/>
    <n v="0"/>
    <m/>
    <n v="0"/>
    <n v="0"/>
    <m/>
    <n v="0"/>
    <n v="12071"/>
    <m/>
    <n v="12071"/>
    <n v="0"/>
    <m/>
    <n v="0"/>
  </r>
  <r>
    <x v="350"/>
    <x v="6"/>
    <x v="6"/>
    <x v="58"/>
    <n v="0"/>
    <m/>
    <n v="0"/>
    <n v="139269"/>
    <m/>
    <n v="139269"/>
    <n v="0"/>
    <m/>
    <n v="0"/>
    <n v="574034.93999999994"/>
    <m/>
    <n v="574034.93999999994"/>
  </r>
  <r>
    <x v="351"/>
    <x v="8"/>
    <x v="8"/>
    <x v="57"/>
    <n v="2678489.9500000002"/>
    <m/>
    <n v="2678489.9500000002"/>
    <n v="0"/>
    <m/>
    <n v="0"/>
    <n v="4933411.9400000004"/>
    <m/>
    <n v="4933411.9400000004"/>
    <n v="0"/>
    <m/>
    <n v="0"/>
  </r>
  <r>
    <x v="352"/>
    <x v="8"/>
    <x v="8"/>
    <x v="57"/>
    <n v="6"/>
    <m/>
    <n v="6"/>
    <n v="0"/>
    <m/>
    <n v="0"/>
    <n v="166917"/>
    <m/>
    <n v="166917"/>
    <n v="0"/>
    <m/>
    <n v="0"/>
  </r>
  <r>
    <x v="353"/>
    <x v="8"/>
    <x v="8"/>
    <x v="57"/>
    <n v="1225"/>
    <m/>
    <n v="1225"/>
    <n v="0"/>
    <m/>
    <n v="0"/>
    <n v="441375"/>
    <m/>
    <n v="441375"/>
    <n v="0"/>
    <m/>
    <n v="0"/>
  </r>
  <r>
    <x v="354"/>
    <x v="8"/>
    <x v="8"/>
    <x v="57"/>
    <n v="1577670"/>
    <m/>
    <n v="1577670"/>
    <n v="0"/>
    <m/>
    <n v="0"/>
    <n v="1878337"/>
    <m/>
    <n v="1878337"/>
    <n v="0"/>
    <m/>
    <n v="0"/>
  </r>
  <r>
    <x v="355"/>
    <x v="3"/>
    <x v="3"/>
    <x v="13"/>
    <n v="180000"/>
    <m/>
    <n v="180000"/>
    <n v="0"/>
    <m/>
    <n v="0"/>
    <n v="196000"/>
    <m/>
    <n v="196000"/>
    <n v="0"/>
    <m/>
    <n v="0"/>
  </r>
  <r>
    <x v="356"/>
    <x v="0"/>
    <x v="0"/>
    <x v="1"/>
    <n v="0"/>
    <m/>
    <n v="0"/>
    <n v="0"/>
    <m/>
    <n v="0"/>
    <n v="0"/>
    <m/>
    <n v="0"/>
    <n v="0"/>
    <m/>
    <n v="0"/>
  </r>
  <r>
    <x v="357"/>
    <x v="0"/>
    <x v="0"/>
    <x v="1"/>
    <n v="0"/>
    <m/>
    <n v="0"/>
    <n v="537677"/>
    <m/>
    <n v="537677"/>
    <n v="0"/>
    <m/>
    <n v="0"/>
    <n v="366473"/>
    <m/>
    <n v="366473"/>
  </r>
  <r>
    <x v="358"/>
    <x v="0"/>
    <x v="0"/>
    <x v="1"/>
    <n v="0"/>
    <m/>
    <n v="0"/>
    <n v="0"/>
    <m/>
    <n v="0"/>
    <n v="0"/>
    <m/>
    <n v="0"/>
    <n v="0"/>
    <m/>
    <n v="0"/>
  </r>
  <r>
    <x v="359"/>
    <x v="0"/>
    <x v="0"/>
    <x v="1"/>
    <n v="0"/>
    <m/>
    <n v="0"/>
    <n v="2456715"/>
    <m/>
    <n v="2456715"/>
    <n v="0"/>
    <m/>
    <n v="0"/>
    <n v="0"/>
    <m/>
    <n v="0"/>
  </r>
  <r>
    <x v="360"/>
    <x v="1"/>
    <x v="1"/>
    <x v="2"/>
    <n v="0"/>
    <m/>
    <n v="0"/>
    <n v="0"/>
    <m/>
    <n v="0"/>
    <n v="556227"/>
    <m/>
    <n v="556227"/>
    <n v="0"/>
    <m/>
    <n v="0"/>
  </r>
  <r>
    <x v="361"/>
    <x v="1"/>
    <x v="1"/>
    <x v="2"/>
    <n v="172778"/>
    <m/>
    <n v="172778"/>
    <n v="0"/>
    <m/>
    <n v="0"/>
    <n v="50433"/>
    <m/>
    <n v="50433"/>
    <n v="0"/>
    <m/>
    <n v="0"/>
  </r>
  <r>
    <x v="362"/>
    <x v="0"/>
    <x v="0"/>
    <x v="1"/>
    <n v="0"/>
    <m/>
    <n v="0"/>
    <n v="0"/>
    <m/>
    <n v="0"/>
    <n v="0"/>
    <m/>
    <n v="0"/>
    <n v="54442"/>
    <m/>
    <n v="54442"/>
  </r>
  <r>
    <x v="363"/>
    <x v="0"/>
    <x v="0"/>
    <x v="0"/>
    <n v="0"/>
    <m/>
    <n v="0"/>
    <n v="0"/>
    <m/>
    <n v="0"/>
    <n v="0"/>
    <m/>
    <n v="0"/>
    <n v="2950"/>
    <m/>
    <n v="2950"/>
  </r>
  <r>
    <x v="364"/>
    <x v="0"/>
    <x v="0"/>
    <x v="0"/>
    <n v="0"/>
    <m/>
    <n v="0"/>
    <n v="0"/>
    <m/>
    <n v="0"/>
    <n v="0"/>
    <m/>
    <n v="0"/>
    <n v="23502"/>
    <m/>
    <n v="23502"/>
  </r>
  <r>
    <x v="365"/>
    <x v="0"/>
    <x v="0"/>
    <x v="0"/>
    <n v="0"/>
    <m/>
    <n v="0"/>
    <n v="0"/>
    <m/>
    <n v="0"/>
    <n v="0"/>
    <m/>
    <n v="0"/>
    <n v="0"/>
    <m/>
    <n v="0"/>
  </r>
  <r>
    <x v="366"/>
    <x v="0"/>
    <x v="0"/>
    <x v="0"/>
    <n v="0"/>
    <m/>
    <n v="0"/>
    <n v="0"/>
    <m/>
    <n v="0"/>
    <n v="0"/>
    <m/>
    <n v="0"/>
    <n v="0"/>
    <m/>
    <n v="0"/>
  </r>
  <r>
    <x v="367"/>
    <x v="5"/>
    <x v="5"/>
    <x v="8"/>
    <n v="0"/>
    <m/>
    <n v="0"/>
    <n v="6384474"/>
    <m/>
    <n v="6384474"/>
    <n v="0"/>
    <m/>
    <n v="0"/>
    <n v="6498343"/>
    <m/>
    <n v="6498343"/>
  </r>
  <r>
    <x v="368"/>
    <x v="0"/>
    <x v="0"/>
    <x v="1"/>
    <n v="0"/>
    <m/>
    <n v="0"/>
    <n v="0"/>
    <m/>
    <n v="0"/>
    <n v="0"/>
    <m/>
    <n v="0"/>
    <n v="6710"/>
    <m/>
    <n v="6710"/>
  </r>
  <r>
    <x v="369"/>
    <x v="1"/>
    <x v="1"/>
    <x v="2"/>
    <n v="0"/>
    <m/>
    <n v="0"/>
    <n v="0"/>
    <m/>
    <n v="0"/>
    <n v="0"/>
    <m/>
    <n v="0"/>
    <n v="0"/>
    <m/>
    <n v="0"/>
  </r>
  <r>
    <x v="370"/>
    <x v="1"/>
    <x v="1"/>
    <x v="2"/>
    <n v="0"/>
    <m/>
    <n v="0"/>
    <n v="0"/>
    <m/>
    <n v="0"/>
    <n v="0"/>
    <m/>
    <n v="0"/>
    <n v="0"/>
    <m/>
    <n v="0"/>
  </r>
  <r>
    <x v="371"/>
    <x v="1"/>
    <x v="1"/>
    <x v="2"/>
    <n v="573513"/>
    <m/>
    <n v="573513"/>
    <n v="0"/>
    <m/>
    <n v="0"/>
    <n v="1680601"/>
    <m/>
    <n v="1680601"/>
    <n v="0"/>
    <m/>
    <n v="0"/>
  </r>
  <r>
    <x v="372"/>
    <x v="0"/>
    <x v="0"/>
    <x v="0"/>
    <n v="0"/>
    <m/>
    <n v="0"/>
    <n v="0"/>
    <m/>
    <n v="0"/>
    <n v="0"/>
    <m/>
    <n v="0"/>
    <n v="6434"/>
    <m/>
    <n v="6434"/>
  </r>
  <r>
    <x v="373"/>
    <x v="2"/>
    <x v="2"/>
    <x v="6"/>
    <n v="66000"/>
    <m/>
    <n v="66000"/>
    <n v="0"/>
    <m/>
    <n v="0"/>
    <n v="92000"/>
    <m/>
    <n v="92000"/>
    <n v="0"/>
    <m/>
    <n v="0"/>
  </r>
  <r>
    <x v="374"/>
    <x v="0"/>
    <x v="0"/>
    <x v="0"/>
    <n v="0"/>
    <m/>
    <n v="0"/>
    <n v="0"/>
    <m/>
    <n v="0"/>
    <n v="0"/>
    <m/>
    <n v="0"/>
    <n v="21679"/>
    <m/>
    <n v="21679"/>
  </r>
  <r>
    <x v="375"/>
    <x v="0"/>
    <x v="0"/>
    <x v="0"/>
    <n v="0"/>
    <m/>
    <n v="0"/>
    <n v="0"/>
    <m/>
    <n v="0"/>
    <n v="0"/>
    <m/>
    <n v="0"/>
    <n v="2463"/>
    <m/>
    <n v="2463"/>
  </r>
  <r>
    <x v="376"/>
    <x v="5"/>
    <x v="5"/>
    <x v="8"/>
    <n v="0"/>
    <m/>
    <n v="0"/>
    <n v="3529583"/>
    <m/>
    <n v="3529583"/>
    <n v="0"/>
    <m/>
    <n v="0"/>
    <n v="3280041"/>
    <m/>
    <n v="3280041"/>
  </r>
  <r>
    <x v="377"/>
    <x v="0"/>
    <x v="0"/>
    <x v="1"/>
    <n v="0"/>
    <m/>
    <n v="0"/>
    <n v="12238807.5"/>
    <m/>
    <n v="12238807.5"/>
    <n v="0"/>
    <m/>
    <n v="0"/>
    <n v="6148401"/>
    <m/>
    <n v="6148401"/>
  </r>
  <r>
    <x v="378"/>
    <x v="1"/>
    <x v="1"/>
    <x v="2"/>
    <n v="0"/>
    <m/>
    <n v="0"/>
    <n v="0"/>
    <m/>
    <n v="0"/>
    <n v="0"/>
    <m/>
    <n v="0"/>
    <n v="22611"/>
    <m/>
    <n v="22611"/>
  </r>
  <r>
    <x v="379"/>
    <x v="2"/>
    <x v="2"/>
    <x v="6"/>
    <n v="6000"/>
    <m/>
    <n v="6000"/>
    <n v="0"/>
    <m/>
    <n v="0"/>
    <n v="23000"/>
    <m/>
    <n v="23000"/>
    <n v="0"/>
    <m/>
    <n v="0"/>
  </r>
  <r>
    <x v="380"/>
    <x v="0"/>
    <x v="0"/>
    <x v="1"/>
    <n v="0"/>
    <m/>
    <n v="0"/>
    <n v="0"/>
    <m/>
    <n v="0"/>
    <n v="0"/>
    <m/>
    <n v="0"/>
    <n v="0"/>
    <m/>
    <n v="0"/>
  </r>
  <r>
    <x v="381"/>
    <x v="0"/>
    <x v="0"/>
    <x v="0"/>
    <n v="0"/>
    <m/>
    <n v="0"/>
    <n v="47229"/>
    <m/>
    <n v="47229"/>
    <n v="0"/>
    <m/>
    <n v="0"/>
    <n v="49045"/>
    <m/>
    <n v="49045"/>
  </r>
  <r>
    <x v="382"/>
    <x v="3"/>
    <x v="3"/>
    <x v="24"/>
    <n v="14112"/>
    <m/>
    <n v="14112"/>
    <n v="0"/>
    <m/>
    <n v="0"/>
    <n v="14352"/>
    <m/>
    <n v="14352"/>
    <n v="0"/>
    <m/>
    <n v="0"/>
  </r>
  <r>
    <x v="383"/>
    <x v="0"/>
    <x v="0"/>
    <x v="1"/>
    <n v="0"/>
    <m/>
    <n v="0"/>
    <n v="5721513"/>
    <m/>
    <n v="5721513"/>
    <n v="0"/>
    <m/>
    <n v="0"/>
    <n v="2096163"/>
    <m/>
    <n v="2096163"/>
  </r>
  <r>
    <x v="384"/>
    <x v="1"/>
    <x v="1"/>
    <x v="7"/>
    <n v="45230726"/>
    <m/>
    <n v="45230726"/>
    <n v="0"/>
    <m/>
    <n v="0"/>
    <n v="16519422"/>
    <m/>
    <n v="16519422"/>
    <n v="0"/>
    <m/>
    <n v="0"/>
  </r>
  <r>
    <x v="385"/>
    <x v="1"/>
    <x v="1"/>
    <x v="7"/>
    <n v="0"/>
    <m/>
    <n v="0"/>
    <n v="0"/>
    <m/>
    <n v="0"/>
    <n v="0"/>
    <m/>
    <n v="0"/>
    <n v="0"/>
    <m/>
    <n v="0"/>
  </r>
  <r>
    <x v="386"/>
    <x v="0"/>
    <x v="0"/>
    <x v="1"/>
    <n v="0"/>
    <m/>
    <n v="0"/>
    <n v="0"/>
    <m/>
    <n v="0"/>
    <n v="0"/>
    <m/>
    <n v="0"/>
    <n v="635040"/>
    <m/>
    <n v="635040"/>
  </r>
  <r>
    <x v="387"/>
    <x v="3"/>
    <x v="3"/>
    <x v="24"/>
    <n v="0"/>
    <m/>
    <n v="0"/>
    <n v="0"/>
    <m/>
    <n v="0"/>
    <n v="0"/>
    <m/>
    <n v="0"/>
    <n v="0"/>
    <m/>
    <n v="0"/>
  </r>
  <r>
    <x v="388"/>
    <x v="8"/>
    <x v="8"/>
    <x v="57"/>
    <n v="0"/>
    <m/>
    <n v="0"/>
    <n v="0"/>
    <m/>
    <n v="0"/>
    <n v="0"/>
    <m/>
    <n v="0"/>
    <n v="0"/>
    <m/>
    <n v="0"/>
  </r>
  <r>
    <x v="389"/>
    <x v="17"/>
    <x v="18"/>
    <x v="40"/>
    <n v="198086"/>
    <m/>
    <n v="198086"/>
    <n v="0"/>
    <m/>
    <n v="0"/>
    <n v="195649"/>
    <m/>
    <n v="195649"/>
    <n v="0"/>
    <m/>
    <n v="0"/>
  </r>
  <r>
    <x v="390"/>
    <x v="16"/>
    <x v="16"/>
    <x v="38"/>
    <n v="0"/>
    <m/>
    <n v="0"/>
    <n v="198086"/>
    <m/>
    <n v="198086"/>
    <n v="0"/>
    <m/>
    <n v="0"/>
    <n v="195649"/>
    <m/>
    <n v="195649"/>
  </r>
  <r>
    <x v="391"/>
    <x v="3"/>
    <x v="3"/>
    <x v="30"/>
    <n v="243920"/>
    <m/>
    <n v="243920"/>
    <n v="0"/>
    <m/>
    <n v="0"/>
    <n v="133198.18"/>
    <m/>
    <n v="133198.18"/>
    <n v="0"/>
    <m/>
    <n v="0"/>
  </r>
  <r>
    <x v="392"/>
    <x v="1"/>
    <x v="1"/>
    <x v="2"/>
    <n v="0"/>
    <m/>
    <n v="0"/>
    <n v="0"/>
    <m/>
    <n v="0"/>
    <n v="288108"/>
    <m/>
    <n v="288108"/>
    <n v="0"/>
    <m/>
    <n v="0"/>
  </r>
  <r>
    <x v="393"/>
    <x v="0"/>
    <x v="0"/>
    <x v="1"/>
    <n v="0"/>
    <m/>
    <n v="0"/>
    <n v="11871807.5"/>
    <m/>
    <n v="11871807.5"/>
    <n v="0"/>
    <m/>
    <n v="0"/>
    <n v="9718147"/>
    <m/>
    <n v="9718147"/>
  </r>
  <r>
    <x v="394"/>
    <x v="3"/>
    <x v="3"/>
    <x v="25"/>
    <n v="136767"/>
    <m/>
    <n v="136767"/>
    <n v="0"/>
    <m/>
    <n v="0"/>
    <n v="149343"/>
    <m/>
    <n v="149343"/>
    <n v="0"/>
    <m/>
    <n v="0"/>
  </r>
  <r>
    <x v="395"/>
    <x v="3"/>
    <x v="3"/>
    <x v="25"/>
    <n v="1020022"/>
    <m/>
    <n v="1020022"/>
    <n v="0"/>
    <m/>
    <n v="0"/>
    <n v="969798"/>
    <m/>
    <n v="969798"/>
    <n v="0"/>
    <m/>
    <n v="0"/>
  </r>
  <r>
    <x v="396"/>
    <x v="3"/>
    <x v="3"/>
    <x v="25"/>
    <n v="1231418.3999999999"/>
    <m/>
    <n v="1231418.3999999999"/>
    <n v="0"/>
    <m/>
    <n v="0"/>
    <n v="1446914"/>
    <m/>
    <n v="1446914"/>
    <n v="0"/>
    <m/>
    <n v="0"/>
  </r>
  <r>
    <x v="397"/>
    <x v="3"/>
    <x v="3"/>
    <x v="25"/>
    <n v="7737390.6699999999"/>
    <m/>
    <n v="7737390.6699999999"/>
    <n v="0"/>
    <m/>
    <n v="0"/>
    <n v="10783983.359999999"/>
    <m/>
    <n v="10783983.359999999"/>
    <n v="0"/>
    <m/>
    <n v="0"/>
  </r>
  <r>
    <x v="398"/>
    <x v="0"/>
    <x v="0"/>
    <x v="1"/>
    <n v="0"/>
    <m/>
    <n v="0"/>
    <n v="0"/>
    <m/>
    <n v="0"/>
    <n v="0"/>
    <m/>
    <n v="0"/>
    <n v="55663"/>
    <m/>
    <n v="55663"/>
  </r>
  <r>
    <x v="399"/>
    <x v="4"/>
    <x v="4"/>
    <x v="5"/>
    <n v="411283"/>
    <m/>
    <n v="411283"/>
    <n v="0"/>
    <m/>
    <n v="0"/>
    <n v="4609940"/>
    <m/>
    <n v="4609940"/>
    <n v="0"/>
    <m/>
    <n v="0"/>
  </r>
  <r>
    <x v="400"/>
    <x v="2"/>
    <x v="2"/>
    <x v="6"/>
    <n v="11000"/>
    <m/>
    <n v="11000"/>
    <n v="0"/>
    <m/>
    <n v="0"/>
    <n v="0"/>
    <m/>
    <n v="0"/>
    <n v="0"/>
    <m/>
    <n v="0"/>
  </r>
  <r>
    <x v="401"/>
    <x v="0"/>
    <x v="0"/>
    <x v="0"/>
    <n v="0"/>
    <m/>
    <n v="0"/>
    <n v="0"/>
    <m/>
    <n v="0"/>
    <n v="18479"/>
    <m/>
    <n v="18479"/>
    <n v="0"/>
    <m/>
    <n v="0"/>
  </r>
  <r>
    <x v="402"/>
    <x v="0"/>
    <x v="0"/>
    <x v="0"/>
    <n v="0"/>
    <m/>
    <n v="0"/>
    <n v="0"/>
    <m/>
    <n v="0"/>
    <n v="0"/>
    <m/>
    <n v="0"/>
    <n v="15790"/>
    <m/>
    <n v="15790"/>
  </r>
  <r>
    <x v="403"/>
    <x v="2"/>
    <x v="2"/>
    <x v="6"/>
    <n v="0"/>
    <m/>
    <n v="0"/>
    <n v="0"/>
    <m/>
    <n v="0"/>
    <n v="6000"/>
    <m/>
    <n v="6000"/>
    <n v="0"/>
    <m/>
    <n v="0"/>
  </r>
  <r>
    <x v="404"/>
    <x v="2"/>
    <x v="2"/>
    <x v="6"/>
    <n v="8000"/>
    <m/>
    <n v="8000"/>
    <n v="0"/>
    <m/>
    <n v="0"/>
    <n v="26000"/>
    <m/>
    <n v="26000"/>
    <n v="0"/>
    <m/>
    <n v="0"/>
  </r>
  <r>
    <x v="405"/>
    <x v="2"/>
    <x v="2"/>
    <x v="59"/>
    <n v="0"/>
    <m/>
    <n v="0"/>
    <n v="0"/>
    <m/>
    <n v="0"/>
    <n v="0"/>
    <m/>
    <n v="0"/>
    <n v="0"/>
    <m/>
    <n v="0"/>
  </r>
  <r>
    <x v="406"/>
    <x v="2"/>
    <x v="2"/>
    <x v="59"/>
    <n v="0"/>
    <m/>
    <n v="0"/>
    <n v="0"/>
    <m/>
    <n v="0"/>
    <n v="0"/>
    <m/>
    <n v="0"/>
    <n v="0"/>
    <m/>
    <n v="0"/>
  </r>
  <r>
    <x v="407"/>
    <x v="2"/>
    <x v="2"/>
    <x v="59"/>
    <n v="0"/>
    <m/>
    <n v="0"/>
    <n v="0"/>
    <m/>
    <n v="0"/>
    <n v="1021090"/>
    <m/>
    <n v="1021090"/>
    <n v="0"/>
    <m/>
    <n v="0"/>
  </r>
  <r>
    <x v="408"/>
    <x v="2"/>
    <x v="2"/>
    <x v="59"/>
    <n v="0"/>
    <m/>
    <n v="0"/>
    <n v="0"/>
    <m/>
    <n v="0"/>
    <n v="6404071"/>
    <m/>
    <n v="6404071"/>
    <n v="0"/>
    <m/>
    <n v="0"/>
  </r>
  <r>
    <x v="409"/>
    <x v="2"/>
    <x v="2"/>
    <x v="59"/>
    <n v="0"/>
    <m/>
    <n v="0"/>
    <n v="0"/>
    <m/>
    <n v="0"/>
    <n v="0"/>
    <m/>
    <n v="0"/>
    <n v="0"/>
    <m/>
    <n v="0"/>
  </r>
  <r>
    <x v="410"/>
    <x v="2"/>
    <x v="2"/>
    <x v="59"/>
    <n v="0"/>
    <m/>
    <n v="0"/>
    <n v="0"/>
    <m/>
    <n v="0"/>
    <n v="479434"/>
    <m/>
    <n v="479434"/>
    <n v="0"/>
    <m/>
    <n v="0"/>
  </r>
  <r>
    <x v="411"/>
    <x v="0"/>
    <x v="0"/>
    <x v="1"/>
    <n v="0"/>
    <m/>
    <n v="0"/>
    <n v="0"/>
    <m/>
    <n v="0"/>
    <n v="0"/>
    <m/>
    <n v="0"/>
    <n v="30472"/>
    <m/>
    <n v="30472"/>
  </r>
  <r>
    <x v="412"/>
    <x v="17"/>
    <x v="18"/>
    <x v="60"/>
    <n v="306631"/>
    <m/>
    <n v="306631"/>
    <n v="0"/>
    <m/>
    <n v="0"/>
    <n v="239427"/>
    <m/>
    <n v="239427"/>
    <n v="0"/>
    <m/>
    <n v="0"/>
  </r>
  <r>
    <x v="413"/>
    <x v="3"/>
    <x v="3"/>
    <x v="9"/>
    <n v="0"/>
    <m/>
    <n v="0"/>
    <n v="0"/>
    <m/>
    <n v="0"/>
    <n v="0"/>
    <m/>
    <n v="0"/>
    <n v="0"/>
    <m/>
    <n v="0"/>
  </r>
  <r>
    <x v="414"/>
    <x v="0"/>
    <x v="0"/>
    <x v="0"/>
    <n v="0"/>
    <m/>
    <n v="0"/>
    <n v="0"/>
    <m/>
    <n v="0"/>
    <n v="0"/>
    <m/>
    <n v="0"/>
    <n v="0"/>
    <m/>
    <n v="0"/>
  </r>
  <r>
    <x v="415"/>
    <x v="2"/>
    <x v="2"/>
    <x v="6"/>
    <n v="2000"/>
    <m/>
    <n v="2000"/>
    <n v="0"/>
    <m/>
    <n v="0"/>
    <n v="15000"/>
    <m/>
    <n v="15000"/>
    <n v="0"/>
    <m/>
    <n v="0"/>
  </r>
  <r>
    <x v="416"/>
    <x v="1"/>
    <x v="1"/>
    <x v="2"/>
    <n v="0"/>
    <m/>
    <n v="0"/>
    <n v="0"/>
    <m/>
    <n v="0"/>
    <n v="0"/>
    <m/>
    <n v="0"/>
    <n v="0"/>
    <m/>
    <n v="0"/>
  </r>
  <r>
    <x v="417"/>
    <x v="4"/>
    <x v="4"/>
    <x v="5"/>
    <n v="0"/>
    <m/>
    <n v="0"/>
    <n v="0"/>
    <m/>
    <n v="0"/>
    <n v="67712.89"/>
    <m/>
    <n v="67712.89"/>
    <n v="0"/>
    <m/>
    <n v="0"/>
  </r>
  <r>
    <x v="418"/>
    <x v="0"/>
    <x v="0"/>
    <x v="0"/>
    <n v="0"/>
    <m/>
    <n v="0"/>
    <n v="0"/>
    <m/>
    <n v="0"/>
    <n v="0"/>
    <m/>
    <n v="0"/>
    <n v="0"/>
    <m/>
    <n v="0"/>
  </r>
  <r>
    <x v="419"/>
    <x v="0"/>
    <x v="0"/>
    <x v="0"/>
    <n v="0"/>
    <m/>
    <n v="0"/>
    <n v="0"/>
    <m/>
    <n v="0"/>
    <n v="0"/>
    <m/>
    <n v="0"/>
    <n v="0"/>
    <m/>
    <n v="0"/>
  </r>
  <r>
    <x v="420"/>
    <x v="0"/>
    <x v="0"/>
    <x v="0"/>
    <n v="0"/>
    <m/>
    <n v="0"/>
    <n v="20037"/>
    <m/>
    <n v="20037"/>
    <n v="0"/>
    <m/>
    <n v="0"/>
    <n v="14593"/>
    <m/>
    <n v="14593"/>
  </r>
  <r>
    <x v="421"/>
    <x v="2"/>
    <x v="2"/>
    <x v="6"/>
    <n v="0"/>
    <m/>
    <n v="0"/>
    <n v="0"/>
    <m/>
    <n v="0"/>
    <n v="4000"/>
    <m/>
    <n v="4000"/>
    <n v="0"/>
    <m/>
    <n v="0"/>
  </r>
  <r>
    <x v="422"/>
    <x v="0"/>
    <x v="0"/>
    <x v="1"/>
    <n v="0"/>
    <m/>
    <n v="0"/>
    <n v="0"/>
    <m/>
    <n v="0"/>
    <n v="0"/>
    <m/>
    <n v="0"/>
    <n v="0"/>
    <m/>
    <n v="0"/>
  </r>
  <r>
    <x v="423"/>
    <x v="2"/>
    <x v="2"/>
    <x v="6"/>
    <n v="0"/>
    <m/>
    <n v="0"/>
    <n v="0"/>
    <m/>
    <n v="0"/>
    <n v="34000"/>
    <m/>
    <n v="34000"/>
    <n v="0"/>
    <m/>
    <n v="0"/>
  </r>
  <r>
    <x v="424"/>
    <x v="1"/>
    <x v="1"/>
    <x v="61"/>
    <n v="0"/>
    <m/>
    <n v="0"/>
    <n v="0"/>
    <m/>
    <n v="0"/>
    <n v="3355331"/>
    <m/>
    <n v="3355331"/>
    <n v="0"/>
    <m/>
    <n v="0"/>
  </r>
  <r>
    <x v="425"/>
    <x v="0"/>
    <x v="0"/>
    <x v="0"/>
    <n v="0"/>
    <m/>
    <n v="0"/>
    <n v="0"/>
    <m/>
    <n v="0"/>
    <n v="0"/>
    <m/>
    <n v="0"/>
    <n v="236422"/>
    <m/>
    <n v="236422"/>
  </r>
  <r>
    <x v="426"/>
    <x v="0"/>
    <x v="0"/>
    <x v="0"/>
    <n v="0"/>
    <m/>
    <n v="0"/>
    <n v="0"/>
    <m/>
    <n v="0"/>
    <n v="0"/>
    <m/>
    <n v="0"/>
    <n v="22370"/>
    <m/>
    <n v="22370"/>
  </r>
  <r>
    <x v="427"/>
    <x v="3"/>
    <x v="3"/>
    <x v="24"/>
    <n v="0"/>
    <m/>
    <n v="0"/>
    <n v="0"/>
    <m/>
    <n v="0"/>
    <n v="185312"/>
    <m/>
    <n v="185312"/>
    <n v="0"/>
    <m/>
    <n v="0"/>
  </r>
  <r>
    <x v="428"/>
    <x v="3"/>
    <x v="3"/>
    <x v="24"/>
    <n v="0"/>
    <m/>
    <n v="0"/>
    <n v="0"/>
    <m/>
    <n v="0"/>
    <n v="0"/>
    <m/>
    <n v="0"/>
    <n v="0"/>
    <m/>
    <n v="0"/>
  </r>
  <r>
    <x v="429"/>
    <x v="3"/>
    <x v="3"/>
    <x v="24"/>
    <n v="0"/>
    <m/>
    <n v="0"/>
    <n v="0"/>
    <m/>
    <n v="0"/>
    <n v="0"/>
    <m/>
    <n v="0"/>
    <n v="0"/>
    <m/>
    <n v="0"/>
  </r>
  <r>
    <x v="430"/>
    <x v="3"/>
    <x v="3"/>
    <x v="21"/>
    <n v="104715"/>
    <m/>
    <n v="104715"/>
    <n v="0"/>
    <m/>
    <n v="0"/>
    <n v="53120"/>
    <m/>
    <n v="53120"/>
    <n v="0"/>
    <m/>
    <n v="0"/>
  </r>
  <r>
    <x v="431"/>
    <x v="3"/>
    <x v="3"/>
    <x v="21"/>
    <n v="88900"/>
    <m/>
    <n v="88900"/>
    <n v="0"/>
    <m/>
    <n v="0"/>
    <n v="119340"/>
    <m/>
    <n v="119340"/>
    <n v="0"/>
    <m/>
    <n v="0"/>
  </r>
  <r>
    <x v="432"/>
    <x v="0"/>
    <x v="0"/>
    <x v="0"/>
    <n v="0"/>
    <m/>
    <n v="0"/>
    <n v="5880"/>
    <m/>
    <n v="5880"/>
    <n v="0"/>
    <m/>
    <n v="0"/>
    <n v="4490"/>
    <m/>
    <n v="4490"/>
  </r>
  <r>
    <x v="433"/>
    <x v="9"/>
    <x v="9"/>
    <x v="22"/>
    <n v="1024059.47"/>
    <m/>
    <n v="1024059.47"/>
    <n v="0"/>
    <m/>
    <n v="0"/>
    <n v="918177.38"/>
    <m/>
    <n v="918177.38"/>
    <n v="0"/>
    <m/>
    <n v="0"/>
  </r>
  <r>
    <x v="434"/>
    <x v="3"/>
    <x v="3"/>
    <x v="21"/>
    <n v="59486"/>
    <m/>
    <n v="59486"/>
    <n v="0"/>
    <m/>
    <n v="0"/>
    <n v="202053"/>
    <m/>
    <n v="202053"/>
    <n v="0"/>
    <m/>
    <n v="0"/>
  </r>
  <r>
    <x v="435"/>
    <x v="3"/>
    <x v="3"/>
    <x v="50"/>
    <n v="312000"/>
    <m/>
    <n v="312000"/>
    <n v="0"/>
    <m/>
    <n v="0"/>
    <n v="312000"/>
    <m/>
    <n v="312000"/>
    <n v="0"/>
    <m/>
    <n v="0"/>
  </r>
  <r>
    <x v="436"/>
    <x v="3"/>
    <x v="3"/>
    <x v="21"/>
    <n v="42660"/>
    <m/>
    <n v="42660"/>
    <n v="0"/>
    <m/>
    <n v="0"/>
    <n v="104473"/>
    <m/>
    <n v="104473"/>
    <n v="0"/>
    <m/>
    <n v="0"/>
  </r>
  <r>
    <x v="437"/>
    <x v="4"/>
    <x v="4"/>
    <x v="5"/>
    <n v="0"/>
    <m/>
    <n v="0"/>
    <n v="0"/>
    <m/>
    <n v="0"/>
    <n v="25000"/>
    <m/>
    <n v="25000"/>
    <n v="0"/>
    <m/>
    <n v="0"/>
  </r>
  <r>
    <x v="438"/>
    <x v="20"/>
    <x v="21"/>
    <x v="62"/>
    <n v="67823511"/>
    <m/>
    <n v="67823511"/>
    <n v="0"/>
    <m/>
    <n v="0"/>
    <n v="51184927.25"/>
    <m/>
    <n v="51184927.25"/>
    <n v="0"/>
    <m/>
    <n v="0"/>
  </r>
  <r>
    <x v="439"/>
    <x v="1"/>
    <x v="1"/>
    <x v="2"/>
    <n v="2929"/>
    <m/>
    <n v="2929"/>
    <n v="0"/>
    <m/>
    <n v="0"/>
    <n v="501681"/>
    <m/>
    <n v="501681"/>
    <n v="0"/>
    <m/>
    <n v="0"/>
  </r>
  <r>
    <x v="440"/>
    <x v="1"/>
    <x v="1"/>
    <x v="2"/>
    <n v="189048"/>
    <m/>
    <n v="189048"/>
    <n v="0"/>
    <m/>
    <n v="0"/>
    <n v="361758"/>
    <m/>
    <n v="361758"/>
    <n v="0"/>
    <m/>
    <n v="0"/>
  </r>
  <r>
    <x v="441"/>
    <x v="12"/>
    <x v="12"/>
    <x v="28"/>
    <n v="23600"/>
    <m/>
    <n v="23600"/>
    <n v="0"/>
    <m/>
    <n v="0"/>
    <n v="33607"/>
    <m/>
    <n v="33607"/>
    <n v="0"/>
    <m/>
    <n v="0"/>
  </r>
  <r>
    <x v="442"/>
    <x v="12"/>
    <x v="12"/>
    <x v="28"/>
    <n v="3600"/>
    <m/>
    <n v="3600"/>
    <n v="0"/>
    <m/>
    <n v="0"/>
    <n v="2080"/>
    <m/>
    <n v="2080"/>
    <n v="0"/>
    <m/>
    <n v="0"/>
  </r>
  <r>
    <x v="443"/>
    <x v="3"/>
    <x v="3"/>
    <x v="29"/>
    <n v="5227186"/>
    <m/>
    <n v="5227186"/>
    <n v="0"/>
    <m/>
    <n v="0"/>
    <n v="852133"/>
    <m/>
    <n v="852133"/>
    <n v="0"/>
    <m/>
    <n v="0"/>
  </r>
  <r>
    <x v="444"/>
    <x v="3"/>
    <x v="3"/>
    <x v="25"/>
    <n v="0"/>
    <m/>
    <n v="0"/>
    <n v="0"/>
    <m/>
    <n v="0"/>
    <n v="0"/>
    <m/>
    <n v="0"/>
    <n v="0"/>
    <m/>
    <n v="0"/>
  </r>
  <r>
    <x v="445"/>
    <x v="3"/>
    <x v="3"/>
    <x v="63"/>
    <n v="1640"/>
    <m/>
    <n v="1640"/>
    <n v="0"/>
    <m/>
    <n v="0"/>
    <n v="500"/>
    <m/>
    <n v="500"/>
    <n v="0"/>
    <m/>
    <n v="0"/>
  </r>
  <r>
    <x v="446"/>
    <x v="3"/>
    <x v="3"/>
    <x v="63"/>
    <n v="870"/>
    <m/>
    <n v="870"/>
    <n v="0"/>
    <m/>
    <n v="0"/>
    <n v="2650"/>
    <m/>
    <n v="2650"/>
    <n v="0"/>
    <m/>
    <n v="0"/>
  </r>
  <r>
    <x v="447"/>
    <x v="3"/>
    <x v="3"/>
    <x v="64"/>
    <n v="0"/>
    <m/>
    <n v="0"/>
    <n v="0"/>
    <m/>
    <n v="0"/>
    <n v="0"/>
    <m/>
    <n v="0"/>
    <n v="0"/>
    <m/>
    <n v="0"/>
  </r>
  <r>
    <x v="448"/>
    <x v="3"/>
    <x v="3"/>
    <x v="64"/>
    <n v="0"/>
    <m/>
    <n v="0"/>
    <n v="0"/>
    <m/>
    <n v="0"/>
    <n v="0"/>
    <m/>
    <n v="0"/>
    <n v="0"/>
    <m/>
    <n v="0"/>
  </r>
  <r>
    <x v="449"/>
    <x v="12"/>
    <x v="12"/>
    <x v="28"/>
    <n v="248948"/>
    <m/>
    <n v="248948"/>
    <n v="0"/>
    <m/>
    <n v="0"/>
    <n v="447749"/>
    <m/>
    <n v="447749"/>
    <n v="0"/>
    <m/>
    <n v="0"/>
  </r>
  <r>
    <x v="450"/>
    <x v="3"/>
    <x v="3"/>
    <x v="9"/>
    <n v="0"/>
    <m/>
    <n v="0"/>
    <n v="0"/>
    <m/>
    <n v="0"/>
    <n v="20000"/>
    <m/>
    <n v="20000"/>
    <n v="0"/>
    <m/>
    <n v="0"/>
  </r>
  <r>
    <x v="451"/>
    <x v="3"/>
    <x v="3"/>
    <x v="30"/>
    <n v="0"/>
    <m/>
    <n v="0"/>
    <n v="0"/>
    <m/>
    <n v="0"/>
    <n v="0"/>
    <m/>
    <n v="0"/>
    <n v="0"/>
    <m/>
    <n v="0"/>
  </r>
  <r>
    <x v="452"/>
    <x v="3"/>
    <x v="3"/>
    <x v="30"/>
    <n v="0"/>
    <m/>
    <n v="0"/>
    <n v="0"/>
    <m/>
    <n v="0"/>
    <n v="210000"/>
    <m/>
    <n v="210000"/>
    <n v="0"/>
    <m/>
    <n v="0"/>
  </r>
  <r>
    <x v="453"/>
    <x v="18"/>
    <x v="19"/>
    <x v="41"/>
    <n v="0"/>
    <m/>
    <n v="0"/>
    <n v="438710"/>
    <m/>
    <n v="438710"/>
    <n v="0"/>
    <m/>
    <n v="0"/>
    <n v="497880"/>
    <m/>
    <n v="497880"/>
  </r>
  <r>
    <x v="454"/>
    <x v="3"/>
    <x v="3"/>
    <x v="63"/>
    <n v="6671147.8200000003"/>
    <m/>
    <n v="6671147.8200000003"/>
    <n v="0"/>
    <m/>
    <n v="0"/>
    <n v="7311227.8099999996"/>
    <m/>
    <n v="7311227.8099999996"/>
    <n v="0"/>
    <m/>
    <n v="0"/>
  </r>
  <r>
    <x v="455"/>
    <x v="1"/>
    <x v="1"/>
    <x v="2"/>
    <n v="0"/>
    <m/>
    <n v="0"/>
    <n v="0"/>
    <m/>
    <n v="0"/>
    <n v="361125"/>
    <m/>
    <n v="361125"/>
    <n v="0"/>
    <m/>
    <n v="0"/>
  </r>
  <r>
    <x v="456"/>
    <x v="0"/>
    <x v="0"/>
    <x v="1"/>
    <n v="0"/>
    <m/>
    <n v="0"/>
    <n v="700"/>
    <m/>
    <n v="700"/>
    <n v="0"/>
    <m/>
    <n v="0"/>
    <n v="3172"/>
    <m/>
    <n v="3172"/>
  </r>
  <r>
    <x v="457"/>
    <x v="0"/>
    <x v="0"/>
    <x v="0"/>
    <n v="0"/>
    <m/>
    <n v="0"/>
    <n v="269890"/>
    <m/>
    <n v="269890"/>
    <n v="0"/>
    <m/>
    <n v="0"/>
    <n v="274949"/>
    <m/>
    <n v="274949"/>
  </r>
  <r>
    <x v="458"/>
    <x v="0"/>
    <x v="0"/>
    <x v="0"/>
    <n v="0"/>
    <m/>
    <n v="0"/>
    <n v="386769"/>
    <m/>
    <n v="386769"/>
    <n v="0"/>
    <m/>
    <n v="0"/>
    <n v="423402"/>
    <m/>
    <n v="423402"/>
  </r>
  <r>
    <x v="459"/>
    <x v="0"/>
    <x v="0"/>
    <x v="0"/>
    <n v="0"/>
    <m/>
    <n v="0"/>
    <n v="538166"/>
    <m/>
    <n v="538166"/>
    <n v="0"/>
    <m/>
    <n v="0"/>
    <n v="523713"/>
    <m/>
    <n v="523713"/>
  </r>
  <r>
    <x v="460"/>
    <x v="3"/>
    <x v="3"/>
    <x v="24"/>
    <n v="75"/>
    <m/>
    <n v="75"/>
    <n v="0"/>
    <m/>
    <n v="0"/>
    <n v="0"/>
    <m/>
    <n v="0"/>
    <n v="0"/>
    <m/>
    <n v="0"/>
  </r>
  <r>
    <x v="461"/>
    <x v="3"/>
    <x v="3"/>
    <x v="24"/>
    <n v="15855"/>
    <m/>
    <n v="15855"/>
    <n v="0"/>
    <m/>
    <n v="0"/>
    <n v="0"/>
    <m/>
    <n v="0"/>
    <n v="0"/>
    <m/>
    <n v="0"/>
  </r>
  <r>
    <x v="462"/>
    <x v="3"/>
    <x v="3"/>
    <x v="24"/>
    <n v="0"/>
    <m/>
    <n v="0"/>
    <n v="0"/>
    <m/>
    <n v="0"/>
    <n v="0"/>
    <m/>
    <n v="0"/>
    <n v="0"/>
    <m/>
    <n v="0"/>
  </r>
  <r>
    <x v="463"/>
    <x v="3"/>
    <x v="3"/>
    <x v="24"/>
    <n v="75"/>
    <m/>
    <n v="75"/>
    <n v="0"/>
    <m/>
    <n v="0"/>
    <n v="0"/>
    <m/>
    <n v="0"/>
    <n v="0"/>
    <m/>
    <n v="0"/>
  </r>
  <r>
    <x v="464"/>
    <x v="3"/>
    <x v="3"/>
    <x v="24"/>
    <n v="0"/>
    <m/>
    <n v="0"/>
    <n v="0"/>
    <m/>
    <n v="0"/>
    <n v="281000"/>
    <m/>
    <n v="281000"/>
    <n v="0"/>
    <m/>
    <n v="0"/>
  </r>
  <r>
    <x v="465"/>
    <x v="9"/>
    <x v="9"/>
    <x v="22"/>
    <n v="215300342.28"/>
    <m/>
    <n v="215300342.28"/>
    <n v="0"/>
    <m/>
    <n v="0"/>
    <n v="217294094.62"/>
    <m/>
    <n v="217294094.62"/>
    <n v="0"/>
    <m/>
    <n v="0"/>
  </r>
  <r>
    <x v="466"/>
    <x v="0"/>
    <x v="0"/>
    <x v="0"/>
    <n v="0"/>
    <m/>
    <n v="0"/>
    <n v="0"/>
    <m/>
    <n v="0"/>
    <n v="0"/>
    <m/>
    <n v="0"/>
    <n v="81000"/>
    <m/>
    <n v="81000"/>
  </r>
  <r>
    <x v="467"/>
    <x v="3"/>
    <x v="3"/>
    <x v="9"/>
    <n v="98736"/>
    <m/>
    <n v="98736"/>
    <n v="0"/>
    <m/>
    <n v="0"/>
    <n v="161998"/>
    <m/>
    <n v="161998"/>
    <n v="0"/>
    <m/>
    <n v="0"/>
  </r>
  <r>
    <x v="468"/>
    <x v="0"/>
    <x v="0"/>
    <x v="0"/>
    <n v="0"/>
    <m/>
    <n v="0"/>
    <n v="6994370"/>
    <m/>
    <n v="6994370"/>
    <n v="0"/>
    <m/>
    <n v="0"/>
    <n v="4956590"/>
    <m/>
    <n v="4956590"/>
  </r>
  <r>
    <x v="469"/>
    <x v="3"/>
    <x v="3"/>
    <x v="29"/>
    <n v="0"/>
    <m/>
    <n v="0"/>
    <n v="0"/>
    <m/>
    <n v="0"/>
    <n v="0"/>
    <m/>
    <n v="0"/>
    <n v="0"/>
    <m/>
    <n v="0"/>
  </r>
  <r>
    <x v="470"/>
    <x v="1"/>
    <x v="1"/>
    <x v="2"/>
    <n v="0"/>
    <m/>
    <n v="0"/>
    <n v="0"/>
    <m/>
    <n v="0"/>
    <n v="213763"/>
    <m/>
    <n v="213763"/>
    <n v="0"/>
    <m/>
    <n v="0"/>
  </r>
  <r>
    <x v="471"/>
    <x v="0"/>
    <x v="0"/>
    <x v="1"/>
    <n v="0"/>
    <m/>
    <n v="0"/>
    <n v="0"/>
    <m/>
    <n v="0"/>
    <n v="0"/>
    <m/>
    <n v="0"/>
    <n v="0"/>
    <m/>
    <n v="0"/>
  </r>
  <r>
    <x v="472"/>
    <x v="2"/>
    <x v="2"/>
    <x v="6"/>
    <n v="0"/>
    <m/>
    <n v="0"/>
    <n v="0"/>
    <m/>
    <n v="0"/>
    <n v="0"/>
    <m/>
    <n v="0"/>
    <n v="0"/>
    <m/>
    <n v="0"/>
  </r>
  <r>
    <x v="473"/>
    <x v="1"/>
    <x v="1"/>
    <x v="2"/>
    <n v="3897944"/>
    <m/>
    <n v="3897944"/>
    <n v="0"/>
    <m/>
    <n v="0"/>
    <n v="3013137"/>
    <m/>
    <n v="3013137"/>
    <n v="0"/>
    <m/>
    <n v="0"/>
  </r>
  <r>
    <x v="474"/>
    <x v="6"/>
    <x v="6"/>
    <x v="11"/>
    <n v="0"/>
    <m/>
    <n v="0"/>
    <n v="0"/>
    <m/>
    <n v="0"/>
    <n v="0"/>
    <m/>
    <n v="0"/>
    <n v="0"/>
    <m/>
    <n v="0"/>
  </r>
  <r>
    <x v="475"/>
    <x v="0"/>
    <x v="0"/>
    <x v="1"/>
    <n v="0"/>
    <m/>
    <n v="0"/>
    <n v="0"/>
    <m/>
    <n v="0"/>
    <n v="0"/>
    <m/>
    <n v="0"/>
    <n v="36128"/>
    <m/>
    <n v="36128"/>
  </r>
  <r>
    <x v="476"/>
    <x v="14"/>
    <x v="14"/>
    <x v="54"/>
    <n v="167481"/>
    <m/>
    <n v="167481"/>
    <n v="0"/>
    <m/>
    <n v="0"/>
    <n v="299526"/>
    <m/>
    <n v="299526"/>
    <n v="0"/>
    <m/>
    <n v="0"/>
  </r>
  <r>
    <x v="477"/>
    <x v="15"/>
    <x v="15"/>
    <x v="37"/>
    <n v="0"/>
    <m/>
    <n v="0"/>
    <n v="0"/>
    <m/>
    <n v="0"/>
    <n v="131953"/>
    <m/>
    <n v="131953"/>
    <n v="0"/>
    <m/>
    <n v="0"/>
  </r>
  <r>
    <x v="478"/>
    <x v="1"/>
    <x v="1"/>
    <x v="2"/>
    <n v="0"/>
    <m/>
    <n v="0"/>
    <n v="0"/>
    <m/>
    <n v="0"/>
    <n v="0"/>
    <m/>
    <n v="0"/>
    <n v="0"/>
    <m/>
    <n v="0"/>
  </r>
  <r>
    <x v="479"/>
    <x v="3"/>
    <x v="3"/>
    <x v="30"/>
    <n v="974500"/>
    <m/>
    <n v="974500"/>
    <n v="0"/>
    <m/>
    <n v="0"/>
    <n v="509760.8"/>
    <m/>
    <n v="509760.8"/>
    <n v="0"/>
    <m/>
    <n v="0"/>
  </r>
  <r>
    <x v="480"/>
    <x v="3"/>
    <x v="3"/>
    <x v="24"/>
    <n v="0"/>
    <m/>
    <n v="0"/>
    <n v="0"/>
    <m/>
    <n v="0"/>
    <n v="0"/>
    <m/>
    <n v="0"/>
    <n v="0"/>
    <m/>
    <n v="0"/>
  </r>
  <r>
    <x v="481"/>
    <x v="10"/>
    <x v="10"/>
    <x v="65"/>
    <n v="0"/>
    <m/>
    <n v="0"/>
    <n v="124185196.38"/>
    <m/>
    <n v="124185196.38"/>
    <n v="0"/>
    <m/>
    <n v="0"/>
    <n v="112979368.51000001"/>
    <m/>
    <n v="112979368.51000001"/>
  </r>
  <r>
    <x v="482"/>
    <x v="7"/>
    <x v="7"/>
    <x v="66"/>
    <n v="0"/>
    <m/>
    <n v="0"/>
    <n v="0"/>
    <m/>
    <n v="0"/>
    <n v="0"/>
    <m/>
    <n v="0"/>
    <n v="18263"/>
    <m/>
    <n v="18263"/>
  </r>
  <r>
    <x v="483"/>
    <x v="7"/>
    <x v="7"/>
    <x v="56"/>
    <n v="0"/>
    <m/>
    <n v="0"/>
    <n v="18856500"/>
    <m/>
    <n v="18856500"/>
    <n v="0"/>
    <m/>
    <n v="0"/>
    <n v="9443500"/>
    <m/>
    <n v="9443500"/>
  </r>
  <r>
    <x v="484"/>
    <x v="17"/>
    <x v="18"/>
    <x v="45"/>
    <n v="1147078"/>
    <m/>
    <n v="1147078"/>
    <n v="0"/>
    <m/>
    <n v="0"/>
    <n v="1171704"/>
    <m/>
    <n v="1171704"/>
    <n v="0"/>
    <m/>
    <n v="0"/>
  </r>
  <r>
    <x v="485"/>
    <x v="16"/>
    <x v="16"/>
    <x v="38"/>
    <n v="0"/>
    <m/>
    <n v="0"/>
    <n v="6057874"/>
    <n v="-1255580"/>
    <n v="4802294"/>
    <n v="0"/>
    <m/>
    <n v="0"/>
    <n v="5136213"/>
    <m/>
    <n v="5136213"/>
  </r>
  <r>
    <x v="486"/>
    <x v="9"/>
    <x v="9"/>
    <x v="67"/>
    <n v="0"/>
    <m/>
    <n v="0"/>
    <n v="5155701"/>
    <m/>
    <n v="5155701"/>
    <n v="0"/>
    <m/>
    <n v="0"/>
    <n v="3321516"/>
    <m/>
    <n v="3321516"/>
  </r>
  <r>
    <x v="487"/>
    <x v="9"/>
    <x v="9"/>
    <x v="67"/>
    <n v="0"/>
    <m/>
    <n v="0"/>
    <n v="688913"/>
    <m/>
    <n v="688913"/>
    <n v="0"/>
    <m/>
    <n v="0"/>
    <n v="939164"/>
    <m/>
    <n v="939164"/>
  </r>
  <r>
    <x v="488"/>
    <x v="9"/>
    <x v="9"/>
    <x v="67"/>
    <n v="0"/>
    <m/>
    <n v="0"/>
    <n v="16345551"/>
    <m/>
    <n v="16345551"/>
    <n v="0"/>
    <m/>
    <n v="0"/>
    <n v="16647093"/>
    <m/>
    <n v="16647093"/>
  </r>
  <r>
    <x v="489"/>
    <x v="9"/>
    <x v="9"/>
    <x v="67"/>
    <n v="0"/>
    <m/>
    <n v="0"/>
    <n v="379192"/>
    <m/>
    <n v="379192"/>
    <n v="0"/>
    <m/>
    <n v="0"/>
    <n v="379192"/>
    <m/>
    <n v="379192"/>
  </r>
  <r>
    <x v="490"/>
    <x v="9"/>
    <x v="9"/>
    <x v="67"/>
    <n v="0"/>
    <m/>
    <n v="0"/>
    <n v="1014019"/>
    <m/>
    <n v="1014019"/>
    <n v="0"/>
    <m/>
    <n v="0"/>
    <n v="1478167"/>
    <m/>
    <n v="1478167"/>
  </r>
  <r>
    <x v="491"/>
    <x v="9"/>
    <x v="9"/>
    <x v="67"/>
    <n v="0"/>
    <m/>
    <n v="0"/>
    <n v="598548"/>
    <m/>
    <n v="598548"/>
    <n v="0"/>
    <m/>
    <n v="0"/>
    <n v="753819"/>
    <m/>
    <n v="753819"/>
  </r>
  <r>
    <x v="492"/>
    <x v="9"/>
    <x v="9"/>
    <x v="67"/>
    <n v="0"/>
    <m/>
    <n v="0"/>
    <n v="99496148"/>
    <m/>
    <n v="99496148"/>
    <n v="0"/>
    <m/>
    <n v="0"/>
    <n v="92431427"/>
    <m/>
    <n v="92431427"/>
  </r>
  <r>
    <x v="493"/>
    <x v="9"/>
    <x v="9"/>
    <x v="67"/>
    <n v="0"/>
    <m/>
    <n v="0"/>
    <n v="558720"/>
    <m/>
    <n v="558720"/>
    <n v="0"/>
    <m/>
    <n v="0"/>
    <n v="189571"/>
    <m/>
    <n v="189571"/>
  </r>
  <r>
    <x v="494"/>
    <x v="2"/>
    <x v="2"/>
    <x v="3"/>
    <n v="34285"/>
    <m/>
    <n v="34285"/>
    <n v="0"/>
    <m/>
    <n v="0"/>
    <n v="34285"/>
    <m/>
    <n v="34285"/>
    <n v="0"/>
    <m/>
    <n v="0"/>
  </r>
  <r>
    <x v="495"/>
    <x v="2"/>
    <x v="2"/>
    <x v="3"/>
    <n v="17190"/>
    <m/>
    <n v="17190"/>
    <n v="0"/>
    <m/>
    <n v="0"/>
    <n v="17190"/>
    <m/>
    <n v="17190"/>
    <n v="0"/>
    <m/>
    <n v="0"/>
  </r>
  <r>
    <x v="496"/>
    <x v="2"/>
    <x v="2"/>
    <x v="3"/>
    <n v="0"/>
    <m/>
    <n v="0"/>
    <n v="0"/>
    <m/>
    <n v="0"/>
    <n v="0"/>
    <m/>
    <n v="0"/>
    <n v="0"/>
    <m/>
    <n v="0"/>
  </r>
  <r>
    <x v="497"/>
    <x v="2"/>
    <x v="2"/>
    <x v="3"/>
    <n v="122153"/>
    <m/>
    <n v="122153"/>
    <n v="0"/>
    <m/>
    <n v="0"/>
    <n v="122153"/>
    <m/>
    <n v="122153"/>
    <n v="0"/>
    <m/>
    <n v="0"/>
  </r>
  <r>
    <x v="498"/>
    <x v="2"/>
    <x v="2"/>
    <x v="3"/>
    <n v="88213"/>
    <m/>
    <n v="88213"/>
    <n v="0"/>
    <m/>
    <n v="0"/>
    <n v="0"/>
    <m/>
    <n v="0"/>
    <n v="0"/>
    <m/>
    <n v="0"/>
  </r>
  <r>
    <x v="499"/>
    <x v="2"/>
    <x v="2"/>
    <x v="3"/>
    <n v="139678"/>
    <m/>
    <n v="139678"/>
    <n v="0"/>
    <m/>
    <n v="0"/>
    <n v="139678"/>
    <m/>
    <n v="139678"/>
    <n v="0"/>
    <m/>
    <n v="0"/>
  </r>
  <r>
    <x v="500"/>
    <x v="2"/>
    <x v="2"/>
    <x v="3"/>
    <n v="271788"/>
    <m/>
    <n v="271788"/>
    <n v="0"/>
    <m/>
    <n v="0"/>
    <n v="271788"/>
    <m/>
    <n v="271788"/>
    <n v="0"/>
    <m/>
    <n v="0"/>
  </r>
  <r>
    <x v="501"/>
    <x v="2"/>
    <x v="2"/>
    <x v="3"/>
    <n v="0"/>
    <m/>
    <n v="0"/>
    <n v="0"/>
    <m/>
    <n v="0"/>
    <n v="0"/>
    <m/>
    <n v="0"/>
    <n v="0"/>
    <m/>
    <n v="0"/>
  </r>
  <r>
    <x v="502"/>
    <x v="2"/>
    <x v="2"/>
    <x v="3"/>
    <n v="0"/>
    <m/>
    <n v="0"/>
    <n v="0"/>
    <m/>
    <n v="0"/>
    <n v="0"/>
    <m/>
    <n v="0"/>
    <n v="0"/>
    <m/>
    <n v="0"/>
  </r>
  <r>
    <x v="503"/>
    <x v="16"/>
    <x v="16"/>
    <x v="38"/>
    <n v="0"/>
    <m/>
    <n v="0"/>
    <n v="216400"/>
    <m/>
    <n v="216400"/>
    <n v="0"/>
    <m/>
    <n v="0"/>
    <n v="0"/>
    <m/>
    <n v="0"/>
  </r>
  <r>
    <x v="504"/>
    <x v="16"/>
    <x v="16"/>
    <x v="38"/>
    <n v="0"/>
    <m/>
    <n v="0"/>
    <n v="3296204.7"/>
    <m/>
    <n v="3296204.7"/>
    <n v="0"/>
    <m/>
    <n v="0"/>
    <n v="3212027.7"/>
    <m/>
    <n v="3212027.7"/>
  </r>
  <r>
    <x v="505"/>
    <x v="16"/>
    <x v="16"/>
    <x v="68"/>
    <n v="0"/>
    <m/>
    <n v="0"/>
    <n v="0"/>
    <n v="280877"/>
    <n v="280877"/>
    <n v="0"/>
    <m/>
    <n v="0"/>
    <n v="0"/>
    <m/>
    <n v="0"/>
  </r>
  <r>
    <x v="506"/>
    <x v="2"/>
    <x v="2"/>
    <x v="33"/>
    <n v="15450441"/>
    <m/>
    <n v="15450441"/>
    <n v="0"/>
    <m/>
    <n v="0"/>
    <n v="12216191"/>
    <m/>
    <n v="12216191"/>
    <n v="0"/>
    <m/>
    <n v="0"/>
  </r>
  <r>
    <x v="507"/>
    <x v="0"/>
    <x v="0"/>
    <x v="1"/>
    <n v="0"/>
    <m/>
    <n v="0"/>
    <n v="12385"/>
    <m/>
    <n v="12385"/>
    <n v="0"/>
    <m/>
    <n v="0"/>
    <n v="0"/>
    <m/>
    <n v="0"/>
  </r>
  <r>
    <x v="508"/>
    <x v="0"/>
    <x v="0"/>
    <x v="1"/>
    <n v="0"/>
    <m/>
    <n v="0"/>
    <n v="9346"/>
    <m/>
    <n v="9346"/>
    <n v="0"/>
    <m/>
    <n v="0"/>
    <n v="26432"/>
    <m/>
    <n v="26432"/>
  </r>
  <r>
    <x v="509"/>
    <x v="12"/>
    <x v="12"/>
    <x v="28"/>
    <n v="245315"/>
    <m/>
    <n v="245315"/>
    <n v="0"/>
    <m/>
    <n v="0"/>
    <n v="610238"/>
    <m/>
    <n v="610238"/>
    <n v="0"/>
    <m/>
    <n v="0"/>
  </r>
  <r>
    <x v="510"/>
    <x v="3"/>
    <x v="3"/>
    <x v="29"/>
    <n v="6876013"/>
    <m/>
    <n v="6876013"/>
    <n v="0"/>
    <m/>
    <n v="0"/>
    <n v="9875204.9800000004"/>
    <m/>
    <n v="9875204.9800000004"/>
    <n v="0"/>
    <m/>
    <n v="0"/>
  </r>
  <r>
    <x v="511"/>
    <x v="12"/>
    <x v="12"/>
    <x v="28"/>
    <n v="0"/>
    <m/>
    <n v="0"/>
    <n v="0"/>
    <m/>
    <n v="0"/>
    <n v="570000"/>
    <m/>
    <n v="570000"/>
    <n v="0"/>
    <m/>
    <n v="0"/>
  </r>
  <r>
    <x v="512"/>
    <x v="3"/>
    <x v="3"/>
    <x v="63"/>
    <n v="0"/>
    <m/>
    <n v="0"/>
    <n v="0"/>
    <m/>
    <n v="0"/>
    <n v="0"/>
    <m/>
    <n v="0"/>
    <n v="0"/>
    <m/>
    <n v="0"/>
  </r>
  <r>
    <x v="513"/>
    <x v="12"/>
    <x v="12"/>
    <x v="28"/>
    <n v="0"/>
    <m/>
    <n v="0"/>
    <n v="0"/>
    <m/>
    <n v="0"/>
    <n v="107000"/>
    <m/>
    <n v="107000"/>
    <n v="0"/>
    <m/>
    <n v="0"/>
  </r>
  <r>
    <x v="514"/>
    <x v="12"/>
    <x v="12"/>
    <x v="28"/>
    <n v="4380095"/>
    <m/>
    <n v="4380095"/>
    <n v="0"/>
    <m/>
    <n v="0"/>
    <n v="741466"/>
    <m/>
    <n v="741466"/>
    <n v="0"/>
    <m/>
    <n v="0"/>
  </r>
  <r>
    <x v="515"/>
    <x v="3"/>
    <x v="3"/>
    <x v="69"/>
    <n v="5885577.8399999999"/>
    <m/>
    <n v="5885577.8399999999"/>
    <n v="0"/>
    <m/>
    <n v="0"/>
    <n v="9155866.8599999994"/>
    <m/>
    <n v="9155866.8599999994"/>
    <n v="0"/>
    <m/>
    <n v="0"/>
  </r>
  <r>
    <x v="516"/>
    <x v="0"/>
    <x v="0"/>
    <x v="0"/>
    <n v="0"/>
    <m/>
    <n v="0"/>
    <n v="0"/>
    <m/>
    <n v="0"/>
    <n v="5079"/>
    <m/>
    <n v="5079"/>
    <n v="0"/>
    <m/>
    <n v="0"/>
  </r>
  <r>
    <x v="517"/>
    <x v="6"/>
    <x v="6"/>
    <x v="11"/>
    <n v="0"/>
    <m/>
    <n v="0"/>
    <n v="0"/>
    <m/>
    <n v="0"/>
    <n v="0"/>
    <m/>
    <n v="0"/>
    <n v="0"/>
    <m/>
    <n v="0"/>
  </r>
  <r>
    <x v="518"/>
    <x v="1"/>
    <x v="1"/>
    <x v="2"/>
    <n v="0"/>
    <m/>
    <n v="0"/>
    <n v="0"/>
    <m/>
    <n v="0"/>
    <n v="553617"/>
    <m/>
    <n v="553617"/>
    <n v="0"/>
    <m/>
    <n v="0"/>
  </r>
  <r>
    <x v="519"/>
    <x v="1"/>
    <x v="1"/>
    <x v="2"/>
    <n v="3359955"/>
    <m/>
    <n v="3359955"/>
    <n v="0"/>
    <m/>
    <n v="0"/>
    <n v="2558371"/>
    <m/>
    <n v="2558371"/>
    <n v="0"/>
    <m/>
    <n v="0"/>
  </r>
  <r>
    <x v="520"/>
    <x v="1"/>
    <x v="1"/>
    <x v="2"/>
    <n v="25272743"/>
    <m/>
    <n v="25272743"/>
    <n v="0"/>
    <m/>
    <n v="0"/>
    <n v="22988933"/>
    <m/>
    <n v="22988933"/>
    <n v="0"/>
    <m/>
    <n v="0"/>
  </r>
  <r>
    <x v="521"/>
    <x v="0"/>
    <x v="0"/>
    <x v="1"/>
    <n v="0"/>
    <m/>
    <n v="0"/>
    <n v="13051000"/>
    <m/>
    <n v="13051000"/>
    <n v="0"/>
    <m/>
    <n v="0"/>
    <n v="8142548"/>
    <m/>
    <n v="8142548"/>
  </r>
  <r>
    <x v="522"/>
    <x v="2"/>
    <x v="2"/>
    <x v="6"/>
    <n v="0"/>
    <m/>
    <n v="0"/>
    <n v="0"/>
    <m/>
    <n v="0"/>
    <n v="0"/>
    <m/>
    <n v="0"/>
    <n v="0"/>
    <m/>
    <n v="0"/>
  </r>
  <r>
    <x v="523"/>
    <x v="0"/>
    <x v="0"/>
    <x v="1"/>
    <n v="0"/>
    <m/>
    <n v="0"/>
    <n v="2563"/>
    <m/>
    <n v="2563"/>
    <n v="0"/>
    <m/>
    <n v="0"/>
    <n v="1495"/>
    <m/>
    <n v="1495"/>
  </r>
  <r>
    <x v="524"/>
    <x v="0"/>
    <x v="0"/>
    <x v="1"/>
    <n v="0"/>
    <m/>
    <n v="0"/>
    <n v="0"/>
    <m/>
    <n v="0"/>
    <n v="0"/>
    <m/>
    <n v="0"/>
    <n v="0"/>
    <m/>
    <n v="0"/>
  </r>
  <r>
    <x v="525"/>
    <x v="3"/>
    <x v="3"/>
    <x v="29"/>
    <n v="0"/>
    <m/>
    <n v="0"/>
    <n v="0"/>
    <m/>
    <n v="0"/>
    <n v="0"/>
    <m/>
    <n v="0"/>
    <n v="0"/>
    <m/>
    <n v="0"/>
  </r>
  <r>
    <x v="526"/>
    <x v="3"/>
    <x v="3"/>
    <x v="24"/>
    <n v="208079"/>
    <m/>
    <n v="208079"/>
    <n v="0"/>
    <m/>
    <n v="0"/>
    <n v="154260"/>
    <m/>
    <n v="154260"/>
    <n v="0"/>
    <m/>
    <n v="0"/>
  </r>
  <r>
    <x v="527"/>
    <x v="0"/>
    <x v="0"/>
    <x v="1"/>
    <n v="0"/>
    <m/>
    <n v="0"/>
    <n v="0"/>
    <m/>
    <n v="0"/>
    <n v="0"/>
    <m/>
    <n v="0"/>
    <n v="0"/>
    <m/>
    <n v="0"/>
  </r>
  <r>
    <x v="528"/>
    <x v="2"/>
    <x v="2"/>
    <x v="6"/>
    <n v="0"/>
    <m/>
    <n v="0"/>
    <n v="0"/>
    <m/>
    <n v="0"/>
    <n v="2000"/>
    <m/>
    <n v="2000"/>
    <n v="0"/>
    <m/>
    <n v="0"/>
  </r>
  <r>
    <x v="529"/>
    <x v="3"/>
    <x v="3"/>
    <x v="70"/>
    <n v="3861148"/>
    <m/>
    <n v="3861148"/>
    <n v="0"/>
    <m/>
    <n v="0"/>
    <n v="4167429"/>
    <m/>
    <n v="4167429"/>
    <n v="0"/>
    <m/>
    <n v="0"/>
  </r>
  <r>
    <x v="530"/>
    <x v="2"/>
    <x v="2"/>
    <x v="27"/>
    <n v="0"/>
    <m/>
    <n v="0"/>
    <n v="20899"/>
    <m/>
    <n v="20899"/>
    <n v="0"/>
    <m/>
    <n v="0"/>
    <n v="100502.93"/>
    <m/>
    <n v="100502.93"/>
  </r>
  <r>
    <x v="531"/>
    <x v="2"/>
    <x v="2"/>
    <x v="27"/>
    <n v="0"/>
    <m/>
    <n v="0"/>
    <n v="75747"/>
    <m/>
    <n v="75747"/>
    <n v="486323.88"/>
    <m/>
    <n v="486323.88"/>
    <n v="0"/>
    <m/>
    <n v="0"/>
  </r>
  <r>
    <x v="532"/>
    <x v="2"/>
    <x v="2"/>
    <x v="27"/>
    <n v="0"/>
    <m/>
    <n v="0"/>
    <n v="0"/>
    <m/>
    <n v="0"/>
    <n v="0"/>
    <m/>
    <n v="0"/>
    <n v="0"/>
    <m/>
    <n v="0"/>
  </r>
  <r>
    <x v="533"/>
    <x v="2"/>
    <x v="2"/>
    <x v="27"/>
    <n v="0"/>
    <m/>
    <n v="0"/>
    <n v="0"/>
    <m/>
    <n v="0"/>
    <n v="0"/>
    <m/>
    <n v="0"/>
    <n v="0"/>
    <m/>
    <n v="0"/>
  </r>
  <r>
    <x v="534"/>
    <x v="2"/>
    <x v="2"/>
    <x v="27"/>
    <n v="0"/>
    <m/>
    <n v="0"/>
    <n v="0"/>
    <m/>
    <n v="0"/>
    <n v="0"/>
    <m/>
    <n v="0"/>
    <n v="0"/>
    <m/>
    <n v="0"/>
  </r>
  <r>
    <x v="535"/>
    <x v="2"/>
    <x v="2"/>
    <x v="27"/>
    <n v="0"/>
    <m/>
    <n v="0"/>
    <n v="20899"/>
    <m/>
    <n v="20899"/>
    <n v="0"/>
    <m/>
    <n v="0"/>
    <n v="80872.929999999993"/>
    <m/>
    <n v="80872.929999999993"/>
  </r>
  <r>
    <x v="536"/>
    <x v="2"/>
    <x v="2"/>
    <x v="27"/>
    <n v="0"/>
    <m/>
    <n v="0"/>
    <n v="0"/>
    <m/>
    <n v="0"/>
    <n v="0"/>
    <m/>
    <n v="0"/>
    <n v="0"/>
    <m/>
    <n v="0"/>
  </r>
  <r>
    <x v="537"/>
    <x v="2"/>
    <x v="2"/>
    <x v="27"/>
    <n v="0"/>
    <m/>
    <n v="0"/>
    <n v="0"/>
    <m/>
    <n v="0"/>
    <n v="0"/>
    <m/>
    <n v="0"/>
    <n v="0"/>
    <m/>
    <n v="0"/>
  </r>
  <r>
    <x v="538"/>
    <x v="2"/>
    <x v="2"/>
    <x v="27"/>
    <n v="0"/>
    <m/>
    <n v="0"/>
    <n v="0"/>
    <m/>
    <n v="0"/>
    <n v="0"/>
    <m/>
    <n v="0"/>
    <n v="0"/>
    <m/>
    <n v="0"/>
  </r>
  <r>
    <x v="539"/>
    <x v="0"/>
    <x v="0"/>
    <x v="0"/>
    <n v="0"/>
    <m/>
    <n v="0"/>
    <n v="0"/>
    <m/>
    <n v="0"/>
    <n v="0"/>
    <m/>
    <n v="0"/>
    <n v="51508"/>
    <m/>
    <n v="51508"/>
  </r>
  <r>
    <x v="540"/>
    <x v="16"/>
    <x v="16"/>
    <x v="38"/>
    <n v="0"/>
    <m/>
    <n v="0"/>
    <n v="0"/>
    <m/>
    <n v="0"/>
    <n v="0"/>
    <m/>
    <n v="0"/>
    <n v="0"/>
    <m/>
    <n v="0"/>
  </r>
  <r>
    <x v="541"/>
    <x v="17"/>
    <x v="18"/>
    <x v="40"/>
    <n v="4800000"/>
    <m/>
    <n v="4800000"/>
    <n v="0"/>
    <m/>
    <n v="0"/>
    <n v="4800000"/>
    <m/>
    <n v="4800000"/>
    <n v="0"/>
    <m/>
    <n v="0"/>
  </r>
  <r>
    <x v="542"/>
    <x v="3"/>
    <x v="3"/>
    <x v="9"/>
    <n v="281990"/>
    <m/>
    <n v="281990"/>
    <n v="0"/>
    <m/>
    <n v="0"/>
    <n v="319093"/>
    <m/>
    <n v="319093"/>
    <n v="0"/>
    <m/>
    <n v="0"/>
  </r>
  <r>
    <x v="543"/>
    <x v="3"/>
    <x v="3"/>
    <x v="71"/>
    <n v="688233.98"/>
    <m/>
    <n v="688233.98"/>
    <n v="0"/>
    <m/>
    <n v="0"/>
    <n v="954273.6"/>
    <m/>
    <n v="954273.6"/>
    <n v="0"/>
    <m/>
    <n v="0"/>
  </r>
  <r>
    <x v="544"/>
    <x v="3"/>
    <x v="3"/>
    <x v="64"/>
    <n v="806397.4"/>
    <m/>
    <n v="806397.4"/>
    <n v="0"/>
    <m/>
    <n v="0"/>
    <n v="409071.26"/>
    <m/>
    <n v="409071.26"/>
    <n v="0"/>
    <m/>
    <n v="0"/>
  </r>
  <r>
    <x v="545"/>
    <x v="10"/>
    <x v="10"/>
    <x v="23"/>
    <n v="0"/>
    <m/>
    <n v="0"/>
    <n v="50905004"/>
    <m/>
    <n v="50905004"/>
    <n v="0"/>
    <m/>
    <n v="0"/>
    <n v="50905004"/>
    <m/>
    <n v="50905004"/>
  </r>
  <r>
    <x v="546"/>
    <x v="3"/>
    <x v="3"/>
    <x v="24"/>
    <n v="11900"/>
    <m/>
    <n v="11900"/>
    <n v="0"/>
    <m/>
    <n v="0"/>
    <n v="24500"/>
    <m/>
    <n v="24500"/>
    <n v="0"/>
    <m/>
    <n v="0"/>
  </r>
  <r>
    <x v="547"/>
    <x v="0"/>
    <x v="0"/>
    <x v="1"/>
    <n v="0"/>
    <m/>
    <n v="0"/>
    <n v="1692622"/>
    <m/>
    <n v="1692622"/>
    <n v="0"/>
    <m/>
    <n v="0"/>
    <n v="1127420"/>
    <m/>
    <n v="1127420"/>
  </r>
  <r>
    <x v="548"/>
    <x v="3"/>
    <x v="3"/>
    <x v="9"/>
    <n v="0"/>
    <m/>
    <n v="0"/>
    <n v="353.12"/>
    <m/>
    <n v="353.12"/>
    <n v="0"/>
    <m/>
    <n v="0"/>
    <n v="487.23"/>
    <m/>
    <n v="487.23"/>
  </r>
  <r>
    <x v="549"/>
    <x v="11"/>
    <x v="11"/>
    <x v="72"/>
    <n v="0"/>
    <m/>
    <n v="0"/>
    <n v="0"/>
    <m/>
    <n v="0"/>
    <n v="84224"/>
    <n v="-770.5"/>
    <n v="83453.5"/>
    <n v="0"/>
    <m/>
    <n v="0"/>
  </r>
  <r>
    <x v="550"/>
    <x v="11"/>
    <x v="11"/>
    <x v="73"/>
    <n v="78364.399999999994"/>
    <m/>
    <n v="78364.399999999994"/>
    <n v="0"/>
    <m/>
    <n v="0"/>
    <n v="49097"/>
    <m/>
    <n v="49097"/>
    <n v="0"/>
    <m/>
    <n v="0"/>
  </r>
  <r>
    <x v="551"/>
    <x v="5"/>
    <x v="5"/>
    <x v="74"/>
    <n v="0"/>
    <m/>
    <n v="0"/>
    <n v="3874175"/>
    <m/>
    <n v="3874175"/>
    <n v="0"/>
    <m/>
    <n v="0"/>
    <n v="7150762"/>
    <m/>
    <n v="7150762"/>
  </r>
  <r>
    <x v="552"/>
    <x v="5"/>
    <x v="5"/>
    <x v="74"/>
    <n v="0"/>
    <m/>
    <n v="0"/>
    <n v="0"/>
    <m/>
    <n v="0"/>
    <n v="0"/>
    <m/>
    <n v="0"/>
    <n v="695244"/>
    <m/>
    <n v="695244"/>
  </r>
  <r>
    <x v="553"/>
    <x v="5"/>
    <x v="5"/>
    <x v="74"/>
    <n v="0"/>
    <m/>
    <n v="0"/>
    <n v="3118016"/>
    <m/>
    <n v="3118016"/>
    <n v="0"/>
    <m/>
    <n v="0"/>
    <n v="5601686"/>
    <m/>
    <n v="5601686"/>
  </r>
  <r>
    <x v="554"/>
    <x v="5"/>
    <x v="5"/>
    <x v="74"/>
    <n v="0"/>
    <m/>
    <n v="0"/>
    <n v="0"/>
    <m/>
    <n v="0"/>
    <n v="0"/>
    <m/>
    <n v="0"/>
    <n v="253317"/>
    <m/>
    <n v="253317"/>
  </r>
  <r>
    <x v="555"/>
    <x v="0"/>
    <x v="0"/>
    <x v="1"/>
    <n v="0"/>
    <m/>
    <n v="0"/>
    <n v="0"/>
    <m/>
    <n v="0"/>
    <n v="0"/>
    <m/>
    <n v="0"/>
    <n v="0"/>
    <m/>
    <n v="0"/>
  </r>
  <r>
    <x v="556"/>
    <x v="2"/>
    <x v="2"/>
    <x v="6"/>
    <n v="0"/>
    <m/>
    <n v="0"/>
    <n v="0"/>
    <m/>
    <n v="0"/>
    <n v="0"/>
    <m/>
    <n v="0"/>
    <n v="0"/>
    <m/>
    <n v="0"/>
  </r>
  <r>
    <x v="557"/>
    <x v="1"/>
    <x v="1"/>
    <x v="2"/>
    <n v="347389"/>
    <m/>
    <n v="347389"/>
    <n v="0"/>
    <m/>
    <n v="0"/>
    <n v="392445"/>
    <m/>
    <n v="392445"/>
    <n v="0"/>
    <m/>
    <n v="0"/>
  </r>
  <r>
    <x v="558"/>
    <x v="0"/>
    <x v="0"/>
    <x v="1"/>
    <n v="0"/>
    <m/>
    <n v="0"/>
    <n v="0"/>
    <m/>
    <n v="0"/>
    <n v="0"/>
    <m/>
    <n v="0"/>
    <n v="0"/>
    <m/>
    <n v="0"/>
  </r>
  <r>
    <x v="559"/>
    <x v="0"/>
    <x v="0"/>
    <x v="1"/>
    <n v="0"/>
    <m/>
    <n v="0"/>
    <n v="331346"/>
    <m/>
    <n v="331346"/>
    <n v="0"/>
    <m/>
    <n v="0"/>
    <n v="879467"/>
    <m/>
    <n v="879467"/>
  </r>
  <r>
    <x v="560"/>
    <x v="6"/>
    <x v="6"/>
    <x v="75"/>
    <n v="0"/>
    <m/>
    <n v="0"/>
    <n v="1029792"/>
    <m/>
    <n v="1029792"/>
    <n v="0"/>
    <m/>
    <n v="0"/>
    <n v="803704"/>
    <m/>
    <n v="803704"/>
  </r>
  <r>
    <x v="561"/>
    <x v="17"/>
    <x v="18"/>
    <x v="40"/>
    <n v="216000"/>
    <m/>
    <n v="216000"/>
    <n v="0"/>
    <m/>
    <n v="0"/>
    <n v="203540"/>
    <m/>
    <n v="203540"/>
    <n v="0"/>
    <m/>
    <n v="0"/>
  </r>
  <r>
    <x v="562"/>
    <x v="17"/>
    <x v="18"/>
    <x v="40"/>
    <n v="0"/>
    <m/>
    <n v="0"/>
    <n v="0"/>
    <m/>
    <n v="0"/>
    <n v="0"/>
    <m/>
    <n v="0"/>
    <n v="0"/>
    <m/>
    <n v="0"/>
  </r>
  <r>
    <x v="563"/>
    <x v="17"/>
    <x v="18"/>
    <x v="40"/>
    <n v="1684618"/>
    <m/>
    <n v="1684618"/>
    <n v="0"/>
    <m/>
    <n v="0"/>
    <n v="1626242"/>
    <m/>
    <n v="1626242"/>
    <n v="0"/>
    <m/>
    <n v="0"/>
  </r>
  <r>
    <x v="564"/>
    <x v="17"/>
    <x v="18"/>
    <x v="40"/>
    <n v="2423600"/>
    <m/>
    <n v="2423600"/>
    <n v="0"/>
    <m/>
    <n v="0"/>
    <n v="2273038"/>
    <m/>
    <n v="2273038"/>
    <n v="0"/>
    <m/>
    <n v="0"/>
  </r>
  <r>
    <x v="565"/>
    <x v="17"/>
    <x v="18"/>
    <x v="40"/>
    <n v="8467719"/>
    <m/>
    <n v="8467719"/>
    <n v="0"/>
    <m/>
    <n v="0"/>
    <n v="8511335"/>
    <m/>
    <n v="8511335"/>
    <n v="0"/>
    <m/>
    <n v="0"/>
  </r>
  <r>
    <x v="566"/>
    <x v="18"/>
    <x v="19"/>
    <x v="41"/>
    <n v="0"/>
    <m/>
    <n v="0"/>
    <n v="729659"/>
    <m/>
    <n v="729659"/>
    <n v="0"/>
    <m/>
    <n v="0"/>
    <n v="755246"/>
    <m/>
    <n v="755246"/>
  </r>
  <r>
    <x v="567"/>
    <x v="18"/>
    <x v="19"/>
    <x v="41"/>
    <n v="0"/>
    <m/>
    <n v="0"/>
    <n v="714551552.14999998"/>
    <m/>
    <n v="714551552.14999998"/>
    <n v="0"/>
    <m/>
    <n v="0"/>
    <n v="609002318.29999995"/>
    <m/>
    <n v="609002318.29999995"/>
  </r>
  <r>
    <x v="568"/>
    <x v="18"/>
    <x v="19"/>
    <x v="41"/>
    <n v="0"/>
    <m/>
    <n v="0"/>
    <n v="0"/>
    <m/>
    <n v="0"/>
    <n v="245586"/>
    <m/>
    <n v="245586"/>
    <n v="0"/>
    <m/>
    <n v="0"/>
  </r>
  <r>
    <x v="569"/>
    <x v="3"/>
    <x v="3"/>
    <x v="24"/>
    <n v="0"/>
    <m/>
    <n v="0"/>
    <n v="0"/>
    <m/>
    <n v="0"/>
    <n v="23653"/>
    <m/>
    <n v="23653"/>
    <n v="0"/>
    <m/>
    <n v="0"/>
  </r>
  <r>
    <x v="570"/>
    <x v="5"/>
    <x v="5"/>
    <x v="8"/>
    <n v="0"/>
    <m/>
    <n v="0"/>
    <n v="941222"/>
    <m/>
    <n v="941222"/>
    <n v="0"/>
    <m/>
    <n v="0"/>
    <n v="874676"/>
    <m/>
    <n v="874676"/>
  </r>
  <r>
    <x v="571"/>
    <x v="0"/>
    <x v="0"/>
    <x v="0"/>
    <n v="0"/>
    <m/>
    <n v="0"/>
    <n v="0"/>
    <m/>
    <n v="0"/>
    <n v="0"/>
    <m/>
    <n v="0"/>
    <n v="2600"/>
    <m/>
    <n v="2600"/>
  </r>
  <r>
    <x v="572"/>
    <x v="2"/>
    <x v="2"/>
    <x v="6"/>
    <n v="0"/>
    <m/>
    <n v="0"/>
    <n v="0"/>
    <m/>
    <n v="0"/>
    <n v="0"/>
    <m/>
    <n v="0"/>
    <n v="0"/>
    <m/>
    <n v="0"/>
  </r>
  <r>
    <x v="573"/>
    <x v="0"/>
    <x v="0"/>
    <x v="1"/>
    <n v="0"/>
    <m/>
    <n v="0"/>
    <n v="0"/>
    <m/>
    <n v="0"/>
    <n v="0"/>
    <m/>
    <n v="0"/>
    <n v="85602"/>
    <m/>
    <n v="85602"/>
  </r>
  <r>
    <x v="574"/>
    <x v="5"/>
    <x v="5"/>
    <x v="8"/>
    <n v="0"/>
    <m/>
    <n v="0"/>
    <n v="1764791"/>
    <m/>
    <n v="1764791"/>
    <n v="0"/>
    <m/>
    <n v="0"/>
    <n v="1640020"/>
    <m/>
    <n v="1640020"/>
  </r>
  <r>
    <x v="575"/>
    <x v="0"/>
    <x v="0"/>
    <x v="1"/>
    <n v="0"/>
    <m/>
    <n v="0"/>
    <n v="0"/>
    <m/>
    <n v="0"/>
    <n v="0"/>
    <m/>
    <n v="0"/>
    <n v="0"/>
    <m/>
    <n v="0"/>
  </r>
  <r>
    <x v="576"/>
    <x v="10"/>
    <x v="10"/>
    <x v="76"/>
    <n v="0"/>
    <m/>
    <n v="0"/>
    <n v="8664946"/>
    <m/>
    <n v="8664946"/>
    <n v="0"/>
    <m/>
    <n v="0"/>
    <n v="8664946"/>
    <m/>
    <n v="8664946"/>
  </r>
  <r>
    <x v="577"/>
    <x v="3"/>
    <x v="3"/>
    <x v="77"/>
    <n v="703243"/>
    <m/>
    <n v="703243"/>
    <n v="0"/>
    <m/>
    <n v="0"/>
    <n v="689707"/>
    <m/>
    <n v="689707"/>
    <n v="0"/>
    <m/>
    <n v="0"/>
  </r>
  <r>
    <x v="578"/>
    <x v="18"/>
    <x v="19"/>
    <x v="41"/>
    <n v="0"/>
    <m/>
    <n v="0"/>
    <n v="18748332"/>
    <m/>
    <n v="18748332"/>
    <n v="0"/>
    <m/>
    <n v="0"/>
    <n v="21264856"/>
    <m/>
    <n v="21264856"/>
  </r>
  <r>
    <x v="579"/>
    <x v="2"/>
    <x v="2"/>
    <x v="27"/>
    <n v="0"/>
    <m/>
    <n v="0"/>
    <n v="0"/>
    <m/>
    <n v="0"/>
    <n v="0"/>
    <m/>
    <n v="0"/>
    <n v="0"/>
    <m/>
    <n v="0"/>
  </r>
  <r>
    <x v="580"/>
    <x v="2"/>
    <x v="2"/>
    <x v="27"/>
    <n v="0"/>
    <m/>
    <n v="0"/>
    <n v="0"/>
    <m/>
    <n v="0"/>
    <n v="0"/>
    <m/>
    <n v="0"/>
    <n v="0"/>
    <m/>
    <n v="0"/>
  </r>
  <r>
    <x v="581"/>
    <x v="2"/>
    <x v="2"/>
    <x v="27"/>
    <n v="0"/>
    <m/>
    <n v="0"/>
    <n v="0"/>
    <m/>
    <n v="0"/>
    <n v="0"/>
    <m/>
    <n v="0"/>
    <n v="449757.14"/>
    <m/>
    <n v="449757.14"/>
  </r>
  <r>
    <x v="582"/>
    <x v="2"/>
    <x v="2"/>
    <x v="27"/>
    <n v="0"/>
    <m/>
    <n v="0"/>
    <n v="0"/>
    <m/>
    <n v="0"/>
    <n v="0"/>
    <m/>
    <n v="0"/>
    <n v="0"/>
    <m/>
    <n v="0"/>
  </r>
  <r>
    <x v="583"/>
    <x v="0"/>
    <x v="0"/>
    <x v="1"/>
    <n v="0"/>
    <m/>
    <n v="0"/>
    <n v="0"/>
    <m/>
    <n v="0"/>
    <n v="0"/>
    <m/>
    <n v="0"/>
    <n v="0"/>
    <m/>
    <n v="0"/>
  </r>
  <r>
    <x v="584"/>
    <x v="2"/>
    <x v="2"/>
    <x v="6"/>
    <n v="0"/>
    <m/>
    <n v="0"/>
    <n v="0"/>
    <m/>
    <n v="0"/>
    <n v="0"/>
    <m/>
    <n v="0"/>
    <n v="0"/>
    <m/>
    <n v="0"/>
  </r>
  <r>
    <x v="585"/>
    <x v="0"/>
    <x v="0"/>
    <x v="1"/>
    <n v="0"/>
    <m/>
    <n v="0"/>
    <n v="0"/>
    <m/>
    <n v="0"/>
    <n v="0"/>
    <m/>
    <n v="0"/>
    <n v="0"/>
    <m/>
    <n v="0"/>
  </r>
  <r>
    <x v="586"/>
    <x v="1"/>
    <x v="1"/>
    <x v="2"/>
    <n v="0"/>
    <m/>
    <n v="0"/>
    <n v="0"/>
    <m/>
    <n v="0"/>
    <n v="1153357"/>
    <m/>
    <n v="1153357"/>
    <n v="0"/>
    <m/>
    <n v="0"/>
  </r>
  <r>
    <x v="587"/>
    <x v="1"/>
    <x v="1"/>
    <x v="2"/>
    <n v="29993"/>
    <m/>
    <n v="29993"/>
    <n v="0"/>
    <m/>
    <n v="0"/>
    <n v="0"/>
    <m/>
    <n v="0"/>
    <n v="0"/>
    <m/>
    <n v="0"/>
  </r>
  <r>
    <x v="588"/>
    <x v="0"/>
    <x v="0"/>
    <x v="0"/>
    <n v="0"/>
    <m/>
    <n v="0"/>
    <n v="0"/>
    <m/>
    <n v="0"/>
    <n v="0"/>
    <m/>
    <n v="0"/>
    <n v="0"/>
    <m/>
    <n v="0"/>
  </r>
  <r>
    <x v="589"/>
    <x v="0"/>
    <x v="0"/>
    <x v="0"/>
    <n v="0"/>
    <m/>
    <n v="0"/>
    <n v="0"/>
    <m/>
    <n v="0"/>
    <n v="5552"/>
    <m/>
    <n v="5552"/>
    <n v="0"/>
    <m/>
    <n v="0"/>
  </r>
  <r>
    <x v="590"/>
    <x v="0"/>
    <x v="0"/>
    <x v="1"/>
    <n v="0"/>
    <m/>
    <n v="0"/>
    <n v="0"/>
    <m/>
    <n v="0"/>
    <n v="0"/>
    <m/>
    <n v="0"/>
    <n v="0"/>
    <m/>
    <n v="0"/>
  </r>
  <r>
    <x v="591"/>
    <x v="0"/>
    <x v="0"/>
    <x v="1"/>
    <n v="0"/>
    <m/>
    <n v="0"/>
    <n v="0"/>
    <m/>
    <n v="0"/>
    <n v="0"/>
    <m/>
    <n v="0"/>
    <n v="137081"/>
    <m/>
    <n v="137081"/>
  </r>
  <r>
    <x v="592"/>
    <x v="3"/>
    <x v="3"/>
    <x v="9"/>
    <n v="0"/>
    <m/>
    <n v="0"/>
    <n v="0"/>
    <m/>
    <n v="0"/>
    <n v="0"/>
    <m/>
    <n v="0"/>
    <n v="77175"/>
    <m/>
    <n v="77175"/>
  </r>
  <r>
    <x v="593"/>
    <x v="17"/>
    <x v="18"/>
    <x v="40"/>
    <n v="59270"/>
    <m/>
    <n v="59270"/>
    <n v="0"/>
    <m/>
    <n v="0"/>
    <n v="140595"/>
    <m/>
    <n v="140595"/>
    <n v="0"/>
    <m/>
    <n v="0"/>
  </r>
  <r>
    <x v="594"/>
    <x v="1"/>
    <x v="1"/>
    <x v="2"/>
    <n v="2856394"/>
    <m/>
    <n v="2856394"/>
    <n v="0"/>
    <m/>
    <n v="0"/>
    <n v="2982040"/>
    <m/>
    <n v="2982040"/>
    <n v="0"/>
    <m/>
    <n v="0"/>
  </r>
  <r>
    <x v="595"/>
    <x v="1"/>
    <x v="1"/>
    <x v="2"/>
    <n v="168822"/>
    <m/>
    <n v="168822"/>
    <n v="0"/>
    <m/>
    <n v="0"/>
    <n v="108452"/>
    <m/>
    <n v="108452"/>
    <n v="0"/>
    <m/>
    <n v="0"/>
  </r>
  <r>
    <x v="596"/>
    <x v="0"/>
    <x v="0"/>
    <x v="1"/>
    <n v="0"/>
    <m/>
    <n v="0"/>
    <n v="19308"/>
    <m/>
    <n v="19308"/>
    <n v="0"/>
    <m/>
    <n v="0"/>
    <n v="9167"/>
    <m/>
    <n v="9167"/>
  </r>
  <r>
    <x v="597"/>
    <x v="0"/>
    <x v="0"/>
    <x v="1"/>
    <n v="0"/>
    <m/>
    <n v="0"/>
    <n v="586169"/>
    <m/>
    <n v="586169"/>
    <n v="0"/>
    <m/>
    <n v="0"/>
    <n v="3584869"/>
    <m/>
    <n v="3584869"/>
  </r>
  <r>
    <x v="598"/>
    <x v="1"/>
    <x v="1"/>
    <x v="7"/>
    <n v="0"/>
    <m/>
    <n v="0"/>
    <n v="0"/>
    <m/>
    <n v="0"/>
    <n v="0"/>
    <m/>
    <n v="0"/>
    <n v="0"/>
    <m/>
    <n v="0"/>
  </r>
  <r>
    <x v="599"/>
    <x v="1"/>
    <x v="1"/>
    <x v="2"/>
    <n v="511714"/>
    <m/>
    <n v="511714"/>
    <n v="0"/>
    <m/>
    <n v="0"/>
    <n v="0"/>
    <m/>
    <n v="0"/>
    <n v="0"/>
    <m/>
    <n v="0"/>
  </r>
  <r>
    <x v="600"/>
    <x v="1"/>
    <x v="1"/>
    <x v="2"/>
    <n v="885649"/>
    <m/>
    <n v="885649"/>
    <n v="0"/>
    <m/>
    <n v="0"/>
    <n v="0"/>
    <m/>
    <n v="0"/>
    <n v="0"/>
    <m/>
    <n v="0"/>
  </r>
  <r>
    <x v="601"/>
    <x v="0"/>
    <x v="0"/>
    <x v="1"/>
    <n v="0"/>
    <m/>
    <n v="0"/>
    <n v="134747"/>
    <m/>
    <n v="134747"/>
    <n v="0"/>
    <m/>
    <n v="0"/>
    <n v="145449"/>
    <m/>
    <n v="145449"/>
  </r>
  <r>
    <x v="602"/>
    <x v="3"/>
    <x v="3"/>
    <x v="9"/>
    <n v="55555"/>
    <m/>
    <n v="55555"/>
    <n v="0"/>
    <m/>
    <n v="0"/>
    <n v="374511.51"/>
    <m/>
    <n v="374511.51"/>
    <n v="0"/>
    <m/>
    <n v="0"/>
  </r>
  <r>
    <x v="603"/>
    <x v="18"/>
    <x v="19"/>
    <x v="41"/>
    <n v="26467"/>
    <m/>
    <n v="26467"/>
    <n v="0"/>
    <m/>
    <n v="0"/>
    <n v="100400"/>
    <m/>
    <n v="100400"/>
    <n v="0"/>
    <m/>
    <n v="0"/>
  </r>
  <r>
    <x v="604"/>
    <x v="5"/>
    <x v="5"/>
    <x v="8"/>
    <n v="0"/>
    <m/>
    <n v="0"/>
    <n v="1882446"/>
    <m/>
    <n v="1882446"/>
    <n v="0"/>
    <m/>
    <n v="0"/>
    <n v="1749357"/>
    <m/>
    <n v="1749357"/>
  </r>
  <r>
    <x v="605"/>
    <x v="0"/>
    <x v="0"/>
    <x v="1"/>
    <n v="0"/>
    <m/>
    <n v="0"/>
    <n v="31436"/>
    <m/>
    <n v="31436"/>
    <n v="0"/>
    <m/>
    <n v="0"/>
    <n v="16225"/>
    <m/>
    <n v="16225"/>
  </r>
  <r>
    <x v="606"/>
    <x v="1"/>
    <x v="1"/>
    <x v="7"/>
    <n v="0"/>
    <m/>
    <n v="0"/>
    <n v="0"/>
    <m/>
    <n v="0"/>
    <n v="0"/>
    <m/>
    <n v="0"/>
    <n v="0"/>
    <m/>
    <n v="0"/>
  </r>
  <r>
    <x v="607"/>
    <x v="6"/>
    <x v="6"/>
    <x v="31"/>
    <n v="0"/>
    <m/>
    <n v="0"/>
    <n v="12150"/>
    <m/>
    <n v="12150"/>
    <n v="0"/>
    <m/>
    <n v="0"/>
    <n v="10225"/>
    <m/>
    <n v="10225"/>
  </r>
  <r>
    <x v="608"/>
    <x v="17"/>
    <x v="18"/>
    <x v="60"/>
    <n v="0"/>
    <m/>
    <n v="0"/>
    <n v="0"/>
    <m/>
    <n v="0"/>
    <n v="0"/>
    <m/>
    <n v="0"/>
    <n v="0"/>
    <m/>
    <n v="0"/>
  </r>
  <r>
    <x v="609"/>
    <x v="21"/>
    <x v="22"/>
    <x v="78"/>
    <n v="0"/>
    <m/>
    <n v="0"/>
    <n v="43576042.979999997"/>
    <m/>
    <n v="43576042.979999997"/>
    <n v="0"/>
    <m/>
    <n v="0"/>
    <n v="61843530.590000004"/>
    <m/>
    <n v="61843530.590000004"/>
  </r>
  <r>
    <x v="610"/>
    <x v="3"/>
    <x v="3"/>
    <x v="29"/>
    <n v="5000332"/>
    <m/>
    <n v="5000332"/>
    <n v="0"/>
    <m/>
    <n v="0"/>
    <n v="5558970"/>
    <m/>
    <n v="5558970"/>
    <n v="0"/>
    <m/>
    <n v="0"/>
  </r>
  <r>
    <x v="611"/>
    <x v="3"/>
    <x v="3"/>
    <x v="79"/>
    <n v="301037.90000000002"/>
    <m/>
    <n v="301037.90000000002"/>
    <n v="0"/>
    <m/>
    <n v="0"/>
    <n v="237277.27"/>
    <m/>
    <n v="237277.27"/>
    <n v="0"/>
    <m/>
    <n v="0"/>
  </r>
  <r>
    <x v="612"/>
    <x v="3"/>
    <x v="3"/>
    <x v="13"/>
    <n v="275000"/>
    <m/>
    <n v="275000"/>
    <n v="0"/>
    <m/>
    <n v="0"/>
    <n v="275000"/>
    <m/>
    <n v="275000"/>
    <n v="0"/>
    <m/>
    <n v="0"/>
  </r>
  <r>
    <x v="613"/>
    <x v="8"/>
    <x v="8"/>
    <x v="19"/>
    <n v="0"/>
    <m/>
    <n v="0"/>
    <n v="0"/>
    <m/>
    <n v="0"/>
    <n v="0"/>
    <m/>
    <n v="0"/>
    <n v="0"/>
    <m/>
    <n v="0"/>
  </r>
  <r>
    <x v="614"/>
    <x v="2"/>
    <x v="2"/>
    <x v="6"/>
    <n v="37000"/>
    <m/>
    <n v="37000"/>
    <n v="0"/>
    <m/>
    <n v="0"/>
    <n v="73000"/>
    <m/>
    <n v="73000"/>
    <n v="0"/>
    <m/>
    <n v="0"/>
  </r>
  <r>
    <x v="615"/>
    <x v="0"/>
    <x v="0"/>
    <x v="1"/>
    <n v="0"/>
    <m/>
    <n v="0"/>
    <n v="92070"/>
    <m/>
    <n v="92070"/>
    <n v="0"/>
    <m/>
    <n v="0"/>
    <n v="64723"/>
    <m/>
    <n v="64723"/>
  </r>
  <r>
    <x v="616"/>
    <x v="5"/>
    <x v="5"/>
    <x v="80"/>
    <n v="0"/>
    <m/>
    <n v="0"/>
    <n v="0"/>
    <m/>
    <n v="0"/>
    <n v="0"/>
    <m/>
    <n v="0"/>
    <n v="0"/>
    <m/>
    <n v="0"/>
  </r>
  <r>
    <x v="617"/>
    <x v="5"/>
    <x v="5"/>
    <x v="80"/>
    <n v="0"/>
    <m/>
    <n v="0"/>
    <n v="0"/>
    <m/>
    <n v="0"/>
    <n v="0"/>
    <m/>
    <n v="0"/>
    <n v="32212"/>
    <m/>
    <n v="32212"/>
  </r>
  <r>
    <x v="618"/>
    <x v="5"/>
    <x v="5"/>
    <x v="80"/>
    <n v="0"/>
    <m/>
    <n v="0"/>
    <n v="0"/>
    <m/>
    <n v="0"/>
    <n v="0"/>
    <m/>
    <n v="0"/>
    <n v="98185"/>
    <m/>
    <n v="98185"/>
  </r>
  <r>
    <x v="619"/>
    <x v="1"/>
    <x v="1"/>
    <x v="2"/>
    <n v="0"/>
    <m/>
    <n v="0"/>
    <n v="0"/>
    <m/>
    <n v="0"/>
    <n v="213539"/>
    <m/>
    <n v="213539"/>
    <n v="0"/>
    <m/>
    <n v="0"/>
  </r>
  <r>
    <x v="620"/>
    <x v="3"/>
    <x v="3"/>
    <x v="9"/>
    <n v="16101.89"/>
    <m/>
    <n v="16101.89"/>
    <n v="0"/>
    <m/>
    <n v="0"/>
    <n v="199368.3"/>
    <m/>
    <n v="199368.3"/>
    <n v="0"/>
    <m/>
    <n v="0"/>
  </r>
  <r>
    <x v="621"/>
    <x v="1"/>
    <x v="1"/>
    <x v="2"/>
    <n v="0"/>
    <m/>
    <n v="0"/>
    <n v="0"/>
    <m/>
    <n v="0"/>
    <n v="1168754"/>
    <m/>
    <n v="1168754"/>
    <n v="0"/>
    <m/>
    <n v="0"/>
  </r>
  <r>
    <x v="622"/>
    <x v="2"/>
    <x v="2"/>
    <x v="6"/>
    <n v="4000"/>
    <m/>
    <n v="4000"/>
    <n v="0"/>
    <m/>
    <n v="0"/>
    <n v="22000"/>
    <m/>
    <n v="22000"/>
    <n v="0"/>
    <m/>
    <n v="0"/>
  </r>
  <r>
    <x v="623"/>
    <x v="2"/>
    <x v="2"/>
    <x v="6"/>
    <n v="0"/>
    <m/>
    <n v="0"/>
    <n v="0"/>
    <m/>
    <n v="0"/>
    <n v="0"/>
    <m/>
    <n v="0"/>
    <n v="0"/>
    <m/>
    <n v="0"/>
  </r>
  <r>
    <x v="624"/>
    <x v="1"/>
    <x v="1"/>
    <x v="2"/>
    <n v="0"/>
    <m/>
    <n v="0"/>
    <n v="0"/>
    <m/>
    <n v="0"/>
    <n v="0"/>
    <m/>
    <n v="0"/>
    <n v="0"/>
    <m/>
    <n v="0"/>
  </r>
  <r>
    <x v="625"/>
    <x v="0"/>
    <x v="0"/>
    <x v="1"/>
    <n v="0"/>
    <m/>
    <n v="0"/>
    <n v="455952"/>
    <m/>
    <n v="455952"/>
    <n v="0"/>
    <m/>
    <n v="0"/>
    <n v="351168"/>
    <m/>
    <n v="351168"/>
  </r>
  <r>
    <x v="626"/>
    <x v="2"/>
    <x v="2"/>
    <x v="3"/>
    <n v="0"/>
    <m/>
    <n v="0"/>
    <n v="0"/>
    <m/>
    <n v="0"/>
    <n v="0"/>
    <m/>
    <n v="0"/>
    <n v="0"/>
    <m/>
    <n v="0"/>
  </r>
  <r>
    <x v="627"/>
    <x v="6"/>
    <x v="6"/>
    <x v="31"/>
    <n v="0"/>
    <m/>
    <n v="0"/>
    <n v="80773"/>
    <m/>
    <n v="80773"/>
    <n v="0"/>
    <m/>
    <n v="0"/>
    <n v="101044"/>
    <m/>
    <n v="101044"/>
  </r>
  <r>
    <x v="628"/>
    <x v="6"/>
    <x v="6"/>
    <x v="31"/>
    <n v="0"/>
    <m/>
    <n v="0"/>
    <n v="85088.53"/>
    <m/>
    <n v="85088.53"/>
    <n v="0"/>
    <m/>
    <n v="0"/>
    <n v="0"/>
    <m/>
    <n v="0"/>
  </r>
  <r>
    <x v="629"/>
    <x v="2"/>
    <x v="2"/>
    <x v="3"/>
    <n v="0"/>
    <m/>
    <n v="0"/>
    <n v="0"/>
    <m/>
    <n v="0"/>
    <n v="15292"/>
    <m/>
    <n v="15292"/>
    <n v="0"/>
    <m/>
    <n v="0"/>
  </r>
  <r>
    <x v="630"/>
    <x v="2"/>
    <x v="2"/>
    <x v="3"/>
    <n v="0"/>
    <m/>
    <n v="0"/>
    <n v="0"/>
    <m/>
    <n v="0"/>
    <n v="44002"/>
    <m/>
    <n v="44002"/>
    <n v="0"/>
    <m/>
    <n v="0"/>
  </r>
  <r>
    <x v="631"/>
    <x v="2"/>
    <x v="2"/>
    <x v="3"/>
    <n v="68778.240000000005"/>
    <m/>
    <n v="68778.240000000005"/>
    <n v="0"/>
    <m/>
    <n v="0"/>
    <n v="0"/>
    <m/>
    <n v="0"/>
    <n v="0"/>
    <m/>
    <n v="0"/>
  </r>
  <r>
    <x v="632"/>
    <x v="2"/>
    <x v="2"/>
    <x v="3"/>
    <n v="0"/>
    <m/>
    <n v="0"/>
    <n v="0"/>
    <m/>
    <n v="0"/>
    <n v="0"/>
    <m/>
    <n v="0"/>
    <n v="0"/>
    <m/>
    <n v="0"/>
  </r>
  <r>
    <x v="633"/>
    <x v="2"/>
    <x v="2"/>
    <x v="3"/>
    <n v="0"/>
    <m/>
    <n v="0"/>
    <n v="0"/>
    <m/>
    <n v="0"/>
    <n v="0"/>
    <m/>
    <n v="0"/>
    <n v="0"/>
    <m/>
    <n v="0"/>
  </r>
  <r>
    <x v="634"/>
    <x v="3"/>
    <x v="3"/>
    <x v="24"/>
    <n v="0"/>
    <m/>
    <n v="0"/>
    <n v="0"/>
    <m/>
    <n v="0"/>
    <n v="21"/>
    <m/>
    <n v="21"/>
    <n v="0"/>
    <m/>
    <n v="0"/>
  </r>
  <r>
    <x v="635"/>
    <x v="2"/>
    <x v="2"/>
    <x v="3"/>
    <n v="0"/>
    <m/>
    <n v="0"/>
    <n v="0"/>
    <m/>
    <n v="0"/>
    <n v="0"/>
    <m/>
    <n v="0"/>
    <n v="0"/>
    <m/>
    <n v="0"/>
  </r>
  <r>
    <x v="636"/>
    <x v="6"/>
    <x v="6"/>
    <x v="31"/>
    <n v="0"/>
    <m/>
    <n v="0"/>
    <n v="2925"/>
    <m/>
    <n v="2925"/>
    <n v="0"/>
    <m/>
    <n v="0"/>
    <n v="3900"/>
    <m/>
    <n v="3900"/>
  </r>
  <r>
    <x v="637"/>
    <x v="6"/>
    <x v="6"/>
    <x v="31"/>
    <n v="0"/>
    <m/>
    <n v="0"/>
    <n v="3756"/>
    <m/>
    <n v="3756"/>
    <n v="0"/>
    <m/>
    <n v="0"/>
    <n v="5038"/>
    <m/>
    <n v="5038"/>
  </r>
  <r>
    <x v="638"/>
    <x v="6"/>
    <x v="6"/>
    <x v="31"/>
    <n v="0"/>
    <m/>
    <n v="0"/>
    <n v="12373"/>
    <m/>
    <n v="12373"/>
    <n v="0"/>
    <m/>
    <n v="0"/>
    <n v="1902"/>
    <m/>
    <n v="1902"/>
  </r>
  <r>
    <x v="639"/>
    <x v="6"/>
    <x v="6"/>
    <x v="31"/>
    <n v="0"/>
    <m/>
    <n v="0"/>
    <n v="10862.04"/>
    <m/>
    <n v="10862.04"/>
    <n v="0"/>
    <m/>
    <n v="0"/>
    <n v="16393.04"/>
    <m/>
    <n v="16393.04"/>
  </r>
  <r>
    <x v="640"/>
    <x v="6"/>
    <x v="6"/>
    <x v="31"/>
    <n v="0"/>
    <m/>
    <n v="0"/>
    <n v="29491"/>
    <m/>
    <n v="29491"/>
    <n v="0"/>
    <m/>
    <n v="0"/>
    <n v="47856"/>
    <m/>
    <n v="47856"/>
  </r>
  <r>
    <x v="641"/>
    <x v="6"/>
    <x v="6"/>
    <x v="31"/>
    <n v="0"/>
    <m/>
    <n v="0"/>
    <n v="10850"/>
    <m/>
    <n v="10850"/>
    <n v="0"/>
    <m/>
    <n v="0"/>
    <n v="1977"/>
    <m/>
    <n v="1977"/>
  </r>
  <r>
    <x v="642"/>
    <x v="6"/>
    <x v="6"/>
    <x v="31"/>
    <n v="0"/>
    <m/>
    <n v="0"/>
    <n v="5839"/>
    <m/>
    <n v="5839"/>
    <n v="0"/>
    <m/>
    <n v="0"/>
    <n v="51303.4"/>
    <m/>
    <n v="51303.4"/>
  </r>
  <r>
    <x v="643"/>
    <x v="6"/>
    <x v="6"/>
    <x v="31"/>
    <n v="0"/>
    <m/>
    <n v="0"/>
    <n v="122000"/>
    <m/>
    <n v="122000"/>
    <n v="0"/>
    <m/>
    <n v="0"/>
    <n v="92000"/>
    <m/>
    <n v="92000"/>
  </r>
  <r>
    <x v="644"/>
    <x v="3"/>
    <x v="3"/>
    <x v="81"/>
    <n v="65764"/>
    <m/>
    <n v="65764"/>
    <n v="0"/>
    <m/>
    <n v="0"/>
    <n v="57609.08"/>
    <m/>
    <n v="57609.08"/>
    <n v="0"/>
    <m/>
    <n v="0"/>
  </r>
  <r>
    <x v="645"/>
    <x v="0"/>
    <x v="0"/>
    <x v="0"/>
    <n v="0"/>
    <m/>
    <n v="0"/>
    <n v="3662"/>
    <m/>
    <n v="3662"/>
    <n v="0"/>
    <m/>
    <n v="0"/>
    <n v="1579"/>
    <m/>
    <n v="1579"/>
  </r>
  <r>
    <x v="646"/>
    <x v="3"/>
    <x v="3"/>
    <x v="20"/>
    <n v="40650"/>
    <m/>
    <n v="40650"/>
    <n v="0"/>
    <m/>
    <n v="0"/>
    <n v="97188"/>
    <m/>
    <n v="97188"/>
    <n v="0"/>
    <m/>
    <n v="0"/>
  </r>
  <r>
    <x v="647"/>
    <x v="6"/>
    <x v="6"/>
    <x v="11"/>
    <n v="0"/>
    <m/>
    <n v="0"/>
    <n v="0"/>
    <m/>
    <n v="0"/>
    <n v="0"/>
    <m/>
    <n v="0"/>
    <n v="0"/>
    <m/>
    <n v="0"/>
  </r>
  <r>
    <x v="648"/>
    <x v="0"/>
    <x v="0"/>
    <x v="1"/>
    <n v="0"/>
    <m/>
    <n v="0"/>
    <n v="41312"/>
    <m/>
    <n v="41312"/>
    <n v="0"/>
    <m/>
    <n v="0"/>
    <n v="553184"/>
    <m/>
    <n v="553184"/>
  </r>
  <r>
    <x v="649"/>
    <x v="18"/>
    <x v="19"/>
    <x v="41"/>
    <n v="72962"/>
    <m/>
    <n v="72962"/>
    <n v="0"/>
    <m/>
    <n v="0"/>
    <n v="61964"/>
    <m/>
    <n v="61964"/>
    <n v="0"/>
    <m/>
    <n v="0"/>
  </r>
  <r>
    <x v="650"/>
    <x v="3"/>
    <x v="3"/>
    <x v="32"/>
    <n v="116491"/>
    <m/>
    <n v="116491"/>
    <n v="0"/>
    <m/>
    <n v="0"/>
    <n v="1281082.44"/>
    <m/>
    <n v="1281082.44"/>
    <n v="0"/>
    <m/>
    <n v="0"/>
  </r>
  <r>
    <x v="651"/>
    <x v="0"/>
    <x v="0"/>
    <x v="1"/>
    <n v="0"/>
    <m/>
    <n v="0"/>
    <n v="109340"/>
    <m/>
    <n v="109340"/>
    <n v="0"/>
    <m/>
    <n v="0"/>
    <n v="88755"/>
    <m/>
    <n v="88755"/>
  </r>
  <r>
    <x v="652"/>
    <x v="1"/>
    <x v="1"/>
    <x v="2"/>
    <n v="519122"/>
    <m/>
    <n v="519122"/>
    <n v="0"/>
    <m/>
    <n v="0"/>
    <n v="333284"/>
    <m/>
    <n v="333284"/>
    <n v="0"/>
    <m/>
    <n v="0"/>
  </r>
  <r>
    <x v="653"/>
    <x v="12"/>
    <x v="12"/>
    <x v="28"/>
    <n v="1264812.5"/>
    <m/>
    <n v="1264812.5"/>
    <n v="0"/>
    <m/>
    <n v="0"/>
    <n v="676306.5"/>
    <m/>
    <n v="676306.5"/>
    <n v="0"/>
    <m/>
    <n v="0"/>
  </r>
  <r>
    <x v="654"/>
    <x v="12"/>
    <x v="12"/>
    <x v="28"/>
    <n v="0"/>
    <m/>
    <n v="0"/>
    <n v="0"/>
    <m/>
    <n v="0"/>
    <n v="900"/>
    <m/>
    <n v="900"/>
    <n v="0"/>
    <m/>
    <n v="0"/>
  </r>
  <r>
    <x v="655"/>
    <x v="3"/>
    <x v="3"/>
    <x v="63"/>
    <n v="277187"/>
    <m/>
    <n v="277187"/>
    <n v="0"/>
    <m/>
    <n v="0"/>
    <n v="350000"/>
    <m/>
    <n v="350000"/>
    <n v="0"/>
    <m/>
    <n v="0"/>
  </r>
  <r>
    <x v="656"/>
    <x v="1"/>
    <x v="1"/>
    <x v="2"/>
    <n v="0"/>
    <m/>
    <n v="0"/>
    <n v="0"/>
    <m/>
    <n v="0"/>
    <n v="122689"/>
    <m/>
    <n v="122689"/>
    <n v="0"/>
    <m/>
    <n v="0"/>
  </r>
  <r>
    <x v="657"/>
    <x v="0"/>
    <x v="0"/>
    <x v="0"/>
    <n v="0"/>
    <m/>
    <n v="0"/>
    <n v="0"/>
    <m/>
    <n v="0"/>
    <n v="0"/>
    <m/>
    <n v="0"/>
    <n v="92820"/>
    <m/>
    <n v="92820"/>
  </r>
  <r>
    <x v="658"/>
    <x v="0"/>
    <x v="0"/>
    <x v="1"/>
    <n v="0"/>
    <m/>
    <n v="0"/>
    <n v="1871806"/>
    <m/>
    <n v="1871806"/>
    <n v="0"/>
    <m/>
    <n v="0"/>
    <n v="2274218"/>
    <m/>
    <n v="2274218"/>
  </r>
  <r>
    <x v="659"/>
    <x v="0"/>
    <x v="0"/>
    <x v="1"/>
    <n v="0"/>
    <m/>
    <n v="0"/>
    <n v="0"/>
    <m/>
    <n v="0"/>
    <n v="0"/>
    <m/>
    <n v="0"/>
    <n v="0"/>
    <m/>
    <n v="0"/>
  </r>
  <r>
    <x v="660"/>
    <x v="3"/>
    <x v="3"/>
    <x v="24"/>
    <n v="122521"/>
    <m/>
    <n v="122521"/>
    <n v="0"/>
    <m/>
    <n v="0"/>
    <n v="0"/>
    <m/>
    <n v="0"/>
    <n v="0"/>
    <m/>
    <n v="0"/>
  </r>
  <r>
    <x v="661"/>
    <x v="3"/>
    <x v="3"/>
    <x v="24"/>
    <n v="0"/>
    <m/>
    <n v="0"/>
    <n v="0"/>
    <m/>
    <n v="0"/>
    <n v="0"/>
    <m/>
    <n v="0"/>
    <n v="0"/>
    <m/>
    <n v="0"/>
  </r>
  <r>
    <x v="662"/>
    <x v="3"/>
    <x v="3"/>
    <x v="24"/>
    <n v="0"/>
    <m/>
    <n v="0"/>
    <n v="0"/>
    <m/>
    <n v="0"/>
    <n v="24429.360000000001"/>
    <m/>
    <n v="24429.360000000001"/>
    <n v="0"/>
    <m/>
    <n v="0"/>
  </r>
  <r>
    <x v="663"/>
    <x v="3"/>
    <x v="3"/>
    <x v="24"/>
    <n v="0"/>
    <m/>
    <n v="0"/>
    <n v="0"/>
    <m/>
    <n v="0"/>
    <n v="0"/>
    <m/>
    <n v="0"/>
    <n v="0"/>
    <m/>
    <n v="0"/>
  </r>
  <r>
    <x v="664"/>
    <x v="3"/>
    <x v="3"/>
    <x v="30"/>
    <n v="0"/>
    <m/>
    <n v="0"/>
    <n v="0"/>
    <m/>
    <n v="0"/>
    <n v="0"/>
    <m/>
    <n v="0"/>
    <n v="0"/>
    <m/>
    <n v="0"/>
  </r>
  <r>
    <x v="665"/>
    <x v="0"/>
    <x v="0"/>
    <x v="0"/>
    <n v="0"/>
    <m/>
    <n v="0"/>
    <n v="0"/>
    <m/>
    <n v="0"/>
    <n v="0"/>
    <m/>
    <n v="0"/>
    <n v="0"/>
    <m/>
    <n v="0"/>
  </r>
  <r>
    <x v="666"/>
    <x v="8"/>
    <x v="8"/>
    <x v="19"/>
    <n v="48970"/>
    <m/>
    <n v="48970"/>
    <n v="0"/>
    <m/>
    <n v="0"/>
    <n v="0"/>
    <m/>
    <n v="0"/>
    <n v="0"/>
    <m/>
    <n v="0"/>
  </r>
  <r>
    <x v="667"/>
    <x v="0"/>
    <x v="0"/>
    <x v="1"/>
    <n v="0"/>
    <m/>
    <n v="0"/>
    <n v="0"/>
    <m/>
    <n v="0"/>
    <n v="0"/>
    <m/>
    <n v="0"/>
    <n v="0"/>
    <m/>
    <n v="0"/>
  </r>
  <r>
    <x v="668"/>
    <x v="0"/>
    <x v="0"/>
    <x v="0"/>
    <n v="0"/>
    <m/>
    <n v="0"/>
    <n v="0"/>
    <m/>
    <n v="0"/>
    <n v="0"/>
    <m/>
    <n v="0"/>
    <n v="0"/>
    <m/>
    <n v="0"/>
  </r>
  <r>
    <x v="669"/>
    <x v="2"/>
    <x v="2"/>
    <x v="27"/>
    <n v="0"/>
    <m/>
    <n v="0"/>
    <n v="2852087"/>
    <m/>
    <n v="2852087"/>
    <n v="0"/>
    <m/>
    <n v="0"/>
    <n v="0"/>
    <m/>
    <n v="0"/>
  </r>
  <r>
    <x v="670"/>
    <x v="0"/>
    <x v="0"/>
    <x v="0"/>
    <n v="0"/>
    <m/>
    <n v="0"/>
    <n v="0"/>
    <m/>
    <n v="0"/>
    <n v="0"/>
    <m/>
    <n v="0"/>
    <n v="0"/>
    <m/>
    <n v="0"/>
  </r>
  <r>
    <x v="671"/>
    <x v="0"/>
    <x v="0"/>
    <x v="0"/>
    <n v="0"/>
    <m/>
    <n v="0"/>
    <n v="0"/>
    <m/>
    <n v="0"/>
    <n v="0"/>
    <m/>
    <n v="0"/>
    <n v="0"/>
    <m/>
    <n v="0"/>
  </r>
  <r>
    <x v="672"/>
    <x v="0"/>
    <x v="0"/>
    <x v="0"/>
    <n v="0"/>
    <m/>
    <n v="0"/>
    <n v="0"/>
    <m/>
    <n v="0"/>
    <n v="0"/>
    <m/>
    <n v="0"/>
    <n v="0"/>
    <m/>
    <n v="0"/>
  </r>
  <r>
    <x v="673"/>
    <x v="2"/>
    <x v="2"/>
    <x v="27"/>
    <n v="0"/>
    <m/>
    <n v="0"/>
    <n v="446301"/>
    <m/>
    <n v="446301"/>
    <n v="0"/>
    <m/>
    <n v="0"/>
    <n v="0"/>
    <m/>
    <n v="0"/>
  </r>
  <r>
    <x v="674"/>
    <x v="8"/>
    <x v="8"/>
    <x v="57"/>
    <n v="859878"/>
    <m/>
    <n v="859878"/>
    <n v="0"/>
    <m/>
    <n v="0"/>
    <n v="0"/>
    <m/>
    <n v="0"/>
    <n v="0"/>
    <m/>
    <n v="0"/>
  </r>
  <r>
    <x v="675"/>
    <x v="0"/>
    <x v="0"/>
    <x v="1"/>
    <n v="0"/>
    <m/>
    <n v="0"/>
    <n v="71036"/>
    <m/>
    <n v="71036"/>
    <n v="0"/>
    <m/>
    <n v="0"/>
    <n v="0"/>
    <m/>
    <n v="0"/>
  </r>
  <r>
    <x v="676"/>
    <x v="1"/>
    <x v="1"/>
    <x v="7"/>
    <n v="565401"/>
    <m/>
    <n v="565401"/>
    <n v="0"/>
    <m/>
    <n v="0"/>
    <n v="0"/>
    <m/>
    <n v="0"/>
    <n v="0"/>
    <m/>
    <n v="0"/>
  </r>
  <r>
    <x v="677"/>
    <x v="0"/>
    <x v="0"/>
    <x v="0"/>
    <n v="0"/>
    <m/>
    <n v="0"/>
    <n v="0"/>
    <m/>
    <n v="0"/>
    <n v="0"/>
    <m/>
    <n v="0"/>
    <n v="0"/>
    <m/>
    <n v="0"/>
  </r>
  <r>
    <x v="678"/>
    <x v="0"/>
    <x v="0"/>
    <x v="0"/>
    <n v="0"/>
    <m/>
    <n v="0"/>
    <n v="0"/>
    <m/>
    <n v="0"/>
    <n v="0"/>
    <m/>
    <n v="0"/>
    <n v="0"/>
    <m/>
    <n v="0"/>
  </r>
  <r>
    <x v="679"/>
    <x v="1"/>
    <x v="1"/>
    <x v="7"/>
    <n v="0"/>
    <m/>
    <n v="0"/>
    <n v="0"/>
    <m/>
    <n v="0"/>
    <n v="0"/>
    <m/>
    <n v="0"/>
    <n v="0"/>
    <m/>
    <n v="0"/>
  </r>
  <r>
    <x v="680"/>
    <x v="6"/>
    <x v="6"/>
    <x v="11"/>
    <n v="0"/>
    <m/>
    <n v="0"/>
    <n v="0"/>
    <m/>
    <n v="0"/>
    <n v="0"/>
    <m/>
    <n v="0"/>
    <n v="0"/>
    <m/>
    <n v="0"/>
  </r>
  <r>
    <x v="681"/>
    <x v="0"/>
    <x v="0"/>
    <x v="0"/>
    <n v="0"/>
    <m/>
    <n v="0"/>
    <n v="0"/>
    <m/>
    <n v="0"/>
    <n v="0"/>
    <m/>
    <n v="0"/>
    <n v="0"/>
    <m/>
    <n v="0"/>
  </r>
  <r>
    <x v="682"/>
    <x v="2"/>
    <x v="2"/>
    <x v="3"/>
    <n v="0"/>
    <m/>
    <n v="0"/>
    <n v="0"/>
    <m/>
    <n v="0"/>
    <n v="0"/>
    <m/>
    <n v="0"/>
    <n v="0"/>
    <m/>
    <n v="0"/>
  </r>
  <r>
    <x v="683"/>
    <x v="1"/>
    <x v="1"/>
    <x v="7"/>
    <n v="0"/>
    <m/>
    <n v="0"/>
    <n v="0"/>
    <m/>
    <n v="0"/>
    <n v="0"/>
    <m/>
    <n v="0"/>
    <n v="0"/>
    <m/>
    <n v="0"/>
  </r>
  <r>
    <x v="684"/>
    <x v="0"/>
    <x v="0"/>
    <x v="1"/>
    <n v="0"/>
    <m/>
    <n v="0"/>
    <n v="19934"/>
    <m/>
    <n v="19934"/>
    <n v="0"/>
    <m/>
    <n v="0"/>
    <n v="0"/>
    <m/>
    <n v="0"/>
  </r>
  <r>
    <x v="685"/>
    <x v="1"/>
    <x v="1"/>
    <x v="7"/>
    <n v="0"/>
    <m/>
    <n v="0"/>
    <n v="0"/>
    <m/>
    <n v="0"/>
    <n v="0"/>
    <m/>
    <n v="0"/>
    <n v="0"/>
    <m/>
    <n v="0"/>
  </r>
  <r>
    <x v="686"/>
    <x v="5"/>
    <x v="5"/>
    <x v="74"/>
    <n v="0"/>
    <m/>
    <n v="0"/>
    <n v="14600000"/>
    <m/>
    <n v="14600000"/>
    <n v="0"/>
    <m/>
    <n v="0"/>
    <n v="0"/>
    <m/>
    <n v="0"/>
  </r>
  <r>
    <x v="687"/>
    <x v="2"/>
    <x v="2"/>
    <x v="27"/>
    <n v="0"/>
    <m/>
    <n v="0"/>
    <n v="0"/>
    <m/>
    <n v="0"/>
    <n v="0"/>
    <m/>
    <n v="0"/>
    <n v="0"/>
    <m/>
    <n v="0"/>
  </r>
  <r>
    <x v="688"/>
    <x v="2"/>
    <x v="2"/>
    <x v="27"/>
    <n v="53295.15"/>
    <m/>
    <n v="53295.15"/>
    <n v="0"/>
    <m/>
    <n v="0"/>
    <n v="0"/>
    <m/>
    <n v="0"/>
    <n v="0"/>
    <m/>
    <n v="0"/>
  </r>
  <r>
    <x v="689"/>
    <x v="2"/>
    <x v="2"/>
    <x v="27"/>
    <n v="0"/>
    <m/>
    <n v="0"/>
    <n v="2852634"/>
    <m/>
    <n v="2852634"/>
    <n v="0"/>
    <m/>
    <n v="0"/>
    <n v="0"/>
    <m/>
    <n v="0"/>
  </r>
  <r>
    <x v="690"/>
    <x v="1"/>
    <x v="1"/>
    <x v="7"/>
    <n v="0"/>
    <m/>
    <n v="0"/>
    <n v="0"/>
    <m/>
    <n v="0"/>
    <n v="0"/>
    <m/>
    <n v="0"/>
    <n v="0"/>
    <m/>
    <n v="0"/>
  </r>
  <r>
    <x v="691"/>
    <x v="3"/>
    <x v="3"/>
    <x v="24"/>
    <n v="0"/>
    <m/>
    <n v="0"/>
    <n v="0"/>
    <m/>
    <n v="0"/>
    <n v="14674"/>
    <m/>
    <n v="14674"/>
    <n v="0"/>
    <m/>
    <n v="0"/>
  </r>
  <r>
    <x v="692"/>
    <x v="2"/>
    <x v="2"/>
    <x v="33"/>
    <n v="0"/>
    <m/>
    <n v="0"/>
    <n v="0"/>
    <m/>
    <n v="0"/>
    <n v="0"/>
    <m/>
    <n v="0"/>
    <n v="0"/>
    <m/>
    <n v="0"/>
  </r>
  <r>
    <x v="693"/>
    <x v="2"/>
    <x v="2"/>
    <x v="33"/>
    <n v="0"/>
    <m/>
    <n v="0"/>
    <n v="0"/>
    <m/>
    <n v="0"/>
    <n v="0"/>
    <m/>
    <n v="0"/>
    <n v="0"/>
    <m/>
    <n v="0"/>
  </r>
  <r>
    <x v="694"/>
    <x v="2"/>
    <x v="2"/>
    <x v="33"/>
    <n v="0"/>
    <m/>
    <n v="0"/>
    <n v="0"/>
    <m/>
    <n v="0"/>
    <n v="0"/>
    <m/>
    <n v="0"/>
    <n v="0"/>
    <m/>
    <n v="0"/>
  </r>
  <r>
    <x v="695"/>
    <x v="1"/>
    <x v="1"/>
    <x v="2"/>
    <n v="179827"/>
    <m/>
    <n v="179827"/>
    <n v="0"/>
    <m/>
    <n v="0"/>
    <n v="0"/>
    <m/>
    <n v="0"/>
    <n v="0"/>
    <m/>
    <n v="0"/>
  </r>
  <r>
    <x v="696"/>
    <x v="9"/>
    <x v="9"/>
    <x v="22"/>
    <n v="2991111"/>
    <m/>
    <n v="2991111"/>
    <n v="0"/>
    <m/>
    <n v="0"/>
    <n v="2991111"/>
    <m/>
    <n v="2991111"/>
    <n v="0"/>
    <m/>
    <n v="0"/>
  </r>
  <r>
    <x v="697"/>
    <x v="3"/>
    <x v="3"/>
    <x v="82"/>
    <n v="521794"/>
    <m/>
    <n v="521794"/>
    <n v="0"/>
    <m/>
    <n v="0"/>
    <n v="332580"/>
    <m/>
    <n v="332580"/>
    <n v="0"/>
    <m/>
    <n v="0"/>
  </r>
  <r>
    <x v="698"/>
    <x v="3"/>
    <x v="3"/>
    <x v="82"/>
    <n v="271912.74"/>
    <m/>
    <n v="271912.74"/>
    <n v="0"/>
    <m/>
    <n v="0"/>
    <n v="254656"/>
    <m/>
    <n v="254656"/>
    <n v="0"/>
    <m/>
    <n v="0"/>
  </r>
  <r>
    <x v="699"/>
    <x v="0"/>
    <x v="0"/>
    <x v="1"/>
    <n v="0"/>
    <m/>
    <n v="0"/>
    <n v="0"/>
    <m/>
    <n v="0"/>
    <n v="0"/>
    <m/>
    <n v="0"/>
    <n v="8130"/>
    <m/>
    <n v="8130"/>
  </r>
  <r>
    <x v="700"/>
    <x v="0"/>
    <x v="0"/>
    <x v="1"/>
    <n v="0"/>
    <m/>
    <n v="0"/>
    <n v="29906"/>
    <m/>
    <n v="29906"/>
    <n v="0"/>
    <m/>
    <n v="0"/>
    <n v="4434"/>
    <m/>
    <n v="4434"/>
  </r>
  <r>
    <x v="701"/>
    <x v="0"/>
    <x v="0"/>
    <x v="1"/>
    <n v="0"/>
    <m/>
    <n v="0"/>
    <n v="1429369"/>
    <m/>
    <n v="1429369"/>
    <n v="0"/>
    <m/>
    <n v="0"/>
    <n v="699844"/>
    <m/>
    <n v="699844"/>
  </r>
  <r>
    <x v="702"/>
    <x v="0"/>
    <x v="0"/>
    <x v="1"/>
    <n v="0"/>
    <m/>
    <n v="0"/>
    <n v="12900"/>
    <m/>
    <n v="12900"/>
    <n v="0"/>
    <m/>
    <n v="0"/>
    <n v="7780"/>
    <m/>
    <n v="7780"/>
  </r>
  <r>
    <x v="703"/>
    <x v="0"/>
    <x v="0"/>
    <x v="1"/>
    <n v="0"/>
    <m/>
    <n v="0"/>
    <n v="0"/>
    <m/>
    <n v="0"/>
    <n v="0"/>
    <m/>
    <n v="0"/>
    <n v="0"/>
    <m/>
    <n v="0"/>
  </r>
  <r>
    <x v="704"/>
    <x v="0"/>
    <x v="0"/>
    <x v="1"/>
    <n v="0"/>
    <m/>
    <n v="0"/>
    <n v="0"/>
    <m/>
    <n v="0"/>
    <n v="0"/>
    <m/>
    <n v="0"/>
    <n v="0"/>
    <m/>
    <n v="0"/>
  </r>
  <r>
    <x v="705"/>
    <x v="1"/>
    <x v="1"/>
    <x v="2"/>
    <n v="0"/>
    <m/>
    <n v="0"/>
    <n v="0"/>
    <m/>
    <n v="0"/>
    <n v="0"/>
    <m/>
    <n v="0"/>
    <n v="0"/>
    <m/>
    <n v="0"/>
  </r>
  <r>
    <x v="706"/>
    <x v="0"/>
    <x v="0"/>
    <x v="1"/>
    <n v="0"/>
    <m/>
    <n v="0"/>
    <n v="232050"/>
    <m/>
    <n v="232050"/>
    <n v="0"/>
    <m/>
    <n v="0"/>
    <n v="226800"/>
    <m/>
    <n v="226800"/>
  </r>
  <r>
    <x v="707"/>
    <x v="3"/>
    <x v="3"/>
    <x v="20"/>
    <n v="0"/>
    <m/>
    <n v="0"/>
    <n v="0"/>
    <m/>
    <n v="0"/>
    <n v="0"/>
    <m/>
    <n v="0"/>
    <n v="0"/>
    <m/>
    <n v="0"/>
  </r>
  <r>
    <x v="708"/>
    <x v="3"/>
    <x v="3"/>
    <x v="20"/>
    <n v="290915"/>
    <m/>
    <n v="290915"/>
    <n v="0"/>
    <m/>
    <n v="0"/>
    <n v="199906.5"/>
    <m/>
    <n v="199906.5"/>
    <n v="0"/>
    <m/>
    <n v="0"/>
  </r>
  <r>
    <x v="709"/>
    <x v="3"/>
    <x v="3"/>
    <x v="83"/>
    <n v="6129998"/>
    <m/>
    <n v="6129998"/>
    <n v="0"/>
    <m/>
    <n v="0"/>
    <n v="6659960"/>
    <m/>
    <n v="6659960"/>
    <n v="0"/>
    <m/>
    <n v="0"/>
  </r>
  <r>
    <x v="710"/>
    <x v="12"/>
    <x v="12"/>
    <x v="28"/>
    <n v="384685059"/>
    <m/>
    <n v="384685059"/>
    <n v="0"/>
    <m/>
    <n v="0"/>
    <n v="237660256.5"/>
    <m/>
    <n v="237660256.5"/>
    <n v="0"/>
    <m/>
    <n v="0"/>
  </r>
  <r>
    <x v="711"/>
    <x v="4"/>
    <x v="4"/>
    <x v="5"/>
    <n v="1371677.02"/>
    <m/>
    <n v="1371677.02"/>
    <n v="0"/>
    <m/>
    <n v="0"/>
    <n v="0"/>
    <m/>
    <n v="0"/>
    <n v="841449.98"/>
    <m/>
    <n v="841449.98"/>
  </r>
  <r>
    <x v="712"/>
    <x v="9"/>
    <x v="9"/>
    <x v="84"/>
    <n v="133008"/>
    <m/>
    <n v="133008"/>
    <n v="0"/>
    <m/>
    <n v="0"/>
    <n v="172560"/>
    <m/>
    <n v="172560"/>
    <n v="0"/>
    <m/>
    <n v="0"/>
  </r>
  <r>
    <x v="713"/>
    <x v="9"/>
    <x v="9"/>
    <x v="84"/>
    <n v="180000"/>
    <m/>
    <n v="180000"/>
    <n v="0"/>
    <m/>
    <n v="0"/>
    <n v="229919.2"/>
    <m/>
    <n v="229919.2"/>
    <n v="0"/>
    <m/>
    <n v="0"/>
  </r>
  <r>
    <x v="714"/>
    <x v="0"/>
    <x v="0"/>
    <x v="0"/>
    <n v="0"/>
    <m/>
    <n v="0"/>
    <n v="0"/>
    <m/>
    <n v="0"/>
    <n v="0"/>
    <m/>
    <n v="0"/>
    <n v="52406"/>
    <m/>
    <n v="52406"/>
  </r>
  <r>
    <x v="715"/>
    <x v="3"/>
    <x v="3"/>
    <x v="9"/>
    <n v="7547"/>
    <m/>
    <n v="7547"/>
    <n v="0"/>
    <m/>
    <n v="0"/>
    <n v="5716"/>
    <m/>
    <n v="5716"/>
    <n v="0"/>
    <m/>
    <n v="0"/>
  </r>
  <r>
    <x v="716"/>
    <x v="0"/>
    <x v="0"/>
    <x v="1"/>
    <n v="0"/>
    <m/>
    <n v="0"/>
    <n v="0"/>
    <m/>
    <n v="0"/>
    <n v="0"/>
    <m/>
    <n v="0"/>
    <n v="0"/>
    <m/>
    <n v="0"/>
  </r>
  <r>
    <x v="717"/>
    <x v="0"/>
    <x v="0"/>
    <x v="1"/>
    <n v="0"/>
    <m/>
    <n v="0"/>
    <n v="0"/>
    <m/>
    <n v="0"/>
    <n v="0"/>
    <m/>
    <n v="0"/>
    <n v="142942"/>
    <m/>
    <n v="142942"/>
  </r>
  <r>
    <x v="718"/>
    <x v="1"/>
    <x v="1"/>
    <x v="2"/>
    <n v="31034983"/>
    <m/>
    <n v="31034983"/>
    <n v="0"/>
    <m/>
    <n v="0"/>
    <n v="18060676"/>
    <m/>
    <n v="18060676"/>
    <n v="0"/>
    <m/>
    <n v="0"/>
  </r>
  <r>
    <x v="719"/>
    <x v="6"/>
    <x v="2"/>
    <x v="85"/>
    <n v="2745000"/>
    <m/>
    <n v="2745000"/>
    <n v="0"/>
    <m/>
    <n v="0"/>
    <n v="0"/>
    <m/>
    <n v="0"/>
    <n v="0"/>
    <m/>
    <n v="0"/>
  </r>
  <r>
    <x v="720"/>
    <x v="0"/>
    <x v="0"/>
    <x v="0"/>
    <n v="0"/>
    <m/>
    <n v="0"/>
    <n v="19017"/>
    <m/>
    <n v="19017"/>
    <n v="0"/>
    <m/>
    <n v="0"/>
    <n v="0"/>
    <m/>
    <n v="0"/>
  </r>
  <r>
    <x v="721"/>
    <x v="6"/>
    <x v="2"/>
    <x v="85"/>
    <n v="0"/>
    <m/>
    <n v="0"/>
    <n v="0"/>
    <m/>
    <n v="0"/>
    <n v="0"/>
    <m/>
    <n v="0"/>
    <n v="0"/>
    <m/>
    <n v="0"/>
  </r>
  <r>
    <x v="722"/>
    <x v="20"/>
    <x v="23"/>
    <x v="86"/>
    <n v="1414542251.77"/>
    <n v="-974703"/>
    <n v="1413567548.77"/>
    <n v="1414542251.55"/>
    <n v="-974703"/>
    <n v="1413567548.55"/>
    <n v="1255100493.1099999"/>
    <n v="-750"/>
    <n v="1255099743.1099999"/>
    <n v="1255100003.1100001"/>
    <n v="-750"/>
    <n v="1255099253.11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1" applyNumberFormats="0" applyBorderFormats="0" applyFontFormats="0" applyPatternFormats="0" applyAlignmentFormats="0" applyWidthHeightFormats="1" dataCaption="Values" updatedVersion="7" minRefreshableVersion="3" useAutoFormatting="1" itemPrintTitles="1" createdVersion="5" indent="0" outline="1" outlineData="1" multipleFieldFilters="0">
  <location ref="A3:G862" firstHeaderRow="1" firstDataRow="2" firstDataCol="3"/>
  <pivotFields count="16">
    <pivotField axis="axisRow" showAll="0">
      <items count="728">
        <item x="0"/>
        <item x="19"/>
        <item x="17"/>
        <item x="38"/>
        <item x="27"/>
        <item x="29"/>
        <item x="30"/>
        <item x="31"/>
        <item x="63"/>
        <item x="665"/>
        <item x="32"/>
        <item x="33"/>
        <item x="34"/>
        <item x="35"/>
        <item x="36"/>
        <item x="64"/>
        <item x="39"/>
        <item x="46"/>
        <item x="43"/>
        <item x="50"/>
        <item x="51"/>
        <item x="118"/>
        <item x="67"/>
        <item x="68"/>
        <item x="69"/>
        <item x="70"/>
        <item x="75"/>
        <item x="76"/>
        <item x="78"/>
        <item x="18"/>
        <item x="81"/>
        <item x="82"/>
        <item x="83"/>
        <item x="84"/>
        <item x="85"/>
        <item x="86"/>
        <item x="87"/>
        <item x="89"/>
        <item x="90"/>
        <item x="88"/>
        <item x="91"/>
        <item x="21"/>
        <item x="93"/>
        <item x="103"/>
        <item x="104"/>
        <item x="105"/>
        <item x="106"/>
        <item x="109"/>
        <item x="110"/>
        <item x="666"/>
        <item x="111"/>
        <item x="112"/>
        <item x="113"/>
        <item x="114"/>
        <item x="115"/>
        <item x="121"/>
        <item x="667"/>
        <item x="122"/>
        <item x="124"/>
        <item x="125"/>
        <item x="668"/>
        <item x="48"/>
        <item x="128"/>
        <item x="25"/>
        <item x="129"/>
        <item x="132"/>
        <item x="127"/>
        <item x="133"/>
        <item x="134"/>
        <item x="135"/>
        <item x="49"/>
        <item x="26"/>
        <item x="140"/>
        <item x="139"/>
        <item x="171"/>
        <item x="141"/>
        <item x="142"/>
        <item x="143"/>
        <item x="144"/>
        <item x="145"/>
        <item x="148"/>
        <item x="147"/>
        <item x="150"/>
        <item x="536"/>
        <item x="136"/>
        <item x="151"/>
        <item x="152"/>
        <item x="153"/>
        <item x="146"/>
        <item x="149"/>
        <item x="154"/>
        <item x="173"/>
        <item x="174"/>
        <item x="177"/>
        <item x="175"/>
        <item x="669"/>
        <item x="176"/>
        <item x="178"/>
        <item x="179"/>
        <item x="180"/>
        <item x="181"/>
        <item x="182"/>
        <item x="183"/>
        <item x="184"/>
        <item x="232"/>
        <item x="185"/>
        <item x="186"/>
        <item x="187"/>
        <item x="188"/>
        <item x="189"/>
        <item x="190"/>
        <item x="191"/>
        <item x="108"/>
        <item x="192"/>
        <item x="193"/>
        <item x="194"/>
        <item x="195"/>
        <item x="196"/>
        <item x="97"/>
        <item x="197"/>
        <item x="198"/>
        <item x="199"/>
        <item x="200"/>
        <item x="201"/>
        <item x="202"/>
        <item x="204"/>
        <item x="107"/>
        <item x="205"/>
        <item x="206"/>
        <item x="207"/>
        <item x="123"/>
        <item x="671"/>
        <item x="208"/>
        <item x="670"/>
        <item x="209"/>
        <item x="210"/>
        <item x="211"/>
        <item x="212"/>
        <item x="213"/>
        <item x="214"/>
        <item x="216"/>
        <item x="217"/>
        <item x="215"/>
        <item x="218"/>
        <item x="219"/>
        <item x="220"/>
        <item x="221"/>
        <item x="222"/>
        <item x="223"/>
        <item x="224"/>
        <item x="225"/>
        <item x="226"/>
        <item x="227"/>
        <item x="228"/>
        <item x="229"/>
        <item x="230"/>
        <item x="231"/>
        <item x="234"/>
        <item x="15"/>
        <item x="233"/>
        <item x="235"/>
        <item x="239"/>
        <item x="236"/>
        <item x="237"/>
        <item x="240"/>
        <item x="241"/>
        <item x="59"/>
        <item x="243"/>
        <item x="60"/>
        <item x="244"/>
        <item x="245"/>
        <item x="246"/>
        <item x="247"/>
        <item x="248"/>
        <item x="249"/>
        <item x="250"/>
        <item x="251"/>
        <item x="252"/>
        <item x="253"/>
        <item x="254"/>
        <item x="255"/>
        <item x="256"/>
        <item x="257"/>
        <item x="258"/>
        <item x="259"/>
        <item x="260"/>
        <item x="261"/>
        <item x="262"/>
        <item x="263"/>
        <item x="71"/>
        <item x="264"/>
        <item x="265"/>
        <item x="266"/>
        <item x="267"/>
        <item x="268"/>
        <item x="269"/>
        <item x="270"/>
        <item x="271"/>
        <item x="272"/>
        <item x="126"/>
        <item x="273"/>
        <item x="274"/>
        <item x="275"/>
        <item x="276"/>
        <item x="277"/>
        <item x="278"/>
        <item x="279"/>
        <item x="280"/>
        <item x="672"/>
        <item x="281"/>
        <item x="282"/>
        <item x="283"/>
        <item x="285"/>
        <item x="287"/>
        <item x="286"/>
        <item x="290"/>
        <item x="288"/>
        <item x="289"/>
        <item x="291"/>
        <item x="292"/>
        <item x="293"/>
        <item x="294"/>
        <item x="284"/>
        <item x="295"/>
        <item x="296"/>
        <item x="297"/>
        <item x="298"/>
        <item x="300"/>
        <item x="301"/>
        <item x="305"/>
        <item x="308"/>
        <item x="307"/>
        <item x="306"/>
        <item x="310"/>
        <item x="303"/>
        <item x="304"/>
        <item x="309"/>
        <item x="302"/>
        <item x="311"/>
        <item x="313"/>
        <item x="673"/>
        <item x="312"/>
        <item x="314"/>
        <item x="315"/>
        <item x="316"/>
        <item x="317"/>
        <item x="495"/>
        <item x="318"/>
        <item x="319"/>
        <item x="320"/>
        <item x="79"/>
        <item x="321"/>
        <item x="533"/>
        <item x="534"/>
        <item x="537"/>
        <item x="322"/>
        <item x="323"/>
        <item x="324"/>
        <item x="325"/>
        <item x="326"/>
        <item x="328"/>
        <item x="331"/>
        <item x="332"/>
        <item x="333"/>
        <item x="334"/>
        <item x="335"/>
        <item x="336"/>
        <item x="337"/>
        <item x="338"/>
        <item x="339"/>
        <item x="674"/>
        <item x="340"/>
        <item x="341"/>
        <item x="131"/>
        <item x="343"/>
        <item x="344"/>
        <item x="345"/>
        <item x="346"/>
        <item x="130"/>
        <item x="347"/>
        <item x="348"/>
        <item x="349"/>
        <item x="350"/>
        <item x="477"/>
        <item x="351"/>
        <item x="352"/>
        <item x="353"/>
        <item x="354"/>
        <item x="355"/>
        <item x="356"/>
        <item x="80"/>
        <item m="1" x="723"/>
        <item x="357"/>
        <item x="360"/>
        <item x="94"/>
        <item x="675"/>
        <item x="361"/>
        <item x="362"/>
        <item x="92"/>
        <item x="95"/>
        <item x="363"/>
        <item x="364"/>
        <item x="367"/>
        <item x="676"/>
        <item x="368"/>
        <item x="369"/>
        <item x="370"/>
        <item x="371"/>
        <item x="372"/>
        <item x="373"/>
        <item x="374"/>
        <item x="375"/>
        <item x="540"/>
        <item x="376"/>
        <item x="377"/>
        <item x="378"/>
        <item x="719"/>
        <item x="22"/>
        <item x="99"/>
        <item x="379"/>
        <item x="380"/>
        <item x="381"/>
        <item x="382"/>
        <item x="383"/>
        <item x="384"/>
        <item x="386"/>
        <item x="387"/>
        <item x="677"/>
        <item x="388"/>
        <item x="389"/>
        <item x="390"/>
        <item x="391"/>
        <item x="73"/>
        <item x="392"/>
        <item x="98"/>
        <item x="393"/>
        <item x="394"/>
        <item x="395"/>
        <item x="396"/>
        <item x="397"/>
        <item x="678"/>
        <item x="398"/>
        <item x="399"/>
        <item x="62"/>
        <item x="400"/>
        <item x="14"/>
        <item x="401"/>
        <item x="58"/>
        <item x="402"/>
        <item x="403"/>
        <item x="404"/>
        <item x="405"/>
        <item x="406"/>
        <item x="407"/>
        <item x="409"/>
        <item x="408"/>
        <item x="410"/>
        <item x="411"/>
        <item x="24"/>
        <item x="412"/>
        <item x="96"/>
        <item x="9"/>
        <item x="413"/>
        <item x="414"/>
        <item x="679"/>
        <item x="415"/>
        <item x="416"/>
        <item x="680"/>
        <item x="417"/>
        <item x="418"/>
        <item x="681"/>
        <item x="419"/>
        <item x="420"/>
        <item x="421"/>
        <item x="45"/>
        <item x="20"/>
        <item x="422"/>
        <item x="423"/>
        <item x="424"/>
        <item x="425"/>
        <item x="13"/>
        <item x="426"/>
        <item x="44"/>
        <item x="427"/>
        <item x="428"/>
        <item x="429"/>
        <item x="430"/>
        <item x="431"/>
        <item x="432"/>
        <item x="433"/>
        <item x="434"/>
        <item x="435"/>
        <item x="436"/>
        <item x="437"/>
        <item x="438"/>
        <item x="439"/>
        <item x="440"/>
        <item x="441"/>
        <item x="442"/>
        <item x="443"/>
        <item x="444"/>
        <item x="445"/>
        <item x="446"/>
        <item x="447"/>
        <item x="448"/>
        <item x="449"/>
        <item m="1" x="726"/>
        <item x="450"/>
        <item x="451"/>
        <item x="452"/>
        <item x="100"/>
        <item x="453"/>
        <item x="454"/>
        <item x="455"/>
        <item x="102"/>
        <item x="456"/>
        <item x="457"/>
        <item x="242"/>
        <item x="458"/>
        <item x="459"/>
        <item x="460"/>
        <item x="461"/>
        <item x="462"/>
        <item x="463"/>
        <item x="464"/>
        <item x="465"/>
        <item x="466"/>
        <item x="467"/>
        <item x="468"/>
        <item x="469"/>
        <item x="470"/>
        <item x="471"/>
        <item x="472"/>
        <item x="473"/>
        <item x="12"/>
        <item x="474"/>
        <item x="101"/>
        <item x="475"/>
        <item x="476"/>
        <item x="77"/>
        <item x="478"/>
        <item x="479"/>
        <item x="480"/>
        <item x="481"/>
        <item x="482"/>
        <item x="483"/>
        <item x="484"/>
        <item x="485"/>
        <item x="486"/>
        <item x="487"/>
        <item x="488"/>
        <item x="489"/>
        <item x="490"/>
        <item x="491"/>
        <item x="492"/>
        <item x="493"/>
        <item x="494"/>
        <item x="497"/>
        <item x="499"/>
        <item x="500"/>
        <item x="682"/>
        <item x="502"/>
        <item x="330"/>
        <item x="504"/>
        <item x="506"/>
        <item x="507"/>
        <item x="508"/>
        <item x="509"/>
        <item x="510"/>
        <item x="511"/>
        <item x="512"/>
        <item x="513"/>
        <item x="514"/>
        <item x="515"/>
        <item x="516"/>
        <item x="65"/>
        <item x="517"/>
        <item x="518"/>
        <item x="519"/>
        <item x="683"/>
        <item x="520"/>
        <item x="521"/>
        <item x="522"/>
        <item x="47"/>
        <item x="523"/>
        <item x="16"/>
        <item x="524"/>
        <item x="40"/>
        <item x="525"/>
        <item x="526"/>
        <item x="527"/>
        <item x="528"/>
        <item x="529"/>
        <item x="530"/>
        <item x="531"/>
        <item x="532"/>
        <item x="535"/>
        <item x="539"/>
        <item x="541"/>
        <item x="542"/>
        <item x="543"/>
        <item x="544"/>
        <item x="545"/>
        <item x="546"/>
        <item x="547"/>
        <item x="548"/>
        <item x="7"/>
        <item x="684"/>
        <item x="686"/>
        <item x="549"/>
        <item x="550"/>
        <item x="551"/>
        <item x="552"/>
        <item x="553"/>
        <item x="554"/>
        <item x="555"/>
        <item x="556"/>
        <item x="557"/>
        <item x="558"/>
        <item x="66"/>
        <item x="559"/>
        <item x="560"/>
        <item x="561"/>
        <item x="563"/>
        <item x="562"/>
        <item x="564"/>
        <item x="565"/>
        <item x="566"/>
        <item x="567"/>
        <item x="238"/>
        <item x="568"/>
        <item x="569"/>
        <item x="120"/>
        <item x="119"/>
        <item x="570"/>
        <item x="571"/>
        <item x="572"/>
        <item x="573"/>
        <item x="574"/>
        <item x="685"/>
        <item x="575"/>
        <item x="57"/>
        <item x="23"/>
        <item x="6"/>
        <item x="576"/>
        <item x="577"/>
        <item x="11"/>
        <item x="578"/>
        <item x="157"/>
        <item x="162"/>
        <item x="158"/>
        <item x="155"/>
        <item x="159"/>
        <item x="160"/>
        <item x="161"/>
        <item x="167"/>
        <item x="164"/>
        <item x="165"/>
        <item x="538"/>
        <item x="579"/>
        <item x="168"/>
        <item x="169"/>
        <item x="170"/>
        <item x="156"/>
        <item x="163"/>
        <item x="166"/>
        <item x="172"/>
        <item x="580"/>
        <item x="581"/>
        <item x="687"/>
        <item x="582"/>
        <item x="689"/>
        <item x="688"/>
        <item x="583"/>
        <item x="584"/>
        <item x="585"/>
        <item x="586"/>
        <item x="587"/>
        <item x="588"/>
        <item x="589"/>
        <item x="5"/>
        <item x="590"/>
        <item x="299"/>
        <item x="591"/>
        <item x="592"/>
        <item x="593"/>
        <item x="358"/>
        <item x="359"/>
        <item x="594"/>
        <item x="595"/>
        <item x="690"/>
        <item x="55"/>
        <item x="596"/>
        <item x="597"/>
        <item x="598"/>
        <item x="599"/>
        <item x="600"/>
        <item x="601"/>
        <item x="8"/>
        <item x="602"/>
        <item x="603"/>
        <item x="604"/>
        <item x="605"/>
        <item x="365"/>
        <item x="606"/>
        <item x="61"/>
        <item x="37"/>
        <item x="607"/>
        <item x="608"/>
        <item x="609"/>
        <item x="610"/>
        <item x="611"/>
        <item x="612"/>
        <item x="613"/>
        <item x="42"/>
        <item x="717"/>
        <item x="614"/>
        <item x="615"/>
        <item x="616"/>
        <item x="617"/>
        <item x="618"/>
        <item x="619"/>
        <item x="620"/>
        <item x="621"/>
        <item x="622"/>
        <item x="366"/>
        <item x="623"/>
        <item x="624"/>
        <item x="631"/>
        <item x="630"/>
        <item x="625"/>
        <item x="385"/>
        <item x="632"/>
        <item x="633"/>
        <item x="628"/>
        <item x="626"/>
        <item x="627"/>
        <item x="28"/>
        <item x="629"/>
        <item x="634"/>
        <item x="635"/>
        <item x="636"/>
        <item x="637"/>
        <item x="638"/>
        <item x="639"/>
        <item x="640"/>
        <item x="641"/>
        <item x="642"/>
        <item x="643"/>
        <item x="644"/>
        <item x="645"/>
        <item x="646"/>
        <item x="647"/>
        <item x="648"/>
        <item x="649"/>
        <item x="650"/>
        <item x="651"/>
        <item x="652"/>
        <item x="56"/>
        <item x="653"/>
        <item x="654"/>
        <item x="655"/>
        <item x="656"/>
        <item x="657"/>
        <item x="4"/>
        <item x="658"/>
        <item x="659"/>
        <item x="660"/>
        <item x="661"/>
        <item x="663"/>
        <item x="664"/>
        <item x="691"/>
        <item x="692"/>
        <item x="693"/>
        <item x="694"/>
        <item x="662"/>
        <item x="116"/>
        <item x="695"/>
        <item x="696"/>
        <item x="697"/>
        <item x="698"/>
        <item x="699"/>
        <item x="700"/>
        <item x="701"/>
        <item x="702"/>
        <item x="41"/>
        <item x="117"/>
        <item x="703"/>
        <item x="2"/>
        <item x="704"/>
        <item x="705"/>
        <item x="706"/>
        <item x="707"/>
        <item x="708"/>
        <item x="709"/>
        <item x="710"/>
        <item x="711"/>
        <item x="712"/>
        <item x="713"/>
        <item x="714"/>
        <item x="715"/>
        <item x="716"/>
        <item x="718"/>
        <item x="720"/>
        <item x="54"/>
        <item x="721"/>
        <item x="722"/>
        <item x="1"/>
        <item x="10"/>
        <item x="52"/>
        <item x="53"/>
        <item x="137"/>
        <item x="138"/>
        <item m="1" x="724"/>
        <item x="74"/>
        <item x="3"/>
        <item x="203"/>
        <item x="327"/>
        <item x="342"/>
        <item x="501"/>
        <item x="503"/>
        <item x="496"/>
        <item m="1" x="725"/>
        <item x="329"/>
        <item x="72"/>
        <item x="498"/>
        <item x="505"/>
        <item t="default"/>
      </items>
    </pivotField>
    <pivotField axis="axisRow" outline="0" showAll="0">
      <items count="23">
        <item x="19"/>
        <item x="10"/>
        <item x="5"/>
        <item x="13"/>
        <item x="21"/>
        <item x="0"/>
        <item x="6"/>
        <item x="16"/>
        <item x="9"/>
        <item x="2"/>
        <item x="15"/>
        <item x="1"/>
        <item x="11"/>
        <item x="4"/>
        <item x="14"/>
        <item x="18"/>
        <item x="7"/>
        <item x="12"/>
        <item x="17"/>
        <item x="8"/>
        <item x="3"/>
        <item x="20"/>
        <item t="default"/>
      </items>
    </pivotField>
    <pivotField axis="axisRow" outline="0" showAll="0">
      <items count="26">
        <item x="11"/>
        <item x="13"/>
        <item x="17"/>
        <item x="18"/>
        <item x="8"/>
        <item x="9"/>
        <item x="5"/>
        <item x="2"/>
        <item x="21"/>
        <item x="14"/>
        <item x="6"/>
        <item x="3"/>
        <item x="7"/>
        <item m="1" x="24"/>
        <item x="12"/>
        <item x="10"/>
        <item x="19"/>
        <item x="20"/>
        <item x="22"/>
        <item x="4"/>
        <item x="16"/>
        <item x="0"/>
        <item x="1"/>
        <item x="23"/>
        <item x="15"/>
        <item t="default"/>
      </items>
    </pivotField>
    <pivotField axis="axisRow" showAll="0">
      <items count="91">
        <item x="85"/>
        <item x="3"/>
        <item x="5"/>
        <item x="12"/>
        <item x="15"/>
        <item x="73"/>
        <item x="72"/>
        <item x="37"/>
        <item x="33"/>
        <item x="23"/>
        <item x="84"/>
        <item x="26"/>
        <item x="45"/>
        <item x="34"/>
        <item x="39"/>
        <item x="42"/>
        <item x="43"/>
        <item x="75"/>
        <item x="13"/>
        <item x="16"/>
        <item m="1" x="89"/>
        <item x="17"/>
        <item x="9"/>
        <item x="52"/>
        <item x="30"/>
        <item x="10"/>
        <item x="21"/>
        <item x="79"/>
        <item x="24"/>
        <item x="50"/>
        <item x="64"/>
        <item x="82"/>
        <item x="81"/>
        <item x="32"/>
        <item x="48"/>
        <item x="49"/>
        <item x="27"/>
        <item x="53"/>
        <item x="57"/>
        <item x="55"/>
        <item x="44"/>
        <item x="6"/>
        <item x="36"/>
        <item x="47"/>
        <item x="70"/>
        <item x="20"/>
        <item x="63"/>
        <item x="29"/>
        <item x="77"/>
        <item x="69"/>
        <item x="83"/>
        <item x="71"/>
        <item x="25"/>
        <item x="59"/>
        <item x="62"/>
        <item x="19"/>
        <item x="58"/>
        <item x="2"/>
        <item x="61"/>
        <item x="56"/>
        <item x="54"/>
        <item x="66"/>
        <item x="38"/>
        <item x="28"/>
        <item x="40"/>
        <item x="41"/>
        <item x="14"/>
        <item x="74"/>
        <item x="78"/>
        <item x="80"/>
        <item x="76"/>
        <item x="4"/>
        <item x="18"/>
        <item x="51"/>
        <item x="60"/>
        <item x="31"/>
        <item x="65"/>
        <item x="22"/>
        <item x="67"/>
        <item x="1"/>
        <item x="0"/>
        <item x="11"/>
        <item x="7"/>
        <item x="8"/>
        <item x="86"/>
        <item m="1" x="87"/>
        <item m="1" x="88"/>
        <item x="35"/>
        <item x="46"/>
        <item x="68"/>
        <item t="default"/>
      </items>
    </pivotField>
    <pivotField numFmtId="166" showAll="0"/>
    <pivotField showAll="0"/>
    <pivotField dataField="1" numFmtId="166" showAll="0"/>
    <pivotField numFmtId="166" showAll="0"/>
    <pivotField showAll="0"/>
    <pivotField dataField="1" numFmtId="166" showAll="0"/>
    <pivotField numFmtId="166" showAll="0" defaultSubtotal="0"/>
    <pivotField showAll="0" defaultSubtotal="0"/>
    <pivotField dataField="1" numFmtId="166" showAll="0" defaultSubtotal="0"/>
    <pivotField numFmtId="166" showAll="0" defaultSubtotal="0"/>
    <pivotField showAll="0" defaultSubtotal="0"/>
    <pivotField dataField="1" numFmtId="166" showAll="0" defaultSubtotal="0"/>
  </pivotFields>
  <rowFields count="4">
    <field x="1"/>
    <field x="2"/>
    <field x="3"/>
    <field x="0"/>
  </rowFields>
  <rowItems count="858">
    <i>
      <x/>
      <x v="17"/>
      <x v="40"/>
    </i>
    <i r="3">
      <x v="175"/>
    </i>
    <i t="default" r="1">
      <x v="17"/>
    </i>
    <i t="default">
      <x/>
    </i>
    <i>
      <x v="1"/>
      <x v="15"/>
      <x v="9"/>
    </i>
    <i r="3">
      <x v="62"/>
    </i>
    <i r="3">
      <x v="502"/>
    </i>
    <i r="2">
      <x v="35"/>
    </i>
    <i r="3">
      <x v="207"/>
    </i>
    <i r="2">
      <x v="70"/>
    </i>
    <i r="3">
      <x v="544"/>
    </i>
    <i r="2">
      <x v="76"/>
    </i>
    <i r="3">
      <x v="443"/>
    </i>
    <i t="default" r="1">
      <x v="15"/>
    </i>
    <i t="default">
      <x v="1"/>
    </i>
    <i>
      <x v="2"/>
      <x v="6"/>
      <x v="67"/>
    </i>
    <i r="3">
      <x v="508"/>
    </i>
    <i r="3">
      <x v="511"/>
    </i>
    <i r="3">
      <x v="512"/>
    </i>
    <i r="3">
      <x v="513"/>
    </i>
    <i r="3">
      <x v="514"/>
    </i>
    <i r="2">
      <x v="69"/>
    </i>
    <i r="3">
      <x v="618"/>
    </i>
    <i r="3">
      <x v="619"/>
    </i>
    <i r="3">
      <x v="620"/>
    </i>
    <i r="2">
      <x v="83"/>
    </i>
    <i r="3">
      <x v="22"/>
    </i>
    <i r="3">
      <x v="24"/>
    </i>
    <i r="3">
      <x v="45"/>
    </i>
    <i r="3">
      <x v="223"/>
    </i>
    <i r="3">
      <x v="302"/>
    </i>
    <i r="3">
      <x v="313"/>
    </i>
    <i r="3">
      <x v="534"/>
    </i>
    <i r="3">
      <x v="538"/>
    </i>
    <i r="3">
      <x v="601"/>
    </i>
    <i t="default" r="1">
      <x v="6"/>
    </i>
    <i t="default">
      <x v="2"/>
    </i>
    <i>
      <x v="3"/>
      <x v="1"/>
      <x v="13"/>
    </i>
    <i r="3">
      <x v="136"/>
    </i>
    <i t="default" r="1">
      <x v="1"/>
    </i>
    <i t="default">
      <x v="3"/>
    </i>
    <i>
      <x v="4"/>
      <x v="18"/>
      <x v="68"/>
    </i>
    <i r="3">
      <x v="609"/>
    </i>
    <i t="default" r="1">
      <x v="18"/>
    </i>
    <i t="default">
      <x v="4"/>
    </i>
    <i>
      <x v="5"/>
      <x v="21"/>
      <x v="79"/>
    </i>
    <i r="3">
      <x v="16"/>
    </i>
    <i r="3">
      <x v="19"/>
    </i>
    <i r="3">
      <x v="20"/>
    </i>
    <i r="3">
      <x v="25"/>
    </i>
    <i r="3">
      <x v="32"/>
    </i>
    <i r="3">
      <x v="35"/>
    </i>
    <i r="3">
      <x v="44"/>
    </i>
    <i r="3">
      <x v="51"/>
    </i>
    <i r="3">
      <x v="52"/>
    </i>
    <i r="3">
      <x v="53"/>
    </i>
    <i r="3">
      <x v="56"/>
    </i>
    <i r="3">
      <x v="61"/>
    </i>
    <i r="3">
      <x v="70"/>
    </i>
    <i r="3">
      <x v="100"/>
    </i>
    <i r="3">
      <x v="101"/>
    </i>
    <i r="3">
      <x v="107"/>
    </i>
    <i r="3">
      <x v="134"/>
    </i>
    <i r="3">
      <x v="157"/>
    </i>
    <i r="3">
      <x v="158"/>
    </i>
    <i r="3">
      <x v="170"/>
    </i>
    <i r="3">
      <x v="171"/>
    </i>
    <i r="3">
      <x v="172"/>
    </i>
    <i r="3">
      <x v="193"/>
    </i>
    <i r="3">
      <x v="194"/>
    </i>
    <i r="3">
      <x v="205"/>
    </i>
    <i r="3">
      <x v="206"/>
    </i>
    <i r="3">
      <x v="209"/>
    </i>
    <i r="3">
      <x v="220"/>
    </i>
    <i r="3">
      <x v="225"/>
    </i>
    <i r="3">
      <x v="242"/>
    </i>
    <i r="3">
      <x v="247"/>
    </i>
    <i r="3">
      <x v="248"/>
    </i>
    <i r="3">
      <x v="289"/>
    </i>
    <i r="3">
      <x v="292"/>
    </i>
    <i r="3">
      <x v="295"/>
    </i>
    <i r="3">
      <x v="297"/>
    </i>
    <i r="3">
      <x v="304"/>
    </i>
    <i r="3">
      <x v="314"/>
    </i>
    <i r="3">
      <x v="320"/>
    </i>
    <i r="3">
      <x v="323"/>
    </i>
    <i r="3">
      <x v="325"/>
    </i>
    <i r="3">
      <x v="335"/>
    </i>
    <i r="3">
      <x v="341"/>
    </i>
    <i r="3">
      <x v="345"/>
    </i>
    <i r="3">
      <x v="357"/>
    </i>
    <i r="3">
      <x v="361"/>
    </i>
    <i r="3">
      <x v="376"/>
    </i>
    <i r="3">
      <x v="380"/>
    </i>
    <i r="3">
      <x v="415"/>
    </i>
    <i r="3">
      <x v="431"/>
    </i>
    <i r="3">
      <x v="434"/>
    </i>
    <i r="3">
      <x v="437"/>
    </i>
    <i r="3">
      <x v="465"/>
    </i>
    <i r="3">
      <x v="466"/>
    </i>
    <i r="3">
      <x v="481"/>
    </i>
    <i r="3">
      <x v="484"/>
    </i>
    <i r="3">
      <x v="486"/>
    </i>
    <i r="3">
      <x v="490"/>
    </i>
    <i r="3">
      <x v="504"/>
    </i>
    <i r="3">
      <x v="507"/>
    </i>
    <i r="3">
      <x v="515"/>
    </i>
    <i r="3">
      <x v="518"/>
    </i>
    <i r="3">
      <x v="520"/>
    </i>
    <i r="3">
      <x v="537"/>
    </i>
    <i r="3">
      <x v="540"/>
    </i>
    <i r="3">
      <x v="546"/>
    </i>
    <i r="3">
      <x v="573"/>
    </i>
    <i r="3">
      <x v="575"/>
    </i>
    <i r="3">
      <x v="581"/>
    </i>
    <i r="3">
      <x v="583"/>
    </i>
    <i r="3">
      <x v="586"/>
    </i>
    <i r="3">
      <x v="587"/>
    </i>
    <i r="3">
      <x v="592"/>
    </i>
    <i r="3">
      <x v="593"/>
    </i>
    <i r="3">
      <x v="597"/>
    </i>
    <i r="3">
      <x v="602"/>
    </i>
    <i r="3">
      <x v="615"/>
    </i>
    <i r="3">
      <x v="617"/>
    </i>
    <i r="3">
      <x v="630"/>
    </i>
    <i r="3">
      <x v="653"/>
    </i>
    <i r="3">
      <x v="656"/>
    </i>
    <i r="3">
      <x v="664"/>
    </i>
    <i r="3">
      <x v="665"/>
    </i>
    <i r="3">
      <x v="666"/>
    </i>
    <i r="3">
      <x v="681"/>
    </i>
    <i r="3">
      <x v="682"/>
    </i>
    <i r="3">
      <x v="683"/>
    </i>
    <i r="3">
      <x v="684"/>
    </i>
    <i r="3">
      <x v="687"/>
    </i>
    <i r="3">
      <x v="688"/>
    </i>
    <i r="3">
      <x v="689"/>
    </i>
    <i r="3">
      <x v="691"/>
    </i>
    <i r="3">
      <x v="701"/>
    </i>
    <i r="3">
      <x v="708"/>
    </i>
    <i r="3">
      <x v="715"/>
    </i>
    <i r="2">
      <x v="80"/>
    </i>
    <i r="3">
      <x/>
    </i>
    <i r="3">
      <x v="1"/>
    </i>
    <i r="3">
      <x v="2"/>
    </i>
    <i r="3">
      <x v="8"/>
    </i>
    <i r="3">
      <x v="9"/>
    </i>
    <i r="3">
      <x v="11"/>
    </i>
    <i r="3">
      <x v="23"/>
    </i>
    <i r="3">
      <x v="29"/>
    </i>
    <i r="3">
      <x v="33"/>
    </i>
    <i r="3">
      <x v="40"/>
    </i>
    <i r="3">
      <x v="41"/>
    </i>
    <i r="3">
      <x v="42"/>
    </i>
    <i r="3">
      <x v="60"/>
    </i>
    <i r="3">
      <x v="63"/>
    </i>
    <i r="3">
      <x v="71"/>
    </i>
    <i r="3">
      <x v="97"/>
    </i>
    <i r="3">
      <x v="98"/>
    </i>
    <i r="3">
      <x v="131"/>
    </i>
    <i r="3">
      <x v="133"/>
    </i>
    <i r="3">
      <x v="164"/>
    </i>
    <i r="3">
      <x v="168"/>
    </i>
    <i r="3">
      <x v="192"/>
    </i>
    <i r="3">
      <x v="201"/>
    </i>
    <i r="3">
      <x v="208"/>
    </i>
    <i r="3">
      <x v="211"/>
    </i>
    <i r="3">
      <x v="218"/>
    </i>
    <i r="3">
      <x v="221"/>
    </i>
    <i r="3">
      <x v="222"/>
    </i>
    <i r="3">
      <x v="294"/>
    </i>
    <i r="3">
      <x v="298"/>
    </i>
    <i r="3">
      <x v="299"/>
    </i>
    <i r="3">
      <x v="300"/>
    </i>
    <i r="3">
      <x v="301"/>
    </i>
    <i r="3">
      <x v="308"/>
    </i>
    <i r="3">
      <x v="310"/>
    </i>
    <i r="3">
      <x v="311"/>
    </i>
    <i r="3">
      <x v="317"/>
    </i>
    <i r="3">
      <x v="318"/>
    </i>
    <i r="3">
      <x v="321"/>
    </i>
    <i r="3">
      <x v="327"/>
    </i>
    <i r="3">
      <x v="334"/>
    </i>
    <i r="3">
      <x v="340"/>
    </i>
    <i r="3">
      <x v="343"/>
    </i>
    <i r="3">
      <x v="346"/>
    </i>
    <i r="3">
      <x v="348"/>
    </i>
    <i r="3">
      <x v="358"/>
    </i>
    <i r="3">
      <x v="360"/>
    </i>
    <i r="3">
      <x v="363"/>
    </i>
    <i r="3">
      <x v="369"/>
    </i>
    <i r="3">
      <x v="370"/>
    </i>
    <i r="3">
      <x v="371"/>
    </i>
    <i r="3">
      <x v="372"/>
    </i>
    <i r="3">
      <x v="375"/>
    </i>
    <i r="3">
      <x v="379"/>
    </i>
    <i r="3">
      <x v="381"/>
    </i>
    <i r="3">
      <x v="388"/>
    </i>
    <i r="3">
      <x v="414"/>
    </i>
    <i r="3">
      <x v="416"/>
    </i>
    <i r="3">
      <x v="418"/>
    </i>
    <i r="3">
      <x v="419"/>
    </i>
    <i r="3">
      <x v="426"/>
    </i>
    <i r="3">
      <x v="428"/>
    </i>
    <i r="3">
      <x v="436"/>
    </i>
    <i r="3">
      <x v="474"/>
    </i>
    <i r="3">
      <x v="475"/>
    </i>
    <i r="3">
      <x v="485"/>
    </i>
    <i r="3">
      <x v="497"/>
    </i>
    <i r="3">
      <x v="506"/>
    </i>
    <i r="3">
      <x v="519"/>
    </i>
    <i r="3">
      <x v="535"/>
    </i>
    <i r="3">
      <x v="542"/>
    </i>
    <i r="3">
      <x v="543"/>
    </i>
    <i r="3">
      <x v="578"/>
    </i>
    <i r="3">
      <x v="579"/>
    </i>
    <i r="3">
      <x v="580"/>
    </i>
    <i r="3">
      <x v="603"/>
    </i>
    <i r="3">
      <x v="605"/>
    </i>
    <i r="3">
      <x v="606"/>
    </i>
    <i r="3">
      <x v="625"/>
    </i>
    <i r="3">
      <x v="650"/>
    </i>
    <i r="3">
      <x v="663"/>
    </i>
    <i r="3">
      <x v="699"/>
    </i>
    <i r="3">
      <x v="703"/>
    </i>
    <i r="3">
      <x v="707"/>
    </i>
    <i r="3">
      <x v="717"/>
    </i>
    <i t="default" r="1">
      <x v="21"/>
    </i>
    <i t="default">
      <x v="5"/>
    </i>
    <i>
      <x v="6"/>
      <x v="7"/>
      <x/>
    </i>
    <i r="3">
      <x v="316"/>
    </i>
    <i r="3">
      <x v="705"/>
    </i>
    <i t="default" r="1">
      <x v="7"/>
    </i>
    <i r="1">
      <x v="10"/>
      <x v="15"/>
    </i>
    <i r="3">
      <x v="165"/>
    </i>
    <i r="3">
      <x v="417"/>
    </i>
    <i r="2">
      <x v="17"/>
    </i>
    <i r="3">
      <x v="521"/>
    </i>
    <i r="2">
      <x v="56"/>
    </i>
    <i r="3">
      <x v="282"/>
    </i>
    <i r="2">
      <x v="75"/>
    </i>
    <i r="3">
      <x v="119"/>
    </i>
    <i r="3">
      <x v="120"/>
    </i>
    <i r="3">
      <x v="607"/>
    </i>
    <i r="3">
      <x v="634"/>
    </i>
    <i r="3">
      <x v="636"/>
    </i>
    <i r="3">
      <x v="641"/>
    </i>
    <i r="3">
      <x v="642"/>
    </i>
    <i r="3">
      <x v="643"/>
    </i>
    <i r="3">
      <x v="644"/>
    </i>
    <i r="3">
      <x v="645"/>
    </i>
    <i r="3">
      <x v="646"/>
    </i>
    <i r="3">
      <x v="647"/>
    </i>
    <i r="3">
      <x v="648"/>
    </i>
    <i r="2">
      <x v="81"/>
    </i>
    <i r="3">
      <x v="28"/>
    </i>
    <i r="3">
      <x v="250"/>
    </i>
    <i r="3">
      <x v="367"/>
    </i>
    <i r="3">
      <x v="435"/>
    </i>
    <i r="3">
      <x v="476"/>
    </i>
    <i r="3">
      <x v="652"/>
    </i>
    <i t="default" r="1">
      <x v="10"/>
    </i>
    <i t="default">
      <x v="6"/>
    </i>
    <i>
      <x v="7"/>
      <x v="20"/>
      <x v="62"/>
    </i>
    <i r="3">
      <x v="146"/>
    </i>
    <i r="3">
      <x v="244"/>
    </i>
    <i r="3">
      <x v="312"/>
    </i>
    <i r="3">
      <x v="330"/>
    </i>
    <i r="3">
      <x v="447"/>
    </i>
    <i r="3">
      <x v="463"/>
    </i>
    <i r="3">
      <x v="720"/>
    </i>
    <i r="2">
      <x v="89"/>
    </i>
    <i r="3">
      <x v="726"/>
    </i>
    <i t="default" r="1">
      <x v="20"/>
    </i>
    <i t="default">
      <x v="7"/>
    </i>
    <i>
      <x v="8"/>
      <x v="2"/>
      <x v="14"/>
    </i>
    <i r="3">
      <x v="148"/>
    </i>
    <i r="3">
      <x v="149"/>
    </i>
    <i r="3">
      <x v="150"/>
    </i>
    <i r="3">
      <x v="151"/>
    </i>
    <i r="3">
      <x v="152"/>
    </i>
    <i r="3">
      <x v="153"/>
    </i>
    <i r="3">
      <x v="154"/>
    </i>
    <i t="default" r="1">
      <x v="2"/>
    </i>
    <i r="1">
      <x v="5"/>
      <x v="10"/>
    </i>
    <i r="3">
      <x v="697"/>
    </i>
    <i r="3">
      <x v="698"/>
    </i>
    <i r="2">
      <x v="77"/>
    </i>
    <i r="3">
      <x v="59"/>
    </i>
    <i r="3">
      <x v="66"/>
    </i>
    <i r="3">
      <x v="115"/>
    </i>
    <i r="3">
      <x v="174"/>
    </i>
    <i r="3">
      <x v="199"/>
    </i>
    <i r="3">
      <x v="202"/>
    </i>
    <i r="3">
      <x v="204"/>
    </i>
    <i r="3">
      <x v="389"/>
    </i>
    <i r="3">
      <x v="425"/>
    </i>
    <i r="3">
      <x v="678"/>
    </i>
    <i r="2">
      <x v="78"/>
    </i>
    <i r="3">
      <x v="448"/>
    </i>
    <i r="3">
      <x v="449"/>
    </i>
    <i r="3">
      <x v="450"/>
    </i>
    <i r="3">
      <x v="451"/>
    </i>
    <i r="3">
      <x v="452"/>
    </i>
    <i r="3">
      <x v="453"/>
    </i>
    <i r="3">
      <x v="454"/>
    </i>
    <i r="3">
      <x v="455"/>
    </i>
    <i t="default" r="1">
      <x v="5"/>
    </i>
    <i t="default">
      <x v="8"/>
    </i>
    <i>
      <x v="9"/>
      <x v="7"/>
      <x v="1"/>
    </i>
    <i r="3">
      <x v="4"/>
    </i>
    <i r="3">
      <x v="5"/>
    </i>
    <i r="3">
      <x v="6"/>
    </i>
    <i r="3">
      <x v="246"/>
    </i>
    <i r="3">
      <x v="456"/>
    </i>
    <i r="3">
      <x v="457"/>
    </i>
    <i r="3">
      <x v="458"/>
    </i>
    <i r="3">
      <x v="459"/>
    </i>
    <i r="3">
      <x v="460"/>
    </i>
    <i r="3">
      <x v="461"/>
    </i>
    <i r="3">
      <x v="628"/>
    </i>
    <i r="3">
      <x v="629"/>
    </i>
    <i r="3">
      <x v="632"/>
    </i>
    <i r="3">
      <x v="633"/>
    </i>
    <i r="3">
      <x v="635"/>
    </i>
    <i r="3">
      <x v="637"/>
    </i>
    <i r="3">
      <x v="638"/>
    </i>
    <i r="3">
      <x v="640"/>
    </i>
    <i r="3">
      <x v="719"/>
    </i>
    <i r="3">
      <x v="721"/>
    </i>
    <i r="3">
      <x v="725"/>
    </i>
    <i r="2">
      <x v="8"/>
    </i>
    <i r="3">
      <x v="128"/>
    </i>
    <i r="3">
      <x v="464"/>
    </i>
    <i r="3">
      <x v="672"/>
    </i>
    <i r="3">
      <x v="673"/>
    </i>
    <i r="3">
      <x v="674"/>
    </i>
    <i r="2">
      <x v="36"/>
    </i>
    <i r="3">
      <x v="72"/>
    </i>
    <i r="3">
      <x v="73"/>
    </i>
    <i r="3">
      <x v="74"/>
    </i>
    <i r="3">
      <x v="75"/>
    </i>
    <i r="3">
      <x v="76"/>
    </i>
    <i r="3">
      <x v="77"/>
    </i>
    <i r="3">
      <x v="78"/>
    </i>
    <i r="3">
      <x v="79"/>
    </i>
    <i r="3">
      <x v="80"/>
    </i>
    <i r="3">
      <x v="81"/>
    </i>
    <i r="3">
      <x v="82"/>
    </i>
    <i r="3">
      <x v="83"/>
    </i>
    <i r="3">
      <x v="84"/>
    </i>
    <i r="3">
      <x v="85"/>
    </i>
    <i r="3">
      <x v="86"/>
    </i>
    <i r="3">
      <x v="87"/>
    </i>
    <i r="3">
      <x v="88"/>
    </i>
    <i r="3">
      <x v="89"/>
    </i>
    <i r="3">
      <x v="90"/>
    </i>
    <i r="3">
      <x v="91"/>
    </i>
    <i r="3">
      <x v="92"/>
    </i>
    <i r="3">
      <x v="93"/>
    </i>
    <i r="3">
      <x v="94"/>
    </i>
    <i r="3">
      <x v="95"/>
    </i>
    <i r="3">
      <x v="96"/>
    </i>
    <i r="3">
      <x v="125"/>
    </i>
    <i r="3">
      <x v="229"/>
    </i>
    <i r="3">
      <x v="230"/>
    </i>
    <i r="3">
      <x v="231"/>
    </i>
    <i r="3">
      <x v="232"/>
    </i>
    <i r="3">
      <x v="233"/>
    </i>
    <i r="3">
      <x v="234"/>
    </i>
    <i r="3">
      <x v="235"/>
    </i>
    <i r="3">
      <x v="236"/>
    </i>
    <i r="3">
      <x v="237"/>
    </i>
    <i r="3">
      <x v="238"/>
    </i>
    <i r="3">
      <x v="239"/>
    </i>
    <i r="3">
      <x v="240"/>
    </i>
    <i r="3">
      <x v="241"/>
    </i>
    <i r="3">
      <x v="252"/>
    </i>
    <i r="3">
      <x v="253"/>
    </i>
    <i r="3">
      <x v="254"/>
    </i>
    <i r="3">
      <x v="493"/>
    </i>
    <i r="3">
      <x v="494"/>
    </i>
    <i r="3">
      <x v="495"/>
    </i>
    <i r="3">
      <x v="496"/>
    </i>
    <i r="3">
      <x v="548"/>
    </i>
    <i r="3">
      <x v="549"/>
    </i>
    <i r="3">
      <x v="550"/>
    </i>
    <i r="3">
      <x v="551"/>
    </i>
    <i r="3">
      <x v="552"/>
    </i>
    <i r="3">
      <x v="553"/>
    </i>
    <i r="3">
      <x v="554"/>
    </i>
    <i r="3">
      <x v="555"/>
    </i>
    <i r="3">
      <x v="556"/>
    </i>
    <i r="3">
      <x v="557"/>
    </i>
    <i r="3">
      <x v="558"/>
    </i>
    <i r="3">
      <x v="559"/>
    </i>
    <i r="3">
      <x v="560"/>
    </i>
    <i r="3">
      <x v="561"/>
    </i>
    <i r="3">
      <x v="562"/>
    </i>
    <i r="3">
      <x v="563"/>
    </i>
    <i r="3">
      <x v="564"/>
    </i>
    <i r="3">
      <x v="565"/>
    </i>
    <i r="3">
      <x v="566"/>
    </i>
    <i r="3">
      <x v="567"/>
    </i>
    <i r="3">
      <x v="568"/>
    </i>
    <i r="3">
      <x v="569"/>
    </i>
    <i r="3">
      <x v="570"/>
    </i>
    <i r="3">
      <x v="571"/>
    </i>
    <i r="3">
      <x v="572"/>
    </i>
    <i r="3">
      <x v="711"/>
    </i>
    <i r="3">
      <x v="712"/>
    </i>
    <i r="2">
      <x v="41"/>
    </i>
    <i r="3">
      <x v="17"/>
    </i>
    <i r="3">
      <x v="18"/>
    </i>
    <i r="3">
      <x v="55"/>
    </i>
    <i r="3">
      <x v="103"/>
    </i>
    <i r="3">
      <x v="104"/>
    </i>
    <i r="3">
      <x v="156"/>
    </i>
    <i r="3">
      <x v="159"/>
    </i>
    <i r="3">
      <x v="160"/>
    </i>
    <i r="3">
      <x v="224"/>
    </i>
    <i r="3">
      <x v="309"/>
    </i>
    <i r="3">
      <x v="319"/>
    </i>
    <i r="3">
      <x v="344"/>
    </i>
    <i r="3">
      <x v="349"/>
    </i>
    <i r="3">
      <x v="350"/>
    </i>
    <i r="3">
      <x v="365"/>
    </i>
    <i r="3">
      <x v="373"/>
    </i>
    <i r="3">
      <x v="374"/>
    </i>
    <i r="3">
      <x v="377"/>
    </i>
    <i r="3">
      <x v="382"/>
    </i>
    <i r="3">
      <x v="432"/>
    </i>
    <i r="3">
      <x v="482"/>
    </i>
    <i r="3">
      <x v="483"/>
    </i>
    <i r="3">
      <x v="487"/>
    </i>
    <i r="3">
      <x v="491"/>
    </i>
    <i r="3">
      <x v="516"/>
    </i>
    <i r="3">
      <x v="536"/>
    </i>
    <i r="3">
      <x v="574"/>
    </i>
    <i r="3">
      <x v="614"/>
    </i>
    <i r="3">
      <x v="616"/>
    </i>
    <i r="3">
      <x v="624"/>
    </i>
    <i r="3">
      <x v="626"/>
    </i>
    <i r="3">
      <x v="685"/>
    </i>
    <i r="2">
      <x v="42"/>
    </i>
    <i r="3">
      <x v="138"/>
    </i>
    <i r="3">
      <x v="141"/>
    </i>
    <i r="3">
      <x v="144"/>
    </i>
    <i r="3">
      <x v="145"/>
    </i>
    <i r="2">
      <x v="53"/>
    </i>
    <i r="3">
      <x v="351"/>
    </i>
    <i r="3">
      <x v="352"/>
    </i>
    <i r="3">
      <x v="353"/>
    </i>
    <i r="3">
      <x v="354"/>
    </i>
    <i r="3">
      <x v="355"/>
    </i>
    <i r="3">
      <x v="356"/>
    </i>
    <i t="default" r="1">
      <x v="7"/>
    </i>
    <i t="default">
      <x v="9"/>
    </i>
    <i>
      <x v="10"/>
      <x v="24"/>
      <x v="7"/>
    </i>
    <i r="3">
      <x v="139"/>
    </i>
    <i r="3">
      <x v="142"/>
    </i>
    <i r="3">
      <x v="143"/>
    </i>
    <i r="3">
      <x v="147"/>
    </i>
    <i r="3">
      <x v="195"/>
    </i>
    <i r="3">
      <x v="196"/>
    </i>
    <i r="3">
      <x v="197"/>
    </i>
    <i r="3">
      <x v="283"/>
    </i>
    <i t="default" r="1">
      <x v="24"/>
    </i>
    <i t="default">
      <x v="10"/>
    </i>
    <i>
      <x v="11"/>
      <x v="22"/>
      <x v="57"/>
    </i>
    <i r="3">
      <x v="10"/>
    </i>
    <i r="3">
      <x v="12"/>
    </i>
    <i r="3">
      <x v="13"/>
    </i>
    <i r="3">
      <x v="30"/>
    </i>
    <i r="3">
      <x v="31"/>
    </i>
    <i r="3">
      <x v="99"/>
    </i>
    <i r="3">
      <x v="102"/>
    </i>
    <i r="3">
      <x v="106"/>
    </i>
    <i r="3">
      <x v="123"/>
    </i>
    <i r="3">
      <x v="135"/>
    </i>
    <i r="3">
      <x v="155"/>
    </i>
    <i r="3">
      <x v="173"/>
    </i>
    <i r="3">
      <x v="249"/>
    </i>
    <i r="3">
      <x v="293"/>
    </i>
    <i r="3">
      <x v="296"/>
    </i>
    <i r="3">
      <x v="305"/>
    </i>
    <i r="3">
      <x v="306"/>
    </i>
    <i r="3">
      <x v="307"/>
    </i>
    <i r="3">
      <x v="315"/>
    </i>
    <i r="3">
      <x v="333"/>
    </i>
    <i r="3">
      <x v="366"/>
    </i>
    <i r="3">
      <x v="395"/>
    </i>
    <i r="3">
      <x v="396"/>
    </i>
    <i r="3">
      <x v="413"/>
    </i>
    <i r="3">
      <x v="430"/>
    </i>
    <i r="3">
      <x v="433"/>
    </i>
    <i r="3">
      <x v="440"/>
    </i>
    <i r="3">
      <x v="477"/>
    </i>
    <i r="3">
      <x v="478"/>
    </i>
    <i r="3">
      <x v="480"/>
    </i>
    <i r="3">
      <x v="517"/>
    </i>
    <i r="3">
      <x v="576"/>
    </i>
    <i r="3">
      <x v="577"/>
    </i>
    <i r="3">
      <x v="588"/>
    </i>
    <i r="3">
      <x v="589"/>
    </i>
    <i r="3">
      <x v="595"/>
    </i>
    <i r="3">
      <x v="596"/>
    </i>
    <i r="3">
      <x v="598"/>
    </i>
    <i r="3">
      <x v="621"/>
    </i>
    <i r="3">
      <x v="623"/>
    </i>
    <i r="3">
      <x v="627"/>
    </i>
    <i r="3">
      <x v="657"/>
    </i>
    <i r="3">
      <x v="662"/>
    </i>
    <i r="3">
      <x v="677"/>
    </i>
    <i r="3">
      <x v="690"/>
    </i>
    <i r="3">
      <x v="702"/>
    </i>
    <i r="2">
      <x v="58"/>
    </i>
    <i r="3">
      <x v="378"/>
    </i>
    <i r="2">
      <x v="82"/>
    </i>
    <i r="3">
      <x v="21"/>
    </i>
    <i r="3">
      <x v="54"/>
    </i>
    <i r="3">
      <x v="166"/>
    </i>
    <i r="3">
      <x v="226"/>
    </i>
    <i r="3">
      <x v="227"/>
    </i>
    <i r="3">
      <x v="303"/>
    </i>
    <i r="3">
      <x v="324"/>
    </i>
    <i r="3">
      <x v="347"/>
    </i>
    <i r="3">
      <x v="364"/>
    </i>
    <i r="3">
      <x v="479"/>
    </i>
    <i r="3">
      <x v="532"/>
    </i>
    <i r="3">
      <x v="533"/>
    </i>
    <i r="3">
      <x v="539"/>
    </i>
    <i r="3">
      <x v="541"/>
    </i>
    <i r="3">
      <x v="582"/>
    </i>
    <i r="3">
      <x v="590"/>
    </i>
    <i r="3">
      <x v="591"/>
    </i>
    <i r="3">
      <x v="594"/>
    </i>
    <i r="3">
      <x v="604"/>
    </i>
    <i r="3">
      <x v="631"/>
    </i>
    <i r="3">
      <x v="658"/>
    </i>
    <i r="3">
      <x v="676"/>
    </i>
    <i r="3">
      <x v="686"/>
    </i>
    <i r="3">
      <x v="704"/>
    </i>
    <i r="3">
      <x v="709"/>
    </i>
    <i r="3">
      <x v="710"/>
    </i>
    <i t="default" r="1">
      <x v="22"/>
    </i>
    <i t="default">
      <x v="11"/>
    </i>
    <i>
      <x v="12"/>
      <x/>
      <x v="5"/>
    </i>
    <i r="3">
      <x v="510"/>
    </i>
    <i r="2">
      <x v="6"/>
    </i>
    <i r="3">
      <x v="509"/>
    </i>
    <i r="2">
      <x v="11"/>
    </i>
    <i r="3">
      <x v="69"/>
    </i>
    <i t="default" r="1">
      <x/>
    </i>
    <i t="default">
      <x v="12"/>
    </i>
    <i>
      <x v="13"/>
      <x v="19"/>
      <x v="2"/>
    </i>
    <i r="3">
      <x v="3"/>
    </i>
    <i r="3">
      <x v="14"/>
    </i>
    <i r="3">
      <x v="15"/>
    </i>
    <i r="3">
      <x v="117"/>
    </i>
    <i r="3">
      <x v="118"/>
    </i>
    <i r="3">
      <x v="132"/>
    </i>
    <i r="3">
      <x v="169"/>
    </i>
    <i r="3">
      <x v="251"/>
    </i>
    <i r="3">
      <x v="290"/>
    </i>
    <i r="3">
      <x v="342"/>
    </i>
    <i r="3">
      <x v="368"/>
    </i>
    <i r="3">
      <x v="393"/>
    </i>
    <i r="3">
      <x v="696"/>
    </i>
    <i t="default" r="1">
      <x v="19"/>
    </i>
    <i t="default">
      <x v="13"/>
    </i>
    <i>
      <x v="14"/>
      <x v="9"/>
      <x v="37"/>
    </i>
    <i r="3">
      <x v="258"/>
    </i>
    <i r="2">
      <x v="60"/>
    </i>
    <i r="3">
      <x v="259"/>
    </i>
    <i r="3">
      <x v="438"/>
    </i>
    <i r="2">
      <x v="87"/>
    </i>
    <i r="3">
      <x v="137"/>
    </i>
    <i r="3">
      <x v="140"/>
    </i>
    <i t="default" r="1">
      <x v="9"/>
    </i>
    <i t="default">
      <x v="14"/>
    </i>
    <i>
      <x v="15"/>
      <x v="16"/>
      <x v="65"/>
    </i>
    <i r="3">
      <x v="161"/>
    </i>
    <i r="3">
      <x v="163"/>
    </i>
    <i r="3">
      <x v="183"/>
    </i>
    <i r="3">
      <x v="203"/>
    </i>
    <i r="3">
      <x v="411"/>
    </i>
    <i r="3">
      <x v="527"/>
    </i>
    <i r="3">
      <x v="528"/>
    </i>
    <i r="3">
      <x v="529"/>
    </i>
    <i r="3">
      <x v="530"/>
    </i>
    <i r="3">
      <x v="547"/>
    </i>
    <i r="3">
      <x v="600"/>
    </i>
    <i r="3">
      <x v="654"/>
    </i>
    <i t="default" r="1">
      <x v="16"/>
    </i>
    <i t="default">
      <x v="15"/>
    </i>
    <i>
      <x v="16"/>
      <x v="12"/>
      <x v="3"/>
    </i>
    <i r="3">
      <x v="34"/>
    </i>
    <i r="2">
      <x v="34"/>
    </i>
    <i r="3">
      <x v="198"/>
    </i>
    <i r="2">
      <x v="39"/>
    </i>
    <i r="3">
      <x v="260"/>
    </i>
    <i r="2">
      <x v="59"/>
    </i>
    <i r="3">
      <x v="262"/>
    </i>
    <i r="3">
      <x v="280"/>
    </i>
    <i r="3">
      <x v="445"/>
    </i>
    <i r="3">
      <x v="462"/>
    </i>
    <i r="2">
      <x v="61"/>
    </i>
    <i r="3">
      <x v="444"/>
    </i>
    <i r="2">
      <x v="66"/>
    </i>
    <i r="3">
      <x v="410"/>
    </i>
    <i t="default" r="1">
      <x v="12"/>
    </i>
    <i t="default">
      <x v="16"/>
    </i>
    <i>
      <x v="17"/>
      <x v="14"/>
      <x v="63"/>
    </i>
    <i r="3">
      <x v="105"/>
    </i>
    <i r="3">
      <x v="108"/>
    </i>
    <i r="3">
      <x v="181"/>
    </i>
    <i r="3">
      <x v="200"/>
    </i>
    <i r="3">
      <x v="243"/>
    </i>
    <i r="3">
      <x v="397"/>
    </i>
    <i r="3">
      <x v="398"/>
    </i>
    <i r="3">
      <x v="405"/>
    </i>
    <i r="3">
      <x v="467"/>
    </i>
    <i r="3">
      <x v="469"/>
    </i>
    <i r="3">
      <x v="471"/>
    </i>
    <i r="3">
      <x v="472"/>
    </i>
    <i r="3">
      <x v="659"/>
    </i>
    <i r="3">
      <x v="660"/>
    </i>
    <i r="3">
      <x v="695"/>
    </i>
    <i r="3">
      <x v="723"/>
    </i>
    <i t="default" r="1">
      <x v="14"/>
    </i>
    <i t="default">
      <x v="17"/>
    </i>
    <i>
      <x v="18"/>
      <x v="3"/>
      <x v="12"/>
    </i>
    <i r="3">
      <x v="176"/>
    </i>
    <i r="3">
      <x v="210"/>
    </i>
    <i r="3">
      <x v="446"/>
    </i>
    <i r="2">
      <x v="64"/>
    </i>
    <i r="3">
      <x v="162"/>
    </i>
    <i r="3">
      <x v="179"/>
    </i>
    <i r="3">
      <x v="245"/>
    </i>
    <i r="3">
      <x v="329"/>
    </i>
    <i r="3">
      <x v="498"/>
    </i>
    <i r="3">
      <x v="522"/>
    </i>
    <i r="3">
      <x v="523"/>
    </i>
    <i r="3">
      <x v="524"/>
    </i>
    <i r="3">
      <x v="525"/>
    </i>
    <i r="3">
      <x v="526"/>
    </i>
    <i r="3">
      <x v="585"/>
    </i>
    <i r="2">
      <x v="74"/>
    </i>
    <i r="3">
      <x v="359"/>
    </i>
    <i r="3">
      <x v="608"/>
    </i>
    <i t="default" r="1">
      <x v="3"/>
    </i>
    <i t="default">
      <x v="18"/>
    </i>
    <i>
      <x v="19"/>
      <x v="4"/>
      <x v="38"/>
    </i>
    <i r="3">
      <x v="263"/>
    </i>
    <i r="3">
      <x v="264"/>
    </i>
    <i r="3">
      <x v="265"/>
    </i>
    <i r="3">
      <x v="266"/>
    </i>
    <i r="3">
      <x v="267"/>
    </i>
    <i r="3">
      <x v="270"/>
    </i>
    <i r="3">
      <x v="284"/>
    </i>
    <i r="3">
      <x v="285"/>
    </i>
    <i r="3">
      <x v="286"/>
    </i>
    <i r="3">
      <x v="287"/>
    </i>
    <i r="3">
      <x v="328"/>
    </i>
    <i r="2">
      <x v="55"/>
    </i>
    <i r="3">
      <x v="48"/>
    </i>
    <i r="3">
      <x v="49"/>
    </i>
    <i r="3">
      <x v="50"/>
    </i>
    <i r="3">
      <x v="613"/>
    </i>
    <i t="default" r="1">
      <x v="4"/>
    </i>
    <i t="default">
      <x v="19"/>
    </i>
    <i>
      <x v="20"/>
      <x v="11"/>
      <x v="4"/>
    </i>
    <i r="3">
      <x v="43"/>
    </i>
    <i r="2">
      <x v="16"/>
    </i>
    <i r="3">
      <x v="167"/>
    </i>
    <i r="2">
      <x v="18"/>
    </i>
    <i r="3">
      <x v="36"/>
    </i>
    <i r="3">
      <x v="37"/>
    </i>
    <i r="3">
      <x v="38"/>
    </i>
    <i r="3">
      <x v="39"/>
    </i>
    <i r="3">
      <x v="288"/>
    </i>
    <i r="3">
      <x v="612"/>
    </i>
    <i r="2">
      <x v="19"/>
    </i>
    <i r="3">
      <x v="46"/>
    </i>
    <i r="3">
      <x v="47"/>
    </i>
    <i r="2">
      <x v="21"/>
    </i>
    <i r="3">
      <x v="126"/>
    </i>
    <i r="2">
      <x v="22"/>
    </i>
    <i r="3">
      <x v="26"/>
    </i>
    <i r="3">
      <x v="124"/>
    </i>
    <i r="3">
      <x v="189"/>
    </i>
    <i r="3">
      <x v="212"/>
    </i>
    <i r="3">
      <x v="219"/>
    </i>
    <i r="3">
      <x v="332"/>
    </i>
    <i r="3">
      <x v="362"/>
    </i>
    <i r="3">
      <x v="407"/>
    </i>
    <i r="3">
      <x v="427"/>
    </i>
    <i r="3">
      <x v="499"/>
    </i>
    <i r="3">
      <x v="505"/>
    </i>
    <i r="3">
      <x v="584"/>
    </i>
    <i r="3">
      <x v="599"/>
    </i>
    <i r="3">
      <x v="622"/>
    </i>
    <i r="3">
      <x v="700"/>
    </i>
    <i r="3">
      <x v="714"/>
    </i>
    <i r="3">
      <x v="716"/>
    </i>
    <i r="3">
      <x v="724"/>
    </i>
    <i r="2">
      <x v="23"/>
    </i>
    <i r="3">
      <x v="257"/>
    </i>
    <i r="2">
      <x v="24"/>
    </i>
    <i r="3">
      <x v="116"/>
    </i>
    <i r="3">
      <x v="213"/>
    </i>
    <i r="3">
      <x v="214"/>
    </i>
    <i r="3">
      <x v="215"/>
    </i>
    <i r="3">
      <x v="216"/>
    </i>
    <i r="3">
      <x v="217"/>
    </i>
    <i r="3">
      <x v="331"/>
    </i>
    <i r="3">
      <x v="408"/>
    </i>
    <i r="3">
      <x v="409"/>
    </i>
    <i r="3">
      <x v="441"/>
    </i>
    <i r="3">
      <x v="670"/>
    </i>
    <i r="2">
      <x v="25"/>
    </i>
    <i r="3">
      <x v="27"/>
    </i>
    <i r="3">
      <x v="439"/>
    </i>
    <i r="2">
      <x v="26"/>
    </i>
    <i r="3">
      <x v="58"/>
    </i>
    <i r="3">
      <x v="386"/>
    </i>
    <i r="3">
      <x v="387"/>
    </i>
    <i r="3">
      <x v="390"/>
    </i>
    <i r="3">
      <x v="392"/>
    </i>
    <i r="2">
      <x v="27"/>
    </i>
    <i r="3">
      <x v="611"/>
    </i>
    <i r="2">
      <x v="28"/>
    </i>
    <i r="3">
      <x v="64"/>
    </i>
    <i r="3">
      <x v="127"/>
    </i>
    <i r="3">
      <x v="129"/>
    </i>
    <i r="3">
      <x v="177"/>
    </i>
    <i r="3">
      <x v="178"/>
    </i>
    <i r="3">
      <x v="180"/>
    </i>
    <i r="3">
      <x v="188"/>
    </i>
    <i r="3">
      <x v="261"/>
    </i>
    <i r="3">
      <x v="268"/>
    </i>
    <i r="3">
      <x v="269"/>
    </i>
    <i r="3">
      <x v="271"/>
    </i>
    <i r="3">
      <x v="272"/>
    </i>
    <i r="3">
      <x v="273"/>
    </i>
    <i r="3">
      <x v="274"/>
    </i>
    <i r="3">
      <x v="275"/>
    </i>
    <i r="3">
      <x v="276"/>
    </i>
    <i r="3">
      <x v="277"/>
    </i>
    <i r="3">
      <x v="278"/>
    </i>
    <i r="3">
      <x v="279"/>
    </i>
    <i r="3">
      <x v="281"/>
    </i>
    <i r="3">
      <x v="322"/>
    </i>
    <i r="3">
      <x v="326"/>
    </i>
    <i r="3">
      <x v="383"/>
    </i>
    <i r="3">
      <x v="384"/>
    </i>
    <i r="3">
      <x v="385"/>
    </i>
    <i r="3">
      <x v="420"/>
    </i>
    <i r="3">
      <x v="421"/>
    </i>
    <i r="3">
      <x v="422"/>
    </i>
    <i r="3">
      <x v="423"/>
    </i>
    <i r="3">
      <x v="424"/>
    </i>
    <i r="3">
      <x v="442"/>
    </i>
    <i r="3">
      <x v="489"/>
    </i>
    <i r="3">
      <x v="503"/>
    </i>
    <i r="3">
      <x v="531"/>
    </i>
    <i r="3">
      <x v="639"/>
    </i>
    <i r="3">
      <x v="667"/>
    </i>
    <i r="3">
      <x v="668"/>
    </i>
    <i r="3">
      <x v="669"/>
    </i>
    <i r="3">
      <x v="671"/>
    </i>
    <i r="3">
      <x v="675"/>
    </i>
    <i r="3">
      <x v="718"/>
    </i>
    <i r="2">
      <x v="29"/>
    </i>
    <i r="3">
      <x v="228"/>
    </i>
    <i r="3">
      <x v="391"/>
    </i>
    <i r="2">
      <x v="30"/>
    </i>
    <i r="3">
      <x v="403"/>
    </i>
    <i r="3">
      <x v="404"/>
    </i>
    <i r="3">
      <x v="501"/>
    </i>
    <i r="2">
      <x v="31"/>
    </i>
    <i r="3">
      <x v="679"/>
    </i>
    <i r="3">
      <x v="680"/>
    </i>
    <i r="2">
      <x v="32"/>
    </i>
    <i r="3">
      <x v="649"/>
    </i>
    <i r="2">
      <x v="33"/>
    </i>
    <i r="3">
      <x v="121"/>
    </i>
    <i r="3">
      <x v="122"/>
    </i>
    <i r="3">
      <x v="655"/>
    </i>
    <i r="2">
      <x v="43"/>
    </i>
    <i r="3">
      <x v="191"/>
    </i>
    <i r="2">
      <x v="44"/>
    </i>
    <i r="3">
      <x v="492"/>
    </i>
    <i r="2">
      <x v="45"/>
    </i>
    <i r="3">
      <x v="57"/>
    </i>
    <i r="3">
      <x v="67"/>
    </i>
    <i r="3">
      <x v="68"/>
    </i>
    <i r="3">
      <x v="130"/>
    </i>
    <i r="3">
      <x v="184"/>
    </i>
    <i r="3">
      <x v="185"/>
    </i>
    <i r="3">
      <x v="187"/>
    </i>
    <i r="3">
      <x v="190"/>
    </i>
    <i r="3">
      <x v="651"/>
    </i>
    <i r="3">
      <x v="692"/>
    </i>
    <i r="3">
      <x v="693"/>
    </i>
    <i r="2">
      <x v="46"/>
    </i>
    <i r="3">
      <x v="401"/>
    </i>
    <i r="3">
      <x v="402"/>
    </i>
    <i r="3">
      <x v="412"/>
    </i>
    <i r="3">
      <x v="470"/>
    </i>
    <i r="3">
      <x v="661"/>
    </i>
    <i r="2">
      <x v="47"/>
    </i>
    <i r="3">
      <x v="110"/>
    </i>
    <i r="3">
      <x v="111"/>
    </i>
    <i r="3">
      <x v="186"/>
    </i>
    <i r="3">
      <x v="399"/>
    </i>
    <i r="3">
      <x v="429"/>
    </i>
    <i r="3">
      <x v="468"/>
    </i>
    <i r="3">
      <x v="488"/>
    </i>
    <i r="3">
      <x v="610"/>
    </i>
    <i r="2">
      <x v="48"/>
    </i>
    <i r="3">
      <x v="545"/>
    </i>
    <i r="2">
      <x v="49"/>
    </i>
    <i r="3">
      <x v="473"/>
    </i>
    <i r="2">
      <x v="50"/>
    </i>
    <i r="3">
      <x v="694"/>
    </i>
    <i r="2">
      <x v="51"/>
    </i>
    <i r="3">
      <x v="500"/>
    </i>
    <i r="2">
      <x v="52"/>
    </i>
    <i r="3">
      <x v="65"/>
    </i>
    <i r="3">
      <x v="109"/>
    </i>
    <i r="3">
      <x v="336"/>
    </i>
    <i r="3">
      <x v="337"/>
    </i>
    <i r="3">
      <x v="338"/>
    </i>
    <i r="3">
      <x v="339"/>
    </i>
    <i r="3">
      <x v="400"/>
    </i>
    <i r="2">
      <x v="71"/>
    </i>
    <i r="3">
      <x v="7"/>
    </i>
    <i r="3">
      <x v="256"/>
    </i>
    <i r="2">
      <x v="72"/>
    </i>
    <i r="3">
      <x v="112"/>
    </i>
    <i r="3">
      <x v="113"/>
    </i>
    <i r="3">
      <x v="114"/>
    </i>
    <i r="2">
      <x v="73"/>
    </i>
    <i r="3">
      <x v="255"/>
    </i>
    <i r="2">
      <x v="88"/>
    </i>
    <i r="3">
      <x v="182"/>
    </i>
    <i t="default" r="1">
      <x v="11"/>
    </i>
    <i t="default">
      <x v="20"/>
    </i>
    <i>
      <x v="21"/>
      <x v="8"/>
      <x v="54"/>
    </i>
    <i r="3">
      <x v="394"/>
    </i>
    <i t="default" r="1">
      <x v="8"/>
    </i>
    <i r="1">
      <x v="23"/>
      <x v="84"/>
    </i>
    <i r="3">
      <x v="706"/>
    </i>
    <i t="default" r="1">
      <x v="23"/>
    </i>
    <i t="default">
      <x v="21"/>
    </i>
    <i t="grand">
      <x/>
    </i>
  </rowItems>
  <colFields count="1">
    <field x="-2"/>
  </colFields>
  <colItems count="4">
    <i>
      <x/>
    </i>
    <i i="1">
      <x v="1"/>
    </i>
    <i i="2">
      <x v="2"/>
    </i>
    <i i="3">
      <x v="3"/>
    </i>
  </colItems>
  <dataFields count="4">
    <dataField name="Sum of Dr. Final HYR" fld="6" baseField="0" baseItem="0"/>
    <dataField name="Sum of Cr. Final HYR" fld="9" baseField="0" baseItem="0"/>
    <dataField name="Sum of Dr. Final 2019-20" fld="12" baseField="0" baseItem="0"/>
    <dataField name="Sum of Cr. Final 2019-20" fld="15" baseField="0" baseItem="0"/>
  </dataFields>
  <formats count="252">
    <format dxfId="263">
      <pivotArea type="all" dataOnly="0" outline="0" fieldPosition="0"/>
    </format>
    <format dxfId="262">
      <pivotArea dataOnly="0" labelOnly="1" fieldPosition="0">
        <references count="1">
          <reference field="1" count="0"/>
        </references>
      </pivotArea>
    </format>
    <format dxfId="261">
      <pivotArea dataOnly="0" labelOnly="1" fieldPosition="0">
        <references count="2">
          <reference field="1" count="1" selected="0">
            <x v="10"/>
          </reference>
          <reference field="2" count="1">
            <x v="13"/>
          </reference>
        </references>
      </pivotArea>
    </format>
    <format dxfId="260">
      <pivotArea dataOnly="0" labelOnly="1" fieldPosition="0">
        <references count="2">
          <reference field="1" count="1" selected="0">
            <x v="10"/>
          </reference>
          <reference field="2" count="1" defaultSubtotal="1">
            <x v="13"/>
          </reference>
        </references>
      </pivotArea>
    </format>
    <format dxfId="259">
      <pivotArea dataOnly="0" labelOnly="1" fieldPosition="0">
        <references count="2">
          <reference field="1" count="1" selected="0">
            <x v="11"/>
          </reference>
          <reference field="2" count="1">
            <x v="22"/>
          </reference>
        </references>
      </pivotArea>
    </format>
    <format dxfId="258">
      <pivotArea dataOnly="0" labelOnly="1" fieldPosition="0">
        <references count="2">
          <reference field="1" count="1" selected="0">
            <x v="11"/>
          </reference>
          <reference field="2" count="1" defaultSubtotal="1">
            <x v="22"/>
          </reference>
        </references>
      </pivotArea>
    </format>
    <format dxfId="257">
      <pivotArea dataOnly="0" labelOnly="1" fieldPosition="0">
        <references count="3">
          <reference field="1" count="1" selected="0">
            <x v="10"/>
          </reference>
          <reference field="2" count="1" selected="0">
            <x v="13"/>
          </reference>
          <reference field="3" count="1">
            <x v="7"/>
          </reference>
        </references>
      </pivotArea>
    </format>
    <format dxfId="256">
      <pivotArea dataOnly="0" labelOnly="1" fieldPosition="0">
        <references count="3">
          <reference field="1" count="1" selected="0">
            <x v="11"/>
          </reference>
          <reference field="2" count="1" selected="0">
            <x v="22"/>
          </reference>
          <reference field="3" count="3">
            <x v="57"/>
            <x v="58"/>
            <x v="82"/>
          </reference>
        </references>
      </pivotArea>
    </format>
    <format dxfId="255">
      <pivotArea dataOnly="0" labelOnly="1" fieldPosition="0">
        <references count="3">
          <reference field="1" count="1" selected="0">
            <x v="14"/>
          </reference>
          <reference field="2" count="1" selected="0">
            <x v="9"/>
          </reference>
          <reference field="3" count="4">
            <x v="2"/>
            <x v="37"/>
            <x v="60"/>
            <x v="85"/>
          </reference>
        </references>
      </pivotArea>
    </format>
    <format dxfId="254">
      <pivotArea dataOnly="0" labelOnly="1" fieldPosition="0">
        <references count="4">
          <reference field="0" count="50">
            <x v="16"/>
            <x v="19"/>
            <x v="22"/>
            <x v="24"/>
            <x v="25"/>
            <x v="32"/>
            <x v="35"/>
            <x v="44"/>
            <x v="45"/>
            <x v="51"/>
            <x v="52"/>
            <x v="53"/>
            <x v="56"/>
            <x v="61"/>
            <x v="62"/>
            <x v="70"/>
            <x v="100"/>
            <x v="101"/>
            <x v="107"/>
            <x v="134"/>
            <x v="136"/>
            <x v="157"/>
            <x v="158"/>
            <x v="170"/>
            <x v="171"/>
            <x v="172"/>
            <x v="175"/>
            <x v="193"/>
            <x v="194"/>
            <x v="205"/>
            <x v="206"/>
            <x v="207"/>
            <x v="223"/>
            <x v="302"/>
            <x v="313"/>
            <x v="443"/>
            <x v="502"/>
            <x v="508"/>
            <x v="511"/>
            <x v="512"/>
            <x v="513"/>
            <x v="514"/>
            <x v="534"/>
            <x v="538"/>
            <x v="544"/>
            <x v="601"/>
            <x v="609"/>
            <x v="618"/>
            <x v="619"/>
            <x v="620"/>
          </reference>
          <reference field="1" count="1" selected="0">
            <x v="0"/>
          </reference>
          <reference field="2" count="1" selected="0">
            <x v="17"/>
          </reference>
          <reference field="3" count="1" selected="0">
            <x v="40"/>
          </reference>
        </references>
      </pivotArea>
    </format>
    <format dxfId="253">
      <pivotArea dataOnly="0" labelOnly="1" fieldPosition="0">
        <references count="4">
          <reference field="0" count="50">
            <x v="209"/>
            <x v="220"/>
            <x v="225"/>
            <x v="242"/>
            <x v="247"/>
            <x v="248"/>
            <x v="289"/>
            <x v="292"/>
            <x v="295"/>
            <x v="297"/>
            <x v="304"/>
            <x v="314"/>
            <x v="320"/>
            <x v="323"/>
            <x v="325"/>
            <x v="335"/>
            <x v="341"/>
            <x v="345"/>
            <x v="357"/>
            <x v="361"/>
            <x v="376"/>
            <x v="380"/>
            <x v="415"/>
            <x v="431"/>
            <x v="434"/>
            <x v="437"/>
            <x v="465"/>
            <x v="466"/>
            <x v="481"/>
            <x v="484"/>
            <x v="486"/>
            <x v="490"/>
            <x v="504"/>
            <x v="507"/>
            <x v="515"/>
            <x v="518"/>
            <x v="520"/>
            <x v="537"/>
            <x v="540"/>
            <x v="546"/>
            <x v="573"/>
            <x v="575"/>
            <x v="581"/>
            <x v="583"/>
            <x v="586"/>
            <x v="587"/>
            <x v="592"/>
            <x v="593"/>
            <x v="597"/>
            <x v="602"/>
          </reference>
          <reference field="1" count="1" selected="0">
            <x v="5"/>
          </reference>
          <reference field="2" count="1" selected="0">
            <x v="21"/>
          </reference>
          <reference field="3" count="1" selected="0">
            <x v="79"/>
          </reference>
        </references>
      </pivotArea>
    </format>
    <format dxfId="252">
      <pivotArea dataOnly="0" labelOnly="1" fieldPosition="0">
        <references count="4">
          <reference field="0" count="50">
            <x v="0"/>
            <x v="1"/>
            <x v="2"/>
            <x v="8"/>
            <x v="9"/>
            <x v="11"/>
            <x v="23"/>
            <x v="29"/>
            <x v="33"/>
            <x v="40"/>
            <x v="41"/>
            <x v="42"/>
            <x v="60"/>
            <x v="63"/>
            <x v="71"/>
            <x v="97"/>
            <x v="98"/>
            <x v="131"/>
            <x v="133"/>
            <x v="164"/>
            <x v="168"/>
            <x v="192"/>
            <x v="201"/>
            <x v="208"/>
            <x v="211"/>
            <x v="218"/>
            <x v="221"/>
            <x v="222"/>
            <x v="294"/>
            <x v="298"/>
            <x v="299"/>
            <x v="300"/>
            <x v="301"/>
            <x v="617"/>
            <x v="630"/>
            <x v="653"/>
            <x v="656"/>
            <x v="664"/>
            <x v="665"/>
            <x v="666"/>
            <x v="681"/>
            <x v="682"/>
            <x v="683"/>
            <x v="684"/>
            <x v="687"/>
            <x v="688"/>
            <x v="689"/>
            <x v="691"/>
            <x v="701"/>
            <x v="708"/>
          </reference>
          <reference field="1" count="1" selected="0">
            <x v="5"/>
          </reference>
          <reference field="2" count="1" selected="0">
            <x v="21"/>
          </reference>
          <reference field="3" count="1" selected="0">
            <x v="79"/>
          </reference>
        </references>
      </pivotArea>
    </format>
    <format dxfId="251">
      <pivotArea dataOnly="0" labelOnly="1" fieldPosition="0">
        <references count="4">
          <reference field="0" count="50">
            <x v="308"/>
            <x v="310"/>
            <x v="311"/>
            <x v="317"/>
            <x v="318"/>
            <x v="321"/>
            <x v="327"/>
            <x v="334"/>
            <x v="340"/>
            <x v="343"/>
            <x v="346"/>
            <x v="348"/>
            <x v="358"/>
            <x v="360"/>
            <x v="363"/>
            <x v="369"/>
            <x v="370"/>
            <x v="371"/>
            <x v="372"/>
            <x v="375"/>
            <x v="379"/>
            <x v="381"/>
            <x v="388"/>
            <x v="414"/>
            <x v="416"/>
            <x v="418"/>
            <x v="419"/>
            <x v="426"/>
            <x v="428"/>
            <x v="436"/>
            <x v="474"/>
            <x v="475"/>
            <x v="485"/>
            <x v="497"/>
            <x v="506"/>
            <x v="519"/>
            <x v="535"/>
            <x v="542"/>
            <x v="543"/>
            <x v="578"/>
            <x v="579"/>
            <x v="580"/>
            <x v="603"/>
            <x v="605"/>
            <x v="625"/>
            <x v="650"/>
            <x v="663"/>
            <x v="699"/>
            <x v="703"/>
            <x v="707"/>
          </reference>
          <reference field="1" count="1" selected="0">
            <x v="5"/>
          </reference>
          <reference field="2" count="1" selected="0">
            <x v="21"/>
          </reference>
          <reference field="3" count="1" selected="0">
            <x v="80"/>
          </reference>
        </references>
      </pivotArea>
    </format>
    <format dxfId="250">
      <pivotArea dataOnly="0" labelOnly="1" fieldPosition="0">
        <references count="4">
          <reference field="0" count="50">
            <x v="28"/>
            <x v="59"/>
            <x v="66"/>
            <x v="115"/>
            <x v="119"/>
            <x v="120"/>
            <x v="146"/>
            <x v="148"/>
            <x v="149"/>
            <x v="150"/>
            <x v="151"/>
            <x v="152"/>
            <x v="153"/>
            <x v="154"/>
            <x v="165"/>
            <x v="174"/>
            <x v="199"/>
            <x v="202"/>
            <x v="204"/>
            <x v="244"/>
            <x v="250"/>
            <x v="282"/>
            <x v="312"/>
            <x v="316"/>
            <x v="330"/>
            <x v="367"/>
            <x v="389"/>
            <x v="417"/>
            <x v="425"/>
            <x v="435"/>
            <x v="447"/>
            <x v="463"/>
            <x v="476"/>
            <x v="521"/>
            <x v="607"/>
            <x v="634"/>
            <x v="636"/>
            <x v="641"/>
            <x v="642"/>
            <x v="643"/>
            <x v="644"/>
            <x v="645"/>
            <x v="646"/>
            <x v="647"/>
            <x v="648"/>
            <x v="652"/>
            <x v="678"/>
            <x v="697"/>
            <x v="698"/>
            <x v="705"/>
          </reference>
          <reference field="1" count="1" selected="0">
            <x v="6"/>
          </reference>
          <reference field="2" count="1" selected="0">
            <x v="7"/>
          </reference>
          <reference field="3" count="1" selected="0">
            <x v="0"/>
          </reference>
        </references>
      </pivotArea>
    </format>
    <format dxfId="249">
      <pivotArea dataOnly="0" labelOnly="1" fieldPosition="0">
        <references count="4">
          <reference field="0" count="50">
            <x v="4"/>
            <x v="5"/>
            <x v="6"/>
            <x v="72"/>
            <x v="73"/>
            <x v="74"/>
            <x v="75"/>
            <x v="76"/>
            <x v="77"/>
            <x v="78"/>
            <x v="79"/>
            <x v="80"/>
            <x v="81"/>
            <x v="82"/>
            <x v="83"/>
            <x v="84"/>
            <x v="85"/>
            <x v="86"/>
            <x v="87"/>
            <x v="88"/>
            <x v="89"/>
            <x v="128"/>
            <x v="291"/>
            <x v="448"/>
            <x v="449"/>
            <x v="450"/>
            <x v="451"/>
            <x v="452"/>
            <x v="453"/>
            <x v="454"/>
            <x v="455"/>
            <x v="456"/>
            <x v="457"/>
            <x v="458"/>
            <x v="459"/>
            <x v="460"/>
            <x v="461"/>
            <x v="464"/>
            <x v="628"/>
            <x v="629"/>
            <x v="632"/>
            <x v="633"/>
            <x v="635"/>
            <x v="637"/>
            <x v="638"/>
            <x v="640"/>
            <x v="667"/>
            <x v="672"/>
            <x v="673"/>
            <x v="674"/>
          </reference>
          <reference field="1" count="1" selected="0">
            <x v="8"/>
          </reference>
          <reference field="2" count="1" selected="0">
            <x v="5"/>
          </reference>
          <reference field="3" count="1" selected="0">
            <x v="78"/>
          </reference>
        </references>
      </pivotArea>
    </format>
    <format dxfId="248">
      <pivotArea dataOnly="0" labelOnly="1" fieldPosition="0">
        <references count="4">
          <reference field="0" count="50">
            <x v="90"/>
            <x v="91"/>
            <x v="92"/>
            <x v="93"/>
            <x v="94"/>
            <x v="95"/>
            <x v="96"/>
            <x v="125"/>
            <x v="229"/>
            <x v="230"/>
            <x v="231"/>
            <x v="232"/>
            <x v="233"/>
            <x v="234"/>
            <x v="235"/>
            <x v="236"/>
            <x v="237"/>
            <x v="238"/>
            <x v="239"/>
            <x v="240"/>
            <x v="241"/>
            <x v="252"/>
            <x v="253"/>
            <x v="254"/>
            <x v="493"/>
            <x v="494"/>
            <x v="495"/>
            <x v="496"/>
            <x v="548"/>
            <x v="549"/>
            <x v="550"/>
            <x v="551"/>
            <x v="552"/>
            <x v="553"/>
            <x v="554"/>
            <x v="555"/>
            <x v="556"/>
            <x v="557"/>
            <x v="558"/>
            <x v="559"/>
            <x v="560"/>
            <x v="561"/>
            <x v="562"/>
            <x v="563"/>
            <x v="564"/>
            <x v="565"/>
            <x v="566"/>
            <x v="567"/>
            <x v="568"/>
            <x v="569"/>
          </reference>
          <reference field="1" count="1" selected="0">
            <x v="9"/>
          </reference>
          <reference field="2" count="1" selected="0">
            <x v="7"/>
          </reference>
          <reference field="3" count="1" selected="0">
            <x v="36"/>
          </reference>
        </references>
      </pivotArea>
    </format>
    <format dxfId="247">
      <pivotArea dataOnly="0" labelOnly="1" fieldPosition="0">
        <references count="4">
          <reference field="0" count="50">
            <x v="17"/>
            <x v="18"/>
            <x v="55"/>
            <x v="103"/>
            <x v="104"/>
            <x v="137"/>
            <x v="138"/>
            <x v="139"/>
            <x v="141"/>
            <x v="142"/>
            <x v="144"/>
            <x v="145"/>
            <x v="156"/>
            <x v="159"/>
            <x v="160"/>
            <x v="224"/>
            <x v="309"/>
            <x v="319"/>
            <x v="344"/>
            <x v="349"/>
            <x v="350"/>
            <x v="351"/>
            <x v="352"/>
            <x v="353"/>
            <x v="354"/>
            <x v="355"/>
            <x v="356"/>
            <x v="365"/>
            <x v="373"/>
            <x v="374"/>
            <x v="377"/>
            <x v="382"/>
            <x v="432"/>
            <x v="482"/>
            <x v="483"/>
            <x v="487"/>
            <x v="491"/>
            <x v="516"/>
            <x v="536"/>
            <x v="570"/>
            <x v="571"/>
            <x v="572"/>
            <x v="574"/>
            <x v="614"/>
            <x v="616"/>
            <x v="624"/>
            <x v="626"/>
            <x v="685"/>
            <x v="711"/>
            <x v="712"/>
          </reference>
          <reference field="1" count="1" selected="0">
            <x v="9"/>
          </reference>
          <reference field="2" count="1" selected="0">
            <x v="7"/>
          </reference>
          <reference field="3" count="1" selected="0">
            <x v="36"/>
          </reference>
        </references>
      </pivotArea>
    </format>
    <format dxfId="246">
      <pivotArea dataOnly="0" labelOnly="1" fieldPosition="0">
        <references count="4">
          <reference field="0" count="50">
            <x v="10"/>
            <x v="12"/>
            <x v="13"/>
            <x v="30"/>
            <x v="31"/>
            <x v="99"/>
            <x v="102"/>
            <x v="106"/>
            <x v="123"/>
            <x v="135"/>
            <x v="143"/>
            <x v="147"/>
            <x v="155"/>
            <x v="173"/>
            <x v="195"/>
            <x v="196"/>
            <x v="197"/>
            <x v="249"/>
            <x v="283"/>
            <x v="293"/>
            <x v="296"/>
            <x v="305"/>
            <x v="306"/>
            <x v="307"/>
            <x v="315"/>
            <x v="333"/>
            <x v="366"/>
            <x v="395"/>
            <x v="396"/>
            <x v="413"/>
            <x v="430"/>
            <x v="433"/>
            <x v="440"/>
            <x v="477"/>
            <x v="478"/>
            <x v="480"/>
            <x v="517"/>
            <x v="576"/>
            <x v="577"/>
            <x v="588"/>
            <x v="589"/>
            <x v="595"/>
            <x v="596"/>
            <x v="598"/>
            <x v="621"/>
            <x v="623"/>
            <x v="627"/>
            <x v="657"/>
            <x v="662"/>
            <x v="677"/>
          </reference>
          <reference field="1" count="1" selected="0">
            <x v="10"/>
          </reference>
          <reference field="2" count="1" selected="0">
            <x v="13"/>
          </reference>
          <reference field="3" count="1" selected="0">
            <x v="7"/>
          </reference>
        </references>
      </pivotArea>
    </format>
    <format dxfId="245">
      <pivotArea dataOnly="0" labelOnly="1" fieldPosition="0">
        <references count="4">
          <reference field="0" count="50">
            <x v="3"/>
            <x v="14"/>
            <x v="15"/>
            <x v="20"/>
            <x v="21"/>
            <x v="54"/>
            <x v="69"/>
            <x v="117"/>
            <x v="118"/>
            <x v="132"/>
            <x v="140"/>
            <x v="166"/>
            <x v="169"/>
            <x v="226"/>
            <x v="227"/>
            <x v="251"/>
            <x v="258"/>
            <x v="290"/>
            <x v="303"/>
            <x v="324"/>
            <x v="342"/>
            <x v="347"/>
            <x v="364"/>
            <x v="368"/>
            <x v="378"/>
            <x v="393"/>
            <x v="479"/>
            <x v="509"/>
            <x v="510"/>
            <x v="532"/>
            <x v="533"/>
            <x v="539"/>
            <x v="541"/>
            <x v="582"/>
            <x v="590"/>
            <x v="591"/>
            <x v="594"/>
            <x v="604"/>
            <x v="606"/>
            <x v="615"/>
            <x v="631"/>
            <x v="658"/>
            <x v="676"/>
            <x v="686"/>
            <x v="690"/>
            <x v="696"/>
            <x v="702"/>
            <x v="704"/>
            <x v="709"/>
            <x v="710"/>
          </reference>
          <reference field="1" count="1" selected="0">
            <x v="11"/>
          </reference>
          <reference field="2" count="1" selected="0">
            <x v="22"/>
          </reference>
          <reference field="3" count="1" selected="0">
            <x v="57"/>
          </reference>
        </references>
      </pivotArea>
    </format>
    <format dxfId="244">
      <pivotArea dataOnly="0" labelOnly="1" fieldPosition="0">
        <references count="4">
          <reference field="0" count="50">
            <x v="34"/>
            <x v="105"/>
            <x v="108"/>
            <x v="161"/>
            <x v="162"/>
            <x v="163"/>
            <x v="176"/>
            <x v="179"/>
            <x v="181"/>
            <x v="183"/>
            <x v="198"/>
            <x v="200"/>
            <x v="203"/>
            <x v="210"/>
            <x v="243"/>
            <x v="245"/>
            <x v="246"/>
            <x v="259"/>
            <x v="260"/>
            <x v="262"/>
            <x v="280"/>
            <x v="329"/>
            <x v="397"/>
            <x v="398"/>
            <x v="405"/>
            <x v="406"/>
            <x v="410"/>
            <x v="411"/>
            <x v="438"/>
            <x v="444"/>
            <x v="445"/>
            <x v="446"/>
            <x v="462"/>
            <x v="467"/>
            <x v="469"/>
            <x v="471"/>
            <x v="472"/>
            <x v="498"/>
            <x v="522"/>
            <x v="527"/>
            <x v="528"/>
            <x v="529"/>
            <x v="530"/>
            <x v="547"/>
            <x v="600"/>
            <x v="654"/>
            <x v="659"/>
            <x v="660"/>
            <x v="695"/>
            <x v="713"/>
          </reference>
          <reference field="1" count="1" selected="0">
            <x v="14"/>
          </reference>
          <reference field="2" count="1" selected="0">
            <x v="9"/>
          </reference>
          <reference field="3" count="1" selected="0">
            <x v="60"/>
          </reference>
        </references>
      </pivotArea>
    </format>
    <format dxfId="243">
      <pivotArea dataOnly="0" labelOnly="1" fieldPosition="0">
        <references count="4">
          <reference field="0" count="50">
            <x v="26"/>
            <x v="36"/>
            <x v="37"/>
            <x v="38"/>
            <x v="39"/>
            <x v="43"/>
            <x v="46"/>
            <x v="47"/>
            <x v="48"/>
            <x v="49"/>
            <x v="50"/>
            <x v="112"/>
            <x v="124"/>
            <x v="126"/>
            <x v="167"/>
            <x v="189"/>
            <x v="212"/>
            <x v="219"/>
            <x v="263"/>
            <x v="264"/>
            <x v="265"/>
            <x v="266"/>
            <x v="267"/>
            <x v="270"/>
            <x v="284"/>
            <x v="285"/>
            <x v="286"/>
            <x v="287"/>
            <x v="288"/>
            <x v="328"/>
            <x v="332"/>
            <x v="359"/>
            <x v="362"/>
            <x v="407"/>
            <x v="427"/>
            <x v="499"/>
            <x v="505"/>
            <x v="523"/>
            <x v="524"/>
            <x v="525"/>
            <x v="526"/>
            <x v="584"/>
            <x v="585"/>
            <x v="599"/>
            <x v="608"/>
            <x v="612"/>
            <x v="613"/>
            <x v="622"/>
            <x v="700"/>
            <x v="714"/>
          </reference>
          <reference field="1" count="1" selected="0">
            <x v="18"/>
          </reference>
          <reference field="2" count="1" selected="0">
            <x v="3"/>
          </reference>
          <reference field="3" count="1" selected="0">
            <x v="64"/>
          </reference>
        </references>
      </pivotArea>
    </format>
    <format dxfId="242">
      <pivotArea dataOnly="0" labelOnly="1" fieldPosition="0">
        <references count="4">
          <reference field="0" count="50">
            <x v="27"/>
            <x v="58"/>
            <x v="64"/>
            <x v="116"/>
            <x v="127"/>
            <x v="129"/>
            <x v="177"/>
            <x v="178"/>
            <x v="180"/>
            <x v="188"/>
            <x v="213"/>
            <x v="214"/>
            <x v="215"/>
            <x v="216"/>
            <x v="217"/>
            <x v="257"/>
            <x v="261"/>
            <x v="268"/>
            <x v="269"/>
            <x v="271"/>
            <x v="272"/>
            <x v="273"/>
            <x v="274"/>
            <x v="275"/>
            <x v="276"/>
            <x v="277"/>
            <x v="278"/>
            <x v="279"/>
            <x v="281"/>
            <x v="322"/>
            <x v="326"/>
            <x v="331"/>
            <x v="383"/>
            <x v="384"/>
            <x v="385"/>
            <x v="386"/>
            <x v="387"/>
            <x v="390"/>
            <x v="392"/>
            <x v="408"/>
            <x v="409"/>
            <x v="420"/>
            <x v="421"/>
            <x v="422"/>
            <x v="423"/>
            <x v="424"/>
            <x v="439"/>
            <x v="441"/>
            <x v="611"/>
            <x v="670"/>
          </reference>
          <reference field="1" count="1" selected="0">
            <x v="20"/>
          </reference>
          <reference field="2" count="1" selected="0">
            <x v="11"/>
          </reference>
          <reference field="3" count="1" selected="0">
            <x v="23"/>
          </reference>
        </references>
      </pivotArea>
    </format>
    <format dxfId="241">
      <pivotArea dataOnly="0" labelOnly="1" fieldPosition="0">
        <references count="4">
          <reference field="0" count="50">
            <x v="57"/>
            <x v="67"/>
            <x v="68"/>
            <x v="110"/>
            <x v="111"/>
            <x v="121"/>
            <x v="122"/>
            <x v="130"/>
            <x v="184"/>
            <x v="185"/>
            <x v="186"/>
            <x v="187"/>
            <x v="190"/>
            <x v="191"/>
            <x v="228"/>
            <x v="391"/>
            <x v="399"/>
            <x v="401"/>
            <x v="402"/>
            <x v="403"/>
            <x v="404"/>
            <x v="412"/>
            <x v="429"/>
            <x v="442"/>
            <x v="468"/>
            <x v="470"/>
            <x v="473"/>
            <x v="488"/>
            <x v="489"/>
            <x v="492"/>
            <x v="500"/>
            <x v="501"/>
            <x v="503"/>
            <x v="531"/>
            <x v="545"/>
            <x v="610"/>
            <x v="639"/>
            <x v="649"/>
            <x v="651"/>
            <x v="655"/>
            <x v="661"/>
            <x v="668"/>
            <x v="669"/>
            <x v="671"/>
            <x v="675"/>
            <x v="679"/>
            <x v="680"/>
            <x v="692"/>
            <x v="693"/>
            <x v="694"/>
          </reference>
          <reference field="1" count="1" selected="0">
            <x v="20"/>
          </reference>
          <reference field="2" count="1" selected="0">
            <x v="11"/>
          </reference>
          <reference field="3" count="1" selected="0">
            <x v="28"/>
          </reference>
        </references>
      </pivotArea>
    </format>
    <format dxfId="240">
      <pivotArea dataOnly="0" labelOnly="1" fieldPosition="0">
        <references count="4">
          <reference field="0" count="15">
            <x v="7"/>
            <x v="65"/>
            <x v="109"/>
            <x v="113"/>
            <x v="114"/>
            <x v="182"/>
            <x v="255"/>
            <x v="256"/>
            <x v="336"/>
            <x v="337"/>
            <x v="338"/>
            <x v="339"/>
            <x v="394"/>
            <x v="400"/>
            <x v="706"/>
          </reference>
          <reference field="1" count="1" selected="0">
            <x v="20"/>
          </reference>
          <reference field="2" count="1" selected="0">
            <x v="11"/>
          </reference>
          <reference field="3" count="1" selected="0">
            <x v="52"/>
          </reference>
        </references>
      </pivotArea>
    </format>
    <format dxfId="239">
      <pivotArea dataOnly="0" fieldPosition="0">
        <references count="1">
          <reference field="0" count="1">
            <x v="667"/>
          </reference>
        </references>
      </pivotArea>
    </format>
    <format dxfId="238">
      <pivotArea collapsedLevelsAreSubtotals="1" fieldPosition="0">
        <references count="4">
          <reference field="0" count="46">
            <x v="10"/>
            <x v="12"/>
            <x v="13"/>
            <x v="30"/>
            <x v="31"/>
            <x v="99"/>
            <x v="102"/>
            <x v="106"/>
            <x v="123"/>
            <x v="135"/>
            <x v="155"/>
            <x v="173"/>
            <x v="249"/>
            <x v="293"/>
            <x v="296"/>
            <x v="305"/>
            <x v="306"/>
            <x v="307"/>
            <x v="315"/>
            <x v="333"/>
            <x v="366"/>
            <x v="395"/>
            <x v="396"/>
            <x v="413"/>
            <x v="430"/>
            <x v="433"/>
            <x v="440"/>
            <x v="477"/>
            <x v="478"/>
            <x v="480"/>
            <x v="517"/>
            <x v="576"/>
            <x v="577"/>
            <x v="588"/>
            <x v="589"/>
            <x v="595"/>
            <x v="596"/>
            <x v="598"/>
            <x v="621"/>
            <x v="623"/>
            <x v="627"/>
            <x v="657"/>
            <x v="662"/>
            <x v="677"/>
            <x v="690"/>
            <x v="702"/>
          </reference>
          <reference field="1" count="1" selected="0">
            <x v="11"/>
          </reference>
          <reference field="2" count="1" selected="0">
            <x v="22"/>
          </reference>
          <reference field="3" count="1" selected="0">
            <x v="57"/>
          </reference>
        </references>
      </pivotArea>
    </format>
    <format dxfId="237">
      <pivotArea dataOnly="0" labelOnly="1" fieldPosition="0">
        <references count="4">
          <reference field="0" count="46">
            <x v="10"/>
            <x v="12"/>
            <x v="13"/>
            <x v="30"/>
            <x v="31"/>
            <x v="99"/>
            <x v="102"/>
            <x v="106"/>
            <x v="123"/>
            <x v="135"/>
            <x v="155"/>
            <x v="173"/>
            <x v="249"/>
            <x v="293"/>
            <x v="296"/>
            <x v="305"/>
            <x v="306"/>
            <x v="307"/>
            <x v="315"/>
            <x v="333"/>
            <x v="366"/>
            <x v="395"/>
            <x v="396"/>
            <x v="413"/>
            <x v="430"/>
            <x v="433"/>
            <x v="440"/>
            <x v="477"/>
            <x v="478"/>
            <x v="480"/>
            <x v="517"/>
            <x v="576"/>
            <x v="577"/>
            <x v="588"/>
            <x v="589"/>
            <x v="595"/>
            <x v="596"/>
            <x v="598"/>
            <x v="621"/>
            <x v="623"/>
            <x v="627"/>
            <x v="657"/>
            <x v="662"/>
            <x v="677"/>
            <x v="690"/>
            <x v="702"/>
          </reference>
          <reference field="1" count="1" selected="0">
            <x v="11"/>
          </reference>
          <reference field="2" count="1" selected="0">
            <x v="22"/>
          </reference>
          <reference field="3" count="1" selected="0">
            <x v="57"/>
          </reference>
        </references>
      </pivotArea>
    </format>
    <format dxfId="236">
      <pivotArea dataOnly="0" labelOnly="1" fieldPosition="0">
        <references count="4">
          <reference field="0" count="1">
            <x v="378"/>
          </reference>
          <reference field="1" count="1" selected="0">
            <x v="11"/>
          </reference>
          <reference field="2" count="1" selected="0">
            <x v="22"/>
          </reference>
          <reference field="3" count="1" selected="0">
            <x v="58"/>
          </reference>
        </references>
      </pivotArea>
    </format>
    <format dxfId="235">
      <pivotArea dataOnly="0" labelOnly="1" fieldPosition="0">
        <references count="4">
          <reference field="0" count="28">
            <x v="20"/>
            <x v="21"/>
            <x v="54"/>
            <x v="166"/>
            <x v="226"/>
            <x v="227"/>
            <x v="303"/>
            <x v="324"/>
            <x v="347"/>
            <x v="364"/>
            <x v="479"/>
            <x v="532"/>
            <x v="533"/>
            <x v="539"/>
            <x v="541"/>
            <x v="582"/>
            <x v="590"/>
            <x v="591"/>
            <x v="594"/>
            <x v="604"/>
            <x v="615"/>
            <x v="631"/>
            <x v="658"/>
            <x v="676"/>
            <x v="686"/>
            <x v="704"/>
            <x v="709"/>
            <x v="710"/>
          </reference>
          <reference field="1" count="1" selected="0">
            <x v="11"/>
          </reference>
          <reference field="2" count="1" selected="0">
            <x v="22"/>
          </reference>
          <reference field="3" count="1" selected="0">
            <x v="82"/>
          </reference>
        </references>
      </pivotArea>
    </format>
    <format dxfId="234">
      <pivotArea collapsedLevelsAreSubtotals="1" fieldPosition="0">
        <references count="5">
          <reference field="4294967294" count="1" selected="0">
            <x v="0"/>
          </reference>
          <reference field="0" count="2">
            <x v="632"/>
            <x v="633"/>
          </reference>
          <reference field="1" count="1" selected="0">
            <x v="9"/>
          </reference>
          <reference field="2" count="1" selected="0">
            <x v="7"/>
          </reference>
          <reference field="3" count="1" selected="0">
            <x v="1"/>
          </reference>
        </references>
      </pivotArea>
    </format>
    <format dxfId="233">
      <pivotArea dataOnly="0" labelOnly="1" fieldPosition="0">
        <references count="4">
          <reference field="0" count="2">
            <x v="632"/>
            <x v="633"/>
          </reference>
          <reference field="1" count="1" selected="0">
            <x v="9"/>
          </reference>
          <reference field="2" count="1" selected="0">
            <x v="7"/>
          </reference>
          <reference field="3" count="1" selected="0">
            <x v="1"/>
          </reference>
        </references>
      </pivotArea>
    </format>
    <format dxfId="232">
      <pivotArea collapsedLevelsAreSubtotals="1" fieldPosition="0">
        <references count="5">
          <reference field="4294967294" count="1" selected="0">
            <x v="0"/>
          </reference>
          <reference field="0" count="1">
            <x v="637"/>
          </reference>
          <reference field="1" count="1" selected="0">
            <x v="9"/>
          </reference>
          <reference field="2" count="1" selected="0">
            <x v="7"/>
          </reference>
          <reference field="3" count="1" selected="0">
            <x v="1"/>
          </reference>
        </references>
      </pivotArea>
    </format>
    <format dxfId="231">
      <pivotArea dataOnly="0" labelOnly="1" fieldPosition="0">
        <references count="4">
          <reference field="0" count="1">
            <x v="637"/>
          </reference>
          <reference field="1" count="1" selected="0">
            <x v="9"/>
          </reference>
          <reference field="2" count="1" selected="0">
            <x v="7"/>
          </reference>
          <reference field="3" count="1" selected="0">
            <x v="1"/>
          </reference>
        </references>
      </pivotArea>
    </format>
    <format dxfId="230">
      <pivotArea collapsedLevelsAreSubtotals="1" fieldPosition="0">
        <references count="5">
          <reference field="4294967294" count="1" selected="0">
            <x v="0"/>
          </reference>
          <reference field="0" count="1">
            <x v="6"/>
          </reference>
          <reference field="1" count="1" selected="0">
            <x v="9"/>
          </reference>
          <reference field="2" count="1" selected="0">
            <x v="7"/>
          </reference>
          <reference field="3" count="1" selected="0">
            <x v="1"/>
          </reference>
        </references>
      </pivotArea>
    </format>
    <format dxfId="229">
      <pivotArea dataOnly="0" labelOnly="1" fieldPosition="0">
        <references count="4">
          <reference field="0" count="1">
            <x v="6"/>
          </reference>
          <reference field="1" count="1" selected="0">
            <x v="9"/>
          </reference>
          <reference field="2" count="1" selected="0">
            <x v="7"/>
          </reference>
          <reference field="3" count="1" selected="0">
            <x v="1"/>
          </reference>
        </references>
      </pivotArea>
    </format>
    <format dxfId="228">
      <pivotArea collapsedLevelsAreSubtotals="1" fieldPosition="0">
        <references count="3">
          <reference field="1" count="1" selected="0">
            <x v="11"/>
          </reference>
          <reference field="2" count="1" selected="0">
            <x v="22"/>
          </reference>
          <reference field="3" count="1">
            <x v="57"/>
          </reference>
        </references>
      </pivotArea>
    </format>
    <format dxfId="227">
      <pivotArea collapsedLevelsAreSubtotals="1" fieldPosition="0">
        <references count="4">
          <reference field="0" count="45">
            <x v="10"/>
            <x v="12"/>
            <x v="13"/>
            <x v="30"/>
            <x v="31"/>
            <x v="99"/>
            <x v="102"/>
            <x v="106"/>
            <x v="123"/>
            <x v="135"/>
            <x v="155"/>
            <x v="173"/>
            <x v="249"/>
            <x v="293"/>
            <x v="296"/>
            <x v="305"/>
            <x v="306"/>
            <x v="307"/>
            <x v="333"/>
            <x v="366"/>
            <x v="395"/>
            <x v="396"/>
            <x v="413"/>
            <x v="430"/>
            <x v="433"/>
            <x v="440"/>
            <x v="477"/>
            <x v="478"/>
            <x v="480"/>
            <x v="517"/>
            <x v="576"/>
            <x v="577"/>
            <x v="588"/>
            <x v="589"/>
            <x v="595"/>
            <x v="596"/>
            <x v="598"/>
            <x v="621"/>
            <x v="623"/>
            <x v="627"/>
            <x v="657"/>
            <x v="662"/>
            <x v="677"/>
            <x v="690"/>
            <x v="702"/>
          </reference>
          <reference field="1" count="1" selected="0">
            <x v="11"/>
          </reference>
          <reference field="2" count="1" selected="0">
            <x v="22"/>
          </reference>
          <reference field="3" count="1" selected="0">
            <x v="57"/>
          </reference>
        </references>
      </pivotArea>
    </format>
    <format dxfId="226">
      <pivotArea collapsedLevelsAreSubtotals="1" fieldPosition="0">
        <references count="3">
          <reference field="1" count="1" selected="0">
            <x v="11"/>
          </reference>
          <reference field="2" count="1" selected="0">
            <x v="22"/>
          </reference>
          <reference field="3" count="1">
            <x v="58"/>
          </reference>
        </references>
      </pivotArea>
    </format>
    <format dxfId="225">
      <pivotArea collapsedLevelsAreSubtotals="1" fieldPosition="0">
        <references count="4">
          <reference field="0" count="1">
            <x v="378"/>
          </reference>
          <reference field="1" count="1" selected="0">
            <x v="11"/>
          </reference>
          <reference field="2" count="1" selected="0">
            <x v="22"/>
          </reference>
          <reference field="3" count="1" selected="0">
            <x v="58"/>
          </reference>
        </references>
      </pivotArea>
    </format>
    <format dxfId="224">
      <pivotArea collapsedLevelsAreSubtotals="1" fieldPosition="0">
        <references count="3">
          <reference field="1" count="1" selected="0">
            <x v="11"/>
          </reference>
          <reference field="2" count="1" selected="0">
            <x v="22"/>
          </reference>
          <reference field="3" count="1">
            <x v="82"/>
          </reference>
        </references>
      </pivotArea>
    </format>
    <format dxfId="223">
      <pivotArea collapsedLevelsAreSubtotals="1" fieldPosition="0">
        <references count="4">
          <reference field="0" count="28">
            <x v="20"/>
            <x v="21"/>
            <x v="54"/>
            <x v="166"/>
            <x v="226"/>
            <x v="227"/>
            <x v="303"/>
            <x v="324"/>
            <x v="347"/>
            <x v="364"/>
            <x v="479"/>
            <x v="532"/>
            <x v="533"/>
            <x v="539"/>
            <x v="541"/>
            <x v="582"/>
            <x v="590"/>
            <x v="591"/>
            <x v="594"/>
            <x v="604"/>
            <x v="615"/>
            <x v="631"/>
            <x v="658"/>
            <x v="676"/>
            <x v="686"/>
            <x v="704"/>
            <x v="709"/>
            <x v="710"/>
          </reference>
          <reference field="1" count="1" selected="0">
            <x v="11"/>
          </reference>
          <reference field="2" count="1" selected="0">
            <x v="22"/>
          </reference>
          <reference field="3" count="1" selected="0">
            <x v="82"/>
          </reference>
        </references>
      </pivotArea>
    </format>
    <format dxfId="222">
      <pivotArea collapsedLevelsAreSubtotals="1" fieldPosition="0">
        <references count="2">
          <reference field="1" count="1" selected="0">
            <x v="11"/>
          </reference>
          <reference field="2" count="1" defaultSubtotal="1">
            <x v="22"/>
          </reference>
        </references>
      </pivotArea>
    </format>
    <format dxfId="221">
      <pivotArea dataOnly="0" labelOnly="1" fieldPosition="0">
        <references count="1">
          <reference field="1" count="1">
            <x v="11"/>
          </reference>
        </references>
      </pivotArea>
    </format>
    <format dxfId="220">
      <pivotArea dataOnly="0" labelOnly="1" fieldPosition="0">
        <references count="2">
          <reference field="1" count="1" selected="0">
            <x v="11"/>
          </reference>
          <reference field="2" count="1">
            <x v="22"/>
          </reference>
        </references>
      </pivotArea>
    </format>
    <format dxfId="219">
      <pivotArea dataOnly="0" labelOnly="1" fieldPosition="0">
        <references count="2">
          <reference field="1" count="1" selected="0">
            <x v="11"/>
          </reference>
          <reference field="2" count="1" defaultSubtotal="1">
            <x v="22"/>
          </reference>
        </references>
      </pivotArea>
    </format>
    <format dxfId="218">
      <pivotArea dataOnly="0" labelOnly="1" fieldPosition="0">
        <references count="3">
          <reference field="1" count="1" selected="0">
            <x v="11"/>
          </reference>
          <reference field="2" count="1" selected="0">
            <x v="22"/>
          </reference>
          <reference field="3" count="3">
            <x v="57"/>
            <x v="58"/>
            <x v="82"/>
          </reference>
        </references>
      </pivotArea>
    </format>
    <format dxfId="217">
      <pivotArea dataOnly="0" labelOnly="1" fieldPosition="0">
        <references count="4">
          <reference field="0" count="50">
            <x v="10"/>
            <x v="12"/>
            <x v="13"/>
            <x v="20"/>
            <x v="21"/>
            <x v="30"/>
            <x v="31"/>
            <x v="54"/>
            <x v="99"/>
            <x v="102"/>
            <x v="106"/>
            <x v="123"/>
            <x v="135"/>
            <x v="155"/>
            <x v="166"/>
            <x v="173"/>
            <x v="249"/>
            <x v="293"/>
            <x v="296"/>
            <x v="305"/>
            <x v="306"/>
            <x v="307"/>
            <x v="333"/>
            <x v="366"/>
            <x v="378"/>
            <x v="395"/>
            <x v="396"/>
            <x v="413"/>
            <x v="430"/>
            <x v="433"/>
            <x v="440"/>
            <x v="477"/>
            <x v="478"/>
            <x v="480"/>
            <x v="517"/>
            <x v="576"/>
            <x v="577"/>
            <x v="588"/>
            <x v="589"/>
            <x v="595"/>
            <x v="596"/>
            <x v="598"/>
            <x v="621"/>
            <x v="623"/>
            <x v="627"/>
            <x v="657"/>
            <x v="662"/>
            <x v="677"/>
            <x v="690"/>
            <x v="702"/>
          </reference>
          <reference field="1" count="1" selected="0">
            <x v="11"/>
          </reference>
          <reference field="2" count="1" selected="0">
            <x v="22"/>
          </reference>
          <reference field="3" count="1" selected="0">
            <x v="57"/>
          </reference>
        </references>
      </pivotArea>
    </format>
    <format dxfId="216">
      <pivotArea dataOnly="0" labelOnly="1" fieldPosition="0">
        <references count="4">
          <reference field="0" count="24">
            <x v="226"/>
            <x v="227"/>
            <x v="303"/>
            <x v="324"/>
            <x v="347"/>
            <x v="364"/>
            <x v="479"/>
            <x v="532"/>
            <x v="533"/>
            <x v="539"/>
            <x v="541"/>
            <x v="582"/>
            <x v="590"/>
            <x v="591"/>
            <x v="594"/>
            <x v="604"/>
            <x v="615"/>
            <x v="631"/>
            <x v="658"/>
            <x v="676"/>
            <x v="686"/>
            <x v="704"/>
            <x v="709"/>
            <x v="710"/>
          </reference>
          <reference field="1" count="1" selected="0">
            <x v="11"/>
          </reference>
          <reference field="2" count="1" selected="0">
            <x v="22"/>
          </reference>
          <reference field="3" count="1" selected="0">
            <x v="82"/>
          </reference>
        </references>
      </pivotArea>
    </format>
    <format dxfId="215">
      <pivotArea type="all" dataOnly="0" outline="0" fieldPosition="0"/>
    </format>
    <format dxfId="214">
      <pivotArea outline="0" collapsedLevelsAreSubtotals="1" fieldPosition="0"/>
    </format>
    <format dxfId="213">
      <pivotArea dataOnly="0" labelOnly="1" fieldPosition="0">
        <references count="1">
          <reference field="1" count="0"/>
        </references>
      </pivotArea>
    </format>
    <format dxfId="212">
      <pivotArea dataOnly="0" labelOnly="1" fieldPosition="0">
        <references count="1">
          <reference field="1" count="0" defaultSubtotal="1"/>
        </references>
      </pivotArea>
    </format>
    <format dxfId="211">
      <pivotArea dataOnly="0" labelOnly="1" grandRow="1" outline="0" fieldPosition="0"/>
    </format>
    <format dxfId="210">
      <pivotArea dataOnly="0" labelOnly="1" fieldPosition="0">
        <references count="2">
          <reference field="1" count="1" selected="0">
            <x v="0"/>
          </reference>
          <reference field="2" count="1">
            <x v="17"/>
          </reference>
        </references>
      </pivotArea>
    </format>
    <format dxfId="209">
      <pivotArea dataOnly="0" labelOnly="1" fieldPosition="0">
        <references count="2">
          <reference field="1" count="1" selected="0">
            <x v="0"/>
          </reference>
          <reference field="2" count="1" defaultSubtotal="1">
            <x v="17"/>
          </reference>
        </references>
      </pivotArea>
    </format>
    <format dxfId="208">
      <pivotArea dataOnly="0" labelOnly="1" fieldPosition="0">
        <references count="2">
          <reference field="1" count="1" selected="0">
            <x v="1"/>
          </reference>
          <reference field="2" count="1">
            <x v="15"/>
          </reference>
        </references>
      </pivotArea>
    </format>
    <format dxfId="207">
      <pivotArea dataOnly="0" labelOnly="1" fieldPosition="0">
        <references count="2">
          <reference field="1" count="1" selected="0">
            <x v="1"/>
          </reference>
          <reference field="2" count="1" defaultSubtotal="1">
            <x v="15"/>
          </reference>
        </references>
      </pivotArea>
    </format>
    <format dxfId="206">
      <pivotArea dataOnly="0" labelOnly="1" fieldPosition="0">
        <references count="2">
          <reference field="1" count="1" selected="0">
            <x v="2"/>
          </reference>
          <reference field="2" count="1">
            <x v="6"/>
          </reference>
        </references>
      </pivotArea>
    </format>
    <format dxfId="205">
      <pivotArea dataOnly="0" labelOnly="1" fieldPosition="0">
        <references count="2">
          <reference field="1" count="1" selected="0">
            <x v="2"/>
          </reference>
          <reference field="2" count="1" defaultSubtotal="1">
            <x v="6"/>
          </reference>
        </references>
      </pivotArea>
    </format>
    <format dxfId="204">
      <pivotArea dataOnly="0" labelOnly="1" fieldPosition="0">
        <references count="2">
          <reference field="1" count="1" selected="0">
            <x v="3"/>
          </reference>
          <reference field="2" count="1">
            <x v="1"/>
          </reference>
        </references>
      </pivotArea>
    </format>
    <format dxfId="203">
      <pivotArea dataOnly="0" labelOnly="1" fieldPosition="0">
        <references count="2">
          <reference field="1" count="1" selected="0">
            <x v="3"/>
          </reference>
          <reference field="2" count="1" defaultSubtotal="1">
            <x v="1"/>
          </reference>
        </references>
      </pivotArea>
    </format>
    <format dxfId="202">
      <pivotArea dataOnly="0" labelOnly="1" fieldPosition="0">
        <references count="2">
          <reference field="1" count="1" selected="0">
            <x v="4"/>
          </reference>
          <reference field="2" count="1">
            <x v="18"/>
          </reference>
        </references>
      </pivotArea>
    </format>
    <format dxfId="201">
      <pivotArea dataOnly="0" labelOnly="1" fieldPosition="0">
        <references count="2">
          <reference field="1" count="1" selected="0">
            <x v="4"/>
          </reference>
          <reference field="2" count="1" defaultSubtotal="1">
            <x v="18"/>
          </reference>
        </references>
      </pivotArea>
    </format>
    <format dxfId="200">
      <pivotArea dataOnly="0" labelOnly="1" fieldPosition="0">
        <references count="2">
          <reference field="1" count="1" selected="0">
            <x v="5"/>
          </reference>
          <reference field="2" count="1">
            <x v="21"/>
          </reference>
        </references>
      </pivotArea>
    </format>
    <format dxfId="199">
      <pivotArea dataOnly="0" labelOnly="1" fieldPosition="0">
        <references count="2">
          <reference field="1" count="1" selected="0">
            <x v="5"/>
          </reference>
          <reference field="2" count="1" defaultSubtotal="1">
            <x v="21"/>
          </reference>
        </references>
      </pivotArea>
    </format>
    <format dxfId="198">
      <pivotArea dataOnly="0" labelOnly="1" fieldPosition="0">
        <references count="2">
          <reference field="1" count="1" selected="0">
            <x v="6"/>
          </reference>
          <reference field="2" count="2">
            <x v="7"/>
            <x v="10"/>
          </reference>
        </references>
      </pivotArea>
    </format>
    <format dxfId="197">
      <pivotArea dataOnly="0" labelOnly="1" fieldPosition="0">
        <references count="2">
          <reference field="1" count="1" selected="0">
            <x v="6"/>
          </reference>
          <reference field="2" count="2" defaultSubtotal="1">
            <x v="7"/>
            <x v="10"/>
          </reference>
        </references>
      </pivotArea>
    </format>
    <format dxfId="196">
      <pivotArea dataOnly="0" labelOnly="1" fieldPosition="0">
        <references count="2">
          <reference field="1" count="1" selected="0">
            <x v="7"/>
          </reference>
          <reference field="2" count="1">
            <x v="20"/>
          </reference>
        </references>
      </pivotArea>
    </format>
    <format dxfId="195">
      <pivotArea dataOnly="0" labelOnly="1" fieldPosition="0">
        <references count="2">
          <reference field="1" count="1" selected="0">
            <x v="7"/>
          </reference>
          <reference field="2" count="1" defaultSubtotal="1">
            <x v="20"/>
          </reference>
        </references>
      </pivotArea>
    </format>
    <format dxfId="194">
      <pivotArea dataOnly="0" labelOnly="1" fieldPosition="0">
        <references count="2">
          <reference field="1" count="1" selected="0">
            <x v="8"/>
          </reference>
          <reference field="2" count="2">
            <x v="2"/>
            <x v="5"/>
          </reference>
        </references>
      </pivotArea>
    </format>
    <format dxfId="193">
      <pivotArea dataOnly="0" labelOnly="1" fieldPosition="0">
        <references count="2">
          <reference field="1" count="1" selected="0">
            <x v="8"/>
          </reference>
          <reference field="2" count="2" defaultSubtotal="1">
            <x v="2"/>
            <x v="5"/>
          </reference>
        </references>
      </pivotArea>
    </format>
    <format dxfId="192">
      <pivotArea dataOnly="0" labelOnly="1" fieldPosition="0">
        <references count="2">
          <reference field="1" count="1" selected="0">
            <x v="9"/>
          </reference>
          <reference field="2" count="1">
            <x v="7"/>
          </reference>
        </references>
      </pivotArea>
    </format>
    <format dxfId="191">
      <pivotArea dataOnly="0" labelOnly="1" fieldPosition="0">
        <references count="2">
          <reference field="1" count="1" selected="0">
            <x v="9"/>
          </reference>
          <reference field="2" count="1" defaultSubtotal="1">
            <x v="7"/>
          </reference>
        </references>
      </pivotArea>
    </format>
    <format dxfId="190">
      <pivotArea dataOnly="0" labelOnly="1" fieldPosition="0">
        <references count="2">
          <reference field="1" count="1" selected="0">
            <x v="10"/>
          </reference>
          <reference field="2" count="1">
            <x v="24"/>
          </reference>
        </references>
      </pivotArea>
    </format>
    <format dxfId="189">
      <pivotArea dataOnly="0" labelOnly="1" fieldPosition="0">
        <references count="2">
          <reference field="1" count="1" selected="0">
            <x v="10"/>
          </reference>
          <reference field="2" count="1" defaultSubtotal="1">
            <x v="24"/>
          </reference>
        </references>
      </pivotArea>
    </format>
    <format dxfId="188">
      <pivotArea dataOnly="0" labelOnly="1" fieldPosition="0">
        <references count="2">
          <reference field="1" count="1" selected="0">
            <x v="11"/>
          </reference>
          <reference field="2" count="1">
            <x v="22"/>
          </reference>
        </references>
      </pivotArea>
    </format>
    <format dxfId="187">
      <pivotArea dataOnly="0" labelOnly="1" fieldPosition="0">
        <references count="2">
          <reference field="1" count="1" selected="0">
            <x v="11"/>
          </reference>
          <reference field="2" count="1" defaultSubtotal="1">
            <x v="22"/>
          </reference>
        </references>
      </pivotArea>
    </format>
    <format dxfId="186">
      <pivotArea dataOnly="0" labelOnly="1" fieldPosition="0">
        <references count="2">
          <reference field="1" count="1" selected="0">
            <x v="12"/>
          </reference>
          <reference field="2" count="1">
            <x v="0"/>
          </reference>
        </references>
      </pivotArea>
    </format>
    <format dxfId="185">
      <pivotArea dataOnly="0" labelOnly="1" fieldPosition="0">
        <references count="2">
          <reference field="1" count="1" selected="0">
            <x v="12"/>
          </reference>
          <reference field="2" count="1" defaultSubtotal="1">
            <x v="0"/>
          </reference>
        </references>
      </pivotArea>
    </format>
    <format dxfId="184">
      <pivotArea dataOnly="0" labelOnly="1" fieldPosition="0">
        <references count="2">
          <reference field="1" count="1" selected="0">
            <x v="13"/>
          </reference>
          <reference field="2" count="1">
            <x v="19"/>
          </reference>
        </references>
      </pivotArea>
    </format>
    <format dxfId="183">
      <pivotArea dataOnly="0" labelOnly="1" fieldPosition="0">
        <references count="2">
          <reference field="1" count="1" selected="0">
            <x v="13"/>
          </reference>
          <reference field="2" count="1" defaultSubtotal="1">
            <x v="19"/>
          </reference>
        </references>
      </pivotArea>
    </format>
    <format dxfId="182">
      <pivotArea dataOnly="0" labelOnly="1" fieldPosition="0">
        <references count="2">
          <reference field="1" count="1" selected="0">
            <x v="14"/>
          </reference>
          <reference field="2" count="1">
            <x v="9"/>
          </reference>
        </references>
      </pivotArea>
    </format>
    <format dxfId="181">
      <pivotArea dataOnly="0" labelOnly="1" fieldPosition="0">
        <references count="2">
          <reference field="1" count="1" selected="0">
            <x v="14"/>
          </reference>
          <reference field="2" count="1" defaultSubtotal="1">
            <x v="9"/>
          </reference>
        </references>
      </pivotArea>
    </format>
    <format dxfId="180">
      <pivotArea dataOnly="0" labelOnly="1" fieldPosition="0">
        <references count="2">
          <reference field="1" count="1" selected="0">
            <x v="15"/>
          </reference>
          <reference field="2" count="1">
            <x v="16"/>
          </reference>
        </references>
      </pivotArea>
    </format>
    <format dxfId="179">
      <pivotArea dataOnly="0" labelOnly="1" fieldPosition="0">
        <references count="2">
          <reference field="1" count="1" selected="0">
            <x v="15"/>
          </reference>
          <reference field="2" count="1" defaultSubtotal="1">
            <x v="16"/>
          </reference>
        </references>
      </pivotArea>
    </format>
    <format dxfId="178">
      <pivotArea dataOnly="0" labelOnly="1" fieldPosition="0">
        <references count="2">
          <reference field="1" count="1" selected="0">
            <x v="16"/>
          </reference>
          <reference field="2" count="1">
            <x v="12"/>
          </reference>
        </references>
      </pivotArea>
    </format>
    <format dxfId="177">
      <pivotArea dataOnly="0" labelOnly="1" fieldPosition="0">
        <references count="2">
          <reference field="1" count="1" selected="0">
            <x v="16"/>
          </reference>
          <reference field="2" count="1" defaultSubtotal="1">
            <x v="12"/>
          </reference>
        </references>
      </pivotArea>
    </format>
    <format dxfId="176">
      <pivotArea dataOnly="0" labelOnly="1" fieldPosition="0">
        <references count="2">
          <reference field="1" count="1" selected="0">
            <x v="17"/>
          </reference>
          <reference field="2" count="1">
            <x v="14"/>
          </reference>
        </references>
      </pivotArea>
    </format>
    <format dxfId="175">
      <pivotArea dataOnly="0" labelOnly="1" fieldPosition="0">
        <references count="2">
          <reference field="1" count="1" selected="0">
            <x v="17"/>
          </reference>
          <reference field="2" count="1" defaultSubtotal="1">
            <x v="14"/>
          </reference>
        </references>
      </pivotArea>
    </format>
    <format dxfId="174">
      <pivotArea dataOnly="0" labelOnly="1" fieldPosition="0">
        <references count="2">
          <reference field="1" count="1" selected="0">
            <x v="18"/>
          </reference>
          <reference field="2" count="1">
            <x v="3"/>
          </reference>
        </references>
      </pivotArea>
    </format>
    <format dxfId="173">
      <pivotArea dataOnly="0" labelOnly="1" fieldPosition="0">
        <references count="2">
          <reference field="1" count="1" selected="0">
            <x v="18"/>
          </reference>
          <reference field="2" count="1" defaultSubtotal="1">
            <x v="3"/>
          </reference>
        </references>
      </pivotArea>
    </format>
    <format dxfId="172">
      <pivotArea dataOnly="0" labelOnly="1" fieldPosition="0">
        <references count="2">
          <reference field="1" count="1" selected="0">
            <x v="19"/>
          </reference>
          <reference field="2" count="1">
            <x v="4"/>
          </reference>
        </references>
      </pivotArea>
    </format>
    <format dxfId="171">
      <pivotArea dataOnly="0" labelOnly="1" fieldPosition="0">
        <references count="2">
          <reference field="1" count="1" selected="0">
            <x v="19"/>
          </reference>
          <reference field="2" count="1" defaultSubtotal="1">
            <x v="4"/>
          </reference>
        </references>
      </pivotArea>
    </format>
    <format dxfId="170">
      <pivotArea dataOnly="0" labelOnly="1" fieldPosition="0">
        <references count="2">
          <reference field="1" count="1" selected="0">
            <x v="20"/>
          </reference>
          <reference field="2" count="1">
            <x v="11"/>
          </reference>
        </references>
      </pivotArea>
    </format>
    <format dxfId="169">
      <pivotArea dataOnly="0" labelOnly="1" fieldPosition="0">
        <references count="2">
          <reference field="1" count="1" selected="0">
            <x v="20"/>
          </reference>
          <reference field="2" count="1" defaultSubtotal="1">
            <x v="11"/>
          </reference>
        </references>
      </pivotArea>
    </format>
    <format dxfId="168">
      <pivotArea dataOnly="0" labelOnly="1" fieldPosition="0">
        <references count="2">
          <reference field="1" count="1" selected="0">
            <x v="21"/>
          </reference>
          <reference field="2" count="2">
            <x v="8"/>
            <x v="23"/>
          </reference>
        </references>
      </pivotArea>
    </format>
    <format dxfId="167">
      <pivotArea dataOnly="0" labelOnly="1" fieldPosition="0">
        <references count="2">
          <reference field="1" count="1" selected="0">
            <x v="21"/>
          </reference>
          <reference field="2" count="2" defaultSubtotal="1">
            <x v="8"/>
            <x v="23"/>
          </reference>
        </references>
      </pivotArea>
    </format>
    <format dxfId="166">
      <pivotArea dataOnly="0" labelOnly="1" fieldPosition="0">
        <references count="3">
          <reference field="1" count="1" selected="0">
            <x v="0"/>
          </reference>
          <reference field="2" count="1" selected="0">
            <x v="17"/>
          </reference>
          <reference field="3" count="1">
            <x v="40"/>
          </reference>
        </references>
      </pivotArea>
    </format>
    <format dxfId="165">
      <pivotArea dataOnly="0" labelOnly="1" fieldPosition="0">
        <references count="3">
          <reference field="1" count="1" selected="0">
            <x v="1"/>
          </reference>
          <reference field="2" count="1" selected="0">
            <x v="15"/>
          </reference>
          <reference field="3" count="4">
            <x v="9"/>
            <x v="35"/>
            <x v="70"/>
            <x v="76"/>
          </reference>
        </references>
      </pivotArea>
    </format>
    <format dxfId="164">
      <pivotArea dataOnly="0" labelOnly="1" fieldPosition="0">
        <references count="3">
          <reference field="1" count="1" selected="0">
            <x v="2"/>
          </reference>
          <reference field="2" count="1" selected="0">
            <x v="6"/>
          </reference>
          <reference field="3" count="3">
            <x v="67"/>
            <x v="69"/>
            <x v="83"/>
          </reference>
        </references>
      </pivotArea>
    </format>
    <format dxfId="163">
      <pivotArea dataOnly="0" labelOnly="1" fieldPosition="0">
        <references count="3">
          <reference field="1" count="1" selected="0">
            <x v="3"/>
          </reference>
          <reference field="2" count="1" selected="0">
            <x v="1"/>
          </reference>
          <reference field="3" count="1">
            <x v="13"/>
          </reference>
        </references>
      </pivotArea>
    </format>
    <format dxfId="162">
      <pivotArea dataOnly="0" labelOnly="1" fieldPosition="0">
        <references count="3">
          <reference field="1" count="1" selected="0">
            <x v="4"/>
          </reference>
          <reference field="2" count="1" selected="0">
            <x v="18"/>
          </reference>
          <reference field="3" count="1">
            <x v="68"/>
          </reference>
        </references>
      </pivotArea>
    </format>
    <format dxfId="161">
      <pivotArea dataOnly="0" labelOnly="1" fieldPosition="0">
        <references count="3">
          <reference field="1" count="1" selected="0">
            <x v="5"/>
          </reference>
          <reference field="2" count="1" selected="0">
            <x v="21"/>
          </reference>
          <reference field="3" count="2">
            <x v="79"/>
            <x v="80"/>
          </reference>
        </references>
      </pivotArea>
    </format>
    <format dxfId="160">
      <pivotArea dataOnly="0" labelOnly="1" fieldPosition="0">
        <references count="3">
          <reference field="1" count="1" selected="0">
            <x v="6"/>
          </reference>
          <reference field="2" count="1" selected="0">
            <x v="7"/>
          </reference>
          <reference field="3" count="1">
            <x v="0"/>
          </reference>
        </references>
      </pivotArea>
    </format>
    <format dxfId="159">
      <pivotArea dataOnly="0" labelOnly="1" fieldPosition="0">
        <references count="3">
          <reference field="1" count="1" selected="0">
            <x v="6"/>
          </reference>
          <reference field="2" count="1" selected="0">
            <x v="10"/>
          </reference>
          <reference field="3" count="5">
            <x v="15"/>
            <x v="17"/>
            <x v="56"/>
            <x v="75"/>
            <x v="81"/>
          </reference>
        </references>
      </pivotArea>
    </format>
    <format dxfId="158">
      <pivotArea dataOnly="0" labelOnly="1" fieldPosition="0">
        <references count="3">
          <reference field="1" count="1" selected="0">
            <x v="7"/>
          </reference>
          <reference field="2" count="1" selected="0">
            <x v="20"/>
          </reference>
          <reference field="3" count="1">
            <x v="62"/>
          </reference>
        </references>
      </pivotArea>
    </format>
    <format dxfId="157">
      <pivotArea dataOnly="0" labelOnly="1" fieldPosition="0">
        <references count="3">
          <reference field="1" count="1" selected="0">
            <x v="8"/>
          </reference>
          <reference field="2" count="1" selected="0">
            <x v="2"/>
          </reference>
          <reference field="3" count="1">
            <x v="14"/>
          </reference>
        </references>
      </pivotArea>
    </format>
    <format dxfId="156">
      <pivotArea dataOnly="0" labelOnly="1" fieldPosition="0">
        <references count="3">
          <reference field="1" count="1" selected="0">
            <x v="8"/>
          </reference>
          <reference field="2" count="1" selected="0">
            <x v="5"/>
          </reference>
          <reference field="3" count="3">
            <x v="10"/>
            <x v="77"/>
            <x v="78"/>
          </reference>
        </references>
      </pivotArea>
    </format>
    <format dxfId="155">
      <pivotArea dataOnly="0" labelOnly="1" fieldPosition="0">
        <references count="3">
          <reference field="1" count="1" selected="0">
            <x v="9"/>
          </reference>
          <reference field="2" count="1" selected="0">
            <x v="7"/>
          </reference>
          <reference field="3" count="6">
            <x v="1"/>
            <x v="8"/>
            <x v="36"/>
            <x v="41"/>
            <x v="42"/>
            <x v="53"/>
          </reference>
        </references>
      </pivotArea>
    </format>
    <format dxfId="154">
      <pivotArea dataOnly="0" labelOnly="1" fieldPosition="0">
        <references count="3">
          <reference field="1" count="1" selected="0">
            <x v="10"/>
          </reference>
          <reference field="2" count="1" selected="0">
            <x v="24"/>
          </reference>
          <reference field="3" count="1">
            <x v="7"/>
          </reference>
        </references>
      </pivotArea>
    </format>
    <format dxfId="153">
      <pivotArea dataOnly="0" labelOnly="1" fieldPosition="0">
        <references count="3">
          <reference field="1" count="1" selected="0">
            <x v="11"/>
          </reference>
          <reference field="2" count="1" selected="0">
            <x v="22"/>
          </reference>
          <reference field="3" count="3">
            <x v="57"/>
            <x v="58"/>
            <x v="82"/>
          </reference>
        </references>
      </pivotArea>
    </format>
    <format dxfId="152">
      <pivotArea dataOnly="0" labelOnly="1" fieldPosition="0">
        <references count="3">
          <reference field="1" count="1" selected="0">
            <x v="12"/>
          </reference>
          <reference field="2" count="1" selected="0">
            <x v="0"/>
          </reference>
          <reference field="3" count="3">
            <x v="5"/>
            <x v="6"/>
            <x v="11"/>
          </reference>
        </references>
      </pivotArea>
    </format>
    <format dxfId="151">
      <pivotArea dataOnly="0" labelOnly="1" fieldPosition="0">
        <references count="3">
          <reference field="1" count="1" selected="0">
            <x v="13"/>
          </reference>
          <reference field="2" count="1" selected="0">
            <x v="19"/>
          </reference>
          <reference field="3" count="1">
            <x v="2"/>
          </reference>
        </references>
      </pivotArea>
    </format>
    <format dxfId="150">
      <pivotArea dataOnly="0" labelOnly="1" fieldPosition="0">
        <references count="3">
          <reference field="1" count="1" selected="0">
            <x v="14"/>
          </reference>
          <reference field="2" count="1" selected="0">
            <x v="9"/>
          </reference>
          <reference field="3" count="3">
            <x v="37"/>
            <x v="60"/>
            <x v="86"/>
          </reference>
        </references>
      </pivotArea>
    </format>
    <format dxfId="149">
      <pivotArea dataOnly="0" labelOnly="1" fieldPosition="0">
        <references count="3">
          <reference field="1" count="1" selected="0">
            <x v="15"/>
          </reference>
          <reference field="2" count="1" selected="0">
            <x v="16"/>
          </reference>
          <reference field="3" count="1">
            <x v="65"/>
          </reference>
        </references>
      </pivotArea>
    </format>
    <format dxfId="148">
      <pivotArea dataOnly="0" labelOnly="1" fieldPosition="0">
        <references count="3">
          <reference field="1" count="1" selected="0">
            <x v="16"/>
          </reference>
          <reference field="2" count="1" selected="0">
            <x v="12"/>
          </reference>
          <reference field="3" count="6">
            <x v="3"/>
            <x v="34"/>
            <x v="39"/>
            <x v="59"/>
            <x v="61"/>
            <x v="66"/>
          </reference>
        </references>
      </pivotArea>
    </format>
    <format dxfId="147">
      <pivotArea dataOnly="0" labelOnly="1" fieldPosition="0">
        <references count="3">
          <reference field="1" count="1" selected="0">
            <x v="17"/>
          </reference>
          <reference field="2" count="1" selected="0">
            <x v="14"/>
          </reference>
          <reference field="3" count="1">
            <x v="63"/>
          </reference>
        </references>
      </pivotArea>
    </format>
    <format dxfId="146">
      <pivotArea dataOnly="0" labelOnly="1" fieldPosition="0">
        <references count="3">
          <reference field="1" count="1" selected="0">
            <x v="18"/>
          </reference>
          <reference field="2" count="1" selected="0">
            <x v="3"/>
          </reference>
          <reference field="3" count="3">
            <x v="12"/>
            <x v="64"/>
            <x v="74"/>
          </reference>
        </references>
      </pivotArea>
    </format>
    <format dxfId="145">
      <pivotArea dataOnly="0" labelOnly="1" fieldPosition="0">
        <references count="3">
          <reference field="1" count="1" selected="0">
            <x v="19"/>
          </reference>
          <reference field="2" count="1" selected="0">
            <x v="4"/>
          </reference>
          <reference field="3" count="2">
            <x v="38"/>
            <x v="55"/>
          </reference>
        </references>
      </pivotArea>
    </format>
    <format dxfId="144">
      <pivotArea dataOnly="0" labelOnly="1" fieldPosition="0">
        <references count="3">
          <reference field="1" count="1" selected="0">
            <x v="20"/>
          </reference>
          <reference field="2" count="1" selected="0">
            <x v="11"/>
          </reference>
          <reference field="3" count="31">
            <x v="4"/>
            <x v="16"/>
            <x v="18"/>
            <x v="19"/>
            <x v="20"/>
            <x v="21"/>
            <x v="22"/>
            <x v="23"/>
            <x v="24"/>
            <x v="25"/>
            <x v="26"/>
            <x v="27"/>
            <x v="28"/>
            <x v="29"/>
            <x v="30"/>
            <x v="31"/>
            <x v="32"/>
            <x v="33"/>
            <x v="43"/>
            <x v="44"/>
            <x v="45"/>
            <x v="46"/>
            <x v="47"/>
            <x v="48"/>
            <x v="49"/>
            <x v="50"/>
            <x v="51"/>
            <x v="52"/>
            <x v="71"/>
            <x v="72"/>
            <x v="73"/>
          </reference>
        </references>
      </pivotArea>
    </format>
    <format dxfId="143">
      <pivotArea dataOnly="0" labelOnly="1" fieldPosition="0">
        <references count="3">
          <reference field="1" count="1" selected="0">
            <x v="21"/>
          </reference>
          <reference field="2" count="1" selected="0">
            <x v="8"/>
          </reference>
          <reference field="3" count="1">
            <x v="54"/>
          </reference>
        </references>
      </pivotArea>
    </format>
    <format dxfId="142">
      <pivotArea dataOnly="0" labelOnly="1" fieldPosition="0">
        <references count="3">
          <reference field="1" count="1" selected="0">
            <x v="21"/>
          </reference>
          <reference field="2" count="1" selected="0">
            <x v="23"/>
          </reference>
          <reference field="3" count="1">
            <x v="84"/>
          </reference>
        </references>
      </pivotArea>
    </format>
    <format dxfId="141">
      <pivotArea dataOnly="0" labelOnly="1" fieldPosition="0">
        <references count="4">
          <reference field="0" count="50">
            <x v="16"/>
            <x v="19"/>
            <x v="20"/>
            <x v="22"/>
            <x v="24"/>
            <x v="25"/>
            <x v="32"/>
            <x v="35"/>
            <x v="44"/>
            <x v="45"/>
            <x v="51"/>
            <x v="52"/>
            <x v="53"/>
            <x v="56"/>
            <x v="61"/>
            <x v="62"/>
            <x v="70"/>
            <x v="100"/>
            <x v="101"/>
            <x v="107"/>
            <x v="134"/>
            <x v="136"/>
            <x v="157"/>
            <x v="158"/>
            <x v="170"/>
            <x v="171"/>
            <x v="172"/>
            <x v="175"/>
            <x v="193"/>
            <x v="194"/>
            <x v="205"/>
            <x v="207"/>
            <x v="223"/>
            <x v="302"/>
            <x v="313"/>
            <x v="443"/>
            <x v="502"/>
            <x v="508"/>
            <x v="511"/>
            <x v="512"/>
            <x v="513"/>
            <x v="514"/>
            <x v="534"/>
            <x v="538"/>
            <x v="544"/>
            <x v="601"/>
            <x v="609"/>
            <x v="618"/>
            <x v="619"/>
            <x v="620"/>
          </reference>
          <reference field="1" count="1" selected="0">
            <x v="0"/>
          </reference>
          <reference field="2" count="1" selected="0">
            <x v="17"/>
          </reference>
          <reference field="3" count="1" selected="0">
            <x v="40"/>
          </reference>
        </references>
      </pivotArea>
    </format>
    <format dxfId="140">
      <pivotArea dataOnly="0" labelOnly="1" fieldPosition="0">
        <references count="4">
          <reference field="0" count="50">
            <x v="206"/>
            <x v="209"/>
            <x v="220"/>
            <x v="225"/>
            <x v="242"/>
            <x v="247"/>
            <x v="248"/>
            <x v="289"/>
            <x v="292"/>
            <x v="295"/>
            <x v="297"/>
            <x v="304"/>
            <x v="314"/>
            <x v="320"/>
            <x v="323"/>
            <x v="325"/>
            <x v="335"/>
            <x v="341"/>
            <x v="345"/>
            <x v="357"/>
            <x v="361"/>
            <x v="376"/>
            <x v="380"/>
            <x v="415"/>
            <x v="431"/>
            <x v="434"/>
            <x v="437"/>
            <x v="465"/>
            <x v="466"/>
            <x v="481"/>
            <x v="484"/>
            <x v="486"/>
            <x v="490"/>
            <x v="504"/>
            <x v="507"/>
            <x v="515"/>
            <x v="518"/>
            <x v="520"/>
            <x v="537"/>
            <x v="540"/>
            <x v="546"/>
            <x v="573"/>
            <x v="575"/>
            <x v="581"/>
            <x v="583"/>
            <x v="586"/>
            <x v="587"/>
            <x v="592"/>
            <x v="593"/>
            <x v="597"/>
          </reference>
          <reference field="1" count="1" selected="0">
            <x v="5"/>
          </reference>
          <reference field="2" count="1" selected="0">
            <x v="21"/>
          </reference>
          <reference field="3" count="1" selected="0">
            <x v="79"/>
          </reference>
        </references>
      </pivotArea>
    </format>
    <format dxfId="139">
      <pivotArea dataOnly="0" labelOnly="1" fieldPosition="0">
        <references count="4">
          <reference field="0" count="50">
            <x v="0"/>
            <x v="1"/>
            <x v="2"/>
            <x v="8"/>
            <x v="9"/>
            <x v="11"/>
            <x v="23"/>
            <x v="29"/>
            <x v="33"/>
            <x v="40"/>
            <x v="41"/>
            <x v="42"/>
            <x v="60"/>
            <x v="63"/>
            <x v="71"/>
            <x v="97"/>
            <x v="98"/>
            <x v="131"/>
            <x v="133"/>
            <x v="164"/>
            <x v="168"/>
            <x v="192"/>
            <x v="201"/>
            <x v="208"/>
            <x v="211"/>
            <x v="218"/>
            <x v="221"/>
            <x v="222"/>
            <x v="294"/>
            <x v="298"/>
            <x v="602"/>
            <x v="615"/>
            <x v="617"/>
            <x v="630"/>
            <x v="653"/>
            <x v="656"/>
            <x v="664"/>
            <x v="665"/>
            <x v="666"/>
            <x v="681"/>
            <x v="682"/>
            <x v="683"/>
            <x v="684"/>
            <x v="687"/>
            <x v="688"/>
            <x v="689"/>
            <x v="691"/>
            <x v="701"/>
            <x v="708"/>
            <x v="715"/>
          </reference>
          <reference field="1" count="1" selected="0">
            <x v="5"/>
          </reference>
          <reference field="2" count="1" selected="0">
            <x v="21"/>
          </reference>
          <reference field="3" count="1" selected="0">
            <x v="79"/>
          </reference>
        </references>
      </pivotArea>
    </format>
    <format dxfId="138">
      <pivotArea dataOnly="0" labelOnly="1" fieldPosition="0">
        <references count="4">
          <reference field="0" count="50">
            <x v="299"/>
            <x v="300"/>
            <x v="301"/>
            <x v="308"/>
            <x v="310"/>
            <x v="311"/>
            <x v="317"/>
            <x v="318"/>
            <x v="321"/>
            <x v="327"/>
            <x v="334"/>
            <x v="340"/>
            <x v="343"/>
            <x v="346"/>
            <x v="348"/>
            <x v="358"/>
            <x v="360"/>
            <x v="363"/>
            <x v="369"/>
            <x v="370"/>
            <x v="371"/>
            <x v="372"/>
            <x v="375"/>
            <x v="379"/>
            <x v="381"/>
            <x v="388"/>
            <x v="414"/>
            <x v="416"/>
            <x v="418"/>
            <x v="419"/>
            <x v="426"/>
            <x v="428"/>
            <x v="436"/>
            <x v="474"/>
            <x v="475"/>
            <x v="485"/>
            <x v="497"/>
            <x v="506"/>
            <x v="519"/>
            <x v="535"/>
            <x v="542"/>
            <x v="543"/>
            <x v="578"/>
            <x v="579"/>
            <x v="580"/>
            <x v="603"/>
            <x v="605"/>
            <x v="606"/>
            <x v="625"/>
            <x v="650"/>
          </reference>
          <reference field="1" count="1" selected="0">
            <x v="5"/>
          </reference>
          <reference field="2" count="1" selected="0">
            <x v="21"/>
          </reference>
          <reference field="3" count="1" selected="0">
            <x v="80"/>
          </reference>
        </references>
      </pivotArea>
    </format>
    <format dxfId="137">
      <pivotArea dataOnly="0" labelOnly="1" fieldPosition="0">
        <references count="4">
          <reference field="0" count="50">
            <x v="28"/>
            <x v="59"/>
            <x v="66"/>
            <x v="115"/>
            <x v="119"/>
            <x v="120"/>
            <x v="146"/>
            <x v="148"/>
            <x v="149"/>
            <x v="150"/>
            <x v="151"/>
            <x v="152"/>
            <x v="153"/>
            <x v="154"/>
            <x v="165"/>
            <x v="174"/>
            <x v="199"/>
            <x v="244"/>
            <x v="250"/>
            <x v="282"/>
            <x v="312"/>
            <x v="316"/>
            <x v="330"/>
            <x v="367"/>
            <x v="417"/>
            <x v="435"/>
            <x v="447"/>
            <x v="463"/>
            <x v="476"/>
            <x v="521"/>
            <x v="607"/>
            <x v="634"/>
            <x v="636"/>
            <x v="641"/>
            <x v="642"/>
            <x v="643"/>
            <x v="644"/>
            <x v="645"/>
            <x v="646"/>
            <x v="647"/>
            <x v="648"/>
            <x v="652"/>
            <x v="663"/>
            <x v="697"/>
            <x v="698"/>
            <x v="699"/>
            <x v="703"/>
            <x v="705"/>
            <x v="707"/>
            <x v="720"/>
          </reference>
          <reference field="1" count="1" selected="0">
            <x v="5"/>
          </reference>
          <reference field="2" count="1" selected="0">
            <x v="21"/>
          </reference>
          <reference field="3" count="1" selected="0">
            <x v="80"/>
          </reference>
        </references>
      </pivotArea>
    </format>
    <format dxfId="136">
      <pivotArea dataOnly="0" labelOnly="1" fieldPosition="0">
        <references count="4">
          <reference field="0" count="50">
            <x v="4"/>
            <x v="5"/>
            <x v="6"/>
            <x v="72"/>
            <x v="73"/>
            <x v="74"/>
            <x v="75"/>
            <x v="76"/>
            <x v="77"/>
            <x v="78"/>
            <x v="79"/>
            <x v="80"/>
            <x v="81"/>
            <x v="82"/>
            <x v="128"/>
            <x v="202"/>
            <x v="204"/>
            <x v="246"/>
            <x v="291"/>
            <x v="389"/>
            <x v="425"/>
            <x v="448"/>
            <x v="449"/>
            <x v="450"/>
            <x v="451"/>
            <x v="452"/>
            <x v="453"/>
            <x v="454"/>
            <x v="455"/>
            <x v="456"/>
            <x v="457"/>
            <x v="458"/>
            <x v="459"/>
            <x v="460"/>
            <x v="461"/>
            <x v="464"/>
            <x v="628"/>
            <x v="629"/>
            <x v="632"/>
            <x v="633"/>
            <x v="635"/>
            <x v="637"/>
            <x v="638"/>
            <x v="640"/>
            <x v="672"/>
            <x v="673"/>
            <x v="674"/>
            <x v="678"/>
            <x v="719"/>
            <x v="721"/>
          </reference>
          <reference field="1" count="1" selected="0">
            <x v="8"/>
          </reference>
          <reference field="2" count="1" selected="0">
            <x v="5"/>
          </reference>
          <reference field="3" count="1" selected="0">
            <x v="77"/>
          </reference>
        </references>
      </pivotArea>
    </format>
    <format dxfId="135">
      <pivotArea dataOnly="0" labelOnly="1" fieldPosition="0">
        <references count="4">
          <reference field="0" count="50">
            <x v="83"/>
            <x v="84"/>
            <x v="85"/>
            <x v="86"/>
            <x v="87"/>
            <x v="88"/>
            <x v="89"/>
            <x v="90"/>
            <x v="91"/>
            <x v="92"/>
            <x v="93"/>
            <x v="94"/>
            <x v="95"/>
            <x v="96"/>
            <x v="125"/>
            <x v="229"/>
            <x v="230"/>
            <x v="231"/>
            <x v="232"/>
            <x v="233"/>
            <x v="234"/>
            <x v="235"/>
            <x v="236"/>
            <x v="237"/>
            <x v="238"/>
            <x v="239"/>
            <x v="240"/>
            <x v="241"/>
            <x v="252"/>
            <x v="253"/>
            <x v="254"/>
            <x v="493"/>
            <x v="494"/>
            <x v="495"/>
            <x v="496"/>
            <x v="548"/>
            <x v="549"/>
            <x v="550"/>
            <x v="551"/>
            <x v="552"/>
            <x v="553"/>
            <x v="554"/>
            <x v="555"/>
            <x v="556"/>
            <x v="557"/>
            <x v="558"/>
            <x v="559"/>
            <x v="560"/>
            <x v="561"/>
            <x v="562"/>
          </reference>
          <reference field="1" count="1" selected="0">
            <x v="9"/>
          </reference>
          <reference field="2" count="1" selected="0">
            <x v="7"/>
          </reference>
          <reference field="3" count="1" selected="0">
            <x v="36"/>
          </reference>
        </references>
      </pivotArea>
    </format>
    <format dxfId="134">
      <pivotArea dataOnly="0" labelOnly="1" fieldPosition="0">
        <references count="4">
          <reference field="0" count="50">
            <x v="17"/>
            <x v="18"/>
            <x v="55"/>
            <x v="103"/>
            <x v="104"/>
            <x v="137"/>
            <x v="138"/>
            <x v="141"/>
            <x v="144"/>
            <x v="145"/>
            <x v="156"/>
            <x v="159"/>
            <x v="160"/>
            <x v="224"/>
            <x v="309"/>
            <x v="319"/>
            <x v="344"/>
            <x v="349"/>
            <x v="350"/>
            <x v="351"/>
            <x v="365"/>
            <x v="373"/>
            <x v="374"/>
            <x v="377"/>
            <x v="382"/>
            <x v="432"/>
            <x v="482"/>
            <x v="483"/>
            <x v="487"/>
            <x v="491"/>
            <x v="516"/>
            <x v="536"/>
            <x v="563"/>
            <x v="564"/>
            <x v="565"/>
            <x v="566"/>
            <x v="567"/>
            <x v="568"/>
            <x v="569"/>
            <x v="570"/>
            <x v="571"/>
            <x v="572"/>
            <x v="574"/>
            <x v="614"/>
            <x v="616"/>
            <x v="624"/>
            <x v="626"/>
            <x v="685"/>
            <x v="711"/>
            <x v="712"/>
          </reference>
          <reference field="1" count="1" selected="0">
            <x v="9"/>
          </reference>
          <reference field="2" count="1" selected="0">
            <x v="7"/>
          </reference>
          <reference field="3" count="1" selected="0">
            <x v="36"/>
          </reference>
        </references>
      </pivotArea>
    </format>
    <format dxfId="133">
      <pivotArea dataOnly="0" labelOnly="1" fieldPosition="0">
        <references count="4">
          <reference field="0" count="50">
            <x v="10"/>
            <x v="12"/>
            <x v="13"/>
            <x v="30"/>
            <x v="31"/>
            <x v="99"/>
            <x v="102"/>
            <x v="106"/>
            <x v="123"/>
            <x v="135"/>
            <x v="139"/>
            <x v="142"/>
            <x v="143"/>
            <x v="147"/>
            <x v="155"/>
            <x v="173"/>
            <x v="195"/>
            <x v="196"/>
            <x v="197"/>
            <x v="249"/>
            <x v="283"/>
            <x v="293"/>
            <x v="296"/>
            <x v="305"/>
            <x v="306"/>
            <x v="307"/>
            <x v="315"/>
            <x v="333"/>
            <x v="352"/>
            <x v="353"/>
            <x v="354"/>
            <x v="355"/>
            <x v="356"/>
            <x v="366"/>
            <x v="395"/>
            <x v="396"/>
            <x v="413"/>
            <x v="430"/>
            <x v="433"/>
            <x v="440"/>
            <x v="477"/>
            <x v="478"/>
            <x v="480"/>
            <x v="517"/>
            <x v="576"/>
            <x v="577"/>
            <x v="588"/>
            <x v="589"/>
            <x v="595"/>
            <x v="596"/>
          </reference>
          <reference field="1" count="1" selected="0">
            <x v="9"/>
          </reference>
          <reference field="2" count="1" selected="0">
            <x v="7"/>
          </reference>
          <reference field="3" count="1" selected="0">
            <x v="53"/>
          </reference>
        </references>
      </pivotArea>
    </format>
    <format dxfId="132">
      <pivotArea dataOnly="0" labelOnly="1" fieldPosition="0">
        <references count="4">
          <reference field="0" count="50">
            <x v="3"/>
            <x v="14"/>
            <x v="15"/>
            <x v="21"/>
            <x v="54"/>
            <x v="69"/>
            <x v="117"/>
            <x v="118"/>
            <x v="132"/>
            <x v="140"/>
            <x v="166"/>
            <x v="169"/>
            <x v="226"/>
            <x v="227"/>
            <x v="251"/>
            <x v="290"/>
            <x v="303"/>
            <x v="324"/>
            <x v="342"/>
            <x v="347"/>
            <x v="364"/>
            <x v="378"/>
            <x v="479"/>
            <x v="509"/>
            <x v="510"/>
            <x v="532"/>
            <x v="533"/>
            <x v="539"/>
            <x v="541"/>
            <x v="582"/>
            <x v="590"/>
            <x v="591"/>
            <x v="594"/>
            <x v="598"/>
            <x v="604"/>
            <x v="621"/>
            <x v="623"/>
            <x v="627"/>
            <x v="631"/>
            <x v="657"/>
            <x v="658"/>
            <x v="662"/>
            <x v="676"/>
            <x v="677"/>
            <x v="686"/>
            <x v="690"/>
            <x v="702"/>
            <x v="704"/>
            <x v="709"/>
            <x v="710"/>
          </reference>
          <reference field="1" count="1" selected="0">
            <x v="11"/>
          </reference>
          <reference field="2" count="1" selected="0">
            <x v="22"/>
          </reference>
          <reference field="3" count="1" selected="0">
            <x v="57"/>
          </reference>
        </references>
      </pivotArea>
    </format>
    <format dxfId="131">
      <pivotArea dataOnly="0" labelOnly="1" fieldPosition="0">
        <references count="4">
          <reference field="0" count="50">
            <x v="34"/>
            <x v="105"/>
            <x v="108"/>
            <x v="161"/>
            <x v="162"/>
            <x v="163"/>
            <x v="176"/>
            <x v="179"/>
            <x v="181"/>
            <x v="183"/>
            <x v="198"/>
            <x v="200"/>
            <x v="203"/>
            <x v="210"/>
            <x v="243"/>
            <x v="245"/>
            <x v="258"/>
            <x v="259"/>
            <x v="260"/>
            <x v="262"/>
            <x v="280"/>
            <x v="368"/>
            <x v="393"/>
            <x v="397"/>
            <x v="398"/>
            <x v="405"/>
            <x v="406"/>
            <x v="410"/>
            <x v="411"/>
            <x v="438"/>
            <x v="444"/>
            <x v="445"/>
            <x v="446"/>
            <x v="462"/>
            <x v="467"/>
            <x v="469"/>
            <x v="471"/>
            <x v="472"/>
            <x v="527"/>
            <x v="528"/>
            <x v="529"/>
            <x v="530"/>
            <x v="547"/>
            <x v="600"/>
            <x v="654"/>
            <x v="659"/>
            <x v="660"/>
            <x v="695"/>
            <x v="696"/>
            <x v="717"/>
          </reference>
          <reference field="1" count="1" selected="0">
            <x v="13"/>
          </reference>
          <reference field="2" count="1" selected="0">
            <x v="19"/>
          </reference>
          <reference field="3" count="1" selected="0">
            <x v="2"/>
          </reference>
        </references>
      </pivotArea>
    </format>
    <format dxfId="130">
      <pivotArea dataOnly="0" labelOnly="1" fieldPosition="0">
        <references count="4">
          <reference field="0" count="50">
            <x v="26"/>
            <x v="36"/>
            <x v="37"/>
            <x v="38"/>
            <x v="39"/>
            <x v="43"/>
            <x v="46"/>
            <x v="47"/>
            <x v="48"/>
            <x v="49"/>
            <x v="50"/>
            <x v="112"/>
            <x v="124"/>
            <x v="126"/>
            <x v="167"/>
            <x v="189"/>
            <x v="212"/>
            <x v="219"/>
            <x v="263"/>
            <x v="264"/>
            <x v="265"/>
            <x v="266"/>
            <x v="267"/>
            <x v="270"/>
            <x v="284"/>
            <x v="285"/>
            <x v="286"/>
            <x v="287"/>
            <x v="288"/>
            <x v="328"/>
            <x v="329"/>
            <x v="332"/>
            <x v="359"/>
            <x v="362"/>
            <x v="407"/>
            <x v="427"/>
            <x v="498"/>
            <x v="499"/>
            <x v="505"/>
            <x v="522"/>
            <x v="523"/>
            <x v="524"/>
            <x v="525"/>
            <x v="526"/>
            <x v="584"/>
            <x v="585"/>
            <x v="599"/>
            <x v="608"/>
            <x v="612"/>
            <x v="613"/>
          </reference>
          <reference field="1" count="1" selected="0">
            <x v="18"/>
          </reference>
          <reference field="2" count="1" selected="0">
            <x v="3"/>
          </reference>
          <reference field="3" count="1" selected="0">
            <x v="64"/>
          </reference>
        </references>
      </pivotArea>
    </format>
    <format dxfId="129">
      <pivotArea dataOnly="0" labelOnly="1" fieldPosition="0">
        <references count="4">
          <reference field="0" count="50">
            <x v="27"/>
            <x v="58"/>
            <x v="64"/>
            <x v="116"/>
            <x v="127"/>
            <x v="129"/>
            <x v="177"/>
            <x v="178"/>
            <x v="180"/>
            <x v="188"/>
            <x v="213"/>
            <x v="214"/>
            <x v="215"/>
            <x v="216"/>
            <x v="217"/>
            <x v="257"/>
            <x v="261"/>
            <x v="268"/>
            <x v="269"/>
            <x v="271"/>
            <x v="272"/>
            <x v="273"/>
            <x v="274"/>
            <x v="275"/>
            <x v="276"/>
            <x v="277"/>
            <x v="278"/>
            <x v="279"/>
            <x v="281"/>
            <x v="322"/>
            <x v="326"/>
            <x v="331"/>
            <x v="383"/>
            <x v="384"/>
            <x v="385"/>
            <x v="386"/>
            <x v="387"/>
            <x v="390"/>
            <x v="392"/>
            <x v="408"/>
            <x v="409"/>
            <x v="420"/>
            <x v="439"/>
            <x v="441"/>
            <x v="611"/>
            <x v="622"/>
            <x v="670"/>
            <x v="700"/>
            <x v="714"/>
            <x v="716"/>
          </reference>
          <reference field="1" count="1" selected="0">
            <x v="20"/>
          </reference>
          <reference field="2" count="1" selected="0">
            <x v="11"/>
          </reference>
          <reference field="3" count="1" selected="0">
            <x v="22"/>
          </reference>
        </references>
      </pivotArea>
    </format>
    <format dxfId="128">
      <pivotArea dataOnly="0" labelOnly="1" fieldPosition="0">
        <references count="4">
          <reference field="0" count="50">
            <x v="57"/>
            <x v="67"/>
            <x v="68"/>
            <x v="110"/>
            <x v="111"/>
            <x v="121"/>
            <x v="122"/>
            <x v="130"/>
            <x v="184"/>
            <x v="185"/>
            <x v="186"/>
            <x v="187"/>
            <x v="190"/>
            <x v="191"/>
            <x v="228"/>
            <x v="391"/>
            <x v="399"/>
            <x v="401"/>
            <x v="402"/>
            <x v="403"/>
            <x v="404"/>
            <x v="412"/>
            <x v="421"/>
            <x v="422"/>
            <x v="423"/>
            <x v="424"/>
            <x v="429"/>
            <x v="442"/>
            <x v="468"/>
            <x v="470"/>
            <x v="489"/>
            <x v="492"/>
            <x v="501"/>
            <x v="503"/>
            <x v="531"/>
            <x v="639"/>
            <x v="649"/>
            <x v="651"/>
            <x v="655"/>
            <x v="661"/>
            <x v="667"/>
            <x v="668"/>
            <x v="669"/>
            <x v="671"/>
            <x v="675"/>
            <x v="679"/>
            <x v="680"/>
            <x v="692"/>
            <x v="693"/>
            <x v="718"/>
          </reference>
          <reference field="1" count="1" selected="0">
            <x v="20"/>
          </reference>
          <reference field="2" count="1" selected="0">
            <x v="11"/>
          </reference>
          <reference field="3" count="1" selected="0">
            <x v="28"/>
          </reference>
        </references>
      </pivotArea>
    </format>
    <format dxfId="127">
      <pivotArea dataOnly="0" labelOnly="1" fieldPosition="0">
        <references count="4">
          <reference field="0" count="21">
            <x v="7"/>
            <x v="65"/>
            <x v="109"/>
            <x v="113"/>
            <x v="114"/>
            <x v="182"/>
            <x v="255"/>
            <x v="256"/>
            <x v="336"/>
            <x v="337"/>
            <x v="338"/>
            <x v="339"/>
            <x v="394"/>
            <x v="400"/>
            <x v="473"/>
            <x v="488"/>
            <x v="500"/>
            <x v="545"/>
            <x v="610"/>
            <x v="694"/>
            <x v="706"/>
          </reference>
          <reference field="1" count="1" selected="0">
            <x v="20"/>
          </reference>
          <reference field="2" count="1" selected="0">
            <x v="11"/>
          </reference>
          <reference field="3" count="1" selected="0">
            <x v="47"/>
          </reference>
        </references>
      </pivotArea>
    </format>
    <format dxfId="126">
      <pivotArea dataOnly="0" labelOnly="1" outline="0" fieldPosition="0">
        <references count="1">
          <reference field="4294967294" count="4">
            <x v="0"/>
            <x v="1"/>
            <x v="2"/>
            <x v="3"/>
          </reference>
        </references>
      </pivotArea>
    </format>
    <format dxfId="125">
      <pivotArea type="all" dataOnly="0" outline="0" fieldPosition="0"/>
    </format>
    <format dxfId="124">
      <pivotArea outline="0" collapsedLevelsAreSubtotals="1" fieldPosition="0"/>
    </format>
    <format dxfId="123">
      <pivotArea dataOnly="0" labelOnly="1" fieldPosition="0">
        <references count="1">
          <reference field="1" count="0"/>
        </references>
      </pivotArea>
    </format>
    <format dxfId="122">
      <pivotArea dataOnly="0" labelOnly="1" fieldPosition="0">
        <references count="1">
          <reference field="1" count="0" defaultSubtotal="1"/>
        </references>
      </pivotArea>
    </format>
    <format dxfId="121">
      <pivotArea dataOnly="0" labelOnly="1" grandRow="1" outline="0" fieldPosition="0"/>
    </format>
    <format dxfId="120">
      <pivotArea dataOnly="0" labelOnly="1" fieldPosition="0">
        <references count="2">
          <reference field="1" count="1" selected="0">
            <x v="0"/>
          </reference>
          <reference field="2" count="1">
            <x v="17"/>
          </reference>
        </references>
      </pivotArea>
    </format>
    <format dxfId="119">
      <pivotArea dataOnly="0" labelOnly="1" fieldPosition="0">
        <references count="2">
          <reference field="1" count="1" selected="0">
            <x v="0"/>
          </reference>
          <reference field="2" count="1" defaultSubtotal="1">
            <x v="17"/>
          </reference>
        </references>
      </pivotArea>
    </format>
    <format dxfId="118">
      <pivotArea dataOnly="0" labelOnly="1" fieldPosition="0">
        <references count="2">
          <reference field="1" count="1" selected="0">
            <x v="1"/>
          </reference>
          <reference field="2" count="1">
            <x v="15"/>
          </reference>
        </references>
      </pivotArea>
    </format>
    <format dxfId="117">
      <pivotArea dataOnly="0" labelOnly="1" fieldPosition="0">
        <references count="2">
          <reference field="1" count="1" selected="0">
            <x v="1"/>
          </reference>
          <reference field="2" count="1" defaultSubtotal="1">
            <x v="15"/>
          </reference>
        </references>
      </pivotArea>
    </format>
    <format dxfId="116">
      <pivotArea dataOnly="0" labelOnly="1" fieldPosition="0">
        <references count="2">
          <reference field="1" count="1" selected="0">
            <x v="2"/>
          </reference>
          <reference field="2" count="1">
            <x v="6"/>
          </reference>
        </references>
      </pivotArea>
    </format>
    <format dxfId="115">
      <pivotArea dataOnly="0" labelOnly="1" fieldPosition="0">
        <references count="2">
          <reference field="1" count="1" selected="0">
            <x v="2"/>
          </reference>
          <reference field="2" count="1" defaultSubtotal="1">
            <x v="6"/>
          </reference>
        </references>
      </pivotArea>
    </format>
    <format dxfId="114">
      <pivotArea dataOnly="0" labelOnly="1" fieldPosition="0">
        <references count="2">
          <reference field="1" count="1" selected="0">
            <x v="3"/>
          </reference>
          <reference field="2" count="1">
            <x v="1"/>
          </reference>
        </references>
      </pivotArea>
    </format>
    <format dxfId="113">
      <pivotArea dataOnly="0" labelOnly="1" fieldPosition="0">
        <references count="2">
          <reference field="1" count="1" selected="0">
            <x v="3"/>
          </reference>
          <reference field="2" count="1" defaultSubtotal="1">
            <x v="1"/>
          </reference>
        </references>
      </pivotArea>
    </format>
    <format dxfId="112">
      <pivotArea dataOnly="0" labelOnly="1" fieldPosition="0">
        <references count="2">
          <reference field="1" count="1" selected="0">
            <x v="4"/>
          </reference>
          <reference field="2" count="1">
            <x v="18"/>
          </reference>
        </references>
      </pivotArea>
    </format>
    <format dxfId="111">
      <pivotArea dataOnly="0" labelOnly="1" fieldPosition="0">
        <references count="2">
          <reference field="1" count="1" selected="0">
            <x v="4"/>
          </reference>
          <reference field="2" count="1" defaultSubtotal="1">
            <x v="18"/>
          </reference>
        </references>
      </pivotArea>
    </format>
    <format dxfId="110">
      <pivotArea dataOnly="0" labelOnly="1" fieldPosition="0">
        <references count="2">
          <reference field="1" count="1" selected="0">
            <x v="5"/>
          </reference>
          <reference field="2" count="1">
            <x v="21"/>
          </reference>
        </references>
      </pivotArea>
    </format>
    <format dxfId="109">
      <pivotArea dataOnly="0" labelOnly="1" fieldPosition="0">
        <references count="2">
          <reference field="1" count="1" selected="0">
            <x v="5"/>
          </reference>
          <reference field="2" count="1" defaultSubtotal="1">
            <x v="21"/>
          </reference>
        </references>
      </pivotArea>
    </format>
    <format dxfId="108">
      <pivotArea dataOnly="0" labelOnly="1" fieldPosition="0">
        <references count="2">
          <reference field="1" count="1" selected="0">
            <x v="6"/>
          </reference>
          <reference field="2" count="2">
            <x v="7"/>
            <x v="10"/>
          </reference>
        </references>
      </pivotArea>
    </format>
    <format dxfId="107">
      <pivotArea dataOnly="0" labelOnly="1" fieldPosition="0">
        <references count="2">
          <reference field="1" count="1" selected="0">
            <x v="6"/>
          </reference>
          <reference field="2" count="2" defaultSubtotal="1">
            <x v="7"/>
            <x v="10"/>
          </reference>
        </references>
      </pivotArea>
    </format>
    <format dxfId="106">
      <pivotArea dataOnly="0" labelOnly="1" fieldPosition="0">
        <references count="2">
          <reference field="1" count="1" selected="0">
            <x v="7"/>
          </reference>
          <reference field="2" count="1">
            <x v="20"/>
          </reference>
        </references>
      </pivotArea>
    </format>
    <format dxfId="105">
      <pivotArea dataOnly="0" labelOnly="1" fieldPosition="0">
        <references count="2">
          <reference field="1" count="1" selected="0">
            <x v="7"/>
          </reference>
          <reference field="2" count="1" defaultSubtotal="1">
            <x v="20"/>
          </reference>
        </references>
      </pivotArea>
    </format>
    <format dxfId="104">
      <pivotArea dataOnly="0" labelOnly="1" fieldPosition="0">
        <references count="2">
          <reference field="1" count="1" selected="0">
            <x v="8"/>
          </reference>
          <reference field="2" count="2">
            <x v="2"/>
            <x v="5"/>
          </reference>
        </references>
      </pivotArea>
    </format>
    <format dxfId="103">
      <pivotArea dataOnly="0" labelOnly="1" fieldPosition="0">
        <references count="2">
          <reference field="1" count="1" selected="0">
            <x v="8"/>
          </reference>
          <reference field="2" count="2" defaultSubtotal="1">
            <x v="2"/>
            <x v="5"/>
          </reference>
        </references>
      </pivotArea>
    </format>
    <format dxfId="102">
      <pivotArea dataOnly="0" labelOnly="1" fieldPosition="0">
        <references count="2">
          <reference field="1" count="1" selected="0">
            <x v="9"/>
          </reference>
          <reference field="2" count="1">
            <x v="7"/>
          </reference>
        </references>
      </pivotArea>
    </format>
    <format dxfId="101">
      <pivotArea dataOnly="0" labelOnly="1" fieldPosition="0">
        <references count="2">
          <reference field="1" count="1" selected="0">
            <x v="9"/>
          </reference>
          <reference field="2" count="1" defaultSubtotal="1">
            <x v="7"/>
          </reference>
        </references>
      </pivotArea>
    </format>
    <format dxfId="100">
      <pivotArea dataOnly="0" labelOnly="1" fieldPosition="0">
        <references count="2">
          <reference field="1" count="1" selected="0">
            <x v="10"/>
          </reference>
          <reference field="2" count="1">
            <x v="24"/>
          </reference>
        </references>
      </pivotArea>
    </format>
    <format dxfId="99">
      <pivotArea dataOnly="0" labelOnly="1" fieldPosition="0">
        <references count="2">
          <reference field="1" count="1" selected="0">
            <x v="10"/>
          </reference>
          <reference field="2" count="1" defaultSubtotal="1">
            <x v="24"/>
          </reference>
        </references>
      </pivotArea>
    </format>
    <format dxfId="98">
      <pivotArea dataOnly="0" labelOnly="1" fieldPosition="0">
        <references count="2">
          <reference field="1" count="1" selected="0">
            <x v="11"/>
          </reference>
          <reference field="2" count="1">
            <x v="22"/>
          </reference>
        </references>
      </pivotArea>
    </format>
    <format dxfId="97">
      <pivotArea dataOnly="0" labelOnly="1" fieldPosition="0">
        <references count="2">
          <reference field="1" count="1" selected="0">
            <x v="11"/>
          </reference>
          <reference field="2" count="1" defaultSubtotal="1">
            <x v="22"/>
          </reference>
        </references>
      </pivotArea>
    </format>
    <format dxfId="96">
      <pivotArea dataOnly="0" labelOnly="1" fieldPosition="0">
        <references count="2">
          <reference field="1" count="1" selected="0">
            <x v="12"/>
          </reference>
          <reference field="2" count="1">
            <x v="0"/>
          </reference>
        </references>
      </pivotArea>
    </format>
    <format dxfId="95">
      <pivotArea dataOnly="0" labelOnly="1" fieldPosition="0">
        <references count="2">
          <reference field="1" count="1" selected="0">
            <x v="12"/>
          </reference>
          <reference field="2" count="1" defaultSubtotal="1">
            <x v="0"/>
          </reference>
        </references>
      </pivotArea>
    </format>
    <format dxfId="94">
      <pivotArea dataOnly="0" labelOnly="1" fieldPosition="0">
        <references count="2">
          <reference field="1" count="1" selected="0">
            <x v="13"/>
          </reference>
          <reference field="2" count="1">
            <x v="19"/>
          </reference>
        </references>
      </pivotArea>
    </format>
    <format dxfId="93">
      <pivotArea dataOnly="0" labelOnly="1" fieldPosition="0">
        <references count="2">
          <reference field="1" count="1" selected="0">
            <x v="13"/>
          </reference>
          <reference field="2" count="1" defaultSubtotal="1">
            <x v="19"/>
          </reference>
        </references>
      </pivotArea>
    </format>
    <format dxfId="92">
      <pivotArea dataOnly="0" labelOnly="1" fieldPosition="0">
        <references count="2">
          <reference field="1" count="1" selected="0">
            <x v="14"/>
          </reference>
          <reference field="2" count="1">
            <x v="9"/>
          </reference>
        </references>
      </pivotArea>
    </format>
    <format dxfId="91">
      <pivotArea dataOnly="0" labelOnly="1" fieldPosition="0">
        <references count="2">
          <reference field="1" count="1" selected="0">
            <x v="14"/>
          </reference>
          <reference field="2" count="1" defaultSubtotal="1">
            <x v="9"/>
          </reference>
        </references>
      </pivotArea>
    </format>
    <format dxfId="90">
      <pivotArea dataOnly="0" labelOnly="1" fieldPosition="0">
        <references count="2">
          <reference field="1" count="1" selected="0">
            <x v="15"/>
          </reference>
          <reference field="2" count="1">
            <x v="16"/>
          </reference>
        </references>
      </pivotArea>
    </format>
    <format dxfId="89">
      <pivotArea dataOnly="0" labelOnly="1" fieldPosition="0">
        <references count="2">
          <reference field="1" count="1" selected="0">
            <x v="15"/>
          </reference>
          <reference field="2" count="1" defaultSubtotal="1">
            <x v="16"/>
          </reference>
        </references>
      </pivotArea>
    </format>
    <format dxfId="88">
      <pivotArea dataOnly="0" labelOnly="1" fieldPosition="0">
        <references count="2">
          <reference field="1" count="1" selected="0">
            <x v="16"/>
          </reference>
          <reference field="2" count="1">
            <x v="12"/>
          </reference>
        </references>
      </pivotArea>
    </format>
    <format dxfId="87">
      <pivotArea dataOnly="0" labelOnly="1" fieldPosition="0">
        <references count="2">
          <reference field="1" count="1" selected="0">
            <x v="16"/>
          </reference>
          <reference field="2" count="1" defaultSubtotal="1">
            <x v="12"/>
          </reference>
        </references>
      </pivotArea>
    </format>
    <format dxfId="86">
      <pivotArea dataOnly="0" labelOnly="1" fieldPosition="0">
        <references count="2">
          <reference field="1" count="1" selected="0">
            <x v="17"/>
          </reference>
          <reference field="2" count="1">
            <x v="14"/>
          </reference>
        </references>
      </pivotArea>
    </format>
    <format dxfId="85">
      <pivotArea dataOnly="0" labelOnly="1" fieldPosition="0">
        <references count="2">
          <reference field="1" count="1" selected="0">
            <x v="17"/>
          </reference>
          <reference field="2" count="1" defaultSubtotal="1">
            <x v="14"/>
          </reference>
        </references>
      </pivotArea>
    </format>
    <format dxfId="84">
      <pivotArea dataOnly="0" labelOnly="1" fieldPosition="0">
        <references count="2">
          <reference field="1" count="1" selected="0">
            <x v="18"/>
          </reference>
          <reference field="2" count="1">
            <x v="3"/>
          </reference>
        </references>
      </pivotArea>
    </format>
    <format dxfId="83">
      <pivotArea dataOnly="0" labelOnly="1" fieldPosition="0">
        <references count="2">
          <reference field="1" count="1" selected="0">
            <x v="18"/>
          </reference>
          <reference field="2" count="1" defaultSubtotal="1">
            <x v="3"/>
          </reference>
        </references>
      </pivotArea>
    </format>
    <format dxfId="82">
      <pivotArea dataOnly="0" labelOnly="1" fieldPosition="0">
        <references count="2">
          <reference field="1" count="1" selected="0">
            <x v="19"/>
          </reference>
          <reference field="2" count="1">
            <x v="4"/>
          </reference>
        </references>
      </pivotArea>
    </format>
    <format dxfId="81">
      <pivotArea dataOnly="0" labelOnly="1" fieldPosition="0">
        <references count="2">
          <reference field="1" count="1" selected="0">
            <x v="19"/>
          </reference>
          <reference field="2" count="1" defaultSubtotal="1">
            <x v="4"/>
          </reference>
        </references>
      </pivotArea>
    </format>
    <format dxfId="80">
      <pivotArea dataOnly="0" labelOnly="1" fieldPosition="0">
        <references count="2">
          <reference field="1" count="1" selected="0">
            <x v="20"/>
          </reference>
          <reference field="2" count="1">
            <x v="11"/>
          </reference>
        </references>
      </pivotArea>
    </format>
    <format dxfId="79">
      <pivotArea dataOnly="0" labelOnly="1" fieldPosition="0">
        <references count="2">
          <reference field="1" count="1" selected="0">
            <x v="20"/>
          </reference>
          <reference field="2" count="1" defaultSubtotal="1">
            <x v="11"/>
          </reference>
        </references>
      </pivotArea>
    </format>
    <format dxfId="78">
      <pivotArea dataOnly="0" labelOnly="1" fieldPosition="0">
        <references count="2">
          <reference field="1" count="1" selected="0">
            <x v="21"/>
          </reference>
          <reference field="2" count="2">
            <x v="8"/>
            <x v="23"/>
          </reference>
        </references>
      </pivotArea>
    </format>
    <format dxfId="77">
      <pivotArea dataOnly="0" labelOnly="1" fieldPosition="0">
        <references count="2">
          <reference field="1" count="1" selected="0">
            <x v="21"/>
          </reference>
          <reference field="2" count="2" defaultSubtotal="1">
            <x v="8"/>
            <x v="23"/>
          </reference>
        </references>
      </pivotArea>
    </format>
    <format dxfId="76">
      <pivotArea dataOnly="0" labelOnly="1" fieldPosition="0">
        <references count="3">
          <reference field="1" count="1" selected="0">
            <x v="0"/>
          </reference>
          <reference field="2" count="1" selected="0">
            <x v="17"/>
          </reference>
          <reference field="3" count="1">
            <x v="40"/>
          </reference>
        </references>
      </pivotArea>
    </format>
    <format dxfId="75">
      <pivotArea dataOnly="0" labelOnly="1" fieldPosition="0">
        <references count="3">
          <reference field="1" count="1" selected="0">
            <x v="1"/>
          </reference>
          <reference field="2" count="1" selected="0">
            <x v="15"/>
          </reference>
          <reference field="3" count="4">
            <x v="9"/>
            <x v="35"/>
            <x v="70"/>
            <x v="76"/>
          </reference>
        </references>
      </pivotArea>
    </format>
    <format dxfId="74">
      <pivotArea dataOnly="0" labelOnly="1" fieldPosition="0">
        <references count="3">
          <reference field="1" count="1" selected="0">
            <x v="2"/>
          </reference>
          <reference field="2" count="1" selected="0">
            <x v="6"/>
          </reference>
          <reference field="3" count="3">
            <x v="67"/>
            <x v="69"/>
            <x v="83"/>
          </reference>
        </references>
      </pivotArea>
    </format>
    <format dxfId="73">
      <pivotArea dataOnly="0" labelOnly="1" fieldPosition="0">
        <references count="3">
          <reference field="1" count="1" selected="0">
            <x v="3"/>
          </reference>
          <reference field="2" count="1" selected="0">
            <x v="1"/>
          </reference>
          <reference field="3" count="1">
            <x v="13"/>
          </reference>
        </references>
      </pivotArea>
    </format>
    <format dxfId="72">
      <pivotArea dataOnly="0" labelOnly="1" fieldPosition="0">
        <references count="3">
          <reference field="1" count="1" selected="0">
            <x v="4"/>
          </reference>
          <reference field="2" count="1" selected="0">
            <x v="18"/>
          </reference>
          <reference field="3" count="1">
            <x v="68"/>
          </reference>
        </references>
      </pivotArea>
    </format>
    <format dxfId="71">
      <pivotArea dataOnly="0" labelOnly="1" fieldPosition="0">
        <references count="3">
          <reference field="1" count="1" selected="0">
            <x v="5"/>
          </reference>
          <reference field="2" count="1" selected="0">
            <x v="21"/>
          </reference>
          <reference field="3" count="2">
            <x v="79"/>
            <x v="80"/>
          </reference>
        </references>
      </pivotArea>
    </format>
    <format dxfId="70">
      <pivotArea dataOnly="0" labelOnly="1" fieldPosition="0">
        <references count="3">
          <reference field="1" count="1" selected="0">
            <x v="6"/>
          </reference>
          <reference field="2" count="1" selected="0">
            <x v="7"/>
          </reference>
          <reference field="3" count="1">
            <x v="0"/>
          </reference>
        </references>
      </pivotArea>
    </format>
    <format dxfId="69">
      <pivotArea dataOnly="0" labelOnly="1" fieldPosition="0">
        <references count="3">
          <reference field="1" count="1" selected="0">
            <x v="6"/>
          </reference>
          <reference field="2" count="1" selected="0">
            <x v="10"/>
          </reference>
          <reference field="3" count="5">
            <x v="15"/>
            <x v="17"/>
            <x v="56"/>
            <x v="75"/>
            <x v="81"/>
          </reference>
        </references>
      </pivotArea>
    </format>
    <format dxfId="68">
      <pivotArea dataOnly="0" labelOnly="1" fieldPosition="0">
        <references count="3">
          <reference field="1" count="1" selected="0">
            <x v="7"/>
          </reference>
          <reference field="2" count="1" selected="0">
            <x v="20"/>
          </reference>
          <reference field="3" count="1">
            <x v="62"/>
          </reference>
        </references>
      </pivotArea>
    </format>
    <format dxfId="67">
      <pivotArea dataOnly="0" labelOnly="1" fieldPosition="0">
        <references count="3">
          <reference field="1" count="1" selected="0">
            <x v="8"/>
          </reference>
          <reference field="2" count="1" selected="0">
            <x v="2"/>
          </reference>
          <reference field="3" count="1">
            <x v="14"/>
          </reference>
        </references>
      </pivotArea>
    </format>
    <format dxfId="66">
      <pivotArea dataOnly="0" labelOnly="1" fieldPosition="0">
        <references count="3">
          <reference field="1" count="1" selected="0">
            <x v="8"/>
          </reference>
          <reference field="2" count="1" selected="0">
            <x v="5"/>
          </reference>
          <reference field="3" count="3">
            <x v="10"/>
            <x v="77"/>
            <x v="78"/>
          </reference>
        </references>
      </pivotArea>
    </format>
    <format dxfId="65">
      <pivotArea dataOnly="0" labelOnly="1" fieldPosition="0">
        <references count="3">
          <reference field="1" count="1" selected="0">
            <x v="9"/>
          </reference>
          <reference field="2" count="1" selected="0">
            <x v="7"/>
          </reference>
          <reference field="3" count="6">
            <x v="1"/>
            <x v="8"/>
            <x v="36"/>
            <x v="41"/>
            <x v="42"/>
            <x v="53"/>
          </reference>
        </references>
      </pivotArea>
    </format>
    <format dxfId="64">
      <pivotArea dataOnly="0" labelOnly="1" fieldPosition="0">
        <references count="3">
          <reference field="1" count="1" selected="0">
            <x v="10"/>
          </reference>
          <reference field="2" count="1" selected="0">
            <x v="24"/>
          </reference>
          <reference field="3" count="1">
            <x v="7"/>
          </reference>
        </references>
      </pivotArea>
    </format>
    <format dxfId="63">
      <pivotArea dataOnly="0" labelOnly="1" fieldPosition="0">
        <references count="3">
          <reference field="1" count="1" selected="0">
            <x v="11"/>
          </reference>
          <reference field="2" count="1" selected="0">
            <x v="22"/>
          </reference>
          <reference field="3" count="3">
            <x v="57"/>
            <x v="58"/>
            <x v="82"/>
          </reference>
        </references>
      </pivotArea>
    </format>
    <format dxfId="62">
      <pivotArea dataOnly="0" labelOnly="1" fieldPosition="0">
        <references count="3">
          <reference field="1" count="1" selected="0">
            <x v="12"/>
          </reference>
          <reference field="2" count="1" selected="0">
            <x v="0"/>
          </reference>
          <reference field="3" count="3">
            <x v="5"/>
            <x v="6"/>
            <x v="11"/>
          </reference>
        </references>
      </pivotArea>
    </format>
    <format dxfId="61">
      <pivotArea dataOnly="0" labelOnly="1" fieldPosition="0">
        <references count="3">
          <reference field="1" count="1" selected="0">
            <x v="13"/>
          </reference>
          <reference field="2" count="1" selected="0">
            <x v="19"/>
          </reference>
          <reference field="3" count="1">
            <x v="2"/>
          </reference>
        </references>
      </pivotArea>
    </format>
    <format dxfId="60">
      <pivotArea dataOnly="0" labelOnly="1" fieldPosition="0">
        <references count="3">
          <reference field="1" count="1" selected="0">
            <x v="14"/>
          </reference>
          <reference field="2" count="1" selected="0">
            <x v="9"/>
          </reference>
          <reference field="3" count="3">
            <x v="37"/>
            <x v="60"/>
            <x v="86"/>
          </reference>
        </references>
      </pivotArea>
    </format>
    <format dxfId="59">
      <pivotArea dataOnly="0" labelOnly="1" fieldPosition="0">
        <references count="3">
          <reference field="1" count="1" selected="0">
            <x v="15"/>
          </reference>
          <reference field="2" count="1" selected="0">
            <x v="16"/>
          </reference>
          <reference field="3" count="1">
            <x v="65"/>
          </reference>
        </references>
      </pivotArea>
    </format>
    <format dxfId="58">
      <pivotArea dataOnly="0" labelOnly="1" fieldPosition="0">
        <references count="3">
          <reference field="1" count="1" selected="0">
            <x v="16"/>
          </reference>
          <reference field="2" count="1" selected="0">
            <x v="12"/>
          </reference>
          <reference field="3" count="6">
            <x v="3"/>
            <x v="34"/>
            <x v="39"/>
            <x v="59"/>
            <x v="61"/>
            <x v="66"/>
          </reference>
        </references>
      </pivotArea>
    </format>
    <format dxfId="57">
      <pivotArea dataOnly="0" labelOnly="1" fieldPosition="0">
        <references count="3">
          <reference field="1" count="1" selected="0">
            <x v="17"/>
          </reference>
          <reference field="2" count="1" selected="0">
            <x v="14"/>
          </reference>
          <reference field="3" count="1">
            <x v="63"/>
          </reference>
        </references>
      </pivotArea>
    </format>
    <format dxfId="56">
      <pivotArea dataOnly="0" labelOnly="1" fieldPosition="0">
        <references count="3">
          <reference field="1" count="1" selected="0">
            <x v="18"/>
          </reference>
          <reference field="2" count="1" selected="0">
            <x v="3"/>
          </reference>
          <reference field="3" count="3">
            <x v="12"/>
            <x v="64"/>
            <x v="74"/>
          </reference>
        </references>
      </pivotArea>
    </format>
    <format dxfId="55">
      <pivotArea dataOnly="0" labelOnly="1" fieldPosition="0">
        <references count="3">
          <reference field="1" count="1" selected="0">
            <x v="19"/>
          </reference>
          <reference field="2" count="1" selected="0">
            <x v="4"/>
          </reference>
          <reference field="3" count="2">
            <x v="38"/>
            <x v="55"/>
          </reference>
        </references>
      </pivotArea>
    </format>
    <format dxfId="54">
      <pivotArea dataOnly="0" labelOnly="1" fieldPosition="0">
        <references count="3">
          <reference field="1" count="1" selected="0">
            <x v="20"/>
          </reference>
          <reference field="2" count="1" selected="0">
            <x v="11"/>
          </reference>
          <reference field="3" count="31">
            <x v="4"/>
            <x v="16"/>
            <x v="18"/>
            <x v="19"/>
            <x v="20"/>
            <x v="21"/>
            <x v="22"/>
            <x v="23"/>
            <x v="24"/>
            <x v="25"/>
            <x v="26"/>
            <x v="27"/>
            <x v="28"/>
            <x v="29"/>
            <x v="30"/>
            <x v="31"/>
            <x v="32"/>
            <x v="33"/>
            <x v="43"/>
            <x v="44"/>
            <x v="45"/>
            <x v="46"/>
            <x v="47"/>
            <x v="48"/>
            <x v="49"/>
            <x v="50"/>
            <x v="51"/>
            <x v="52"/>
            <x v="71"/>
            <x v="72"/>
            <x v="73"/>
          </reference>
        </references>
      </pivotArea>
    </format>
    <format dxfId="53">
      <pivotArea dataOnly="0" labelOnly="1" fieldPosition="0">
        <references count="3">
          <reference field="1" count="1" selected="0">
            <x v="21"/>
          </reference>
          <reference field="2" count="1" selected="0">
            <x v="8"/>
          </reference>
          <reference field="3" count="1">
            <x v="54"/>
          </reference>
        </references>
      </pivotArea>
    </format>
    <format dxfId="52">
      <pivotArea dataOnly="0" labelOnly="1" fieldPosition="0">
        <references count="3">
          <reference field="1" count="1" selected="0">
            <x v="21"/>
          </reference>
          <reference field="2" count="1" selected="0">
            <x v="23"/>
          </reference>
          <reference field="3" count="1">
            <x v="84"/>
          </reference>
        </references>
      </pivotArea>
    </format>
    <format dxfId="51">
      <pivotArea dataOnly="0" labelOnly="1" fieldPosition="0">
        <references count="4">
          <reference field="0" count="50">
            <x v="16"/>
            <x v="19"/>
            <x v="20"/>
            <x v="22"/>
            <x v="24"/>
            <x v="25"/>
            <x v="32"/>
            <x v="35"/>
            <x v="44"/>
            <x v="45"/>
            <x v="51"/>
            <x v="52"/>
            <x v="53"/>
            <x v="56"/>
            <x v="61"/>
            <x v="62"/>
            <x v="70"/>
            <x v="100"/>
            <x v="101"/>
            <x v="107"/>
            <x v="134"/>
            <x v="136"/>
            <x v="157"/>
            <x v="158"/>
            <x v="170"/>
            <x v="171"/>
            <x v="172"/>
            <x v="175"/>
            <x v="193"/>
            <x v="194"/>
            <x v="205"/>
            <x v="207"/>
            <x v="223"/>
            <x v="302"/>
            <x v="313"/>
            <x v="443"/>
            <x v="502"/>
            <x v="508"/>
            <x v="511"/>
            <x v="512"/>
            <x v="513"/>
            <x v="514"/>
            <x v="534"/>
            <x v="538"/>
            <x v="544"/>
            <x v="601"/>
            <x v="609"/>
            <x v="618"/>
            <x v="619"/>
            <x v="620"/>
          </reference>
          <reference field="1" count="1" selected="0">
            <x v="0"/>
          </reference>
          <reference field="2" count="1" selected="0">
            <x v="17"/>
          </reference>
          <reference field="3" count="1" selected="0">
            <x v="40"/>
          </reference>
        </references>
      </pivotArea>
    </format>
    <format dxfId="50">
      <pivotArea dataOnly="0" labelOnly="1" fieldPosition="0">
        <references count="4">
          <reference field="0" count="50">
            <x v="206"/>
            <x v="209"/>
            <x v="220"/>
            <x v="225"/>
            <x v="242"/>
            <x v="247"/>
            <x v="248"/>
            <x v="289"/>
            <x v="292"/>
            <x v="295"/>
            <x v="297"/>
            <x v="304"/>
            <x v="314"/>
            <x v="320"/>
            <x v="323"/>
            <x v="325"/>
            <x v="335"/>
            <x v="341"/>
            <x v="345"/>
            <x v="357"/>
            <x v="361"/>
            <x v="376"/>
            <x v="380"/>
            <x v="415"/>
            <x v="431"/>
            <x v="434"/>
            <x v="437"/>
            <x v="465"/>
            <x v="466"/>
            <x v="481"/>
            <x v="484"/>
            <x v="486"/>
            <x v="490"/>
            <x v="504"/>
            <x v="507"/>
            <x v="515"/>
            <x v="518"/>
            <x v="520"/>
            <x v="537"/>
            <x v="540"/>
            <x v="546"/>
            <x v="573"/>
            <x v="575"/>
            <x v="581"/>
            <x v="583"/>
            <x v="586"/>
            <x v="587"/>
            <x v="592"/>
            <x v="593"/>
            <x v="597"/>
          </reference>
          <reference field="1" count="1" selected="0">
            <x v="5"/>
          </reference>
          <reference field="2" count="1" selected="0">
            <x v="21"/>
          </reference>
          <reference field="3" count="1" selected="0">
            <x v="79"/>
          </reference>
        </references>
      </pivotArea>
    </format>
    <format dxfId="49">
      <pivotArea dataOnly="0" labelOnly="1" fieldPosition="0">
        <references count="4">
          <reference field="0" count="50">
            <x v="0"/>
            <x v="1"/>
            <x v="2"/>
            <x v="8"/>
            <x v="9"/>
            <x v="11"/>
            <x v="23"/>
            <x v="29"/>
            <x v="33"/>
            <x v="40"/>
            <x v="41"/>
            <x v="42"/>
            <x v="60"/>
            <x v="63"/>
            <x v="71"/>
            <x v="97"/>
            <x v="98"/>
            <x v="131"/>
            <x v="133"/>
            <x v="164"/>
            <x v="168"/>
            <x v="192"/>
            <x v="201"/>
            <x v="208"/>
            <x v="211"/>
            <x v="218"/>
            <x v="221"/>
            <x v="222"/>
            <x v="294"/>
            <x v="298"/>
            <x v="602"/>
            <x v="615"/>
            <x v="617"/>
            <x v="630"/>
            <x v="653"/>
            <x v="656"/>
            <x v="664"/>
            <x v="665"/>
            <x v="666"/>
            <x v="681"/>
            <x v="682"/>
            <x v="683"/>
            <x v="684"/>
            <x v="687"/>
            <x v="688"/>
            <x v="689"/>
            <x v="691"/>
            <x v="701"/>
            <x v="708"/>
            <x v="715"/>
          </reference>
          <reference field="1" count="1" selected="0">
            <x v="5"/>
          </reference>
          <reference field="2" count="1" selected="0">
            <x v="21"/>
          </reference>
          <reference field="3" count="1" selected="0">
            <x v="79"/>
          </reference>
        </references>
      </pivotArea>
    </format>
    <format dxfId="48">
      <pivotArea dataOnly="0" labelOnly="1" fieldPosition="0">
        <references count="4">
          <reference field="0" count="50">
            <x v="299"/>
            <x v="300"/>
            <x v="301"/>
            <x v="308"/>
            <x v="310"/>
            <x v="311"/>
            <x v="317"/>
            <x v="318"/>
            <x v="321"/>
            <x v="327"/>
            <x v="334"/>
            <x v="340"/>
            <x v="343"/>
            <x v="346"/>
            <x v="348"/>
            <x v="358"/>
            <x v="360"/>
            <x v="363"/>
            <x v="369"/>
            <x v="370"/>
            <x v="371"/>
            <x v="372"/>
            <x v="375"/>
            <x v="379"/>
            <x v="381"/>
            <x v="388"/>
            <x v="414"/>
            <x v="416"/>
            <x v="418"/>
            <x v="419"/>
            <x v="426"/>
            <x v="428"/>
            <x v="436"/>
            <x v="474"/>
            <x v="475"/>
            <x v="485"/>
            <x v="497"/>
            <x v="506"/>
            <x v="519"/>
            <x v="535"/>
            <x v="542"/>
            <x v="543"/>
            <x v="578"/>
            <x v="579"/>
            <x v="580"/>
            <x v="603"/>
            <x v="605"/>
            <x v="606"/>
            <x v="625"/>
            <x v="650"/>
          </reference>
          <reference field="1" count="1" selected="0">
            <x v="5"/>
          </reference>
          <reference field="2" count="1" selected="0">
            <x v="21"/>
          </reference>
          <reference field="3" count="1" selected="0">
            <x v="80"/>
          </reference>
        </references>
      </pivotArea>
    </format>
    <format dxfId="47">
      <pivotArea dataOnly="0" labelOnly="1" fieldPosition="0">
        <references count="4">
          <reference field="0" count="50">
            <x v="28"/>
            <x v="59"/>
            <x v="66"/>
            <x v="115"/>
            <x v="119"/>
            <x v="120"/>
            <x v="146"/>
            <x v="148"/>
            <x v="149"/>
            <x v="150"/>
            <x v="151"/>
            <x v="152"/>
            <x v="153"/>
            <x v="154"/>
            <x v="165"/>
            <x v="174"/>
            <x v="199"/>
            <x v="244"/>
            <x v="250"/>
            <x v="282"/>
            <x v="312"/>
            <x v="316"/>
            <x v="330"/>
            <x v="367"/>
            <x v="417"/>
            <x v="435"/>
            <x v="447"/>
            <x v="463"/>
            <x v="476"/>
            <x v="521"/>
            <x v="607"/>
            <x v="634"/>
            <x v="636"/>
            <x v="641"/>
            <x v="642"/>
            <x v="643"/>
            <x v="644"/>
            <x v="645"/>
            <x v="646"/>
            <x v="647"/>
            <x v="648"/>
            <x v="652"/>
            <x v="663"/>
            <x v="697"/>
            <x v="698"/>
            <x v="699"/>
            <x v="703"/>
            <x v="705"/>
            <x v="707"/>
            <x v="720"/>
          </reference>
          <reference field="1" count="1" selected="0">
            <x v="5"/>
          </reference>
          <reference field="2" count="1" selected="0">
            <x v="21"/>
          </reference>
          <reference field="3" count="1" selected="0">
            <x v="80"/>
          </reference>
        </references>
      </pivotArea>
    </format>
    <format dxfId="46">
      <pivotArea dataOnly="0" labelOnly="1" fieldPosition="0">
        <references count="4">
          <reference field="0" count="50">
            <x v="4"/>
            <x v="5"/>
            <x v="6"/>
            <x v="72"/>
            <x v="73"/>
            <x v="74"/>
            <x v="75"/>
            <x v="76"/>
            <x v="77"/>
            <x v="78"/>
            <x v="79"/>
            <x v="80"/>
            <x v="81"/>
            <x v="82"/>
            <x v="128"/>
            <x v="202"/>
            <x v="204"/>
            <x v="246"/>
            <x v="291"/>
            <x v="389"/>
            <x v="425"/>
            <x v="448"/>
            <x v="449"/>
            <x v="450"/>
            <x v="451"/>
            <x v="452"/>
            <x v="453"/>
            <x v="454"/>
            <x v="455"/>
            <x v="456"/>
            <x v="457"/>
            <x v="458"/>
            <x v="459"/>
            <x v="460"/>
            <x v="461"/>
            <x v="464"/>
            <x v="628"/>
            <x v="629"/>
            <x v="632"/>
            <x v="633"/>
            <x v="635"/>
            <x v="637"/>
            <x v="638"/>
            <x v="640"/>
            <x v="672"/>
            <x v="673"/>
            <x v="674"/>
            <x v="678"/>
            <x v="719"/>
            <x v="721"/>
          </reference>
          <reference field="1" count="1" selected="0">
            <x v="8"/>
          </reference>
          <reference field="2" count="1" selected="0">
            <x v="5"/>
          </reference>
          <reference field="3" count="1" selected="0">
            <x v="77"/>
          </reference>
        </references>
      </pivotArea>
    </format>
    <format dxfId="45">
      <pivotArea dataOnly="0" labelOnly="1" fieldPosition="0">
        <references count="4">
          <reference field="0" count="50">
            <x v="83"/>
            <x v="84"/>
            <x v="85"/>
            <x v="86"/>
            <x v="87"/>
            <x v="88"/>
            <x v="89"/>
            <x v="90"/>
            <x v="91"/>
            <x v="92"/>
            <x v="93"/>
            <x v="94"/>
            <x v="95"/>
            <x v="96"/>
            <x v="125"/>
            <x v="229"/>
            <x v="230"/>
            <x v="231"/>
            <x v="232"/>
            <x v="233"/>
            <x v="234"/>
            <x v="235"/>
            <x v="236"/>
            <x v="237"/>
            <x v="238"/>
            <x v="239"/>
            <x v="240"/>
            <x v="241"/>
            <x v="252"/>
            <x v="253"/>
            <x v="254"/>
            <x v="493"/>
            <x v="494"/>
            <x v="495"/>
            <x v="496"/>
            <x v="548"/>
            <x v="549"/>
            <x v="550"/>
            <x v="551"/>
            <x v="552"/>
            <x v="553"/>
            <x v="554"/>
            <x v="555"/>
            <x v="556"/>
            <x v="557"/>
            <x v="558"/>
            <x v="559"/>
            <x v="560"/>
            <x v="561"/>
            <x v="562"/>
          </reference>
          <reference field="1" count="1" selected="0">
            <x v="9"/>
          </reference>
          <reference field="2" count="1" selected="0">
            <x v="7"/>
          </reference>
          <reference field="3" count="1" selected="0">
            <x v="36"/>
          </reference>
        </references>
      </pivotArea>
    </format>
    <format dxfId="44">
      <pivotArea dataOnly="0" labelOnly="1" fieldPosition="0">
        <references count="4">
          <reference field="0" count="50">
            <x v="17"/>
            <x v="18"/>
            <x v="55"/>
            <x v="103"/>
            <x v="104"/>
            <x v="137"/>
            <x v="138"/>
            <x v="141"/>
            <x v="144"/>
            <x v="145"/>
            <x v="156"/>
            <x v="159"/>
            <x v="160"/>
            <x v="224"/>
            <x v="309"/>
            <x v="319"/>
            <x v="344"/>
            <x v="349"/>
            <x v="350"/>
            <x v="351"/>
            <x v="365"/>
            <x v="373"/>
            <x v="374"/>
            <x v="377"/>
            <x v="382"/>
            <x v="432"/>
            <x v="482"/>
            <x v="483"/>
            <x v="487"/>
            <x v="491"/>
            <x v="516"/>
            <x v="536"/>
            <x v="563"/>
            <x v="564"/>
            <x v="565"/>
            <x v="566"/>
            <x v="567"/>
            <x v="568"/>
            <x v="569"/>
            <x v="570"/>
            <x v="571"/>
            <x v="572"/>
            <x v="574"/>
            <x v="614"/>
            <x v="616"/>
            <x v="624"/>
            <x v="626"/>
            <x v="685"/>
            <x v="711"/>
            <x v="712"/>
          </reference>
          <reference field="1" count="1" selected="0">
            <x v="9"/>
          </reference>
          <reference field="2" count="1" selected="0">
            <x v="7"/>
          </reference>
          <reference field="3" count="1" selected="0">
            <x v="36"/>
          </reference>
        </references>
      </pivotArea>
    </format>
    <format dxfId="43">
      <pivotArea dataOnly="0" labelOnly="1" fieldPosition="0">
        <references count="4">
          <reference field="0" count="50">
            <x v="10"/>
            <x v="12"/>
            <x v="13"/>
            <x v="30"/>
            <x v="31"/>
            <x v="99"/>
            <x v="102"/>
            <x v="106"/>
            <x v="123"/>
            <x v="135"/>
            <x v="139"/>
            <x v="142"/>
            <x v="143"/>
            <x v="147"/>
            <x v="155"/>
            <x v="173"/>
            <x v="195"/>
            <x v="196"/>
            <x v="197"/>
            <x v="249"/>
            <x v="283"/>
            <x v="293"/>
            <x v="296"/>
            <x v="305"/>
            <x v="306"/>
            <x v="307"/>
            <x v="315"/>
            <x v="333"/>
            <x v="352"/>
            <x v="353"/>
            <x v="354"/>
            <x v="355"/>
            <x v="356"/>
            <x v="366"/>
            <x v="395"/>
            <x v="396"/>
            <x v="413"/>
            <x v="430"/>
            <x v="433"/>
            <x v="440"/>
            <x v="477"/>
            <x v="478"/>
            <x v="480"/>
            <x v="517"/>
            <x v="576"/>
            <x v="577"/>
            <x v="588"/>
            <x v="589"/>
            <x v="595"/>
            <x v="596"/>
          </reference>
          <reference field="1" count="1" selected="0">
            <x v="9"/>
          </reference>
          <reference field="2" count="1" selected="0">
            <x v="7"/>
          </reference>
          <reference field="3" count="1" selected="0">
            <x v="53"/>
          </reference>
        </references>
      </pivotArea>
    </format>
    <format dxfId="42">
      <pivotArea dataOnly="0" labelOnly="1" fieldPosition="0">
        <references count="4">
          <reference field="0" count="50">
            <x v="3"/>
            <x v="14"/>
            <x v="15"/>
            <x v="21"/>
            <x v="54"/>
            <x v="69"/>
            <x v="117"/>
            <x v="118"/>
            <x v="132"/>
            <x v="140"/>
            <x v="166"/>
            <x v="169"/>
            <x v="226"/>
            <x v="227"/>
            <x v="251"/>
            <x v="290"/>
            <x v="303"/>
            <x v="324"/>
            <x v="342"/>
            <x v="347"/>
            <x v="364"/>
            <x v="378"/>
            <x v="479"/>
            <x v="509"/>
            <x v="510"/>
            <x v="532"/>
            <x v="533"/>
            <x v="539"/>
            <x v="541"/>
            <x v="582"/>
            <x v="590"/>
            <x v="591"/>
            <x v="594"/>
            <x v="598"/>
            <x v="604"/>
            <x v="621"/>
            <x v="623"/>
            <x v="627"/>
            <x v="631"/>
            <x v="657"/>
            <x v="658"/>
            <x v="662"/>
            <x v="676"/>
            <x v="677"/>
            <x v="686"/>
            <x v="690"/>
            <x v="702"/>
            <x v="704"/>
            <x v="709"/>
            <x v="710"/>
          </reference>
          <reference field="1" count="1" selected="0">
            <x v="11"/>
          </reference>
          <reference field="2" count="1" selected="0">
            <x v="22"/>
          </reference>
          <reference field="3" count="1" selected="0">
            <x v="57"/>
          </reference>
        </references>
      </pivotArea>
    </format>
    <format dxfId="41">
      <pivotArea dataOnly="0" labelOnly="1" fieldPosition="0">
        <references count="4">
          <reference field="0" count="50">
            <x v="34"/>
            <x v="105"/>
            <x v="108"/>
            <x v="161"/>
            <x v="162"/>
            <x v="163"/>
            <x v="176"/>
            <x v="179"/>
            <x v="181"/>
            <x v="183"/>
            <x v="198"/>
            <x v="200"/>
            <x v="203"/>
            <x v="210"/>
            <x v="243"/>
            <x v="245"/>
            <x v="258"/>
            <x v="259"/>
            <x v="260"/>
            <x v="262"/>
            <x v="280"/>
            <x v="368"/>
            <x v="393"/>
            <x v="397"/>
            <x v="398"/>
            <x v="405"/>
            <x v="406"/>
            <x v="410"/>
            <x v="411"/>
            <x v="438"/>
            <x v="444"/>
            <x v="445"/>
            <x v="446"/>
            <x v="462"/>
            <x v="467"/>
            <x v="469"/>
            <x v="471"/>
            <x v="472"/>
            <x v="527"/>
            <x v="528"/>
            <x v="529"/>
            <x v="530"/>
            <x v="547"/>
            <x v="600"/>
            <x v="654"/>
            <x v="659"/>
            <x v="660"/>
            <x v="695"/>
            <x v="696"/>
            <x v="717"/>
          </reference>
          <reference field="1" count="1" selected="0">
            <x v="13"/>
          </reference>
          <reference field="2" count="1" selected="0">
            <x v="19"/>
          </reference>
          <reference field="3" count="1" selected="0">
            <x v="2"/>
          </reference>
        </references>
      </pivotArea>
    </format>
    <format dxfId="40">
      <pivotArea dataOnly="0" labelOnly="1" fieldPosition="0">
        <references count="4">
          <reference field="0" count="50">
            <x v="26"/>
            <x v="36"/>
            <x v="37"/>
            <x v="38"/>
            <x v="39"/>
            <x v="43"/>
            <x v="46"/>
            <x v="47"/>
            <x v="48"/>
            <x v="49"/>
            <x v="50"/>
            <x v="112"/>
            <x v="124"/>
            <x v="126"/>
            <x v="167"/>
            <x v="189"/>
            <x v="212"/>
            <x v="219"/>
            <x v="263"/>
            <x v="264"/>
            <x v="265"/>
            <x v="266"/>
            <x v="267"/>
            <x v="270"/>
            <x v="284"/>
            <x v="285"/>
            <x v="286"/>
            <x v="287"/>
            <x v="288"/>
            <x v="328"/>
            <x v="329"/>
            <x v="332"/>
            <x v="359"/>
            <x v="362"/>
            <x v="407"/>
            <x v="427"/>
            <x v="498"/>
            <x v="499"/>
            <x v="505"/>
            <x v="522"/>
            <x v="523"/>
            <x v="524"/>
            <x v="525"/>
            <x v="526"/>
            <x v="584"/>
            <x v="585"/>
            <x v="599"/>
            <x v="608"/>
            <x v="612"/>
            <x v="613"/>
          </reference>
          <reference field="1" count="1" selected="0">
            <x v="18"/>
          </reference>
          <reference field="2" count="1" selected="0">
            <x v="3"/>
          </reference>
          <reference field="3" count="1" selected="0">
            <x v="64"/>
          </reference>
        </references>
      </pivotArea>
    </format>
    <format dxfId="39">
      <pivotArea dataOnly="0" labelOnly="1" fieldPosition="0">
        <references count="4">
          <reference field="0" count="50">
            <x v="27"/>
            <x v="58"/>
            <x v="64"/>
            <x v="116"/>
            <x v="127"/>
            <x v="129"/>
            <x v="177"/>
            <x v="178"/>
            <x v="180"/>
            <x v="188"/>
            <x v="213"/>
            <x v="214"/>
            <x v="215"/>
            <x v="216"/>
            <x v="217"/>
            <x v="257"/>
            <x v="261"/>
            <x v="268"/>
            <x v="269"/>
            <x v="271"/>
            <x v="272"/>
            <x v="273"/>
            <x v="274"/>
            <x v="275"/>
            <x v="276"/>
            <x v="277"/>
            <x v="278"/>
            <x v="279"/>
            <x v="281"/>
            <x v="322"/>
            <x v="326"/>
            <x v="331"/>
            <x v="383"/>
            <x v="384"/>
            <x v="385"/>
            <x v="386"/>
            <x v="387"/>
            <x v="390"/>
            <x v="392"/>
            <x v="408"/>
            <x v="409"/>
            <x v="420"/>
            <x v="439"/>
            <x v="441"/>
            <x v="611"/>
            <x v="622"/>
            <x v="670"/>
            <x v="700"/>
            <x v="714"/>
            <x v="716"/>
          </reference>
          <reference field="1" count="1" selected="0">
            <x v="20"/>
          </reference>
          <reference field="2" count="1" selected="0">
            <x v="11"/>
          </reference>
          <reference field="3" count="1" selected="0">
            <x v="22"/>
          </reference>
        </references>
      </pivotArea>
    </format>
    <format dxfId="38">
      <pivotArea dataOnly="0" labelOnly="1" fieldPosition="0">
        <references count="4">
          <reference field="0" count="50">
            <x v="57"/>
            <x v="67"/>
            <x v="68"/>
            <x v="110"/>
            <x v="111"/>
            <x v="121"/>
            <x v="122"/>
            <x v="130"/>
            <x v="184"/>
            <x v="185"/>
            <x v="186"/>
            <x v="187"/>
            <x v="190"/>
            <x v="191"/>
            <x v="228"/>
            <x v="391"/>
            <x v="399"/>
            <x v="401"/>
            <x v="402"/>
            <x v="403"/>
            <x v="404"/>
            <x v="412"/>
            <x v="421"/>
            <x v="422"/>
            <x v="423"/>
            <x v="424"/>
            <x v="429"/>
            <x v="442"/>
            <x v="468"/>
            <x v="470"/>
            <x v="489"/>
            <x v="492"/>
            <x v="501"/>
            <x v="503"/>
            <x v="531"/>
            <x v="639"/>
            <x v="649"/>
            <x v="651"/>
            <x v="655"/>
            <x v="661"/>
            <x v="667"/>
            <x v="668"/>
            <x v="669"/>
            <x v="671"/>
            <x v="675"/>
            <x v="679"/>
            <x v="680"/>
            <x v="692"/>
            <x v="693"/>
            <x v="718"/>
          </reference>
          <reference field="1" count="1" selected="0">
            <x v="20"/>
          </reference>
          <reference field="2" count="1" selected="0">
            <x v="11"/>
          </reference>
          <reference field="3" count="1" selected="0">
            <x v="28"/>
          </reference>
        </references>
      </pivotArea>
    </format>
    <format dxfId="37">
      <pivotArea dataOnly="0" labelOnly="1" fieldPosition="0">
        <references count="4">
          <reference field="0" count="21">
            <x v="7"/>
            <x v="65"/>
            <x v="109"/>
            <x v="113"/>
            <x v="114"/>
            <x v="182"/>
            <x v="255"/>
            <x v="256"/>
            <x v="336"/>
            <x v="337"/>
            <x v="338"/>
            <x v="339"/>
            <x v="394"/>
            <x v="400"/>
            <x v="473"/>
            <x v="488"/>
            <x v="500"/>
            <x v="545"/>
            <x v="610"/>
            <x v="694"/>
            <x v="706"/>
          </reference>
          <reference field="1" count="1" selected="0">
            <x v="20"/>
          </reference>
          <reference field="2" count="1" selected="0">
            <x v="11"/>
          </reference>
          <reference field="3" count="1" selected="0">
            <x v="47"/>
          </reference>
        </references>
      </pivotArea>
    </format>
    <format dxfId="36">
      <pivotArea dataOnly="0" labelOnly="1" outline="0" fieldPosition="0">
        <references count="1">
          <reference field="4294967294" count="4">
            <x v="0"/>
            <x v="1"/>
            <x v="2"/>
            <x v="3"/>
          </reference>
        </references>
      </pivotArea>
    </format>
    <format dxfId="35">
      <pivotArea collapsedLevelsAreSubtotals="1" fieldPosition="0">
        <references count="3">
          <reference field="1" count="1" selected="0">
            <x v="9"/>
          </reference>
          <reference field="2" count="1" selected="0">
            <x v="7"/>
          </reference>
          <reference field="3" count="1">
            <x v="42"/>
          </reference>
        </references>
      </pivotArea>
    </format>
    <format dxfId="34">
      <pivotArea collapsedLevelsAreSubtotals="1" fieldPosition="0">
        <references count="4">
          <reference field="0" count="3">
            <x v="138"/>
            <x v="141"/>
            <x v="144"/>
          </reference>
          <reference field="1" count="1" selected="0">
            <x v="9"/>
          </reference>
          <reference field="2" count="1" selected="0">
            <x v="7"/>
          </reference>
          <reference field="3" count="1" selected="0">
            <x v="42"/>
          </reference>
        </references>
      </pivotArea>
    </format>
    <format dxfId="33">
      <pivotArea dataOnly="0" labelOnly="1" offset="IV136:IV139" fieldPosition="0">
        <references count="1">
          <reference field="1" count="1">
            <x v="9"/>
          </reference>
        </references>
      </pivotArea>
    </format>
    <format dxfId="32">
      <pivotArea dataOnly="0" labelOnly="1" offset="IV136:IV139" fieldPosition="0">
        <references count="2">
          <reference field="1" count="1" selected="0">
            <x v="9"/>
          </reference>
          <reference field="2" count="1">
            <x v="7"/>
          </reference>
        </references>
      </pivotArea>
    </format>
    <format dxfId="31">
      <pivotArea dataOnly="0" labelOnly="1" fieldPosition="0">
        <references count="3">
          <reference field="1" count="1" selected="0">
            <x v="9"/>
          </reference>
          <reference field="2" count="1" selected="0">
            <x v="7"/>
          </reference>
          <reference field="3" count="1">
            <x v="42"/>
          </reference>
        </references>
      </pivotArea>
    </format>
    <format dxfId="30">
      <pivotArea dataOnly="0" labelOnly="1" fieldPosition="0">
        <references count="4">
          <reference field="0" count="3">
            <x v="138"/>
            <x v="141"/>
            <x v="144"/>
          </reference>
          <reference field="1" count="1" selected="0">
            <x v="9"/>
          </reference>
          <reference field="2" count="1" selected="0">
            <x v="7"/>
          </reference>
          <reference field="3" count="1" selected="0">
            <x v="42"/>
          </reference>
        </references>
      </pivotArea>
    </format>
    <format dxfId="29">
      <pivotArea collapsedLevelsAreSubtotals="1" fieldPosition="0">
        <references count="4">
          <reference field="0" count="1">
            <x v="145"/>
          </reference>
          <reference field="1" count="1" selected="0">
            <x v="9"/>
          </reference>
          <reference field="2" count="1" selected="0">
            <x v="7"/>
          </reference>
          <reference field="3" count="1" selected="0">
            <x v="42"/>
          </reference>
        </references>
      </pivotArea>
    </format>
    <format dxfId="28">
      <pivotArea dataOnly="0" labelOnly="1" offset="IV140" fieldPosition="0">
        <references count="1">
          <reference field="1" count="1">
            <x v="9"/>
          </reference>
        </references>
      </pivotArea>
    </format>
    <format dxfId="27">
      <pivotArea dataOnly="0" labelOnly="1" offset="IV140" fieldPosition="0">
        <references count="2">
          <reference field="1" count="1" selected="0">
            <x v="9"/>
          </reference>
          <reference field="2" count="1">
            <x v="7"/>
          </reference>
        </references>
      </pivotArea>
    </format>
    <format dxfId="26">
      <pivotArea dataOnly="0" labelOnly="1" fieldPosition="0">
        <references count="4">
          <reference field="0" count="1">
            <x v="145"/>
          </reference>
          <reference field="1" count="1" selected="0">
            <x v="9"/>
          </reference>
          <reference field="2" count="1" selected="0">
            <x v="7"/>
          </reference>
          <reference field="3" count="1" selected="0">
            <x v="42"/>
          </reference>
        </references>
      </pivotArea>
    </format>
    <format dxfId="25">
      <pivotArea collapsedLevelsAreSubtotals="1" fieldPosition="0">
        <references count="3">
          <reference field="1" count="1" selected="0">
            <x v="14"/>
          </reference>
          <reference field="2" count="1" selected="0">
            <x v="9"/>
          </reference>
          <reference field="3" count="1">
            <x v="37"/>
          </reference>
        </references>
      </pivotArea>
    </format>
    <format dxfId="24">
      <pivotArea collapsedLevelsAreSubtotals="1" fieldPosition="0">
        <references count="4">
          <reference field="0" count="1">
            <x v="258"/>
          </reference>
          <reference field="1" count="1" selected="0">
            <x v="14"/>
          </reference>
          <reference field="2" count="1" selected="0">
            <x v="9"/>
          </reference>
          <reference field="3" count="1" selected="0">
            <x v="37"/>
          </reference>
        </references>
      </pivotArea>
    </format>
    <format dxfId="23">
      <pivotArea collapsedLevelsAreSubtotals="1" fieldPosition="0">
        <references count="3">
          <reference field="1" count="1" selected="0">
            <x v="14"/>
          </reference>
          <reference field="2" count="1" selected="0">
            <x v="9"/>
          </reference>
          <reference field="3" count="1">
            <x v="60"/>
          </reference>
        </references>
      </pivotArea>
    </format>
    <format dxfId="22">
      <pivotArea collapsedLevelsAreSubtotals="1" fieldPosition="0">
        <references count="4">
          <reference field="0" count="2">
            <x v="259"/>
            <x v="438"/>
          </reference>
          <reference field="1" count="1" selected="0">
            <x v="14"/>
          </reference>
          <reference field="2" count="1" selected="0">
            <x v="9"/>
          </reference>
          <reference field="3" count="1" selected="0">
            <x v="60"/>
          </reference>
        </references>
      </pivotArea>
    </format>
    <format dxfId="21">
      <pivotArea collapsedLevelsAreSubtotals="1" fieldPosition="0">
        <references count="3">
          <reference field="1" count="1" selected="0">
            <x v="14"/>
          </reference>
          <reference field="2" count="1" selected="0">
            <x v="9"/>
          </reference>
          <reference field="3" count="1">
            <x v="87"/>
          </reference>
        </references>
      </pivotArea>
    </format>
    <format dxfId="20">
      <pivotArea collapsedLevelsAreSubtotals="1" fieldPosition="0">
        <references count="4">
          <reference field="0" count="2">
            <x v="137"/>
            <x v="140"/>
          </reference>
          <reference field="1" count="1" selected="0">
            <x v="14"/>
          </reference>
          <reference field="2" count="1" selected="0">
            <x v="9"/>
          </reference>
          <reference field="3" count="1" selected="0">
            <x v="87"/>
          </reference>
        </references>
      </pivotArea>
    </format>
    <format dxfId="19">
      <pivotArea dataOnly="0" labelOnly="1" offset="IV1:IV8" fieldPosition="0">
        <references count="1">
          <reference field="1" count="1">
            <x v="14"/>
          </reference>
        </references>
      </pivotArea>
    </format>
    <format dxfId="18">
      <pivotArea dataOnly="0" labelOnly="1" fieldPosition="0">
        <references count="2">
          <reference field="1" count="1" selected="0">
            <x v="14"/>
          </reference>
          <reference field="2" count="1">
            <x v="9"/>
          </reference>
        </references>
      </pivotArea>
    </format>
    <format dxfId="17">
      <pivotArea dataOnly="0" labelOnly="1" fieldPosition="0">
        <references count="3">
          <reference field="1" count="1" selected="0">
            <x v="14"/>
          </reference>
          <reference field="2" count="1" selected="0">
            <x v="9"/>
          </reference>
          <reference field="3" count="3">
            <x v="37"/>
            <x v="60"/>
            <x v="87"/>
          </reference>
        </references>
      </pivotArea>
    </format>
    <format dxfId="16">
      <pivotArea dataOnly="0" labelOnly="1" fieldPosition="0">
        <references count="4">
          <reference field="0" count="5">
            <x v="137"/>
            <x v="140"/>
            <x v="258"/>
            <x v="259"/>
            <x v="438"/>
          </reference>
          <reference field="1" count="1" selected="0">
            <x v="14"/>
          </reference>
          <reference field="2" count="1" selected="0">
            <x v="9"/>
          </reference>
          <reference field="3" count="1" selected="0">
            <x v="37"/>
          </reference>
        </references>
      </pivotArea>
    </format>
    <format dxfId="15">
      <pivotArea collapsedLevelsAreSubtotals="1" fieldPosition="0">
        <references count="4">
          <reference field="4294967294" count="1" selected="0">
            <x v="2"/>
          </reference>
          <reference field="1" count="1" selected="0">
            <x v="14"/>
          </reference>
          <reference field="2" count="1" selected="0">
            <x v="9"/>
          </reference>
          <reference field="3" count="1">
            <x v="60"/>
          </reference>
        </references>
      </pivotArea>
    </format>
    <format dxfId="14">
      <pivotArea collapsedLevelsAreSubtotals="1" fieldPosition="0">
        <references count="5">
          <reference field="4294967294" count="1" selected="0">
            <x v="2"/>
          </reference>
          <reference field="0" count="1">
            <x v="259"/>
          </reference>
          <reference field="1" count="1" selected="0">
            <x v="14"/>
          </reference>
          <reference field="2" count="1" selected="0">
            <x v="9"/>
          </reference>
          <reference field="3" count="1" selected="0">
            <x v="60"/>
          </reference>
        </references>
      </pivotArea>
    </format>
    <format dxfId="13">
      <pivotArea collapsedLevelsAreSubtotals="1" fieldPosition="0">
        <references count="5">
          <reference field="4294967294" count="1" selected="0">
            <x v="2"/>
          </reference>
          <reference field="0" count="1">
            <x v="438"/>
          </reference>
          <reference field="1" count="1" selected="0">
            <x v="14"/>
          </reference>
          <reference field="2" count="1" selected="0">
            <x v="9"/>
          </reference>
          <reference field="3" count="1" selected="0">
            <x v="60"/>
          </reference>
        </references>
      </pivotArea>
    </format>
    <format dxfId="12">
      <pivotArea collapsedLevelsAreSubtotals="1" fieldPosition="0">
        <references count="5">
          <reference field="4294967294" count="1" selected="0">
            <x v="2"/>
          </reference>
          <reference field="0" count="1">
            <x v="140"/>
          </reference>
          <reference field="1" count="1" selected="0">
            <x v="14"/>
          </reference>
          <reference field="2" count="1" selected="0">
            <x v="9"/>
          </reference>
          <reference field="3" count="1" selected="0">
            <x v="87"/>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ivotTable" Target="../pivotTables/pivotTable1.xml"/><Relationship Id="rId4"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8"/>
  <sheetViews>
    <sheetView view="pageBreakPreview" zoomScale="60" zoomScaleNormal="60" workbookViewId="0">
      <selection activeCell="E79" sqref="E79"/>
    </sheetView>
  </sheetViews>
  <sheetFormatPr defaultColWidth="9.140625" defaultRowHeight="15" x14ac:dyDescent="0.25"/>
  <cols>
    <col min="2" max="2" width="7.28515625" bestFit="1" customWidth="1"/>
    <col min="3" max="3" width="5" customWidth="1"/>
    <col min="5" max="5" width="58" customWidth="1"/>
    <col min="6" max="10" width="15.140625" bestFit="1" customWidth="1"/>
  </cols>
  <sheetData>
    <row r="1" spans="1:11" ht="26.25" x14ac:dyDescent="0.4">
      <c r="A1">
        <v>100000</v>
      </c>
      <c r="B1" s="1692" t="s">
        <v>3130</v>
      </c>
      <c r="C1" s="1692"/>
      <c r="D1" s="1692"/>
      <c r="E1" s="1692"/>
      <c r="F1" s="1692"/>
      <c r="G1" s="1692"/>
      <c r="H1" s="1692"/>
      <c r="I1" s="1692"/>
      <c r="J1" s="1692"/>
    </row>
    <row r="2" spans="1:11" ht="15.75" x14ac:dyDescent="0.25">
      <c r="B2" s="1693" t="s">
        <v>3567</v>
      </c>
      <c r="C2" s="1693"/>
      <c r="D2" s="1693"/>
      <c r="E2" s="1693"/>
      <c r="F2" s="1693"/>
      <c r="G2" s="1693"/>
      <c r="H2" s="1693"/>
      <c r="I2" s="1693"/>
      <c r="J2" s="1693"/>
    </row>
    <row r="3" spans="1:11" ht="15.75" x14ac:dyDescent="0.25">
      <c r="B3" s="1693" t="s">
        <v>3568</v>
      </c>
      <c r="C3" s="1693"/>
      <c r="D3" s="1693"/>
      <c r="E3" s="1693"/>
      <c r="F3" s="1693"/>
      <c r="G3" s="1693"/>
      <c r="H3" s="1693"/>
      <c r="I3" s="1693"/>
      <c r="J3" s="1693"/>
    </row>
    <row r="4" spans="1:11" x14ac:dyDescent="0.25">
      <c r="B4" s="1650"/>
      <c r="C4" s="1650"/>
      <c r="D4" s="1650"/>
      <c r="E4" s="1650"/>
      <c r="F4" s="1650"/>
      <c r="G4" s="1650"/>
      <c r="H4" s="1650"/>
      <c r="I4" s="1650"/>
      <c r="J4" s="1650"/>
    </row>
    <row r="5" spans="1:11" ht="15.75" customHeight="1" x14ac:dyDescent="0.25">
      <c r="B5" s="1694" t="s">
        <v>3569</v>
      </c>
      <c r="C5" s="1694"/>
      <c r="D5" s="1694"/>
      <c r="E5" s="1694"/>
      <c r="F5" s="1694"/>
      <c r="G5" s="1694"/>
      <c r="H5" s="1694"/>
      <c r="I5" s="1694"/>
      <c r="J5" s="1694"/>
    </row>
    <row r="7" spans="1:11" x14ac:dyDescent="0.25">
      <c r="B7" s="1651"/>
      <c r="C7" s="1651"/>
      <c r="D7" s="1651"/>
      <c r="E7" s="1651"/>
      <c r="F7" s="1651"/>
      <c r="G7" s="1651"/>
      <c r="H7" s="1651"/>
      <c r="I7" s="1651"/>
      <c r="J7" s="1688" t="s">
        <v>3628</v>
      </c>
      <c r="K7" s="4"/>
    </row>
    <row r="8" spans="1:11" ht="15" customHeight="1" x14ac:dyDescent="0.25">
      <c r="B8" s="1695" t="s">
        <v>3570</v>
      </c>
      <c r="C8" s="1695" t="s">
        <v>3570</v>
      </c>
      <c r="D8" s="1698" t="s">
        <v>9</v>
      </c>
      <c r="E8" s="1699"/>
      <c r="F8" s="1704" t="s">
        <v>3571</v>
      </c>
      <c r="G8" s="1698"/>
      <c r="H8" s="1699"/>
      <c r="I8" s="1695" t="s">
        <v>3572</v>
      </c>
      <c r="J8" s="1695" t="s">
        <v>3573</v>
      </c>
    </row>
    <row r="9" spans="1:11" ht="75" customHeight="1" x14ac:dyDescent="0.25">
      <c r="B9" s="1696"/>
      <c r="C9" s="1696"/>
      <c r="D9" s="1700"/>
      <c r="E9" s="1701"/>
      <c r="F9" s="1705"/>
      <c r="G9" s="1702"/>
      <c r="H9" s="1703"/>
      <c r="I9" s="1696"/>
      <c r="J9" s="1696"/>
    </row>
    <row r="10" spans="1:11" x14ac:dyDescent="0.25">
      <c r="B10" s="1696"/>
      <c r="C10" s="1696"/>
      <c r="D10" s="1700"/>
      <c r="E10" s="1701"/>
      <c r="F10" s="1706">
        <v>44286</v>
      </c>
      <c r="G10" s="1707">
        <v>44196</v>
      </c>
      <c r="H10" s="1709">
        <v>43921</v>
      </c>
      <c r="I10" s="1696"/>
      <c r="J10" s="1696"/>
    </row>
    <row r="11" spans="1:11" x14ac:dyDescent="0.25">
      <c r="B11" s="1696"/>
      <c r="C11" s="1696"/>
      <c r="D11" s="1700"/>
      <c r="E11" s="1701"/>
      <c r="F11" s="1706"/>
      <c r="G11" s="1708"/>
      <c r="H11" s="1710"/>
      <c r="I11" s="1697"/>
      <c r="J11" s="1697"/>
    </row>
    <row r="12" spans="1:11" x14ac:dyDescent="0.25">
      <c r="B12" s="1697"/>
      <c r="C12" s="1697"/>
      <c r="D12" s="1702"/>
      <c r="E12" s="1703"/>
      <c r="F12" s="1652" t="s">
        <v>3574</v>
      </c>
      <c r="G12" s="1682" t="s">
        <v>3574</v>
      </c>
      <c r="H12" s="1652" t="s">
        <v>3574</v>
      </c>
      <c r="I12" s="1652" t="s">
        <v>3575</v>
      </c>
      <c r="J12" s="301" t="s">
        <v>3575</v>
      </c>
    </row>
    <row r="13" spans="1:11" x14ac:dyDescent="0.25">
      <c r="B13" s="829"/>
      <c r="C13" s="1653"/>
      <c r="D13" s="1654"/>
      <c r="E13" s="1655"/>
      <c r="F13" s="1656"/>
      <c r="G13" s="1683"/>
      <c r="H13" s="1657"/>
      <c r="I13" s="1656"/>
      <c r="J13" s="1656"/>
    </row>
    <row r="14" spans="1:11" x14ac:dyDescent="0.25">
      <c r="B14" s="829" t="s">
        <v>3210</v>
      </c>
      <c r="C14" s="726"/>
      <c r="D14" s="4" t="s">
        <v>3576</v>
      </c>
      <c r="E14" s="847"/>
      <c r="F14" s="1658"/>
      <c r="G14" s="1667"/>
      <c r="H14" s="1659"/>
      <c r="I14" s="1658"/>
      <c r="J14" s="1658"/>
    </row>
    <row r="15" spans="1:11" x14ac:dyDescent="0.25">
      <c r="B15" s="829"/>
      <c r="C15" s="726" t="s">
        <v>3577</v>
      </c>
      <c r="D15" t="s">
        <v>3578</v>
      </c>
      <c r="E15" s="847"/>
      <c r="F15" s="1658">
        <f>+I15-5325.38</f>
        <v>2872.2104119999995</v>
      </c>
      <c r="G15" s="1667">
        <v>2295.1273450000003</v>
      </c>
      <c r="H15" s="1659">
        <v>1715.0252859999991</v>
      </c>
      <c r="I15" s="1658">
        <f>+BSPL!F78/A1</f>
        <v>8197.5904119999996</v>
      </c>
      <c r="J15" s="1658">
        <f>+BSPL!G78/'Result 1'!$A$1</f>
        <v>6987.2602859999988</v>
      </c>
    </row>
    <row r="16" spans="1:11" x14ac:dyDescent="0.25">
      <c r="B16" s="829"/>
      <c r="C16" s="726" t="s">
        <v>3579</v>
      </c>
      <c r="D16" t="s">
        <v>3580</v>
      </c>
      <c r="E16" s="847"/>
      <c r="F16" s="1658">
        <f>+I16-8.77</f>
        <v>3.1280099999999997</v>
      </c>
      <c r="G16" s="1667">
        <v>2.7836400000000001</v>
      </c>
      <c r="H16" s="1659">
        <v>1.5437499999999993</v>
      </c>
      <c r="I16" s="1658">
        <f>+BSPL!F79/'Result 1'!$A$1</f>
        <v>11.898009999999999</v>
      </c>
      <c r="J16" s="1658">
        <f>+BSPL!G79/'Result 1'!$A$1</f>
        <v>10.37875</v>
      </c>
    </row>
    <row r="17" spans="2:10" ht="16.899999999999999" customHeight="1" x14ac:dyDescent="0.25">
      <c r="B17" s="829"/>
      <c r="C17" s="726"/>
      <c r="E17" s="847"/>
      <c r="F17" s="1660"/>
      <c r="G17" s="1661"/>
      <c r="H17" s="1662"/>
      <c r="I17" s="1661"/>
      <c r="J17" s="1661"/>
    </row>
    <row r="18" spans="2:10" ht="17.100000000000001" customHeight="1" thickBot="1" x14ac:dyDescent="0.3">
      <c r="B18" s="829"/>
      <c r="C18" s="726"/>
      <c r="D18" s="4" t="s">
        <v>3581</v>
      </c>
      <c r="E18" s="847"/>
      <c r="F18" s="1663">
        <f>F15+F16</f>
        <v>2875.3384219999994</v>
      </c>
      <c r="G18" s="1664">
        <f>G15+G16</f>
        <v>2297.9109850000004</v>
      </c>
      <c r="H18" s="1665">
        <f t="shared" ref="H18:J18" si="0">H15+H16</f>
        <v>1716.5690359999992</v>
      </c>
      <c r="I18" s="1664">
        <f>I15+I16</f>
        <v>8209.4884220000004</v>
      </c>
      <c r="J18" s="1664">
        <f t="shared" si="0"/>
        <v>6997.6390359999987</v>
      </c>
    </row>
    <row r="19" spans="2:10" ht="17.100000000000001" customHeight="1" x14ac:dyDescent="0.25">
      <c r="B19" s="829"/>
      <c r="C19" s="726"/>
      <c r="E19" s="847"/>
      <c r="F19" s="695"/>
      <c r="G19" s="1666"/>
      <c r="H19" s="1666"/>
      <c r="I19" s="1666"/>
      <c r="J19" s="1666"/>
    </row>
    <row r="20" spans="2:10" ht="17.100000000000001" customHeight="1" x14ac:dyDescent="0.25">
      <c r="B20" s="829" t="s">
        <v>3231</v>
      </c>
      <c r="C20" s="726"/>
      <c r="D20" s="4" t="s">
        <v>3582</v>
      </c>
      <c r="E20" s="847"/>
      <c r="F20" s="695"/>
      <c r="G20" s="1666"/>
      <c r="H20" s="257"/>
      <c r="I20" s="1666"/>
      <c r="J20" s="1666"/>
    </row>
    <row r="21" spans="2:10" ht="17.100000000000001" customHeight="1" x14ac:dyDescent="0.25">
      <c r="B21" s="829"/>
      <c r="C21" s="726" t="s">
        <v>3577</v>
      </c>
      <c r="D21" t="s">
        <v>3583</v>
      </c>
      <c r="E21" s="847"/>
      <c r="F21" s="1658">
        <f>+I21-3375.66</f>
        <v>2153.5369688999999</v>
      </c>
      <c r="G21" s="1667">
        <v>1506.4238342128526</v>
      </c>
      <c r="H21" s="1668">
        <v>1037.6706431871471</v>
      </c>
      <c r="I21" s="1667">
        <f>+BSPL!F82/'Result 1'!$A$1</f>
        <v>5529.1969688999998</v>
      </c>
      <c r="J21" s="1667">
        <f>+BSPL!G82/'Result 1'!$A$1</f>
        <v>4328.7606432000002</v>
      </c>
    </row>
    <row r="22" spans="2:10" ht="17.100000000000001" customHeight="1" x14ac:dyDescent="0.25">
      <c r="B22" s="829"/>
      <c r="C22" s="726" t="s">
        <v>3579</v>
      </c>
      <c r="D22" t="s">
        <v>963</v>
      </c>
      <c r="E22" s="847"/>
      <c r="F22" s="1658"/>
      <c r="G22" s="1667"/>
      <c r="H22" s="1668">
        <v>12.34765</v>
      </c>
      <c r="I22" s="1667">
        <f>+BSPL!F83/'Result 1'!$A$1</f>
        <v>0</v>
      </c>
      <c r="J22" s="1667">
        <f>+BSPL!G83/'Result 1'!$A$1</f>
        <v>12.34765</v>
      </c>
    </row>
    <row r="23" spans="2:10" ht="17.100000000000001" customHeight="1" x14ac:dyDescent="0.25">
      <c r="B23" s="829"/>
      <c r="C23" s="726" t="s">
        <v>3584</v>
      </c>
      <c r="D23" s="1711" t="s">
        <v>3585</v>
      </c>
      <c r="E23" s="1712"/>
      <c r="F23" s="1658">
        <f>+I23-33.8138</f>
        <v>-116.29639717889346</v>
      </c>
      <c r="G23" s="1667">
        <v>20.75</v>
      </c>
      <c r="H23" s="1668">
        <v>22.306993805988213</v>
      </c>
      <c r="I23" s="1667">
        <f>+BSPL!F84/'Result 1'!$A$1</f>
        <v>-82.482597178893457</v>
      </c>
      <c r="J23" s="1667">
        <f>+BSPL!G84/'Result 1'!$A$1</f>
        <v>56.866993852898098</v>
      </c>
    </row>
    <row r="24" spans="2:10" ht="17.100000000000001" customHeight="1" x14ac:dyDescent="0.25">
      <c r="B24" s="829"/>
      <c r="C24" s="726" t="s">
        <v>3586</v>
      </c>
      <c r="D24" t="s">
        <v>600</v>
      </c>
      <c r="E24" s="847"/>
      <c r="F24" s="1658">
        <f>+I24-157.676</f>
        <v>58.734490000000022</v>
      </c>
      <c r="G24" s="1667">
        <v>54.326170000000019</v>
      </c>
      <c r="H24" s="1668">
        <v>49.406669999999991</v>
      </c>
      <c r="I24" s="1667">
        <f>+BSPL!F85/'Result 1'!$A$1</f>
        <v>216.41049000000001</v>
      </c>
      <c r="J24" s="1667">
        <f>+BSPL!G85/'Result 1'!$A$1</f>
        <v>213.36667</v>
      </c>
    </row>
    <row r="25" spans="2:10" ht="17.100000000000001" customHeight="1" x14ac:dyDescent="0.25">
      <c r="B25" s="829"/>
      <c r="C25" s="726" t="s">
        <v>3587</v>
      </c>
      <c r="D25" t="s">
        <v>3590</v>
      </c>
      <c r="E25" s="847"/>
      <c r="F25" s="1658">
        <f>+I25-45.9879</f>
        <v>17.733949500000001</v>
      </c>
      <c r="G25" s="1667">
        <v>41.082120000000003</v>
      </c>
      <c r="H25" s="1668">
        <v>44.139390000000006</v>
      </c>
      <c r="I25" s="1667">
        <f>+BSPL!F86/'Result 1'!$A$1</f>
        <v>63.721849500000005</v>
      </c>
      <c r="J25" s="1667">
        <f>+BSPL!G86/'Result 1'!$A$1</f>
        <v>93.563609400000018</v>
      </c>
    </row>
    <row r="26" spans="2:10" ht="17.100000000000001" customHeight="1" x14ac:dyDescent="0.25">
      <c r="B26" s="829"/>
      <c r="C26" s="726" t="s">
        <v>3589</v>
      </c>
      <c r="D26" t="s">
        <v>3588</v>
      </c>
      <c r="F26" s="1658">
        <f>+I26-121.422</f>
        <v>55.857816031002244</v>
      </c>
      <c r="G26" s="1667">
        <v>12.217889499999998</v>
      </c>
      <c r="H26" s="1668">
        <v>23.243609400000025</v>
      </c>
      <c r="I26" s="1667">
        <f>+BSPL!F87/'Result 1'!$A$1</f>
        <v>177.27981603100224</v>
      </c>
      <c r="J26" s="1667">
        <f>+BSPL!G87/'Result 1'!$A$1</f>
        <v>171.92939000000001</v>
      </c>
    </row>
    <row r="27" spans="2:10" ht="17.100000000000001" customHeight="1" x14ac:dyDescent="0.25">
      <c r="B27" s="829"/>
      <c r="C27" s="726" t="s">
        <v>3591</v>
      </c>
      <c r="D27" t="s">
        <v>467</v>
      </c>
      <c r="E27" s="847"/>
      <c r="F27" s="1658">
        <f>+I27-1253.44</f>
        <v>569.27652999999964</v>
      </c>
      <c r="G27" s="1667">
        <v>487.54</v>
      </c>
      <c r="H27" s="1668">
        <v>485.67608549999977</v>
      </c>
      <c r="I27" s="1667">
        <f>+BSPL!F88/'Result 1'!$A$1</f>
        <v>1822.7165299999997</v>
      </c>
      <c r="J27" s="1667">
        <f>+BSPL!G88/'Result 1'!$A$1</f>
        <v>1905.8160854999999</v>
      </c>
    </row>
    <row r="28" spans="2:10" ht="17.100000000000001" customHeight="1" x14ac:dyDescent="0.25">
      <c r="B28" s="829"/>
      <c r="C28" s="726"/>
      <c r="E28" s="847"/>
      <c r="F28" s="1660"/>
      <c r="G28" s="1661"/>
      <c r="H28" s="1662"/>
      <c r="I28" s="1661"/>
      <c r="J28" s="1661"/>
    </row>
    <row r="29" spans="2:10" ht="17.100000000000001" customHeight="1" thickBot="1" x14ac:dyDescent="0.3">
      <c r="B29" s="829"/>
      <c r="C29" s="726"/>
      <c r="D29" s="4" t="s">
        <v>3592</v>
      </c>
      <c r="E29" s="847"/>
      <c r="F29" s="1663">
        <f>SUM(F21:F27)</f>
        <v>2738.8433572521085</v>
      </c>
      <c r="G29" s="1664">
        <f>SUM(G21:G27)</f>
        <v>2122.3400137128529</v>
      </c>
      <c r="H29" s="1664">
        <f>SUM(H21:H27)</f>
        <v>1674.7910418931351</v>
      </c>
      <c r="I29" s="1664">
        <f>SUM(I21:I27)</f>
        <v>7726.8430572521083</v>
      </c>
      <c r="J29" s="1664">
        <f>SUM(J21:J27)</f>
        <v>6782.6510419528986</v>
      </c>
    </row>
    <row r="30" spans="2:10" ht="17.100000000000001" customHeight="1" x14ac:dyDescent="0.25">
      <c r="B30" s="829"/>
      <c r="C30" s="726"/>
      <c r="E30" s="847"/>
      <c r="F30" s="695"/>
      <c r="G30" s="1666"/>
      <c r="H30" s="246"/>
      <c r="I30" s="695"/>
      <c r="J30" s="695"/>
    </row>
    <row r="31" spans="2:10" ht="17.100000000000001" customHeight="1" x14ac:dyDescent="0.25">
      <c r="B31" s="829" t="s">
        <v>3249</v>
      </c>
      <c r="C31" s="726"/>
      <c r="D31" s="1690" t="s">
        <v>3593</v>
      </c>
      <c r="E31" s="1691"/>
      <c r="F31" s="1658">
        <f>F18-F29</f>
        <v>136.49506474789086</v>
      </c>
      <c r="G31" s="1667">
        <f>G18-G29</f>
        <v>175.57097128714759</v>
      </c>
      <c r="H31" s="1658">
        <f>H18-H29</f>
        <v>41.777994106864071</v>
      </c>
      <c r="I31" s="1658">
        <f>I18-I29</f>
        <v>482.64536474789202</v>
      </c>
      <c r="J31" s="1658">
        <f>J18-J29</f>
        <v>214.98799404710007</v>
      </c>
    </row>
    <row r="32" spans="2:10" ht="17.100000000000001" customHeight="1" x14ac:dyDescent="0.25">
      <c r="B32" s="829"/>
      <c r="C32" s="726"/>
      <c r="E32" s="847"/>
      <c r="F32" s="1669"/>
      <c r="G32" s="1684"/>
      <c r="H32" s="1670"/>
      <c r="I32" s="1669"/>
      <c r="J32" s="1669"/>
    </row>
    <row r="33" spans="2:10" ht="17.100000000000001" customHeight="1" x14ac:dyDescent="0.25">
      <c r="B33" s="829" t="s">
        <v>3594</v>
      </c>
      <c r="C33" s="726"/>
      <c r="D33" t="s">
        <v>3595</v>
      </c>
      <c r="E33" s="847"/>
      <c r="F33" s="1669"/>
      <c r="G33" s="1684">
        <v>0</v>
      </c>
      <c r="H33" s="1670"/>
      <c r="I33" s="1669">
        <v>0</v>
      </c>
      <c r="J33" s="1669">
        <v>0</v>
      </c>
    </row>
    <row r="34" spans="2:10" ht="17.100000000000001" customHeight="1" x14ac:dyDescent="0.25">
      <c r="B34" s="829" t="s">
        <v>3596</v>
      </c>
      <c r="C34" s="726"/>
      <c r="D34" s="1690" t="s">
        <v>3597</v>
      </c>
      <c r="E34" s="1691"/>
      <c r="F34" s="1658">
        <f t="shared" ref="F34:J34" si="1">F31-F33</f>
        <v>136.49506474789086</v>
      </c>
      <c r="G34" s="1667">
        <f t="shared" si="1"/>
        <v>175.57097128714759</v>
      </c>
      <c r="H34" s="1658">
        <f t="shared" si="1"/>
        <v>41.777994106864071</v>
      </c>
      <c r="I34" s="1658">
        <f>I31-I33</f>
        <v>482.64536474789202</v>
      </c>
      <c r="J34" s="1658">
        <f t="shared" si="1"/>
        <v>214.98799404710007</v>
      </c>
    </row>
    <row r="35" spans="2:10" ht="17.100000000000001" customHeight="1" x14ac:dyDescent="0.25">
      <c r="B35" s="829"/>
      <c r="C35" s="726"/>
      <c r="E35" s="847"/>
      <c r="F35" s="1669"/>
      <c r="G35" s="1684"/>
      <c r="H35" s="1670"/>
      <c r="I35" s="1669"/>
      <c r="J35" s="1669"/>
    </row>
    <row r="36" spans="2:10" ht="17.100000000000001" customHeight="1" x14ac:dyDescent="0.25">
      <c r="B36" s="829" t="s">
        <v>3598</v>
      </c>
      <c r="C36" s="726"/>
      <c r="D36" s="4" t="s">
        <v>3599</v>
      </c>
      <c r="E36" s="847"/>
      <c r="F36" s="1669"/>
      <c r="G36" s="1684"/>
      <c r="H36" s="1670"/>
      <c r="I36" s="1669"/>
      <c r="J36" s="1669"/>
    </row>
    <row r="37" spans="2:10" ht="17.100000000000001" customHeight="1" x14ac:dyDescent="0.25">
      <c r="B37" s="829"/>
      <c r="C37" s="726" t="s">
        <v>3577</v>
      </c>
      <c r="D37" t="s">
        <v>3600</v>
      </c>
      <c r="E37" s="847"/>
      <c r="F37" s="1658">
        <f>+I37-86.5376</f>
        <v>44.273672400001999</v>
      </c>
      <c r="G37" s="1667">
        <v>49.01</v>
      </c>
      <c r="H37" s="1658">
        <v>0.55000000000000004</v>
      </c>
      <c r="I37" s="1658">
        <f>+BSPL!F95/$A$1</f>
        <v>130.811272400002</v>
      </c>
      <c r="J37" s="1658">
        <f>+BSPL!G95/$A$1</f>
        <v>45.148071802879329</v>
      </c>
    </row>
    <row r="38" spans="2:10" ht="17.100000000000001" customHeight="1" x14ac:dyDescent="0.25">
      <c r="B38" s="829"/>
      <c r="C38" s="726" t="s">
        <v>3579</v>
      </c>
      <c r="D38" t="s">
        <v>3601</v>
      </c>
      <c r="E38" s="847"/>
      <c r="F38" s="1658">
        <f>+I38-0</f>
        <v>16.999389999999998</v>
      </c>
      <c r="G38" s="1667"/>
      <c r="H38" s="1670"/>
      <c r="I38" s="1658">
        <f>+BSPL!F96/$A$1</f>
        <v>16.999389999999998</v>
      </c>
      <c r="J38" s="1658">
        <f>+BSPL!G96/$A$1</f>
        <v>0</v>
      </c>
    </row>
    <row r="39" spans="2:10" ht="17.100000000000001" customHeight="1" x14ac:dyDescent="0.25">
      <c r="B39" s="829"/>
      <c r="C39" s="726" t="s">
        <v>3584</v>
      </c>
      <c r="D39" t="s">
        <v>3602</v>
      </c>
      <c r="E39" s="847"/>
      <c r="F39" s="1658">
        <v>0</v>
      </c>
      <c r="G39" s="1667"/>
      <c r="H39" s="1670">
        <v>13.6</v>
      </c>
      <c r="I39" s="1658">
        <f>+BSPL!F97/$A$1</f>
        <v>0</v>
      </c>
      <c r="J39" s="1658">
        <f>+BSPL!G97/$A$1</f>
        <v>54.409480000000002</v>
      </c>
    </row>
    <row r="40" spans="2:10" ht="17.100000000000001" customHeight="1" x14ac:dyDescent="0.25">
      <c r="B40" s="829"/>
      <c r="C40" s="726" t="s">
        <v>3586</v>
      </c>
      <c r="D40" t="s">
        <v>3603</v>
      </c>
      <c r="E40" s="847"/>
      <c r="F40" s="1658">
        <f>+I40-0</f>
        <v>-7.8980533631785583</v>
      </c>
      <c r="G40" s="1667"/>
      <c r="H40" s="1670">
        <v>1.51</v>
      </c>
      <c r="I40" s="1658">
        <f>+BSPL!F98/$A$1</f>
        <v>-7.8980533631785583</v>
      </c>
      <c r="J40" s="1658">
        <f>+BSPL!G98/$A$1</f>
        <v>1.5096534163219855</v>
      </c>
    </row>
    <row r="41" spans="2:10" ht="17.100000000000001" customHeight="1" x14ac:dyDescent="0.25">
      <c r="B41" s="829"/>
      <c r="C41" s="726"/>
      <c r="E41" s="847"/>
      <c r="F41" s="1671"/>
      <c r="G41" s="1685"/>
      <c r="H41" s="1672"/>
      <c r="I41" s="1671"/>
      <c r="J41" s="1671"/>
    </row>
    <row r="42" spans="2:10" ht="17.100000000000001" customHeight="1" thickBot="1" x14ac:dyDescent="0.3">
      <c r="B42" s="829" t="s">
        <v>3604</v>
      </c>
      <c r="C42" s="726"/>
      <c r="D42" s="1690" t="s">
        <v>3605</v>
      </c>
      <c r="E42" s="1691"/>
      <c r="F42" s="1673">
        <f>F34-SUM(F37:F40)</f>
        <v>83.120055711067423</v>
      </c>
      <c r="G42" s="1686">
        <f>G34-SUM(G37:G40)</f>
        <v>126.56097128714759</v>
      </c>
      <c r="H42" s="1673">
        <f>H34-SUM(H37:H40)</f>
        <v>26.117994106864071</v>
      </c>
      <c r="I42" s="1673">
        <f>I34-SUM(I37:I40)</f>
        <v>342.73275571106853</v>
      </c>
      <c r="J42" s="1673">
        <f>J34-SUM(J37:J40)</f>
        <v>113.92078882789876</v>
      </c>
    </row>
    <row r="43" spans="2:10" ht="17.100000000000001" customHeight="1" x14ac:dyDescent="0.25">
      <c r="B43" s="829"/>
      <c r="C43" s="726"/>
      <c r="E43" s="847"/>
      <c r="F43" s="1669"/>
      <c r="G43" s="1684"/>
      <c r="H43" s="1670"/>
      <c r="I43" s="1669"/>
      <c r="J43" s="1669"/>
    </row>
    <row r="44" spans="2:10" ht="19.5" customHeight="1" x14ac:dyDescent="0.25">
      <c r="B44" s="829" t="s">
        <v>3606</v>
      </c>
      <c r="C44" s="726"/>
      <c r="D44" s="4" t="s">
        <v>3607</v>
      </c>
      <c r="E44" s="847"/>
      <c r="F44" s="1669"/>
      <c r="G44" s="1684"/>
      <c r="H44" s="1670"/>
      <c r="I44" s="1669"/>
      <c r="J44" s="1669"/>
    </row>
    <row r="45" spans="2:10" ht="15.75" x14ac:dyDescent="0.25">
      <c r="B45" s="829"/>
      <c r="C45" s="726" t="s">
        <v>3577</v>
      </c>
      <c r="D45" s="1674" t="s">
        <v>3608</v>
      </c>
      <c r="E45" s="847"/>
      <c r="F45" s="1658">
        <f>+I45-0</f>
        <v>11.297219999999999</v>
      </c>
      <c r="G45" s="1667" t="s">
        <v>1170</v>
      </c>
      <c r="H45" s="1658">
        <v>-1.86</v>
      </c>
      <c r="I45" s="1658">
        <f>+BSPL!F103/$A$1</f>
        <v>11.297219999999999</v>
      </c>
      <c r="J45" s="1658">
        <f>+BSPL!G103/$A$1</f>
        <v>-1.8625100000000001</v>
      </c>
    </row>
    <row r="46" spans="2:10" ht="15.75" x14ac:dyDescent="0.25">
      <c r="B46" s="829"/>
      <c r="C46" s="726" t="s">
        <v>3579</v>
      </c>
      <c r="D46" s="1674" t="s">
        <v>3609</v>
      </c>
      <c r="E46" s="847"/>
      <c r="F46" s="1658" t="s">
        <v>1170</v>
      </c>
      <c r="G46" s="1667" t="s">
        <v>1170</v>
      </c>
      <c r="H46" s="1658" t="s">
        <v>1170</v>
      </c>
      <c r="I46" s="1658">
        <f>+BSPL!F104/$A$1</f>
        <v>0</v>
      </c>
      <c r="J46" s="1658">
        <f>+BSPL!G104/$A$1</f>
        <v>0</v>
      </c>
    </row>
    <row r="47" spans="2:10" ht="15.75" x14ac:dyDescent="0.25">
      <c r="B47" s="829"/>
      <c r="C47" s="726" t="s">
        <v>3584</v>
      </c>
      <c r="D47" s="1674" t="s">
        <v>3610</v>
      </c>
      <c r="E47" s="847"/>
      <c r="F47" s="1658" t="s">
        <v>1170</v>
      </c>
      <c r="G47" s="1667" t="s">
        <v>1170</v>
      </c>
      <c r="H47" s="1658" t="s">
        <v>1170</v>
      </c>
      <c r="I47" s="1658">
        <f>+BSPL!F105/$A$1</f>
        <v>0</v>
      </c>
      <c r="J47" s="1658">
        <f>+BSPL!G105/$A$1</f>
        <v>0</v>
      </c>
    </row>
    <row r="48" spans="2:10" ht="19.5" customHeight="1" x14ac:dyDescent="0.25">
      <c r="B48" s="829"/>
      <c r="C48" s="726" t="s">
        <v>3586</v>
      </c>
      <c r="D48" s="1674" t="s">
        <v>3609</v>
      </c>
      <c r="E48" s="847"/>
      <c r="F48" s="1658" t="s">
        <v>1170</v>
      </c>
      <c r="G48" s="1667" t="s">
        <v>1170</v>
      </c>
      <c r="H48" s="1658" t="s">
        <v>1170</v>
      </c>
      <c r="I48" s="1658">
        <f>+BSPL!F106/$A$1</f>
        <v>0</v>
      </c>
      <c r="J48" s="1658">
        <f>+BSPL!G106/$A$1</f>
        <v>0</v>
      </c>
    </row>
    <row r="49" spans="2:10" x14ac:dyDescent="0.25">
      <c r="B49" s="829"/>
      <c r="C49" s="726"/>
      <c r="E49" s="847"/>
      <c r="F49" s="1671"/>
      <c r="G49" s="1685"/>
      <c r="H49" s="1672"/>
      <c r="I49" s="1671"/>
      <c r="J49" s="1671"/>
    </row>
    <row r="50" spans="2:10" ht="15.75" thickBot="1" x14ac:dyDescent="0.3">
      <c r="B50" s="829" t="s">
        <v>3611</v>
      </c>
      <c r="C50" s="726"/>
      <c r="D50" s="1690" t="s">
        <v>3612</v>
      </c>
      <c r="E50" s="1691"/>
      <c r="F50" s="1673">
        <f>SUM(F42,F45:F48)</f>
        <v>94.417275711067418</v>
      </c>
      <c r="G50" s="1686">
        <f t="shared" ref="G50:J50" si="2">SUM(G42,G45:G48)</f>
        <v>126.56097128714759</v>
      </c>
      <c r="H50" s="1673">
        <f>SUM(H42,H45:H48)</f>
        <v>24.257994106864071</v>
      </c>
      <c r="I50" s="1673">
        <f t="shared" si="2"/>
        <v>354.02997571106852</v>
      </c>
      <c r="J50" s="1673">
        <f t="shared" si="2"/>
        <v>112.05827882789876</v>
      </c>
    </row>
    <row r="51" spans="2:10" x14ac:dyDescent="0.25">
      <c r="B51" s="829"/>
      <c r="C51" s="726"/>
      <c r="E51" s="847"/>
      <c r="F51" s="1669"/>
      <c r="G51" s="1684"/>
      <c r="H51" s="1670"/>
      <c r="I51" s="1669"/>
      <c r="J51" s="1669"/>
    </row>
    <row r="52" spans="2:10" x14ac:dyDescent="0.25">
      <c r="B52" s="829" t="s">
        <v>3613</v>
      </c>
      <c r="C52" s="726"/>
      <c r="D52" s="1690" t="s">
        <v>3614</v>
      </c>
      <c r="E52" s="1691"/>
      <c r="F52" s="1658">
        <v>269.23</v>
      </c>
      <c r="G52" s="1667">
        <v>269.23</v>
      </c>
      <c r="H52" s="1658">
        <v>269.23</v>
      </c>
      <c r="I52" s="1658">
        <v>269.23</v>
      </c>
      <c r="J52" s="1658">
        <v>269.23</v>
      </c>
    </row>
    <row r="53" spans="2:10" x14ac:dyDescent="0.25">
      <c r="B53" s="829"/>
      <c r="C53" s="726"/>
      <c r="E53" s="847"/>
      <c r="F53" s="1669"/>
      <c r="G53" s="1684"/>
      <c r="H53" s="1670"/>
      <c r="I53" s="1669"/>
      <c r="J53" s="1669"/>
    </row>
    <row r="54" spans="2:10" x14ac:dyDescent="0.25">
      <c r="B54" s="829" t="s">
        <v>3615</v>
      </c>
      <c r="C54" s="726"/>
      <c r="D54" s="4" t="s">
        <v>3616</v>
      </c>
      <c r="E54" s="847"/>
      <c r="F54" s="1669"/>
      <c r="G54" s="1684"/>
      <c r="H54" s="1670"/>
      <c r="I54" s="1669"/>
      <c r="J54" s="1669"/>
    </row>
    <row r="55" spans="2:10" x14ac:dyDescent="0.25">
      <c r="B55" s="829"/>
      <c r="C55" s="726" t="s">
        <v>3577</v>
      </c>
      <c r="D55" t="s">
        <v>3617</v>
      </c>
      <c r="E55" s="847"/>
      <c r="F55" s="1658">
        <f>F42/(F52/10)</f>
        <v>3.0873251759115781</v>
      </c>
      <c r="G55" s="1667">
        <f t="shared" ref="G55:J55" si="3">G42/(G52/10)</f>
        <v>4.7008495073783596</v>
      </c>
      <c r="H55" s="1658">
        <f t="shared" si="3"/>
        <v>0.97009969568265308</v>
      </c>
      <c r="I55" s="1658">
        <f>I42/(I52/10)</f>
        <v>12.730110155297274</v>
      </c>
      <c r="J55" s="1658">
        <f t="shared" si="3"/>
        <v>4.231355674623881</v>
      </c>
    </row>
    <row r="56" spans="2:10" x14ac:dyDescent="0.25">
      <c r="B56" s="829"/>
      <c r="C56" s="726" t="s">
        <v>3579</v>
      </c>
      <c r="D56" t="s">
        <v>3618</v>
      </c>
      <c r="E56" s="847"/>
      <c r="F56" s="1658">
        <f>F42/(F52/10)</f>
        <v>3.0873251759115781</v>
      </c>
      <c r="G56" s="1667">
        <f t="shared" ref="G56:J56" si="4">G42/(G52/10)</f>
        <v>4.7008495073783596</v>
      </c>
      <c r="H56" s="1658">
        <f t="shared" si="4"/>
        <v>0.97009969568265308</v>
      </c>
      <c r="I56" s="1658">
        <f>I42/(I52/10)</f>
        <v>12.730110155297274</v>
      </c>
      <c r="J56" s="1658">
        <f t="shared" si="4"/>
        <v>4.231355674623881</v>
      </c>
    </row>
    <row r="57" spans="2:10" x14ac:dyDescent="0.25">
      <c r="B57" s="1675"/>
      <c r="C57" s="1676"/>
      <c r="D57" s="1677"/>
      <c r="E57" s="1678"/>
      <c r="F57" s="1676"/>
      <c r="G57" s="1676"/>
      <c r="H57" s="1677"/>
      <c r="I57" s="1676"/>
      <c r="J57" s="1676"/>
    </row>
    <row r="58" spans="2:10" x14ac:dyDescent="0.25">
      <c r="I58" s="1679"/>
      <c r="J58" s="1679"/>
    </row>
    <row r="59" spans="2:10" x14ac:dyDescent="0.25">
      <c r="B59" s="300" t="s">
        <v>3619</v>
      </c>
    </row>
    <row r="60" spans="2:10" x14ac:dyDescent="0.25">
      <c r="B60" s="1680" t="s">
        <v>3620</v>
      </c>
      <c r="C60" s="1689" t="s">
        <v>3621</v>
      </c>
      <c r="D60" s="1689"/>
      <c r="E60" s="1689"/>
      <c r="F60" s="1689"/>
      <c r="G60" s="1689"/>
      <c r="H60" s="1689"/>
      <c r="I60" s="1689"/>
      <c r="J60" s="1689"/>
    </row>
    <row r="61" spans="2:10" x14ac:dyDescent="0.25">
      <c r="B61" s="1680"/>
    </row>
    <row r="62" spans="2:10" ht="57" customHeight="1" x14ac:dyDescent="0.25">
      <c r="B62" s="1680" t="s">
        <v>3622</v>
      </c>
      <c r="C62" s="1689" t="s">
        <v>3623</v>
      </c>
      <c r="D62" s="1689"/>
      <c r="E62" s="1689"/>
      <c r="F62" s="1689"/>
      <c r="G62" s="1689"/>
      <c r="H62" s="1689"/>
      <c r="I62" s="1689"/>
      <c r="J62" s="1689"/>
    </row>
    <row r="63" spans="2:10" x14ac:dyDescent="0.25">
      <c r="B63" s="1681"/>
    </row>
    <row r="64" spans="2:10" x14ac:dyDescent="0.25">
      <c r="B64" s="1680" t="s">
        <v>3624</v>
      </c>
      <c r="C64" t="s">
        <v>3625</v>
      </c>
    </row>
    <row r="65" spans="2:10" x14ac:dyDescent="0.25">
      <c r="B65" s="1681"/>
    </row>
    <row r="66" spans="2:10" x14ac:dyDescent="0.25">
      <c r="B66" s="1681" t="s">
        <v>3626</v>
      </c>
      <c r="C66" t="s">
        <v>3627</v>
      </c>
    </row>
    <row r="68" spans="2:10" ht="45" customHeight="1" x14ac:dyDescent="0.25">
      <c r="B68" s="1680" t="s">
        <v>3630</v>
      </c>
      <c r="C68" s="1689" t="s">
        <v>3631</v>
      </c>
      <c r="D68" s="1689"/>
      <c r="E68" s="1689"/>
      <c r="F68" s="1689"/>
      <c r="G68" s="1689"/>
      <c r="H68" s="1689"/>
      <c r="I68" s="1689"/>
      <c r="J68" s="1689"/>
    </row>
  </sheetData>
  <mergeCells count="22">
    <mergeCell ref="C62:J62"/>
    <mergeCell ref="D31:E31"/>
    <mergeCell ref="D42:E42"/>
    <mergeCell ref="D50:E50"/>
    <mergeCell ref="D52:E52"/>
    <mergeCell ref="C60:J60"/>
    <mergeCell ref="C68:J68"/>
    <mergeCell ref="D34:E34"/>
    <mergeCell ref="B1:J1"/>
    <mergeCell ref="B2:J2"/>
    <mergeCell ref="B3:J3"/>
    <mergeCell ref="B5:J5"/>
    <mergeCell ref="B8:B12"/>
    <mergeCell ref="C8:C12"/>
    <mergeCell ref="D8:E12"/>
    <mergeCell ref="F8:H9"/>
    <mergeCell ref="I8:I11"/>
    <mergeCell ref="J8:J11"/>
    <mergeCell ref="F10:F11"/>
    <mergeCell ref="G10:G11"/>
    <mergeCell ref="H10:H11"/>
    <mergeCell ref="D23:E23"/>
  </mergeCells>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view="pageBreakPreview" zoomScale="73" zoomScaleNormal="100" zoomScaleSheetLayoutView="73" workbookViewId="0">
      <selection activeCell="E79" sqref="E79"/>
    </sheetView>
  </sheetViews>
  <sheetFormatPr defaultRowHeight="15" x14ac:dyDescent="0.25"/>
  <cols>
    <col min="1" max="1" width="68.5703125" customWidth="1"/>
    <col min="4" max="4" width="20.5703125" customWidth="1"/>
    <col min="5" max="5" width="21" customWidth="1"/>
    <col min="6" max="6" width="3.42578125" customWidth="1"/>
  </cols>
  <sheetData>
    <row r="1" spans="1:7" ht="18.75" x14ac:dyDescent="0.3">
      <c r="A1" s="1713" t="s">
        <v>907</v>
      </c>
      <c r="B1" s="1714"/>
      <c r="C1" s="1714"/>
      <c r="D1" s="1714"/>
      <c r="E1" s="1715"/>
      <c r="G1">
        <v>100000</v>
      </c>
    </row>
    <row r="2" spans="1:7" ht="21" x14ac:dyDescent="0.25">
      <c r="A2" s="1716" t="s">
        <v>3629</v>
      </c>
      <c r="B2" s="1716"/>
      <c r="C2" s="1716"/>
      <c r="D2" s="1716"/>
      <c r="E2" s="1716"/>
    </row>
    <row r="3" spans="1:7" ht="18.75" x14ac:dyDescent="0.3">
      <c r="A3" s="1603"/>
      <c r="B3" s="1303"/>
      <c r="C3" s="1303"/>
      <c r="D3" s="1303"/>
      <c r="E3" s="1602" t="s">
        <v>3628</v>
      </c>
    </row>
    <row r="4" spans="1:7" ht="18.75" x14ac:dyDescent="0.3">
      <c r="A4" s="34" t="s">
        <v>9</v>
      </c>
      <c r="B4" s="1323"/>
      <c r="C4" s="1323"/>
      <c r="D4" s="1324" t="s">
        <v>909</v>
      </c>
      <c r="E4" s="1324" t="s">
        <v>910</v>
      </c>
    </row>
    <row r="5" spans="1:7" ht="18.75" x14ac:dyDescent="0.3">
      <c r="A5" s="36"/>
      <c r="B5" s="37"/>
      <c r="C5" s="37"/>
      <c r="D5" s="38" t="s">
        <v>3551</v>
      </c>
      <c r="E5" s="38" t="s">
        <v>3550</v>
      </c>
    </row>
    <row r="6" spans="1:7" ht="17.100000000000001" customHeight="1" x14ac:dyDescent="0.3">
      <c r="A6" s="39" t="s">
        <v>912</v>
      </c>
      <c r="B6" s="30"/>
      <c r="C6" s="30"/>
      <c r="D6" s="41"/>
      <c r="E6" s="41"/>
    </row>
    <row r="7" spans="1:7" ht="17.100000000000001" customHeight="1" x14ac:dyDescent="0.3">
      <c r="A7" s="39" t="s">
        <v>913</v>
      </c>
      <c r="B7" s="30"/>
      <c r="C7" s="30"/>
      <c r="D7" s="41"/>
      <c r="E7" s="41"/>
    </row>
    <row r="8" spans="1:7" ht="17.100000000000001" customHeight="1" x14ac:dyDescent="0.3">
      <c r="A8" s="42" t="s">
        <v>914</v>
      </c>
      <c r="B8" s="30"/>
      <c r="C8" s="30"/>
      <c r="D8" s="1471">
        <f>+BSPL!F8/'Result 2'!$G$1</f>
        <v>2162.2979826099222</v>
      </c>
      <c r="E8" s="1471">
        <f>+BSPL!G8/'Result 2'!$G$1</f>
        <v>2263.9516721986934</v>
      </c>
    </row>
    <row r="9" spans="1:7" ht="17.100000000000001" customHeight="1" x14ac:dyDescent="0.3">
      <c r="A9" s="42" t="s">
        <v>915</v>
      </c>
      <c r="B9" s="30"/>
      <c r="C9" s="30"/>
      <c r="D9" s="1471">
        <f>+BSPL!F9/'Result 2'!$G$1</f>
        <v>3.1300773999999838</v>
      </c>
      <c r="E9" s="1471">
        <f>+BSPL!G9/'Result 2'!$G$1</f>
        <v>4.0247919999999997</v>
      </c>
    </row>
    <row r="10" spans="1:7" ht="17.100000000000001" customHeight="1" x14ac:dyDescent="0.3">
      <c r="A10" s="46" t="s">
        <v>916</v>
      </c>
      <c r="B10" s="30"/>
      <c r="C10" s="30"/>
      <c r="D10" s="1471"/>
      <c r="E10" s="1471"/>
    </row>
    <row r="11" spans="1:7" ht="17.100000000000001" customHeight="1" x14ac:dyDescent="0.3">
      <c r="A11" s="48" t="s">
        <v>2579</v>
      </c>
      <c r="B11" s="30"/>
      <c r="C11" s="30"/>
      <c r="D11" s="1471">
        <f>+BSPL!F11/'Result 2'!$G$1</f>
        <v>19.85304</v>
      </c>
      <c r="E11" s="1471">
        <f>+BSPL!G11/'Result 2'!$G$1</f>
        <v>22.132349999999999</v>
      </c>
    </row>
    <row r="12" spans="1:7" ht="17.100000000000001" customHeight="1" x14ac:dyDescent="0.3">
      <c r="A12" s="1489" t="s">
        <v>917</v>
      </c>
      <c r="B12" s="30"/>
      <c r="C12" s="30"/>
      <c r="D12" s="1471">
        <f>+BSPL!F12/'Result 2'!$G$1</f>
        <v>115.87218</v>
      </c>
      <c r="E12" s="1471">
        <f>+BSPL!G12/'Result 2'!$G$1</f>
        <v>63.772410000000001</v>
      </c>
    </row>
    <row r="13" spans="1:7" ht="17.100000000000001" customHeight="1" x14ac:dyDescent="0.3">
      <c r="A13" s="1595" t="s">
        <v>918</v>
      </c>
      <c r="B13" s="30"/>
      <c r="C13" s="30"/>
      <c r="D13" s="1615">
        <f>+SUM(D8:D12)</f>
        <v>2301.1532800099221</v>
      </c>
      <c r="E13" s="1615">
        <f>+SUM(E8:E12)</f>
        <v>2353.8812241986934</v>
      </c>
    </row>
    <row r="14" spans="1:7" ht="17.100000000000001" customHeight="1" x14ac:dyDescent="0.3">
      <c r="A14" s="1595" t="s">
        <v>919</v>
      </c>
      <c r="B14" s="30"/>
      <c r="C14" s="30"/>
      <c r="D14" s="422"/>
      <c r="E14" s="1471"/>
    </row>
    <row r="15" spans="1:7" ht="17.100000000000001" customHeight="1" x14ac:dyDescent="0.3">
      <c r="A15" s="1489" t="s">
        <v>920</v>
      </c>
      <c r="B15" s="30"/>
      <c r="C15" s="30"/>
      <c r="D15" s="1471">
        <f>+BSPL!F15/'Result 2'!$G$1</f>
        <v>675.13794217889335</v>
      </c>
      <c r="E15" s="1471">
        <f>+BSPL!G15/'Result 2'!$G$1</f>
        <v>678.23511889999997</v>
      </c>
    </row>
    <row r="16" spans="1:7" ht="17.100000000000001" customHeight="1" x14ac:dyDescent="0.3">
      <c r="A16" s="1489" t="s">
        <v>916</v>
      </c>
      <c r="B16" s="30"/>
      <c r="C16" s="30"/>
      <c r="D16" s="1471">
        <f>+BSPL!F16/'Result 2'!$G$1</f>
        <v>0</v>
      </c>
      <c r="E16" s="1471">
        <f>+BSPL!G16/'Result 2'!$G$1</f>
        <v>0</v>
      </c>
    </row>
    <row r="17" spans="1:5" ht="17.100000000000001" customHeight="1" x14ac:dyDescent="0.3">
      <c r="A17" s="50" t="s">
        <v>921</v>
      </c>
      <c r="B17" s="30"/>
      <c r="C17" s="30"/>
      <c r="D17" s="1471">
        <f>+BSPL!F17/'Result 2'!$G$1</f>
        <v>1557.6004943</v>
      </c>
      <c r="E17" s="1471">
        <f>+BSPL!G17/'Result 2'!$G$1</f>
        <v>948.54387999999994</v>
      </c>
    </row>
    <row r="18" spans="1:5" ht="17.100000000000001" customHeight="1" x14ac:dyDescent="0.3">
      <c r="A18" s="50" t="s">
        <v>922</v>
      </c>
      <c r="B18" s="30"/>
      <c r="C18" s="30"/>
      <c r="D18" s="1471">
        <f>+BSPL!F18/'Result 2'!$G$1</f>
        <v>3.3386840000000002</v>
      </c>
      <c r="E18" s="1471">
        <f>+BSPL!G18/'Result 2'!$G$1</f>
        <v>2.83263</v>
      </c>
    </row>
    <row r="19" spans="1:5" ht="17.100000000000001" customHeight="1" x14ac:dyDescent="0.3">
      <c r="A19" s="50" t="s">
        <v>923</v>
      </c>
      <c r="B19" s="30"/>
      <c r="C19" s="30"/>
      <c r="D19" s="1471">
        <f>+BSPL!F19/'Result 2'!$G$1</f>
        <v>0</v>
      </c>
      <c r="E19" s="1471">
        <f>+BSPL!G19/'Result 2'!$G$1</f>
        <v>0.83453500000000003</v>
      </c>
    </row>
    <row r="20" spans="1:5" ht="17.100000000000001" customHeight="1" x14ac:dyDescent="0.3">
      <c r="A20" s="50" t="s">
        <v>924</v>
      </c>
      <c r="B20" s="30"/>
      <c r="C20" s="30"/>
      <c r="D20" s="1471">
        <f>+BSPL!F20/'Result 2'!$G$1</f>
        <v>72.81</v>
      </c>
      <c r="E20" s="1471">
        <f>+BSPL!G20/'Result 2'!$G$1</f>
        <v>85.432999600000002</v>
      </c>
    </row>
    <row r="21" spans="1:5" ht="17.100000000000001" customHeight="1" x14ac:dyDescent="0.3">
      <c r="A21" s="1489" t="s">
        <v>925</v>
      </c>
      <c r="B21" s="30"/>
      <c r="C21" s="30"/>
      <c r="D21" s="1471">
        <f>+BSPL!F21/'Result 2'!$G$1</f>
        <v>42.094950199999992</v>
      </c>
      <c r="E21" s="1471">
        <f>+BSPL!G21/'Result 2'!$G$1</f>
        <v>51.067363549999996</v>
      </c>
    </row>
    <row r="22" spans="1:5" ht="17.100000000000001" customHeight="1" x14ac:dyDescent="0.3">
      <c r="A22" s="1489" t="s">
        <v>926</v>
      </c>
      <c r="B22" s="30"/>
      <c r="C22" s="30"/>
      <c r="D22" s="1471">
        <f>+BSPL!F22/'Result 2'!$G$1</f>
        <v>6.7330699999999997</v>
      </c>
      <c r="E22" s="1471">
        <f>+BSPL!G22/'Result 2'!$G$1</f>
        <v>5.8509399999999996</v>
      </c>
    </row>
    <row r="23" spans="1:5" ht="17.100000000000001" customHeight="1" x14ac:dyDescent="0.3">
      <c r="A23" s="48"/>
      <c r="B23" s="30"/>
      <c r="C23" s="30"/>
      <c r="D23" s="1615">
        <f>+SUM(D15:D22)</f>
        <v>2357.715140678893</v>
      </c>
      <c r="E23" s="1615">
        <f>+SUM(E15:E22)</f>
        <v>1772.7974670499998</v>
      </c>
    </row>
    <row r="24" spans="1:5" ht="17.100000000000001" customHeight="1" x14ac:dyDescent="0.3">
      <c r="A24" s="48"/>
      <c r="B24" s="30"/>
      <c r="C24" s="30"/>
      <c r="D24" s="422"/>
      <c r="E24" s="1616"/>
    </row>
    <row r="25" spans="1:5" ht="17.100000000000001" customHeight="1" x14ac:dyDescent="0.3">
      <c r="A25" s="54"/>
      <c r="B25" s="30"/>
      <c r="C25" s="30"/>
      <c r="D25" s="425"/>
      <c r="E25" s="425"/>
    </row>
    <row r="26" spans="1:5" ht="17.100000000000001" customHeight="1" thickBot="1" x14ac:dyDescent="0.35">
      <c r="A26" s="54" t="s">
        <v>927</v>
      </c>
      <c r="B26" s="30"/>
      <c r="C26" s="30"/>
      <c r="D26" s="1621">
        <f>+D23+D13</f>
        <v>4658.8684206888156</v>
      </c>
      <c r="E26" s="1617">
        <f>+E23+E13</f>
        <v>4126.6786912486932</v>
      </c>
    </row>
    <row r="27" spans="1:5" ht="17.100000000000001" customHeight="1" thickTop="1" x14ac:dyDescent="0.3">
      <c r="A27" s="56" t="s">
        <v>928</v>
      </c>
      <c r="B27" s="30"/>
      <c r="C27" s="30"/>
      <c r="D27" s="422"/>
      <c r="E27" s="1618"/>
    </row>
    <row r="28" spans="1:5" ht="17.100000000000001" customHeight="1" x14ac:dyDescent="0.3">
      <c r="A28" s="54" t="s">
        <v>929</v>
      </c>
      <c r="B28" s="30"/>
      <c r="C28" s="30"/>
      <c r="D28" s="422"/>
      <c r="E28" s="1618"/>
    </row>
    <row r="29" spans="1:5" ht="17.100000000000001" customHeight="1" x14ac:dyDescent="0.3">
      <c r="A29" s="48" t="s">
        <v>930</v>
      </c>
      <c r="B29" s="30"/>
      <c r="C29" s="30"/>
      <c r="D29" s="1471">
        <f>+BSPL!F29/'Result 2'!$G$1</f>
        <v>269.22649999999999</v>
      </c>
      <c r="E29" s="1471">
        <f>+BSPL!G29/'Result 2'!$G$1</f>
        <v>269.22649999999999</v>
      </c>
    </row>
    <row r="30" spans="1:5" ht="17.100000000000001" customHeight="1" x14ac:dyDescent="0.3">
      <c r="A30" s="48" t="s">
        <v>931</v>
      </c>
      <c r="B30" s="30"/>
      <c r="C30" s="30"/>
      <c r="D30" s="1471">
        <f>+BSPL!F30/'Result 2'!$G$1</f>
        <v>2413.7213395110666</v>
      </c>
      <c r="E30" s="1471">
        <f>+BSPL!G30/'Result 2'!$G$1</f>
        <v>2059.6913639279005</v>
      </c>
    </row>
    <row r="31" spans="1:5" ht="17.100000000000001" customHeight="1" x14ac:dyDescent="0.3">
      <c r="A31" s="54" t="s">
        <v>932</v>
      </c>
      <c r="B31" s="30"/>
      <c r="C31" s="30"/>
      <c r="D31" s="1619">
        <f>+SUM(D29:D30)</f>
        <v>2682.9478395110664</v>
      </c>
      <c r="E31" s="1619">
        <f>+SUM(E29:E30)</f>
        <v>2328.9178639279007</v>
      </c>
    </row>
    <row r="32" spans="1:5" ht="17.100000000000001" customHeight="1" x14ac:dyDescent="0.3">
      <c r="A32" s="54" t="s">
        <v>933</v>
      </c>
      <c r="B32" s="30"/>
      <c r="C32" s="30"/>
      <c r="D32" s="422"/>
      <c r="E32" s="1618"/>
    </row>
    <row r="33" spans="1:5" ht="17.100000000000001" customHeight="1" x14ac:dyDescent="0.3">
      <c r="A33" s="48" t="s">
        <v>934</v>
      </c>
      <c r="B33" s="30"/>
      <c r="C33" s="30"/>
      <c r="D33" s="422"/>
      <c r="E33" s="1618"/>
    </row>
    <row r="34" spans="1:5" ht="17.100000000000001" customHeight="1" x14ac:dyDescent="0.3">
      <c r="A34" s="48" t="s">
        <v>935</v>
      </c>
      <c r="B34" s="30"/>
      <c r="C34" s="30"/>
      <c r="D34" s="1471">
        <f>+BSPL!F34/'Result 2'!$G$1</f>
        <v>319.8648</v>
      </c>
      <c r="E34" s="1471">
        <f>+BSPL!G34/'Result 2'!$G$1</f>
        <v>263.42950999999999</v>
      </c>
    </row>
    <row r="35" spans="1:5" ht="17.100000000000001" customHeight="1" x14ac:dyDescent="0.3">
      <c r="A35" s="48" t="s">
        <v>936</v>
      </c>
      <c r="B35" s="30"/>
      <c r="C35" s="30"/>
      <c r="D35" s="1471">
        <f>+BSPL!F35/'Result 2'!$G$1</f>
        <v>15.436257000000001</v>
      </c>
      <c r="E35" s="1471">
        <f>+BSPL!G35/'Result 2'!$G$1</f>
        <v>21.833547000000003</v>
      </c>
    </row>
    <row r="36" spans="1:5" ht="17.100000000000001" customHeight="1" x14ac:dyDescent="0.3">
      <c r="A36" s="48" t="s">
        <v>937</v>
      </c>
      <c r="B36" s="30"/>
      <c r="C36" s="30"/>
      <c r="D36" s="1471">
        <f>+BSPL!F36/'Result 2'!$G$1</f>
        <v>194.75120165946873</v>
      </c>
      <c r="E36" s="1471">
        <f>+BSPL!G36/'Result 2'!$G$1</f>
        <v>184.5679150226473</v>
      </c>
    </row>
    <row r="37" spans="1:5" ht="17.100000000000001" customHeight="1" x14ac:dyDescent="0.3">
      <c r="A37" s="885"/>
      <c r="B37" s="30"/>
      <c r="C37" s="30"/>
      <c r="D37" s="1619">
        <f>+SUM(D34:D36)</f>
        <v>530.05225865946875</v>
      </c>
      <c r="E37" s="1619">
        <f>+SUM(E34:E36)</f>
        <v>469.8309720226473</v>
      </c>
    </row>
    <row r="38" spans="1:5" ht="17.100000000000001" customHeight="1" x14ac:dyDescent="0.3">
      <c r="A38" s="54" t="s">
        <v>938</v>
      </c>
      <c r="B38" s="30"/>
      <c r="C38" s="30"/>
      <c r="D38" s="422"/>
      <c r="E38" s="1618"/>
    </row>
    <row r="39" spans="1:5" ht="17.100000000000001" customHeight="1" x14ac:dyDescent="0.3">
      <c r="A39" s="48" t="s">
        <v>934</v>
      </c>
      <c r="B39" s="30"/>
      <c r="C39" s="30"/>
      <c r="D39" s="422"/>
      <c r="E39" s="1618"/>
    </row>
    <row r="40" spans="1:5" ht="17.100000000000001" customHeight="1" x14ac:dyDescent="0.3">
      <c r="A40" s="48" t="s">
        <v>935</v>
      </c>
      <c r="B40" s="30"/>
      <c r="C40" s="30"/>
      <c r="D40" s="1471">
        <f>+BSPL!F40/'Result 2'!$G$1</f>
        <v>435.76042979999994</v>
      </c>
      <c r="E40" s="1471">
        <f>+BSPL!G40/'Result 2'!$G$1</f>
        <v>618.4353059</v>
      </c>
    </row>
    <row r="41" spans="1:5" ht="17.100000000000001" customHeight="1" x14ac:dyDescent="0.3">
      <c r="A41" s="48" t="s">
        <v>939</v>
      </c>
      <c r="B41" s="30"/>
      <c r="C41" s="30"/>
      <c r="D41" s="1471">
        <f>+BSPL!F41/'Result 2'!$G$1</f>
        <v>796.27699759999996</v>
      </c>
      <c r="E41" s="1471">
        <f>+BSPL!G41/'Result 2'!$G$1</f>
        <v>590.4546656</v>
      </c>
    </row>
    <row r="42" spans="1:5" ht="17.100000000000001" customHeight="1" x14ac:dyDescent="0.3">
      <c r="A42" s="48" t="s">
        <v>940</v>
      </c>
      <c r="B42" s="30"/>
      <c r="C42" s="30"/>
      <c r="D42" s="1471">
        <f>+BSPL!F42/'Result 2'!$G$1</f>
        <v>111.41021000000001</v>
      </c>
      <c r="E42" s="1471">
        <f>+BSPL!G42/'Result 2'!$G$1</f>
        <v>82.409969399999994</v>
      </c>
    </row>
    <row r="43" spans="1:5" ht="17.100000000000001" customHeight="1" x14ac:dyDescent="0.3">
      <c r="A43" s="48" t="s">
        <v>3508</v>
      </c>
      <c r="B43" s="30"/>
      <c r="C43" s="30"/>
      <c r="D43" s="1471">
        <f>+BSPL!F43/'Result 2'!$G$1</f>
        <v>66.858313100000004</v>
      </c>
      <c r="E43" s="1471">
        <f>+BSPL!G43/'Result 2'!$G$1</f>
        <v>5.3784243999999992</v>
      </c>
    </row>
    <row r="44" spans="1:5" ht="17.100000000000001" customHeight="1" x14ac:dyDescent="0.3">
      <c r="A44" s="48" t="s">
        <v>941</v>
      </c>
      <c r="B44" s="30"/>
      <c r="C44" s="30"/>
      <c r="D44" s="1471">
        <f>+BSPL!F44/'Result 2'!$G$1</f>
        <v>35.562374949999999</v>
      </c>
      <c r="E44" s="1471">
        <f>+BSPL!G44/'Result 2'!$G$1</f>
        <v>31.25149</v>
      </c>
    </row>
    <row r="45" spans="1:5" ht="17.100000000000001" customHeight="1" x14ac:dyDescent="0.3">
      <c r="A45" s="54" t="s">
        <v>942</v>
      </c>
      <c r="B45" s="30"/>
      <c r="C45" s="30"/>
      <c r="D45" s="1687">
        <f>+SUM(D40:D44)</f>
        <v>1445.8683254499999</v>
      </c>
      <c r="E45" s="1620">
        <f>+SUM(E40:E44)</f>
        <v>1327.9298553000001</v>
      </c>
    </row>
    <row r="46" spans="1:5" ht="17.100000000000001" customHeight="1" thickBot="1" x14ac:dyDescent="0.35">
      <c r="A46" s="56" t="s">
        <v>943</v>
      </c>
      <c r="B46" s="30"/>
      <c r="C46" s="30"/>
      <c r="D46" s="1621">
        <f>+D45+D37+D31</f>
        <v>4658.8684236205354</v>
      </c>
      <c r="E46" s="1621">
        <f>+E45+E37+E31</f>
        <v>4126.6786912505486</v>
      </c>
    </row>
    <row r="47" spans="1:5" ht="17.100000000000001" customHeight="1" thickTop="1" x14ac:dyDescent="0.3">
      <c r="A47" s="61" t="s">
        <v>944</v>
      </c>
      <c r="B47" s="37"/>
      <c r="C47" s="37"/>
      <c r="D47" s="1622"/>
      <c r="E47" s="1623"/>
    </row>
    <row r="48" spans="1:5" ht="18.75" x14ac:dyDescent="0.3">
      <c r="A48" s="56"/>
      <c r="B48" s="30"/>
      <c r="C48" s="30"/>
      <c r="D48" s="317"/>
      <c r="E48" s="1503"/>
    </row>
    <row r="49" spans="1:5" ht="18.75" x14ac:dyDescent="0.3">
      <c r="A49" s="56"/>
      <c r="B49" s="30"/>
      <c r="C49" s="30"/>
      <c r="D49" s="227"/>
      <c r="E49" s="1354"/>
    </row>
    <row r="50" spans="1:5" ht="18.75" x14ac:dyDescent="0.3">
      <c r="A50" s="66"/>
      <c r="B50" s="67"/>
      <c r="C50" s="67"/>
      <c r="D50" s="138"/>
      <c r="E50" s="151"/>
    </row>
    <row r="51" spans="1:5" ht="18.75" x14ac:dyDescent="0.3">
      <c r="A51" s="69"/>
      <c r="B51" s="30"/>
      <c r="C51" s="30"/>
      <c r="D51" s="138"/>
      <c r="E51" s="151"/>
    </row>
    <row r="52" spans="1:5" ht="18.75" x14ac:dyDescent="0.3">
      <c r="A52" s="69"/>
      <c r="B52" s="70"/>
      <c r="C52" s="70"/>
      <c r="D52" s="318"/>
      <c r="E52" s="1320"/>
    </row>
    <row r="53" spans="1:5" ht="18.75" x14ac:dyDescent="0.3">
      <c r="A53" s="69"/>
      <c r="B53" s="70"/>
      <c r="C53" s="70"/>
      <c r="D53" s="138"/>
      <c r="E53" s="151"/>
    </row>
    <row r="54" spans="1:5" ht="18.75" x14ac:dyDescent="0.3">
      <c r="A54" s="69"/>
      <c r="B54" s="30"/>
      <c r="C54" s="30"/>
      <c r="D54" s="138"/>
      <c r="E54" s="151"/>
    </row>
    <row r="55" spans="1:5" ht="18.75" x14ac:dyDescent="0.3">
      <c r="A55" s="69"/>
      <c r="B55" s="70"/>
      <c r="C55" s="70"/>
      <c r="D55" s="138"/>
      <c r="E55" s="151"/>
    </row>
    <row r="56" spans="1:5" ht="18.75" x14ac:dyDescent="0.3">
      <c r="A56" s="69"/>
      <c r="B56" s="70"/>
      <c r="C56" s="70"/>
      <c r="D56" s="138"/>
      <c r="E56" s="151"/>
    </row>
    <row r="57" spans="1:5" ht="18.75" x14ac:dyDescent="0.3">
      <c r="A57" s="69"/>
      <c r="B57" s="70"/>
      <c r="C57" s="70"/>
      <c r="D57" s="318"/>
      <c r="E57" s="1320"/>
    </row>
    <row r="58" spans="1:5" ht="18.75" x14ac:dyDescent="0.3">
      <c r="A58" s="69"/>
      <c r="B58" s="70"/>
      <c r="C58" s="70"/>
      <c r="D58" s="138"/>
      <c r="E58" s="151"/>
    </row>
    <row r="59" spans="1:5" ht="18.75" x14ac:dyDescent="0.3">
      <c r="A59" s="69"/>
      <c r="B59" s="31"/>
      <c r="C59" s="31"/>
      <c r="D59" s="138"/>
      <c r="E59" s="151"/>
    </row>
    <row r="60" spans="1:5" ht="18.75" x14ac:dyDescent="0.3">
      <c r="A60" s="74"/>
      <c r="B60" s="72"/>
      <c r="C60" s="72"/>
      <c r="D60" s="138"/>
      <c r="E60" s="151"/>
    </row>
    <row r="61" spans="1:5" ht="18.75" x14ac:dyDescent="0.3">
      <c r="A61" s="74"/>
      <c r="B61" s="72"/>
      <c r="C61" s="72"/>
      <c r="D61" s="1304"/>
      <c r="E61" s="1504"/>
    </row>
    <row r="62" spans="1:5" ht="18.75" x14ac:dyDescent="0.3">
      <c r="A62" s="74"/>
      <c r="B62" s="72"/>
      <c r="C62" s="72"/>
      <c r="D62" s="138"/>
      <c r="E62" s="151"/>
    </row>
    <row r="63" spans="1:5" ht="18.75" x14ac:dyDescent="0.3">
      <c r="A63" s="74"/>
      <c r="B63" s="72"/>
      <c r="C63" s="72"/>
      <c r="D63" s="138"/>
      <c r="E63" s="151"/>
    </row>
    <row r="64" spans="1:5" ht="18.75" x14ac:dyDescent="0.3">
      <c r="A64" s="69"/>
      <c r="B64" s="72"/>
      <c r="C64" s="72"/>
      <c r="D64" s="138"/>
      <c r="E64" s="151"/>
    </row>
    <row r="65" spans="1:5" ht="18.75" x14ac:dyDescent="0.3">
      <c r="A65" s="69"/>
      <c r="B65" s="72"/>
      <c r="C65" s="72"/>
      <c r="D65" s="138"/>
      <c r="E65" s="151"/>
    </row>
    <row r="66" spans="1:5" ht="18.75" x14ac:dyDescent="0.3">
      <c r="A66" s="69"/>
      <c r="B66" s="72"/>
      <c r="C66" s="72"/>
      <c r="D66" s="318"/>
      <c r="E66" s="1320"/>
    </row>
    <row r="67" spans="1:5" ht="18.75" x14ac:dyDescent="0.3">
      <c r="A67" s="69"/>
      <c r="B67" s="72"/>
      <c r="C67" s="72"/>
      <c r="D67" s="138"/>
      <c r="E67" s="151"/>
    </row>
    <row r="68" spans="1:5" ht="18.75" x14ac:dyDescent="0.3">
      <c r="A68" s="69"/>
      <c r="B68" s="72"/>
      <c r="C68" s="72"/>
      <c r="D68" s="138"/>
      <c r="E68" s="151"/>
    </row>
    <row r="69" spans="1:5" ht="18.75" x14ac:dyDescent="0.3">
      <c r="A69" s="69"/>
      <c r="B69" s="72"/>
      <c r="C69" s="72"/>
      <c r="D69" s="138"/>
      <c r="E69" s="151"/>
    </row>
    <row r="70" spans="1:5" ht="18.75" x14ac:dyDescent="0.3">
      <c r="A70" s="69"/>
      <c r="B70" s="72"/>
      <c r="C70" s="72"/>
      <c r="D70" s="138"/>
      <c r="E70" s="151"/>
    </row>
    <row r="71" spans="1:5" ht="18.75" x14ac:dyDescent="0.3">
      <c r="A71" s="69"/>
      <c r="B71" s="72"/>
      <c r="C71" s="72"/>
      <c r="D71" s="290"/>
      <c r="E71" s="168"/>
    </row>
    <row r="72" spans="1:5" ht="18.75" x14ac:dyDescent="0.3">
      <c r="A72" s="69"/>
      <c r="B72" s="72"/>
      <c r="C72" s="72"/>
      <c r="D72" s="309"/>
      <c r="E72" s="1505"/>
    </row>
    <row r="73" spans="1:5" ht="18.75" x14ac:dyDescent="0.3">
      <c r="A73" s="101"/>
      <c r="B73" s="228"/>
      <c r="C73" s="228"/>
      <c r="D73" s="217"/>
      <c r="E73" s="157"/>
    </row>
  </sheetData>
  <mergeCells count="2">
    <mergeCell ref="A1:E1"/>
    <mergeCell ref="A2:E2"/>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7"/>
  <sheetViews>
    <sheetView view="pageBreakPreview" zoomScale="62" zoomScaleNormal="60" zoomScaleSheetLayoutView="62" workbookViewId="0">
      <selection activeCell="A31" sqref="A31"/>
    </sheetView>
  </sheetViews>
  <sheetFormatPr defaultRowHeight="15" x14ac:dyDescent="0.25"/>
  <cols>
    <col min="1" max="1" width="59.140625" customWidth="1"/>
    <col min="5" max="6" width="21.28515625" bestFit="1" customWidth="1"/>
  </cols>
  <sheetData>
    <row r="1" spans="1:8" ht="18.75" x14ac:dyDescent="0.25">
      <c r="A1" s="1722" t="s">
        <v>907</v>
      </c>
      <c r="B1" s="1723"/>
      <c r="C1" s="1723"/>
      <c r="D1" s="1723"/>
      <c r="E1" s="1723"/>
      <c r="F1" s="1724"/>
      <c r="H1">
        <v>1000000</v>
      </c>
    </row>
    <row r="2" spans="1:8" ht="18.75" x14ac:dyDescent="0.25">
      <c r="A2" s="1725" t="s">
        <v>1326</v>
      </c>
      <c r="B2" s="1726"/>
      <c r="C2" s="1726"/>
      <c r="D2" s="1726"/>
      <c r="E2" s="1726"/>
      <c r="F2" s="1727"/>
    </row>
    <row r="3" spans="1:8" ht="18.75" x14ac:dyDescent="0.25">
      <c r="A3" s="1596"/>
      <c r="B3" s="1597"/>
      <c r="C3" s="1597"/>
      <c r="D3" s="1597"/>
      <c r="E3" s="1597"/>
      <c r="F3" s="1602" t="s">
        <v>3555</v>
      </c>
    </row>
    <row r="4" spans="1:8" ht="24.75" customHeight="1" x14ac:dyDescent="0.3">
      <c r="A4" s="34" t="s">
        <v>9</v>
      </c>
      <c r="B4" s="1323"/>
      <c r="C4" s="78"/>
      <c r="D4" s="1728" t="s">
        <v>956</v>
      </c>
      <c r="E4" s="1324" t="s">
        <v>957</v>
      </c>
      <c r="F4" s="1324" t="s">
        <v>957</v>
      </c>
    </row>
    <row r="5" spans="1:8" ht="18.75" x14ac:dyDescent="0.3">
      <c r="A5" s="36" t="s">
        <v>906</v>
      </c>
      <c r="B5" s="37"/>
      <c r="C5" s="79"/>
      <c r="D5" s="1729"/>
      <c r="E5" s="80" t="s">
        <v>3552</v>
      </c>
      <c r="F5" s="80" t="s">
        <v>3550</v>
      </c>
    </row>
    <row r="6" spans="1:8" ht="17.100000000000001" customHeight="1" x14ac:dyDescent="0.3">
      <c r="A6" s="48" t="s">
        <v>958</v>
      </c>
      <c r="B6" s="30"/>
      <c r="C6" s="30"/>
      <c r="D6" s="81">
        <v>21</v>
      </c>
      <c r="E6" s="1624">
        <f>+BSPL!F78/Result1!$H$1</f>
        <v>819.75904119999996</v>
      </c>
      <c r="F6" s="1624">
        <f>+BSPL!G78/Result1!$H$1</f>
        <v>698.72602859999995</v>
      </c>
    </row>
    <row r="7" spans="1:8" ht="17.100000000000001" customHeight="1" x14ac:dyDescent="0.3">
      <c r="A7" s="48" t="s">
        <v>959</v>
      </c>
      <c r="B7" s="30"/>
      <c r="C7" s="30"/>
      <c r="D7" s="83">
        <v>22</v>
      </c>
      <c r="E7" s="1326">
        <f>+BSPL!F79/Result1!$H$1</f>
        <v>1.1898010000000001</v>
      </c>
      <c r="F7" s="1326">
        <f>+BSPL!G79/Result1!$H$1</f>
        <v>1.0378750000000001</v>
      </c>
    </row>
    <row r="8" spans="1:8" ht="17.100000000000001" customHeight="1" x14ac:dyDescent="0.3">
      <c r="A8" s="54" t="s">
        <v>960</v>
      </c>
      <c r="B8" s="30"/>
      <c r="C8" s="30"/>
      <c r="D8" s="48"/>
      <c r="E8" s="1625">
        <f>+E6+E7</f>
        <v>820.94884219999994</v>
      </c>
      <c r="F8" s="1625">
        <f>+F6+F7</f>
        <v>699.76390359999994</v>
      </c>
    </row>
    <row r="9" spans="1:8" ht="17.100000000000001" customHeight="1" x14ac:dyDescent="0.3">
      <c r="A9" s="85" t="s">
        <v>961</v>
      </c>
      <c r="B9" s="30"/>
      <c r="C9" s="30"/>
      <c r="D9" s="48"/>
      <c r="E9" s="90"/>
      <c r="F9" s="425"/>
    </row>
    <row r="10" spans="1:8" ht="17.100000000000001" customHeight="1" x14ac:dyDescent="0.3">
      <c r="A10" s="48" t="s">
        <v>962</v>
      </c>
      <c r="B10" s="30"/>
      <c r="C10" s="30"/>
      <c r="D10" s="83">
        <v>23</v>
      </c>
      <c r="E10" s="1326">
        <f>+BSPL!F82/Result1!$H$1</f>
        <v>552.91969688999995</v>
      </c>
      <c r="F10" s="1326">
        <f>+BSPL!G82/Result1!$H$1</f>
        <v>432.87606432000001</v>
      </c>
    </row>
    <row r="11" spans="1:8" ht="17.100000000000001" customHeight="1" x14ac:dyDescent="0.3">
      <c r="A11" s="48" t="s">
        <v>963</v>
      </c>
      <c r="B11" s="30"/>
      <c r="C11" s="30"/>
      <c r="D11" s="83"/>
      <c r="E11" s="1326">
        <f>+BSPL!F83/Result1!$H$1</f>
        <v>0</v>
      </c>
      <c r="F11" s="1326">
        <f>+BSPL!G83/Result1!$H$1</f>
        <v>1.2347649999999999</v>
      </c>
    </row>
    <row r="12" spans="1:8" ht="17.100000000000001" customHeight="1" x14ac:dyDescent="0.3">
      <c r="A12" s="86" t="s">
        <v>964</v>
      </c>
      <c r="B12" s="30"/>
      <c r="C12" s="30"/>
      <c r="D12" s="83">
        <v>24</v>
      </c>
      <c r="E12" s="1326">
        <f>+BSPL!F84/Result1!$H$1</f>
        <v>-8.2482597178893453</v>
      </c>
      <c r="F12" s="1326">
        <f>+BSPL!G84/Result1!$H$1</f>
        <v>5.6866993852898098</v>
      </c>
    </row>
    <row r="13" spans="1:8" ht="17.100000000000001" customHeight="1" x14ac:dyDescent="0.3">
      <c r="A13" s="48" t="s">
        <v>965</v>
      </c>
      <c r="B13" s="30"/>
      <c r="C13" s="30"/>
      <c r="D13" s="83">
        <v>25</v>
      </c>
      <c r="E13" s="1326">
        <f>+BSPL!F85/Result1!$H$1</f>
        <v>21.641048999999999</v>
      </c>
      <c r="F13" s="1326">
        <f>+BSPL!G85/Result1!$H$1</f>
        <v>21.336666999999998</v>
      </c>
    </row>
    <row r="14" spans="1:8" ht="17.100000000000001" customHeight="1" x14ac:dyDescent="0.3">
      <c r="A14" s="48" t="s">
        <v>966</v>
      </c>
      <c r="B14" s="30"/>
      <c r="C14" s="51"/>
      <c r="D14" s="83">
        <v>26</v>
      </c>
      <c r="E14" s="1326">
        <f>+BSPL!F86/Result1!$H$1</f>
        <v>6.3721849500000003</v>
      </c>
      <c r="F14" s="1326">
        <f>+BSPL!G86/Result1!$H$1</f>
        <v>9.3563609400000018</v>
      </c>
    </row>
    <row r="15" spans="1:8" ht="17.100000000000001" customHeight="1" x14ac:dyDescent="0.3">
      <c r="A15" s="1730" t="s">
        <v>967</v>
      </c>
      <c r="B15" s="1731"/>
      <c r="C15" s="1490"/>
      <c r="D15" s="83">
        <v>2</v>
      </c>
      <c r="E15" s="1326">
        <f>+PPE!H43/$H$1</f>
        <v>17.727981603100226</v>
      </c>
      <c r="F15" s="1326">
        <f>GETPIVOTDATA("Sum of Dr. Final 2019-20",Pivot!$A$3,"Note",10,"BS Main Head","Depreciation &amp; Amortisation","BS Sub Head","Depreciation")/$H$1</f>
        <v>17.192938999999999</v>
      </c>
    </row>
    <row r="16" spans="1:8" ht="17.100000000000001" customHeight="1" x14ac:dyDescent="0.3">
      <c r="A16" s="48" t="s">
        <v>968</v>
      </c>
      <c r="B16" s="30"/>
      <c r="C16" s="51"/>
      <c r="D16" s="83">
        <v>27</v>
      </c>
      <c r="E16" s="1326">
        <f>+BSPL!F88/Result1!$H$1</f>
        <v>182.27165299999996</v>
      </c>
      <c r="F16" s="1326">
        <f>+BSPL!G88/Result1!$H$1</f>
        <v>190.58160854999997</v>
      </c>
    </row>
    <row r="17" spans="1:6" ht="17.100000000000001" customHeight="1" x14ac:dyDescent="0.3">
      <c r="A17" s="54" t="s">
        <v>969</v>
      </c>
      <c r="B17" s="30"/>
      <c r="C17" s="51"/>
      <c r="D17" s="48"/>
      <c r="E17" s="1625">
        <f>+SUM(E10:E16)</f>
        <v>772.68430572521083</v>
      </c>
      <c r="F17" s="1625">
        <f>+SUM(F10:F16)</f>
        <v>678.26510419528972</v>
      </c>
    </row>
    <row r="18" spans="1:6" ht="17.100000000000001" customHeight="1" x14ac:dyDescent="0.25">
      <c r="A18" s="56" t="s">
        <v>970</v>
      </c>
      <c r="B18" s="87"/>
      <c r="C18" s="88"/>
      <c r="D18" s="48"/>
      <c r="E18" s="1626">
        <f>+E8-E17</f>
        <v>48.264536474789111</v>
      </c>
      <c r="F18" s="1626">
        <f>+F8-F17</f>
        <v>21.498799404710212</v>
      </c>
    </row>
    <row r="19" spans="1:6" ht="17.100000000000001" customHeight="1" x14ac:dyDescent="0.25">
      <c r="A19" s="1730" t="s">
        <v>971</v>
      </c>
      <c r="B19" s="1731"/>
      <c r="C19" s="1490"/>
      <c r="D19" s="48"/>
      <c r="E19" s="90"/>
      <c r="F19" s="425">
        <v>0</v>
      </c>
    </row>
    <row r="20" spans="1:6" ht="17.100000000000001" customHeight="1" x14ac:dyDescent="0.25">
      <c r="A20" s="1489"/>
      <c r="B20" s="1305"/>
      <c r="C20" s="1305"/>
      <c r="D20" s="48"/>
      <c r="E20" s="90"/>
      <c r="F20" s="425"/>
    </row>
    <row r="21" spans="1:6" ht="17.100000000000001" customHeight="1" x14ac:dyDescent="0.3">
      <c r="A21" s="54" t="s">
        <v>972</v>
      </c>
      <c r="B21" s="30"/>
      <c r="C21" s="30"/>
      <c r="D21" s="90"/>
      <c r="E21" s="1626">
        <f>+E18-E19</f>
        <v>48.264536474789111</v>
      </c>
      <c r="F21" s="1626">
        <f>+F18-F19</f>
        <v>21.498799404710212</v>
      </c>
    </row>
    <row r="22" spans="1:6" ht="17.100000000000001" customHeight="1" x14ac:dyDescent="0.3">
      <c r="A22" s="48" t="s">
        <v>973</v>
      </c>
      <c r="B22" s="30"/>
      <c r="C22" s="30"/>
      <c r="D22" s="90"/>
      <c r="E22" s="90"/>
      <c r="F22" s="425"/>
    </row>
    <row r="23" spans="1:6" ht="17.100000000000001" customHeight="1" x14ac:dyDescent="0.3">
      <c r="A23" s="48" t="s">
        <v>974</v>
      </c>
      <c r="B23" s="30"/>
      <c r="C23" s="30"/>
      <c r="D23" s="83"/>
      <c r="E23" s="1627">
        <f>+(COI!L66+COI!L73)/$H$1</f>
        <v>13.0811272400002</v>
      </c>
      <c r="F23" s="1471">
        <f>4514807.18028793/$H$1</f>
        <v>4.5148071802879306</v>
      </c>
    </row>
    <row r="24" spans="1:6" ht="17.100000000000001" customHeight="1" x14ac:dyDescent="0.3">
      <c r="A24" s="48" t="s">
        <v>975</v>
      </c>
      <c r="B24" s="30"/>
      <c r="C24" s="30"/>
      <c r="D24" s="83"/>
      <c r="E24" s="1193">
        <v>0</v>
      </c>
      <c r="F24" s="1326">
        <f>5440948/$H$1</f>
        <v>5.4409479999999997</v>
      </c>
    </row>
    <row r="25" spans="1:6" ht="17.100000000000001" customHeight="1" x14ac:dyDescent="0.3">
      <c r="A25" s="48" t="s">
        <v>976</v>
      </c>
      <c r="B25" s="30"/>
      <c r="C25" s="30"/>
      <c r="D25" s="83"/>
      <c r="E25" s="1193">
        <f>+DT!I38/$H$1</f>
        <v>-0.78980533631785588</v>
      </c>
      <c r="F25" s="1326">
        <f>150965.341632199/$H$1</f>
        <v>0.15096534163219902</v>
      </c>
    </row>
    <row r="26" spans="1:6" ht="17.100000000000001" customHeight="1" x14ac:dyDescent="0.3">
      <c r="A26" s="48"/>
      <c r="B26" s="30"/>
      <c r="C26" s="30"/>
      <c r="D26" s="83"/>
      <c r="E26" s="1628">
        <f>+SUM(E23:E25)</f>
        <v>12.291321903682343</v>
      </c>
      <c r="F26" s="1615">
        <f>+SUM(F23:F25)</f>
        <v>10.106720521920129</v>
      </c>
    </row>
    <row r="27" spans="1:6" ht="17.100000000000001" customHeight="1" thickBot="1" x14ac:dyDescent="0.35">
      <c r="A27" s="54" t="s">
        <v>977</v>
      </c>
      <c r="B27" s="30"/>
      <c r="C27" s="30"/>
      <c r="D27" s="48"/>
      <c r="E27" s="1629">
        <f>+E21-E26</f>
        <v>35.973214571106766</v>
      </c>
      <c r="F27" s="1630">
        <f>+F21-F26</f>
        <v>11.392078882790083</v>
      </c>
    </row>
    <row r="28" spans="1:6" ht="17.100000000000001" customHeight="1" thickTop="1" x14ac:dyDescent="0.3">
      <c r="A28" s="1717"/>
      <c r="B28" s="1718"/>
      <c r="C28" s="51"/>
      <c r="D28" s="48"/>
      <c r="E28" s="90"/>
      <c r="F28" s="425"/>
    </row>
    <row r="29" spans="1:6" ht="17.100000000000001" customHeight="1" x14ac:dyDescent="0.3">
      <c r="A29" s="1717" t="s">
        <v>978</v>
      </c>
      <c r="B29" s="1718"/>
      <c r="C29" s="51"/>
      <c r="D29" s="83">
        <v>28</v>
      </c>
      <c r="E29" s="1631"/>
      <c r="F29" s="422"/>
    </row>
    <row r="30" spans="1:6" ht="17.100000000000001" customHeight="1" x14ac:dyDescent="0.3">
      <c r="A30" s="86" t="s">
        <v>979</v>
      </c>
      <c r="B30" s="1355"/>
      <c r="C30" s="51"/>
      <c r="D30" s="40"/>
      <c r="E30" s="425">
        <f>1129722/$H$1</f>
        <v>1.1297219999999999</v>
      </c>
      <c r="F30" s="425">
        <f>+-186251/$H$1</f>
        <v>-0.186251</v>
      </c>
    </row>
    <row r="31" spans="1:6" ht="17.100000000000001" customHeight="1" x14ac:dyDescent="0.3">
      <c r="A31" s="86" t="s">
        <v>980</v>
      </c>
      <c r="B31" s="1355"/>
      <c r="C31" s="51"/>
      <c r="D31" s="40"/>
      <c r="E31" s="425">
        <v>0</v>
      </c>
      <c r="F31" s="425">
        <v>0</v>
      </c>
    </row>
    <row r="32" spans="1:6" ht="17.100000000000001" customHeight="1" x14ac:dyDescent="0.3">
      <c r="A32" s="86" t="s">
        <v>981</v>
      </c>
      <c r="B32" s="1355"/>
      <c r="C32" s="51"/>
      <c r="D32" s="40"/>
      <c r="E32" s="425">
        <v>0</v>
      </c>
      <c r="F32" s="425">
        <v>0</v>
      </c>
    </row>
    <row r="33" spans="1:6" ht="17.100000000000001" customHeight="1" x14ac:dyDescent="0.3">
      <c r="A33" s="86" t="s">
        <v>980</v>
      </c>
      <c r="B33" s="1356"/>
      <c r="C33" s="51"/>
      <c r="D33" s="40"/>
      <c r="E33" s="1632">
        <v>0</v>
      </c>
      <c r="F33" s="1632">
        <v>0</v>
      </c>
    </row>
    <row r="34" spans="1:6" ht="17.100000000000001" customHeight="1" x14ac:dyDescent="0.3">
      <c r="A34" s="39" t="s">
        <v>982</v>
      </c>
      <c r="B34" s="96"/>
      <c r="C34" s="51"/>
      <c r="D34" s="40"/>
      <c r="E34" s="1632">
        <f>+SUM(E30:E33)</f>
        <v>1.1297219999999999</v>
      </c>
      <c r="F34" s="1632">
        <f>+SUM(F30:F33)</f>
        <v>-0.186251</v>
      </c>
    </row>
    <row r="35" spans="1:6" ht="17.100000000000001" customHeight="1" x14ac:dyDescent="0.25">
      <c r="A35" s="1719"/>
      <c r="B35" s="1720"/>
      <c r="C35" s="1721"/>
      <c r="D35" s="48"/>
      <c r="E35" s="90"/>
      <c r="F35" s="425"/>
    </row>
    <row r="36" spans="1:6" ht="17.100000000000001" customHeight="1" x14ac:dyDescent="0.3">
      <c r="A36" s="39"/>
      <c r="B36" s="96"/>
      <c r="C36" s="51"/>
      <c r="D36" s="48"/>
      <c r="E36" s="90"/>
      <c r="F36" s="425"/>
    </row>
    <row r="37" spans="1:6" ht="17.100000000000001" customHeight="1" thickBot="1" x14ac:dyDescent="0.35">
      <c r="A37" s="1719" t="s">
        <v>983</v>
      </c>
      <c r="B37" s="1720"/>
      <c r="C37" s="51"/>
      <c r="D37" s="48"/>
      <c r="E37" s="1630">
        <f>+E27+E34</f>
        <v>37.102936571106767</v>
      </c>
      <c r="F37" s="1630">
        <f>+F27+F34</f>
        <v>11.205827882790082</v>
      </c>
    </row>
    <row r="38" spans="1:6" ht="17.100000000000001" customHeight="1" thickTop="1" x14ac:dyDescent="0.3">
      <c r="A38" s="1719"/>
      <c r="B38" s="1720"/>
      <c r="C38" s="51"/>
      <c r="D38" s="48"/>
      <c r="E38" s="90"/>
      <c r="F38" s="425"/>
    </row>
    <row r="39" spans="1:6" ht="17.100000000000001" customHeight="1" x14ac:dyDescent="0.3">
      <c r="A39" s="48" t="s">
        <v>984</v>
      </c>
      <c r="B39" s="30"/>
      <c r="C39" s="30"/>
      <c r="D39" s="1596">
        <v>29</v>
      </c>
      <c r="E39" s="1193">
        <f>+E458</f>
        <v>0</v>
      </c>
      <c r="F39" s="1326">
        <f>+F458</f>
        <v>0</v>
      </c>
    </row>
    <row r="40" spans="1:6" ht="17.100000000000001" customHeight="1" x14ac:dyDescent="0.3">
      <c r="A40" s="48" t="s">
        <v>985</v>
      </c>
      <c r="B40" s="30"/>
      <c r="C40" s="30"/>
      <c r="D40" s="1596"/>
      <c r="E40" s="1193">
        <f>+E459</f>
        <v>0</v>
      </c>
      <c r="F40" s="1326">
        <f>+F459</f>
        <v>0</v>
      </c>
    </row>
    <row r="41" spans="1:6" ht="17.100000000000001" customHeight="1" x14ac:dyDescent="0.25">
      <c r="A41" s="61" t="s">
        <v>944</v>
      </c>
      <c r="B41" s="97"/>
      <c r="C41" s="98"/>
      <c r="D41" s="62" t="s">
        <v>3549</v>
      </c>
      <c r="E41" s="1633"/>
      <c r="F41" s="1622"/>
    </row>
    <row r="42" spans="1:6" ht="18.75" x14ac:dyDescent="0.25">
      <c r="A42" s="56"/>
      <c r="B42" s="87"/>
      <c r="C42" s="1594"/>
      <c r="D42" s="1372"/>
      <c r="E42" s="1634"/>
      <c r="F42" s="1635"/>
    </row>
    <row r="43" spans="1:6" ht="18.75" x14ac:dyDescent="0.3">
      <c r="A43" s="56" t="s">
        <v>945</v>
      </c>
      <c r="B43" s="30"/>
      <c r="C43" s="30"/>
      <c r="D43" s="65"/>
      <c r="E43" s="227"/>
      <c r="F43" s="1354"/>
    </row>
    <row r="44" spans="1:6" ht="18.75" x14ac:dyDescent="0.3">
      <c r="A44" s="66" t="s">
        <v>946</v>
      </c>
      <c r="B44" s="67"/>
      <c r="C44" s="67"/>
      <c r="D44" s="32" t="s">
        <v>947</v>
      </c>
      <c r="E44" s="138"/>
      <c r="F44" s="151"/>
    </row>
    <row r="45" spans="1:6" ht="18.75" x14ac:dyDescent="0.3">
      <c r="A45" s="69"/>
      <c r="B45" s="30"/>
      <c r="C45" s="30"/>
      <c r="D45" s="32"/>
      <c r="E45" s="138"/>
      <c r="F45" s="151"/>
    </row>
    <row r="46" spans="1:6" ht="18.75" x14ac:dyDescent="0.3">
      <c r="A46" s="69" t="s">
        <v>3287</v>
      </c>
      <c r="B46" s="70"/>
      <c r="C46" s="70"/>
      <c r="D46" s="71" t="s">
        <v>3469</v>
      </c>
      <c r="E46" s="318"/>
      <c r="F46" s="1320"/>
    </row>
    <row r="47" spans="1:6" ht="18.75" x14ac:dyDescent="0.3">
      <c r="A47" s="69" t="s">
        <v>1319</v>
      </c>
      <c r="B47" s="70"/>
      <c r="C47" s="70"/>
      <c r="D47" s="30" t="s">
        <v>949</v>
      </c>
      <c r="E47" s="138"/>
      <c r="F47" s="151"/>
    </row>
    <row r="48" spans="1:6" ht="18.75" x14ac:dyDescent="0.3">
      <c r="A48" s="69" t="s">
        <v>3289</v>
      </c>
      <c r="B48" s="30"/>
      <c r="C48" s="30"/>
      <c r="D48" s="30"/>
      <c r="E48" s="138"/>
      <c r="F48" s="151"/>
    </row>
    <row r="49" spans="1:6" ht="18.75" x14ac:dyDescent="0.3">
      <c r="A49" s="69"/>
      <c r="B49" s="70"/>
      <c r="C49" s="70"/>
      <c r="D49" s="30"/>
      <c r="E49" s="138"/>
      <c r="F49" s="151"/>
    </row>
    <row r="50" spans="1:6" ht="18.75" x14ac:dyDescent="0.3">
      <c r="A50" s="69" t="s">
        <v>3288</v>
      </c>
      <c r="B50" s="70"/>
      <c r="C50" s="70"/>
      <c r="D50" s="30"/>
      <c r="E50" s="138"/>
      <c r="F50" s="151"/>
    </row>
    <row r="51" spans="1:6" ht="18.75" x14ac:dyDescent="0.3">
      <c r="A51" s="69" t="s">
        <v>1322</v>
      </c>
      <c r="B51" s="70"/>
      <c r="C51" s="70"/>
      <c r="D51" s="71" t="s">
        <v>3468</v>
      </c>
      <c r="E51" s="318"/>
      <c r="F51" s="1320"/>
    </row>
    <row r="52" spans="1:6" ht="18.75" x14ac:dyDescent="0.3">
      <c r="A52" s="69" t="s">
        <v>3290</v>
      </c>
      <c r="B52" s="70"/>
      <c r="C52" s="70"/>
      <c r="D52" s="30" t="s">
        <v>948</v>
      </c>
      <c r="E52" s="138"/>
      <c r="F52" s="151"/>
    </row>
    <row r="53" spans="1:6" ht="18.75" x14ac:dyDescent="0.3">
      <c r="A53" s="69"/>
      <c r="B53" s="31"/>
      <c r="C53" s="31"/>
      <c r="D53" s="32"/>
      <c r="E53" s="138"/>
      <c r="F53" s="151"/>
    </row>
    <row r="54" spans="1:6" ht="18.75" x14ac:dyDescent="0.3">
      <c r="A54" s="74" t="s">
        <v>955</v>
      </c>
      <c r="B54" s="72"/>
      <c r="C54" s="72"/>
      <c r="D54" s="32"/>
      <c r="E54" s="138"/>
      <c r="F54" s="151"/>
    </row>
    <row r="55" spans="1:6" ht="18.75" x14ac:dyDescent="0.3">
      <c r="A55" s="74" t="s">
        <v>3487</v>
      </c>
      <c r="B55" s="72"/>
      <c r="C55" s="72"/>
      <c r="D55" s="71" t="s">
        <v>950</v>
      </c>
      <c r="E55" s="1304"/>
      <c r="F55" s="1504"/>
    </row>
    <row r="56" spans="1:6" ht="18.75" x14ac:dyDescent="0.3">
      <c r="A56" s="74" t="s">
        <v>3291</v>
      </c>
      <c r="B56" s="72"/>
      <c r="C56" s="72"/>
      <c r="D56" s="30" t="s">
        <v>951</v>
      </c>
      <c r="E56" s="138"/>
      <c r="F56" s="151"/>
    </row>
    <row r="57" spans="1:6" ht="18.75" x14ac:dyDescent="0.3">
      <c r="A57" s="74"/>
      <c r="B57" s="72"/>
      <c r="C57" s="72"/>
      <c r="D57" s="30"/>
      <c r="E57" s="138"/>
      <c r="F57" s="151"/>
    </row>
    <row r="58" spans="1:6" ht="18.75" x14ac:dyDescent="0.3">
      <c r="A58" s="69"/>
      <c r="B58" s="72"/>
      <c r="C58" s="72"/>
      <c r="D58" s="30"/>
      <c r="E58" s="138"/>
      <c r="F58" s="151"/>
    </row>
    <row r="59" spans="1:6" ht="18.75" x14ac:dyDescent="0.3">
      <c r="A59" s="69"/>
      <c r="B59" s="72"/>
      <c r="C59" s="72"/>
      <c r="D59" s="30"/>
      <c r="E59" s="138"/>
      <c r="F59" s="151"/>
    </row>
    <row r="60" spans="1:6" ht="18.75" x14ac:dyDescent="0.3">
      <c r="A60" s="69"/>
      <c r="B60" s="72"/>
      <c r="C60" s="72"/>
      <c r="D60" s="71" t="s">
        <v>952</v>
      </c>
      <c r="E60" s="318"/>
      <c r="F60" s="1320"/>
    </row>
    <row r="61" spans="1:6" ht="18.75" x14ac:dyDescent="0.3">
      <c r="A61" s="69"/>
      <c r="B61" s="72"/>
      <c r="C61" s="72"/>
      <c r="D61" s="30" t="s">
        <v>953</v>
      </c>
      <c r="E61" s="138"/>
      <c r="F61" s="151"/>
    </row>
    <row r="62" spans="1:6" ht="18.75" x14ac:dyDescent="0.3">
      <c r="A62" s="69"/>
      <c r="B62" s="72"/>
      <c r="C62" s="72"/>
      <c r="D62" s="30"/>
      <c r="E62" s="138"/>
      <c r="F62" s="151"/>
    </row>
    <row r="63" spans="1:6" ht="18.75" x14ac:dyDescent="0.3">
      <c r="A63" s="69"/>
      <c r="B63" s="72"/>
      <c r="C63" s="72"/>
      <c r="D63" s="30"/>
      <c r="E63" s="138"/>
      <c r="F63" s="151"/>
    </row>
    <row r="64" spans="1:6" ht="18.75" x14ac:dyDescent="0.3">
      <c r="A64" s="69"/>
      <c r="B64" s="72"/>
      <c r="C64" s="72"/>
      <c r="D64" s="30"/>
      <c r="E64" s="138"/>
      <c r="F64" s="151"/>
    </row>
    <row r="65" spans="1:6" ht="18.75" x14ac:dyDescent="0.3">
      <c r="A65" s="69"/>
      <c r="B65" s="72"/>
      <c r="C65" s="72"/>
      <c r="D65" s="70" t="s">
        <v>954</v>
      </c>
      <c r="E65" s="290"/>
      <c r="F65" s="168"/>
    </row>
    <row r="66" spans="1:6" ht="18.75" x14ac:dyDescent="0.3">
      <c r="A66" s="69"/>
      <c r="B66" s="72"/>
      <c r="C66" s="72"/>
      <c r="D66" s="75" t="s">
        <v>955</v>
      </c>
      <c r="E66" s="309"/>
      <c r="F66" s="1505"/>
    </row>
    <row r="67" spans="1:6" ht="18.75" x14ac:dyDescent="0.3">
      <c r="A67" s="101"/>
      <c r="B67" s="228"/>
      <c r="C67" s="228"/>
      <c r="D67" s="77" t="s">
        <v>1327</v>
      </c>
      <c r="E67" s="217"/>
      <c r="F67" s="157"/>
    </row>
  </sheetData>
  <mergeCells count="10">
    <mergeCell ref="A29:B29"/>
    <mergeCell ref="A35:C35"/>
    <mergeCell ref="A37:B37"/>
    <mergeCell ref="A38:B38"/>
    <mergeCell ref="A1:F1"/>
    <mergeCell ref="A2:F2"/>
    <mergeCell ref="D4:D5"/>
    <mergeCell ref="A15:B15"/>
    <mergeCell ref="A19:B19"/>
    <mergeCell ref="A28:B28"/>
  </mergeCells>
  <pageMargins left="0.7" right="0.7" top="0.75" bottom="0.75" header="0.3" footer="0.3"/>
  <pageSetup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8"/>
  <sheetViews>
    <sheetView view="pageBreakPreview" topLeftCell="A22" zoomScale="60" zoomScaleNormal="66" workbookViewId="0">
      <selection activeCell="E79" sqref="E79"/>
    </sheetView>
  </sheetViews>
  <sheetFormatPr defaultRowHeight="15" x14ac:dyDescent="0.25"/>
  <cols>
    <col min="1" max="1" width="85.7109375" customWidth="1"/>
    <col min="2" max="2" width="27.85546875" bestFit="1" customWidth="1"/>
    <col min="3" max="3" width="28.5703125" customWidth="1"/>
  </cols>
  <sheetData>
    <row r="1" spans="1:5" ht="18.75" x14ac:dyDescent="0.3">
      <c r="A1" s="1732" t="s">
        <v>907</v>
      </c>
      <c r="B1" s="1733"/>
      <c r="C1" s="1734"/>
      <c r="E1">
        <v>100000</v>
      </c>
    </row>
    <row r="2" spans="1:5" ht="18.75" x14ac:dyDescent="0.3">
      <c r="A2" s="1735" t="s">
        <v>2578</v>
      </c>
      <c r="B2" s="1736"/>
      <c r="C2" s="1737"/>
    </row>
    <row r="3" spans="1:5" ht="15.75" x14ac:dyDescent="0.25">
      <c r="A3" s="1598"/>
      <c r="B3" s="1599"/>
      <c r="C3" s="1600"/>
    </row>
    <row r="4" spans="1:5" ht="18.75" x14ac:dyDescent="0.3">
      <c r="A4" s="1604"/>
      <c r="B4" s="1605"/>
      <c r="C4" s="1606" t="s">
        <v>3628</v>
      </c>
    </row>
    <row r="5" spans="1:5" ht="18.75" x14ac:dyDescent="0.3">
      <c r="A5" s="1607" t="s">
        <v>2518</v>
      </c>
      <c r="B5" s="1608" t="s">
        <v>3553</v>
      </c>
      <c r="C5" s="1608" t="s">
        <v>3554</v>
      </c>
    </row>
    <row r="6" spans="1:5" ht="18.75" x14ac:dyDescent="0.3">
      <c r="A6" s="1609"/>
      <c r="B6" s="1609"/>
      <c r="C6" s="1609"/>
    </row>
    <row r="7" spans="1:5" ht="17.100000000000001" customHeight="1" x14ac:dyDescent="0.3">
      <c r="A7" s="1610" t="s">
        <v>2520</v>
      </c>
      <c r="B7" s="1611"/>
      <c r="C7" s="1609"/>
    </row>
    <row r="8" spans="1:5" ht="17.100000000000001" customHeight="1" x14ac:dyDescent="0.3">
      <c r="A8" s="1607" t="s">
        <v>2521</v>
      </c>
      <c r="B8" s="1636">
        <f>+'Cash Flow'!B8/'Result 3'!$E$1</f>
        <v>482.64536474789026</v>
      </c>
      <c r="C8" s="1636">
        <f>+'Cash Flow'!C8/'Result 3'!$E$1</f>
        <v>214.98799404710172</v>
      </c>
    </row>
    <row r="9" spans="1:5" ht="17.100000000000001" customHeight="1" x14ac:dyDescent="0.3">
      <c r="A9" s="1609" t="s">
        <v>2522</v>
      </c>
      <c r="B9" s="1637"/>
      <c r="C9" s="1638"/>
    </row>
    <row r="10" spans="1:5" ht="17.100000000000001" customHeight="1" x14ac:dyDescent="0.3">
      <c r="A10" s="1609" t="s">
        <v>2523</v>
      </c>
      <c r="B10" s="1637">
        <f>+'Cash Flow'!B10/'Result 3'!$E$1</f>
        <v>11.297219999999999</v>
      </c>
      <c r="C10" s="1637">
        <f>+'Cash Flow'!C10/'Result 3'!$E$1</f>
        <v>-1.8625100000000001</v>
      </c>
    </row>
    <row r="11" spans="1:5" ht="17.100000000000001" customHeight="1" x14ac:dyDescent="0.3">
      <c r="A11" s="1609" t="s">
        <v>2524</v>
      </c>
      <c r="B11" s="1637">
        <f>+'Cash Flow'!B11/'Result 3'!$E$1</f>
        <v>177.27981603100224</v>
      </c>
      <c r="C11" s="1637">
        <f>+'Cash Flow'!C11/'Result 3'!$E$1</f>
        <v>171.92939000000001</v>
      </c>
    </row>
    <row r="12" spans="1:5" ht="17.100000000000001" customHeight="1" x14ac:dyDescent="0.3">
      <c r="A12" s="1609" t="s">
        <v>966</v>
      </c>
      <c r="B12" s="1637">
        <f>+'Cash Flow'!B12/'Result 3'!$E$1</f>
        <v>63.721849500000005</v>
      </c>
      <c r="C12" s="1637">
        <f>+'Cash Flow'!C12/'Result 3'!$E$1</f>
        <v>93.563609400000018</v>
      </c>
    </row>
    <row r="13" spans="1:5" ht="17.100000000000001" customHeight="1" x14ac:dyDescent="0.3">
      <c r="A13" s="1609" t="s">
        <v>2525</v>
      </c>
      <c r="B13" s="1637">
        <f>+'Cash Flow'!B13/'Result 3'!$E$1</f>
        <v>13.849</v>
      </c>
      <c r="C13" s="1637">
        <f>+'Cash Flow'!C13/'Result 3'!$E$1</f>
        <v>-0.18262999999999999</v>
      </c>
    </row>
    <row r="14" spans="1:5" ht="17.100000000000001" customHeight="1" x14ac:dyDescent="0.3">
      <c r="A14" s="1609" t="s">
        <v>906</v>
      </c>
      <c r="B14" s="1637"/>
      <c r="C14" s="1638"/>
    </row>
    <row r="15" spans="1:5" ht="17.100000000000001" customHeight="1" x14ac:dyDescent="0.3">
      <c r="A15" s="1607" t="s">
        <v>2528</v>
      </c>
      <c r="B15" s="1636">
        <f>SUM(B8:B14)</f>
        <v>748.79325027889251</v>
      </c>
      <c r="C15" s="1639">
        <f>SUM(C8:C14)</f>
        <v>478.43585344710175</v>
      </c>
    </row>
    <row r="16" spans="1:5" ht="17.100000000000001" customHeight="1" x14ac:dyDescent="0.3">
      <c r="A16" s="1610"/>
      <c r="B16" s="1640"/>
      <c r="C16" s="1641"/>
    </row>
    <row r="17" spans="1:3" ht="17.100000000000001" customHeight="1" x14ac:dyDescent="0.3">
      <c r="A17" s="1610" t="s">
        <v>2529</v>
      </c>
      <c r="B17" s="1640"/>
      <c r="C17" s="1638"/>
    </row>
    <row r="18" spans="1:3" ht="17.100000000000001" customHeight="1" x14ac:dyDescent="0.3">
      <c r="A18" s="1609" t="s">
        <v>2530</v>
      </c>
      <c r="B18" s="1637">
        <f>+'Cash Flow'!B18/'Result 3'!$E$1</f>
        <v>3.0971767211066186</v>
      </c>
      <c r="C18" s="1637">
        <f>+'Cash Flow'!C18/'Result 3'!$E$1</f>
        <v>-166.38584790686451</v>
      </c>
    </row>
    <row r="19" spans="1:3" ht="17.100000000000001" customHeight="1" x14ac:dyDescent="0.3">
      <c r="A19" s="1609" t="s">
        <v>2531</v>
      </c>
      <c r="B19" s="1637">
        <f>+'Cash Flow'!B19/'Result 3'!$E$1</f>
        <v>-609.05661430000009</v>
      </c>
      <c r="C19" s="1637">
        <f>+'Cash Flow'!C19/'Result 3'!$E$1</f>
        <v>-48.969225000000002</v>
      </c>
    </row>
    <row r="20" spans="1:3" ht="17.100000000000001" customHeight="1" x14ac:dyDescent="0.3">
      <c r="A20" s="1609" t="s">
        <v>2532</v>
      </c>
      <c r="B20" s="1637">
        <f>+'Cash Flow'!B20/'Result 3'!$E$1</f>
        <v>12.622999600000009</v>
      </c>
      <c r="C20" s="1637">
        <f>+'Cash Flow'!C20/'Result 3'!$E$1</f>
        <v>-27.741418400000018</v>
      </c>
    </row>
    <row r="21" spans="1:3" ht="17.100000000000001" customHeight="1" x14ac:dyDescent="0.3">
      <c r="A21" s="1609" t="s">
        <v>2533</v>
      </c>
      <c r="B21" s="1637">
        <f>+'Cash Flow'!B21/'Result 3'!$E$1</f>
        <v>8.9724133500000001</v>
      </c>
      <c r="C21" s="1637">
        <f>+'Cash Flow'!C21/'Result 3'!$E$1</f>
        <v>21.698723800000018</v>
      </c>
    </row>
    <row r="22" spans="1:3" ht="17.100000000000001" customHeight="1" x14ac:dyDescent="0.3">
      <c r="A22" s="1609" t="s">
        <v>2534</v>
      </c>
      <c r="B22" s="1637">
        <f>+'Cash Flow'!B22/'Result 3'!$E$1</f>
        <v>0.83453500000000003</v>
      </c>
      <c r="C22" s="1637">
        <f>+'Cash Flow'!C22/'Result 3'!$E$1</f>
        <v>1.088465</v>
      </c>
    </row>
    <row r="23" spans="1:3" ht="17.100000000000001" customHeight="1" x14ac:dyDescent="0.3">
      <c r="A23" s="1609" t="s">
        <v>2535</v>
      </c>
      <c r="B23" s="1637">
        <f>+'Cash Flow'!B23/'Result 3'!$E$1</f>
        <v>205.82233199999996</v>
      </c>
      <c r="C23" s="1637">
        <f>+'Cash Flow'!C23/'Result 3'!$E$1</f>
        <v>93.885914299999925</v>
      </c>
    </row>
    <row r="24" spans="1:3" ht="17.100000000000001" customHeight="1" x14ac:dyDescent="0.3">
      <c r="A24" s="1609" t="s">
        <v>2537</v>
      </c>
      <c r="B24" s="1637">
        <f>+'Cash Flow'!B24/'Result 3'!$E$1</f>
        <v>-6.3972899999999999</v>
      </c>
      <c r="C24" s="1637">
        <f>+'Cash Flow'!C24/'Result 3'!$E$1</f>
        <v>5.2124770000000016</v>
      </c>
    </row>
    <row r="25" spans="1:3" ht="17.100000000000001" customHeight="1" x14ac:dyDescent="0.3">
      <c r="A25" s="1609" t="s">
        <v>2539</v>
      </c>
      <c r="B25" s="1637">
        <f>+'Cash Flow'!B25/'Result 3'!$E$1</f>
        <v>3.58188</v>
      </c>
      <c r="C25" s="1637">
        <f>+'Cash Flow'!C25/'Result 3'!$E$1</f>
        <v>-0.95174000000000003</v>
      </c>
    </row>
    <row r="26" spans="1:3" ht="17.100000000000001" customHeight="1" x14ac:dyDescent="0.3">
      <c r="A26" s="1609" t="s">
        <v>2541</v>
      </c>
      <c r="B26" s="1637">
        <f>+'Cash Flow'!B26/'Result 3'!$E$1</f>
        <v>61.479888700000011</v>
      </c>
      <c r="C26" s="1637">
        <f>+'Cash Flow'!C26/'Result 3'!$E$1</f>
        <v>-1.363E-2</v>
      </c>
    </row>
    <row r="27" spans="1:3" ht="17.100000000000001" customHeight="1" x14ac:dyDescent="0.3">
      <c r="A27" s="1609" t="s">
        <v>2542</v>
      </c>
      <c r="B27" s="1637">
        <f>+'Cash Flow'!B27/'Result 3'!$E$1</f>
        <v>4.310884950000001</v>
      </c>
      <c r="C27" s="1637">
        <f>+'Cash Flow'!C27/'Result 3'!$E$1</f>
        <v>0.71120000000000005</v>
      </c>
    </row>
    <row r="28" spans="1:3" ht="17.100000000000001" customHeight="1" x14ac:dyDescent="0.3">
      <c r="A28" s="1609" t="s">
        <v>2544</v>
      </c>
      <c r="B28" s="1637">
        <f>+'Cash Flow'!B28/'Result 3'!$E$1</f>
        <v>2.2793100000000002</v>
      </c>
      <c r="C28" s="1637">
        <f>+'Cash Flow'!C28/'Result 3'!$E$1</f>
        <v>6.5732044999999992</v>
      </c>
    </row>
    <row r="29" spans="1:3" ht="17.100000000000001" customHeight="1" x14ac:dyDescent="0.3">
      <c r="A29" s="1609" t="s">
        <v>2546</v>
      </c>
      <c r="B29" s="1637">
        <f>+'Cash Flow'!B29/'Result 3'!$E$1</f>
        <v>-24.64977</v>
      </c>
      <c r="C29" s="1637">
        <f>+'Cash Flow'!C29/'Result 3'!$E$1</f>
        <v>-22.242206400000008</v>
      </c>
    </row>
    <row r="30" spans="1:3" ht="17.100000000000001" customHeight="1" x14ac:dyDescent="0.3">
      <c r="A30" s="1609"/>
      <c r="B30" s="1637"/>
      <c r="C30" s="1638"/>
    </row>
    <row r="31" spans="1:3" ht="17.100000000000001" customHeight="1" x14ac:dyDescent="0.3">
      <c r="A31" s="1607" t="s">
        <v>2549</v>
      </c>
      <c r="B31" s="1636">
        <f>SUM(B17:B30)</f>
        <v>-337.10225397889354</v>
      </c>
      <c r="C31" s="1639">
        <f>SUM(C17:C30)</f>
        <v>-137.13408310686458</v>
      </c>
    </row>
    <row r="32" spans="1:3" ht="17.100000000000001" customHeight="1" x14ac:dyDescent="0.3">
      <c r="A32" s="1607" t="s">
        <v>2550</v>
      </c>
      <c r="B32" s="1636">
        <f>+B31+B15</f>
        <v>411.69099629999897</v>
      </c>
      <c r="C32" s="1639">
        <f>+C31+C15</f>
        <v>341.30177034023717</v>
      </c>
    </row>
    <row r="33" spans="1:3" ht="17.100000000000001" customHeight="1" x14ac:dyDescent="0.3">
      <c r="A33" s="1610" t="s">
        <v>2551</v>
      </c>
      <c r="B33" s="1637">
        <f>+'Cash Flow'!B33/'Result 3'!$E$1</f>
        <v>-130.61145240000201</v>
      </c>
      <c r="C33" s="1637">
        <f>+'Cash Flow'!C33/'Result 3'!$E$1</f>
        <v>-61.750623349141691</v>
      </c>
    </row>
    <row r="34" spans="1:3" ht="17.100000000000001" customHeight="1" x14ac:dyDescent="0.3">
      <c r="A34" s="1607" t="s">
        <v>2553</v>
      </c>
      <c r="B34" s="1636">
        <f>+B32+B33</f>
        <v>281.07954389999696</v>
      </c>
      <c r="C34" s="1639">
        <f>+C32+C33</f>
        <v>279.55114699109549</v>
      </c>
    </row>
    <row r="35" spans="1:3" ht="17.100000000000001" customHeight="1" x14ac:dyDescent="0.3">
      <c r="A35" s="1609"/>
      <c r="B35" s="1637"/>
      <c r="C35" s="1638"/>
    </row>
    <row r="36" spans="1:3" ht="17.100000000000001" customHeight="1" x14ac:dyDescent="0.3">
      <c r="A36" s="1610" t="s">
        <v>2556</v>
      </c>
      <c r="B36" s="1640"/>
      <c r="C36" s="1638"/>
    </row>
    <row r="37" spans="1:3" ht="17.100000000000001" customHeight="1" x14ac:dyDescent="0.3">
      <c r="A37" s="1609" t="s">
        <v>2558</v>
      </c>
      <c r="B37" s="1637">
        <f>+'Cash Flow'!B37/'Result 3'!$E$1</f>
        <v>-116.83041679999999</v>
      </c>
      <c r="C37" s="1637">
        <f>+'Cash Flow'!C37/'Result 3'!$E$1</f>
        <v>-86.298878500000001</v>
      </c>
    </row>
    <row r="38" spans="1:3" ht="17.100000000000001" customHeight="1" x14ac:dyDescent="0.3">
      <c r="A38" s="1609" t="s">
        <v>2559</v>
      </c>
      <c r="B38" s="1637">
        <f>+'Cash Flow'!B38/'Result 3'!$E$1</f>
        <v>0.80000495776951308</v>
      </c>
      <c r="C38" s="1637">
        <f>+'Cash Flow'!C38/'Result 3'!$E$1</f>
        <v>3</v>
      </c>
    </row>
    <row r="39" spans="1:3" ht="17.100000000000001" customHeight="1" x14ac:dyDescent="0.3">
      <c r="A39" s="1609" t="s">
        <v>2560</v>
      </c>
      <c r="B39" s="1637">
        <f>+'Cash Flow'!B39/'Result 3'!$E$1</f>
        <v>0</v>
      </c>
      <c r="C39" s="1637">
        <f>+'Cash Flow'!C39/'Result 3'!$E$1</f>
        <v>0</v>
      </c>
    </row>
    <row r="40" spans="1:3" ht="17.100000000000001" customHeight="1" x14ac:dyDescent="0.3">
      <c r="A40" s="1609" t="s">
        <v>2561</v>
      </c>
      <c r="B40" s="1637">
        <f>+'Cash Flow'!B40/'Result 3'!$E$1</f>
        <v>0</v>
      </c>
      <c r="C40" s="1637">
        <f>+'Cash Flow'!C40/'Result 3'!$E$1</f>
        <v>0</v>
      </c>
    </row>
    <row r="41" spans="1:3" ht="17.100000000000001" customHeight="1" x14ac:dyDescent="0.3">
      <c r="A41" s="1609" t="s">
        <v>2562</v>
      </c>
      <c r="B41" s="1637">
        <f>+'Cash Flow'!B41/'Result 3'!$E$1</f>
        <v>0</v>
      </c>
      <c r="C41" s="1637">
        <f>+'Cash Flow'!C41/'Result 3'!$E$1</f>
        <v>0</v>
      </c>
    </row>
    <row r="42" spans="1:3" ht="17.100000000000001" customHeight="1" x14ac:dyDescent="0.3">
      <c r="A42" s="1609" t="s">
        <v>2563</v>
      </c>
      <c r="B42" s="1637">
        <f>+'Cash Flow'!B42/'Result 3'!$E$1</f>
        <v>0</v>
      </c>
      <c r="C42" s="1637">
        <f>+'Cash Flow'!C42/'Result 3'!$E$1</f>
        <v>0</v>
      </c>
    </row>
    <row r="43" spans="1:3" ht="17.100000000000001" customHeight="1" x14ac:dyDescent="0.3">
      <c r="A43" s="1609"/>
      <c r="B43" s="1637"/>
      <c r="C43" s="1638"/>
    </row>
    <row r="44" spans="1:3" ht="17.100000000000001" customHeight="1" x14ac:dyDescent="0.3">
      <c r="A44" s="1607" t="s">
        <v>2564</v>
      </c>
      <c r="B44" s="1636">
        <f>SUM(B37:B43)</f>
        <v>-116.03041184223048</v>
      </c>
      <c r="C44" s="1639">
        <f>SUM(C37:C43)</f>
        <v>-83.298878500000001</v>
      </c>
    </row>
    <row r="45" spans="1:3" ht="17.100000000000001" customHeight="1" x14ac:dyDescent="0.3">
      <c r="A45" s="1609" t="s">
        <v>906</v>
      </c>
      <c r="B45" s="1637"/>
      <c r="C45" s="1638"/>
    </row>
    <row r="46" spans="1:3" ht="17.100000000000001" customHeight="1" x14ac:dyDescent="0.3">
      <c r="A46" s="1610" t="s">
        <v>2565</v>
      </c>
      <c r="B46" s="1640"/>
      <c r="C46" s="1638"/>
    </row>
    <row r="47" spans="1:3" ht="17.100000000000001" customHeight="1" x14ac:dyDescent="0.3">
      <c r="A47" s="1609" t="s">
        <v>2566</v>
      </c>
      <c r="B47" s="1637"/>
      <c r="C47" s="1638">
        <v>0</v>
      </c>
    </row>
    <row r="48" spans="1:3" ht="17.100000000000001" customHeight="1" x14ac:dyDescent="0.3">
      <c r="A48" s="1609" t="s">
        <v>2567</v>
      </c>
      <c r="B48" s="1637">
        <f>+'Cash Flow'!B48/'Result 3'!$E$1</f>
        <v>-182.67487610000006</v>
      </c>
      <c r="C48" s="1637">
        <f>+'Cash Flow'!C48/'Result 3'!$E$1</f>
        <v>61.678464500000004</v>
      </c>
    </row>
    <row r="49" spans="1:3" ht="17.100000000000001" customHeight="1" x14ac:dyDescent="0.3">
      <c r="A49" s="1609" t="s">
        <v>2569</v>
      </c>
      <c r="B49" s="1637">
        <f>+'Cash Flow'!B49/'Result 3'!$E$1</f>
        <v>86.201310000000007</v>
      </c>
      <c r="C49" s="1637">
        <f>+'Cash Flow'!C49/'Result 3'!$E$1</f>
        <v>-165.62108000000001</v>
      </c>
    </row>
    <row r="50" spans="1:3" ht="17.100000000000001" customHeight="1" x14ac:dyDescent="0.3">
      <c r="A50" s="1609" t="s">
        <v>2570</v>
      </c>
      <c r="B50" s="1637">
        <f>+'Cash Flow'!B50/'Result 3'!$E$1</f>
        <v>-68.069508900000002</v>
      </c>
      <c r="C50" s="1637">
        <f>+'Cash Flow'!C50/'Result 3'!$E$1</f>
        <v>-90.443520000000021</v>
      </c>
    </row>
    <row r="51" spans="1:3" ht="17.100000000000001" customHeight="1" x14ac:dyDescent="0.3">
      <c r="A51" s="1609" t="s">
        <v>2571</v>
      </c>
      <c r="B51" s="1642" t="s">
        <v>1170</v>
      </c>
      <c r="C51" s="1638">
        <v>0</v>
      </c>
    </row>
    <row r="52" spans="1:3" ht="17.100000000000001" customHeight="1" x14ac:dyDescent="0.3">
      <c r="A52" s="1607" t="s">
        <v>2572</v>
      </c>
      <c r="B52" s="1636">
        <f>SUM(B47:B51)</f>
        <v>-164.54307500000004</v>
      </c>
      <c r="C52" s="1639">
        <f>SUM(C47:C51)</f>
        <v>-194.38613550000002</v>
      </c>
    </row>
    <row r="53" spans="1:3" ht="17.100000000000001" customHeight="1" x14ac:dyDescent="0.3">
      <c r="A53" s="1610"/>
      <c r="B53" s="1640"/>
      <c r="C53" s="1638"/>
    </row>
    <row r="54" spans="1:3" ht="17.100000000000001" customHeight="1" x14ac:dyDescent="0.3">
      <c r="A54" s="1607" t="s">
        <v>2573</v>
      </c>
      <c r="B54" s="1636">
        <f>+B52+B44+B34</f>
        <v>0.50605705776644072</v>
      </c>
      <c r="C54" s="1639">
        <f>+C52+C44+C34</f>
        <v>1.8661329910954692</v>
      </c>
    </row>
    <row r="55" spans="1:3" ht="17.100000000000001" customHeight="1" x14ac:dyDescent="0.3">
      <c r="A55" s="1610"/>
      <c r="B55" s="1640"/>
      <c r="C55" s="1638"/>
    </row>
    <row r="56" spans="1:3" ht="17.100000000000001" customHeight="1" x14ac:dyDescent="0.3">
      <c r="A56" s="1612" t="s">
        <v>2574</v>
      </c>
      <c r="B56" s="1637">
        <f>+'Cash Flow'!B56/'Result 3'!$E$1</f>
        <v>2.8326304910953342</v>
      </c>
      <c r="C56" s="1637">
        <f>+'Cash Flow'!C56/'Result 3'!$E$1</f>
        <v>0.96649750000000001</v>
      </c>
    </row>
    <row r="57" spans="1:3" ht="17.100000000000001" customHeight="1" x14ac:dyDescent="0.3">
      <c r="A57" s="1613"/>
      <c r="B57" s="1643"/>
      <c r="C57" s="1638"/>
    </row>
    <row r="58" spans="1:3" ht="17.100000000000001" customHeight="1" x14ac:dyDescent="0.3">
      <c r="A58" s="1607" t="s">
        <v>2575</v>
      </c>
      <c r="B58" s="1644">
        <f>+B54+B56</f>
        <v>3.3386875488617749</v>
      </c>
      <c r="C58" s="1645">
        <f>+C54+C56</f>
        <v>2.8326304910954692</v>
      </c>
    </row>
    <row r="59" spans="1:3" ht="17.100000000000001" customHeight="1" x14ac:dyDescent="0.3">
      <c r="A59" s="1613"/>
      <c r="B59" s="1646"/>
      <c r="C59" s="1647"/>
    </row>
    <row r="60" spans="1:3" ht="17.100000000000001" customHeight="1" x14ac:dyDescent="0.3">
      <c r="A60" s="1613"/>
      <c r="B60" s="268"/>
      <c r="C60" s="1614"/>
    </row>
    <row r="61" spans="1:3" ht="17.100000000000001" customHeight="1" x14ac:dyDescent="0.25">
      <c r="A61" s="878"/>
      <c r="B61" s="879"/>
      <c r="C61" s="847"/>
    </row>
    <row r="62" spans="1:3" ht="17.100000000000001" customHeight="1" x14ac:dyDescent="0.25">
      <c r="A62" s="878"/>
      <c r="B62" s="879"/>
      <c r="C62" s="1577"/>
    </row>
    <row r="63" spans="1:3" ht="17.100000000000001" customHeight="1" x14ac:dyDescent="0.3">
      <c r="A63" s="66"/>
      <c r="B63" s="67"/>
      <c r="C63" s="1578"/>
    </row>
    <row r="64" spans="1:3" ht="17.100000000000001" customHeight="1" x14ac:dyDescent="0.3">
      <c r="A64" s="69"/>
      <c r="B64" s="70"/>
      <c r="C64" s="1578"/>
    </row>
    <row r="65" spans="1:3" ht="17.100000000000001" customHeight="1" x14ac:dyDescent="0.3">
      <c r="A65" s="69"/>
      <c r="B65" s="70"/>
      <c r="C65" s="1578"/>
    </row>
    <row r="66" spans="1:3" ht="17.100000000000001" customHeight="1" x14ac:dyDescent="0.3">
      <c r="A66" s="69"/>
      <c r="B66" s="70"/>
      <c r="C66" s="1578"/>
    </row>
    <row r="67" spans="1:3" ht="17.100000000000001" customHeight="1" x14ac:dyDescent="0.3">
      <c r="A67" s="69"/>
      <c r="B67" s="70"/>
      <c r="C67" s="1579"/>
    </row>
    <row r="68" spans="1:3" ht="17.100000000000001" customHeight="1" x14ac:dyDescent="0.3">
      <c r="A68" s="69"/>
      <c r="B68" s="70"/>
      <c r="C68" s="1580"/>
    </row>
    <row r="69" spans="1:3" ht="17.100000000000001" customHeight="1" x14ac:dyDescent="0.3">
      <c r="A69" s="69"/>
      <c r="B69" s="70"/>
      <c r="C69" s="1580"/>
    </row>
    <row r="70" spans="1:3" ht="17.100000000000001" customHeight="1" x14ac:dyDescent="0.3">
      <c r="A70" s="69"/>
      <c r="B70" s="70"/>
      <c r="C70" s="1580"/>
    </row>
    <row r="71" spans="1:3" ht="17.100000000000001" customHeight="1" x14ac:dyDescent="0.3">
      <c r="A71" s="69"/>
      <c r="B71" s="70"/>
      <c r="C71" s="1580"/>
    </row>
    <row r="72" spans="1:3" ht="17.100000000000001" customHeight="1" x14ac:dyDescent="0.3">
      <c r="A72" s="69"/>
      <c r="B72" s="70"/>
      <c r="C72" s="1579"/>
    </row>
    <row r="73" spans="1:3" ht="17.100000000000001" customHeight="1" x14ac:dyDescent="0.3">
      <c r="A73" s="69"/>
      <c r="B73" s="70"/>
      <c r="C73" s="1580"/>
    </row>
    <row r="74" spans="1:3" ht="17.100000000000001" customHeight="1" x14ac:dyDescent="0.3">
      <c r="A74" s="69"/>
      <c r="B74" s="70"/>
      <c r="C74" s="1578"/>
    </row>
    <row r="75" spans="1:3" ht="17.100000000000001" customHeight="1" x14ac:dyDescent="0.3">
      <c r="A75" s="69"/>
      <c r="B75" s="70"/>
      <c r="C75" s="1578"/>
    </row>
    <row r="76" spans="1:3" ht="17.100000000000001" customHeight="1" x14ac:dyDescent="0.3">
      <c r="A76" s="69"/>
      <c r="B76" s="70"/>
      <c r="C76" s="1579"/>
    </row>
    <row r="77" spans="1:3" ht="17.100000000000001" customHeight="1" x14ac:dyDescent="0.3">
      <c r="A77" s="69"/>
      <c r="B77" s="70"/>
      <c r="C77" s="1580"/>
    </row>
    <row r="78" spans="1:3" ht="17.100000000000001" customHeight="1" x14ac:dyDescent="0.3">
      <c r="A78" s="69"/>
      <c r="B78" s="70"/>
      <c r="C78" s="1580"/>
    </row>
    <row r="79" spans="1:3" ht="17.100000000000001" customHeight="1" x14ac:dyDescent="0.3">
      <c r="A79" s="69"/>
      <c r="B79" s="70"/>
      <c r="C79" s="1580"/>
    </row>
    <row r="80" spans="1:3" ht="17.100000000000001" customHeight="1" x14ac:dyDescent="0.3">
      <c r="A80" s="69"/>
      <c r="B80" s="70"/>
      <c r="C80" s="1580"/>
    </row>
    <row r="81" spans="1:3" ht="17.100000000000001" customHeight="1" x14ac:dyDescent="0.3">
      <c r="A81" s="69"/>
      <c r="B81" s="70"/>
      <c r="C81" s="1579"/>
    </row>
    <row r="82" spans="1:3" ht="17.100000000000001" customHeight="1" x14ac:dyDescent="0.3">
      <c r="A82" s="69"/>
      <c r="B82" s="70"/>
      <c r="C82" s="1580"/>
    </row>
    <row r="83" spans="1:3" ht="17.100000000000001" customHeight="1" x14ac:dyDescent="0.3">
      <c r="A83" s="69"/>
      <c r="B83" s="70"/>
      <c r="C83" s="1580"/>
    </row>
    <row r="84" spans="1:3" ht="17.100000000000001" customHeight="1" x14ac:dyDescent="0.3">
      <c r="A84" s="69"/>
      <c r="B84" s="70"/>
      <c r="C84" s="1580"/>
    </row>
    <row r="85" spans="1:3" ht="17.100000000000001" customHeight="1" x14ac:dyDescent="0.3">
      <c r="A85" s="69"/>
      <c r="B85" s="70"/>
      <c r="C85" s="1580"/>
    </row>
    <row r="86" spans="1:3" ht="17.100000000000001" customHeight="1" x14ac:dyDescent="0.3">
      <c r="A86" s="69"/>
      <c r="B86" s="70"/>
      <c r="C86" s="1581"/>
    </row>
    <row r="87" spans="1:3" ht="17.100000000000001" customHeight="1" x14ac:dyDescent="0.3">
      <c r="A87" s="69"/>
      <c r="B87" s="70"/>
      <c r="C87" s="1578"/>
    </row>
    <row r="88" spans="1:3" ht="17.100000000000001" customHeight="1" x14ac:dyDescent="0.3">
      <c r="A88" s="101"/>
      <c r="B88" s="102"/>
      <c r="C88" s="1582"/>
    </row>
  </sheetData>
  <mergeCells count="2">
    <mergeCell ref="A1:C1"/>
    <mergeCell ref="A2:C2"/>
  </mergeCells>
  <pageMargins left="0.7" right="0.7" top="0.75" bottom="0.75" header="0.3" footer="0.3"/>
  <pageSetup scale="63"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88"/>
  <sheetViews>
    <sheetView view="pageBreakPreview" zoomScale="60" zoomScaleNormal="69" workbookViewId="0">
      <selection activeCell="BB44" sqref="BB44"/>
    </sheetView>
  </sheetViews>
  <sheetFormatPr defaultColWidth="9.140625" defaultRowHeight="15.75" x14ac:dyDescent="0.25"/>
  <cols>
    <col min="1" max="1" width="78.42578125" style="875" bestFit="1" customWidth="1"/>
    <col min="2" max="2" width="29" style="876" bestFit="1" customWidth="1"/>
    <col min="3" max="3" width="23.7109375" style="876" customWidth="1"/>
    <col min="4" max="4" width="11.85546875" hidden="1" customWidth="1"/>
    <col min="5" max="5" width="25.5703125" hidden="1" customWidth="1"/>
    <col min="6" max="8" width="11.85546875" hidden="1" customWidth="1"/>
    <col min="9" max="9" width="15.42578125" hidden="1" customWidth="1"/>
    <col min="10" max="10" width="14.7109375" hidden="1" customWidth="1"/>
    <col min="11" max="11" width="9.140625" hidden="1" customWidth="1"/>
    <col min="12" max="12" width="14.85546875" style="858" hidden="1" customWidth="1"/>
    <col min="13" max="14" width="9.140625" style="858" hidden="1" customWidth="1"/>
    <col min="15" max="15" width="41.28515625" style="859" hidden="1" customWidth="1"/>
    <col min="16" max="16" width="17.140625" style="859" hidden="1" customWidth="1"/>
    <col min="17" max="17" width="9.42578125" style="859" hidden="1" customWidth="1"/>
    <col min="18" max="19" width="16.28515625" style="859" hidden="1" customWidth="1"/>
    <col min="20" max="20" width="17" style="858" hidden="1" customWidth="1"/>
    <col min="21" max="47" width="9.140625" style="858" hidden="1" customWidth="1"/>
    <col min="49" max="49" width="10.85546875" bestFit="1" customWidth="1"/>
    <col min="50" max="50" width="16" customWidth="1"/>
    <col min="51" max="51" width="15.7109375" customWidth="1"/>
    <col min="52" max="52" width="15.28515625" customWidth="1"/>
    <col min="54" max="54" width="17.140625" bestFit="1" customWidth="1"/>
    <col min="55" max="55" width="18.42578125" bestFit="1" customWidth="1"/>
    <col min="56" max="56" width="20.42578125" bestFit="1" customWidth="1"/>
  </cols>
  <sheetData>
    <row r="1" spans="1:20" x14ac:dyDescent="0.25">
      <c r="A1" s="1738" t="s">
        <v>907</v>
      </c>
      <c r="B1" s="1739"/>
      <c r="C1" s="1740"/>
    </row>
    <row r="2" spans="1:20" x14ac:dyDescent="0.25">
      <c r="A2" s="860"/>
      <c r="B2" s="880"/>
      <c r="C2" s="1573"/>
    </row>
    <row r="3" spans="1:20" x14ac:dyDescent="0.25">
      <c r="A3" s="1741" t="s">
        <v>2578</v>
      </c>
      <c r="B3" s="1742"/>
      <c r="C3" s="1743"/>
    </row>
    <row r="4" spans="1:20" x14ac:dyDescent="0.25">
      <c r="A4" s="861"/>
      <c r="B4" s="862"/>
      <c r="C4" s="1574"/>
    </row>
    <row r="5" spans="1:20" x14ac:dyDescent="0.25">
      <c r="A5" s="863" t="s">
        <v>2518</v>
      </c>
      <c r="B5" s="864" t="s">
        <v>2577</v>
      </c>
      <c r="C5" s="864" t="s">
        <v>2519</v>
      </c>
    </row>
    <row r="6" spans="1:20" x14ac:dyDescent="0.25">
      <c r="A6" s="865"/>
      <c r="B6" s="865"/>
      <c r="C6" s="865"/>
    </row>
    <row r="7" spans="1:20" x14ac:dyDescent="0.25">
      <c r="A7" s="866" t="s">
        <v>2520</v>
      </c>
      <c r="B7" s="1220"/>
      <c r="C7" s="865"/>
    </row>
    <row r="8" spans="1:20" x14ac:dyDescent="0.25">
      <c r="A8" s="863" t="s">
        <v>2521</v>
      </c>
      <c r="B8" s="1221">
        <f>+BSPL!F93</f>
        <v>48264536.474789023</v>
      </c>
      <c r="C8" s="1207">
        <f>+BSPL!G93</f>
        <v>21498799.404710174</v>
      </c>
      <c r="N8" s="868"/>
    </row>
    <row r="9" spans="1:20" x14ac:dyDescent="0.25">
      <c r="A9" s="865" t="s">
        <v>2522</v>
      </c>
      <c r="B9" s="1219"/>
      <c r="C9" s="869"/>
    </row>
    <row r="10" spans="1:20" x14ac:dyDescent="0.25">
      <c r="A10" s="865" t="s">
        <v>2523</v>
      </c>
      <c r="B10" s="1219">
        <f>+BSPL!F103</f>
        <v>1129722</v>
      </c>
      <c r="C10" s="869">
        <f>+BSPL!G103</f>
        <v>-186251</v>
      </c>
    </row>
    <row r="11" spans="1:20" x14ac:dyDescent="0.25">
      <c r="A11" s="865" t="s">
        <v>2524</v>
      </c>
      <c r="B11" s="1219">
        <f>+BSPL!F87</f>
        <v>17727981.603100225</v>
      </c>
      <c r="C11" s="869">
        <f>+BSPL!G87</f>
        <v>17192939</v>
      </c>
    </row>
    <row r="12" spans="1:20" x14ac:dyDescent="0.25">
      <c r="A12" s="865" t="s">
        <v>966</v>
      </c>
      <c r="B12" s="1219">
        <f>+BSPL!F86</f>
        <v>6372184.9500000002</v>
      </c>
      <c r="C12" s="869">
        <f>+BSPL!G86</f>
        <v>9356360.9400000013</v>
      </c>
    </row>
    <row r="13" spans="1:20" x14ac:dyDescent="0.25">
      <c r="A13" s="865" t="s">
        <v>2525</v>
      </c>
      <c r="B13" s="1219">
        <f>+BSPL!F491</f>
        <v>1384900</v>
      </c>
      <c r="C13" s="869">
        <f>-+GETPIVOTDATA("Sum of Cr. Final 2019-20",Pivot!$A$3,"Note",20,"BS Main Head","Other Income","BS Sub Head","Profit on Sale of Asset")</f>
        <v>-18263</v>
      </c>
      <c r="F13" t="s">
        <v>2526</v>
      </c>
      <c r="G13" t="s">
        <v>2527</v>
      </c>
      <c r="H13" t="s">
        <v>2361</v>
      </c>
    </row>
    <row r="14" spans="1:20" x14ac:dyDescent="0.25">
      <c r="A14" s="865" t="s">
        <v>906</v>
      </c>
      <c r="B14" s="1219"/>
      <c r="C14" s="869"/>
    </row>
    <row r="15" spans="1:20" x14ac:dyDescent="0.25">
      <c r="A15" s="863" t="s">
        <v>2528</v>
      </c>
      <c r="B15" s="1221">
        <f>SUM(B8:B14)</f>
        <v>74879325.027889252</v>
      </c>
      <c r="C15" s="867">
        <f>SUM(C8:C14)</f>
        <v>47843585.344710171</v>
      </c>
    </row>
    <row r="16" spans="1:20" x14ac:dyDescent="0.25">
      <c r="A16" s="866"/>
      <c r="B16" s="1220"/>
      <c r="C16" s="870"/>
      <c r="O16" s="871" t="s">
        <v>464</v>
      </c>
      <c r="P16" s="859">
        <v>0</v>
      </c>
      <c r="Q16" s="859">
        <v>0</v>
      </c>
      <c r="R16" s="859">
        <v>12325000</v>
      </c>
      <c r="S16" s="859">
        <v>0</v>
      </c>
      <c r="T16" s="872">
        <f>+P16-R16</f>
        <v>-12325000</v>
      </c>
    </row>
    <row r="17" spans="1:56" x14ac:dyDescent="0.25">
      <c r="A17" s="866" t="s">
        <v>2529</v>
      </c>
      <c r="B17" s="1220"/>
      <c r="C17" s="869"/>
      <c r="O17" s="871" t="s">
        <v>14</v>
      </c>
      <c r="P17" s="859">
        <v>3800000</v>
      </c>
      <c r="Q17" s="859">
        <v>0</v>
      </c>
      <c r="R17" s="859">
        <v>0</v>
      </c>
      <c r="S17" s="859">
        <v>0</v>
      </c>
      <c r="T17" s="872">
        <f t="shared" ref="T17:T27" si="0">+P17-R17</f>
        <v>3800000</v>
      </c>
      <c r="AX17" s="260" t="s">
        <v>2587</v>
      </c>
      <c r="AY17" s="260" t="s">
        <v>2583</v>
      </c>
      <c r="AZ17" s="260" t="s">
        <v>2584</v>
      </c>
      <c r="BA17" s="260" t="s">
        <v>2585</v>
      </c>
      <c r="BB17" s="260" t="s">
        <v>2581</v>
      </c>
      <c r="BC17" s="260" t="s">
        <v>2582</v>
      </c>
      <c r="BD17" s="260" t="s">
        <v>2586</v>
      </c>
    </row>
    <row r="18" spans="1:56" x14ac:dyDescent="0.25">
      <c r="A18" s="865" t="s">
        <v>2530</v>
      </c>
      <c r="B18" s="1219">
        <f>+BSPL!G15-BSPL!F15</f>
        <v>309717.67211066186</v>
      </c>
      <c r="C18" s="869">
        <v>-16638584.790686451</v>
      </c>
      <c r="E18" s="441" t="s">
        <v>920</v>
      </c>
      <c r="F18">
        <f>+[63]BSPL!G15</f>
        <v>51184927.105289809</v>
      </c>
      <c r="G18">
        <v>42797875.565622441</v>
      </c>
      <c r="H18">
        <f>+G18-F18</f>
        <v>-8387051.5396673679</v>
      </c>
      <c r="I18">
        <v>-8387051.5396673679</v>
      </c>
      <c r="J18">
        <f>+H18-I18</f>
        <v>0</v>
      </c>
      <c r="O18" s="871" t="s">
        <v>299</v>
      </c>
      <c r="P18" s="859">
        <v>34285</v>
      </c>
      <c r="Q18" s="859">
        <v>0</v>
      </c>
      <c r="R18" s="859">
        <v>34285</v>
      </c>
      <c r="S18" s="859">
        <v>0</v>
      </c>
      <c r="T18" s="872">
        <f t="shared" si="0"/>
        <v>0</v>
      </c>
      <c r="AX18" s="260" t="s">
        <v>920</v>
      </c>
      <c r="AY18" s="260">
        <f>+BSPL!F15</f>
        <v>67513794.217889339</v>
      </c>
      <c r="AZ18" s="260">
        <f>+BSPL!G15</f>
        <v>67823511.890000001</v>
      </c>
      <c r="BA18" s="260"/>
      <c r="BB18" s="260">
        <f>+AZ18</f>
        <v>67823511.890000001</v>
      </c>
      <c r="BC18" s="260">
        <v>51184927.105289809</v>
      </c>
      <c r="BD18" s="260"/>
    </row>
    <row r="19" spans="1:56" x14ac:dyDescent="0.25">
      <c r="A19" s="865" t="s">
        <v>2531</v>
      </c>
      <c r="B19" s="1219">
        <f>+BSPL!G17-BSPL!F17</f>
        <v>-60905661.430000007</v>
      </c>
      <c r="C19" s="869">
        <v>-4896922.5</v>
      </c>
      <c r="E19" s="441" t="s">
        <v>469</v>
      </c>
      <c r="F19">
        <f>+[63]BSPL!G17</f>
        <v>89957465.5</v>
      </c>
      <c r="G19">
        <v>100458396.86999999</v>
      </c>
      <c r="H19">
        <f>+G19-F19</f>
        <v>10500931.36999999</v>
      </c>
      <c r="I19">
        <v>10500931.36999999</v>
      </c>
      <c r="J19">
        <f t="shared" ref="J19:J29" si="1">+H19-I19</f>
        <v>0</v>
      </c>
      <c r="O19" s="871" t="s">
        <v>296</v>
      </c>
      <c r="P19" s="859">
        <v>122153</v>
      </c>
      <c r="Q19" s="859">
        <v>0</v>
      </c>
      <c r="R19" s="859">
        <v>122153</v>
      </c>
      <c r="S19" s="859">
        <v>0</v>
      </c>
      <c r="T19" s="872">
        <f t="shared" si="0"/>
        <v>0</v>
      </c>
      <c r="AX19" s="260" t="s">
        <v>469</v>
      </c>
      <c r="AY19" s="260">
        <f>+BSPL!F16</f>
        <v>0</v>
      </c>
      <c r="AZ19" s="260">
        <f>+BSPL!G17</f>
        <v>94854388</v>
      </c>
      <c r="BA19" s="260"/>
      <c r="BB19" s="260">
        <f t="shared" ref="BB19:BB27" si="2">+AZ19</f>
        <v>94854388</v>
      </c>
      <c r="BC19" s="260">
        <v>89957465.5</v>
      </c>
      <c r="BD19" s="260"/>
    </row>
    <row r="20" spans="1:56" x14ac:dyDescent="0.25">
      <c r="A20" s="865" t="s">
        <v>2532</v>
      </c>
      <c r="B20" s="1219">
        <f>+BSPL!G20-BSPL!F20</f>
        <v>1262299.9600000009</v>
      </c>
      <c r="C20" s="869">
        <v>-2774141.8400000017</v>
      </c>
      <c r="E20" t="s">
        <v>1440</v>
      </c>
      <c r="F20">
        <f>+[63]BSPL!G20</f>
        <v>5769158.1199999992</v>
      </c>
      <c r="G20">
        <v>3466500.52</v>
      </c>
      <c r="H20">
        <f>+G20-F20</f>
        <v>-2302657.5999999992</v>
      </c>
      <c r="I20">
        <v>257785</v>
      </c>
      <c r="J20">
        <f t="shared" si="1"/>
        <v>-2560442.5999999992</v>
      </c>
      <c r="O20" s="871" t="s">
        <v>298</v>
      </c>
      <c r="P20" s="859">
        <v>139678</v>
      </c>
      <c r="Q20" s="859">
        <v>0</v>
      </c>
      <c r="R20" s="859">
        <v>139678</v>
      </c>
      <c r="S20" s="859">
        <v>0</v>
      </c>
      <c r="T20" s="872">
        <f t="shared" si="0"/>
        <v>0</v>
      </c>
      <c r="AX20" s="260" t="s">
        <v>1440</v>
      </c>
      <c r="AY20" s="260">
        <f>+BSPL!F17</f>
        <v>155760049.43000001</v>
      </c>
      <c r="AZ20" s="260">
        <f>+BSPL!G20</f>
        <v>8543299.9600000009</v>
      </c>
      <c r="BA20" s="260"/>
      <c r="BB20" s="260">
        <f t="shared" si="2"/>
        <v>8543299.9600000009</v>
      </c>
      <c r="BC20" s="260">
        <v>5769158.1199999992</v>
      </c>
      <c r="BD20" s="260"/>
    </row>
    <row r="21" spans="1:56" x14ac:dyDescent="0.25">
      <c r="A21" s="865" t="s">
        <v>2533</v>
      </c>
      <c r="B21" s="1219">
        <f>+BSPL!G21-BSPL!F21</f>
        <v>897241.33499999996</v>
      </c>
      <c r="C21" s="869">
        <v>2169872.3800000018</v>
      </c>
      <c r="E21" s="441" t="s">
        <v>584</v>
      </c>
      <c r="F21">
        <f>+[63]BSPL!G291</f>
        <v>7276608.1800000006</v>
      </c>
      <c r="G21">
        <v>8397289.7899999991</v>
      </c>
      <c r="H21">
        <f>+G21-F21</f>
        <v>1120681.6099999985</v>
      </c>
      <c r="I21">
        <v>-6669728.5899999999</v>
      </c>
      <c r="J21">
        <f t="shared" si="1"/>
        <v>7790410.1999999983</v>
      </c>
      <c r="O21" s="871" t="s">
        <v>297</v>
      </c>
      <c r="P21" s="859">
        <v>271788</v>
      </c>
      <c r="Q21" s="859">
        <v>0</v>
      </c>
      <c r="R21" s="859">
        <v>271788</v>
      </c>
      <c r="S21" s="859">
        <v>0</v>
      </c>
      <c r="T21" s="872">
        <f t="shared" si="0"/>
        <v>0</v>
      </c>
      <c r="AX21" s="260" t="s">
        <v>584</v>
      </c>
      <c r="AY21" s="260">
        <f>+BSPL!F18</f>
        <v>333868.40000000002</v>
      </c>
      <c r="AZ21" s="260">
        <f>+BSPL!G21</f>
        <v>5106736.3549999995</v>
      </c>
      <c r="BA21" s="260"/>
      <c r="BB21" s="260">
        <f t="shared" si="2"/>
        <v>5106736.3549999995</v>
      </c>
      <c r="BC21" s="260">
        <v>7276608.1800000006</v>
      </c>
      <c r="BD21" s="260"/>
    </row>
    <row r="22" spans="1:56" x14ac:dyDescent="0.25">
      <c r="A22" s="865" t="s">
        <v>2534</v>
      </c>
      <c r="B22" s="1219">
        <f>+BSPL!G19-BSPL!F19</f>
        <v>83453.5</v>
      </c>
      <c r="C22" s="869">
        <v>108846.5</v>
      </c>
      <c r="E22" s="441" t="s">
        <v>1027</v>
      </c>
      <c r="F22">
        <f>+[63]BSPL!G19</f>
        <v>192300</v>
      </c>
      <c r="G22">
        <v>192929</v>
      </c>
      <c r="H22">
        <f>+G22-F22</f>
        <v>629</v>
      </c>
      <c r="I22">
        <v>628.5</v>
      </c>
      <c r="J22">
        <f t="shared" si="1"/>
        <v>0.5</v>
      </c>
      <c r="O22" s="871" t="s">
        <v>762</v>
      </c>
      <c r="P22" s="886">
        <v>0</v>
      </c>
      <c r="Q22" s="886">
        <v>0</v>
      </c>
      <c r="R22" s="886">
        <v>0</v>
      </c>
      <c r="S22" s="886">
        <v>0</v>
      </c>
      <c r="T22" s="872">
        <f t="shared" si="0"/>
        <v>0</v>
      </c>
      <c r="AX22" s="260" t="s">
        <v>1027</v>
      </c>
      <c r="AY22" s="260">
        <f>+BSPL!F19</f>
        <v>0</v>
      </c>
      <c r="AZ22" s="260">
        <f>+BSPL!G19</f>
        <v>83453.5</v>
      </c>
      <c r="BA22" s="260"/>
      <c r="BB22" s="260">
        <f t="shared" si="2"/>
        <v>83453.5</v>
      </c>
      <c r="BC22" s="260">
        <v>192300</v>
      </c>
      <c r="BD22" s="260"/>
    </row>
    <row r="23" spans="1:56" x14ac:dyDescent="0.25">
      <c r="A23" s="865" t="s">
        <v>2535</v>
      </c>
      <c r="B23" s="1219">
        <f>+BSPL!F41-BSPL!G41</f>
        <v>20582233.199999996</v>
      </c>
      <c r="C23" s="869">
        <v>9388591.4299999923</v>
      </c>
      <c r="E23" t="s">
        <v>2536</v>
      </c>
      <c r="F23">
        <f>+[63]BSPL!G41</f>
        <v>49656875.130000003</v>
      </c>
      <c r="G23">
        <v>64903509.759999998</v>
      </c>
      <c r="H23">
        <f t="shared" ref="H23:H27" si="3">+F23-G23</f>
        <v>-15246634.629999995</v>
      </c>
      <c r="I23">
        <v>-15466601.429999992</v>
      </c>
      <c r="J23">
        <f t="shared" si="1"/>
        <v>219966.79999999702</v>
      </c>
      <c r="O23" s="871" t="s">
        <v>844</v>
      </c>
      <c r="P23" s="859">
        <v>0</v>
      </c>
      <c r="Q23" s="859">
        <v>0</v>
      </c>
      <c r="R23" s="859">
        <v>19841</v>
      </c>
      <c r="S23" s="859">
        <v>0</v>
      </c>
      <c r="T23" s="872">
        <f t="shared" si="0"/>
        <v>-19841</v>
      </c>
      <c r="AX23" s="260" t="s">
        <v>2536</v>
      </c>
      <c r="AY23" s="260">
        <f>+BSPL!F20</f>
        <v>7281000</v>
      </c>
      <c r="AZ23" s="260">
        <f>+BSPL!G41</f>
        <v>59045466.559999995</v>
      </c>
      <c r="BA23" s="260"/>
      <c r="BB23" s="260">
        <f t="shared" si="2"/>
        <v>59045466.559999995</v>
      </c>
      <c r="BC23" s="260">
        <v>49656875.130000003</v>
      </c>
      <c r="BD23" s="260"/>
    </row>
    <row r="24" spans="1:56" x14ac:dyDescent="0.25">
      <c r="A24" s="865" t="s">
        <v>2537</v>
      </c>
      <c r="B24" s="1219">
        <f>+BSPL!F35-BSPL!G35</f>
        <v>-639729</v>
      </c>
      <c r="C24" s="869">
        <v>521247.70000000019</v>
      </c>
      <c r="E24" t="s">
        <v>2538</v>
      </c>
      <c r="F24">
        <f>+[63]BSPL!G357</f>
        <v>1662107</v>
      </c>
      <c r="G24">
        <v>1812727</v>
      </c>
      <c r="H24">
        <f t="shared" si="3"/>
        <v>-150620</v>
      </c>
      <c r="J24">
        <f t="shared" si="1"/>
        <v>-150620</v>
      </c>
      <c r="O24" s="871" t="s">
        <v>403</v>
      </c>
      <c r="P24" s="859">
        <v>15292</v>
      </c>
      <c r="Q24" s="859">
        <v>0</v>
      </c>
      <c r="R24" s="859">
        <v>0</v>
      </c>
      <c r="S24" s="859">
        <v>0</v>
      </c>
      <c r="T24" s="872">
        <f t="shared" si="0"/>
        <v>15292</v>
      </c>
      <c r="AX24" s="260" t="s">
        <v>2538</v>
      </c>
      <c r="AY24" s="260">
        <f>+BSPL!F21</f>
        <v>4209495.0199999996</v>
      </c>
      <c r="AZ24" s="260">
        <f>+BSPL!G353</f>
        <v>2183354.7000000002</v>
      </c>
      <c r="BA24" s="260"/>
      <c r="BB24" s="260">
        <f t="shared" si="2"/>
        <v>2183354.7000000002</v>
      </c>
      <c r="BC24" s="260">
        <v>1662107</v>
      </c>
      <c r="BD24" s="260"/>
    </row>
    <row r="25" spans="1:56" x14ac:dyDescent="0.25">
      <c r="A25" s="865" t="s">
        <v>2539</v>
      </c>
      <c r="B25" s="1219">
        <f>+BSPL!F405+BSPL!F404+BSPL!F403-BSPL!G405-BSPL!G404-BSPL!G403</f>
        <v>358188</v>
      </c>
      <c r="C25" s="869">
        <v>-95174</v>
      </c>
      <c r="E25" s="441" t="s">
        <v>2540</v>
      </c>
      <c r="F25" s="441">
        <f>+[63]BSPL!G404+[63]BSPL!G406</f>
        <v>983176</v>
      </c>
      <c r="G25">
        <f>192300+830966</f>
        <v>1023266</v>
      </c>
      <c r="H25">
        <f t="shared" si="3"/>
        <v>-40090</v>
      </c>
      <c r="I25">
        <v>-40090</v>
      </c>
      <c r="J25">
        <f t="shared" si="1"/>
        <v>0</v>
      </c>
      <c r="O25" s="871" t="s">
        <v>847</v>
      </c>
      <c r="P25" s="886">
        <v>0</v>
      </c>
      <c r="Q25" s="886">
        <v>0</v>
      </c>
      <c r="R25" s="886">
        <v>4717</v>
      </c>
      <c r="S25" s="886">
        <v>0</v>
      </c>
      <c r="T25" s="872">
        <f t="shared" si="0"/>
        <v>-4717</v>
      </c>
      <c r="AX25" s="260" t="s">
        <v>2540</v>
      </c>
      <c r="AY25" s="260">
        <f>+BSPL!F22</f>
        <v>673307</v>
      </c>
      <c r="AZ25" s="260">
        <f>+BSPL!G42</f>
        <v>8240996.9399999995</v>
      </c>
      <c r="BA25" s="260"/>
      <c r="BB25" s="260">
        <f t="shared" si="2"/>
        <v>8240996.9399999995</v>
      </c>
      <c r="BC25" s="260">
        <v>20599587</v>
      </c>
      <c r="BD25" s="260"/>
    </row>
    <row r="26" spans="1:56" x14ac:dyDescent="0.25">
      <c r="A26" s="865" t="s">
        <v>2541</v>
      </c>
      <c r="B26" s="1219">
        <f>+BSPL!F43-BSPL!G43</f>
        <v>6147988.870000001</v>
      </c>
      <c r="C26" s="869">
        <v>-1363</v>
      </c>
      <c r="E26" s="441" t="s">
        <v>497</v>
      </c>
      <c r="F26">
        <f>+[63]BSPL!G43</f>
        <v>539205.43999999994</v>
      </c>
      <c r="G26">
        <v>652090.0400000005</v>
      </c>
      <c r="H26">
        <f t="shared" si="3"/>
        <v>-112884.60000000056</v>
      </c>
      <c r="I26">
        <v>4972825.7999999989</v>
      </c>
      <c r="J26">
        <f t="shared" si="1"/>
        <v>-5085710.3999999994</v>
      </c>
      <c r="O26" s="871" t="s">
        <v>171</v>
      </c>
      <c r="P26" s="859">
        <v>17190</v>
      </c>
      <c r="Q26" s="859">
        <v>0</v>
      </c>
      <c r="R26" s="859">
        <v>0</v>
      </c>
      <c r="S26" s="859">
        <v>0</v>
      </c>
      <c r="T26" s="872">
        <f t="shared" si="0"/>
        <v>17190</v>
      </c>
      <c r="AX26" s="260" t="s">
        <v>497</v>
      </c>
      <c r="AY26" s="260">
        <f>+BSPL!F23</f>
        <v>235771514.06788936</v>
      </c>
      <c r="AZ26" s="260">
        <f>+BSPL!G43</f>
        <v>537842.43999999994</v>
      </c>
      <c r="BA26" s="260"/>
      <c r="BB26" s="260">
        <f t="shared" si="2"/>
        <v>537842.43999999994</v>
      </c>
      <c r="BC26" s="260">
        <v>539205.43999999994</v>
      </c>
      <c r="BD26" s="260"/>
    </row>
    <row r="27" spans="1:56" x14ac:dyDescent="0.25">
      <c r="A27" s="865" t="s">
        <v>2542</v>
      </c>
      <c r="B27" s="1219">
        <f>+BSPL!F414+BSPL!F413-BSPL!G414-BSPL!G413+BSPL!F415-BSPL!G415</f>
        <v>431088.49500000011</v>
      </c>
      <c r="C27" s="869">
        <v>71120</v>
      </c>
      <c r="E27" t="s">
        <v>2543</v>
      </c>
      <c r="F27">
        <f>+[63]BSPL!G413+[63]BSPL!G414</f>
        <v>3054029</v>
      </c>
      <c r="G27">
        <v>2118784</v>
      </c>
      <c r="H27">
        <f t="shared" si="3"/>
        <v>935245</v>
      </c>
      <c r="I27">
        <v>796877.99999999907</v>
      </c>
      <c r="J27">
        <f t="shared" si="1"/>
        <v>138367.00000000093</v>
      </c>
      <c r="O27" s="871" t="s">
        <v>398</v>
      </c>
      <c r="P27" s="859">
        <v>44002</v>
      </c>
      <c r="Q27" s="859">
        <v>0</v>
      </c>
      <c r="R27" s="859">
        <v>0</v>
      </c>
      <c r="S27" s="859">
        <v>0</v>
      </c>
      <c r="T27" s="872">
        <f t="shared" si="0"/>
        <v>44002</v>
      </c>
      <c r="AX27" s="260" t="s">
        <v>2543</v>
      </c>
      <c r="AY27" s="260">
        <f>+BSPL!F24</f>
        <v>0</v>
      </c>
      <c r="AZ27" s="260">
        <f>+BSPL!G413+BSPL!G414</f>
        <v>3125149</v>
      </c>
      <c r="BA27" s="260"/>
      <c r="BB27" s="260">
        <f t="shared" si="2"/>
        <v>3125149</v>
      </c>
      <c r="BC27" s="260">
        <f>1450129+1603900</f>
        <v>3054029</v>
      </c>
      <c r="BD27" s="260"/>
    </row>
    <row r="28" spans="1:56" x14ac:dyDescent="0.25">
      <c r="A28" s="865" t="s">
        <v>2544</v>
      </c>
      <c r="B28" s="1219">
        <f>+BSPL!G11-BSPL!F11</f>
        <v>227931</v>
      </c>
      <c r="C28" s="869">
        <v>657320.44999999995</v>
      </c>
      <c r="E28" s="441" t="s">
        <v>2545</v>
      </c>
      <c r="F28">
        <f>+[63]BSPL!G11</f>
        <v>2870555</v>
      </c>
      <c r="G28">
        <v>2878939.95</v>
      </c>
      <c r="H28">
        <f>+G28-F28</f>
        <v>8384.9500000001863</v>
      </c>
      <c r="I28">
        <v>8384.9500000001863</v>
      </c>
      <c r="J28">
        <f t="shared" si="1"/>
        <v>0</v>
      </c>
      <c r="AX28" s="260" t="s">
        <v>2545</v>
      </c>
      <c r="AY28" s="260">
        <f>+BSPL!F25</f>
        <v>0</v>
      </c>
      <c r="AZ28" s="260">
        <f>+BSPL!G21</f>
        <v>5106736.3549999995</v>
      </c>
      <c r="BA28" s="260"/>
      <c r="BB28" s="260">
        <f>+AZ28</f>
        <v>5106736.3549999995</v>
      </c>
      <c r="BC28" s="260">
        <v>2870555</v>
      </c>
      <c r="BD28" s="260"/>
    </row>
    <row r="29" spans="1:56" x14ac:dyDescent="0.25">
      <c r="A29" s="865" t="s">
        <v>2546</v>
      </c>
      <c r="B29" s="1219">
        <f>+BSPL!G234+BSPL!G233-BSPL!F234-BSPL!F233</f>
        <v>-2464977</v>
      </c>
      <c r="C29" s="869">
        <v>-2224220.6400000006</v>
      </c>
      <c r="E29" s="441" t="s">
        <v>2547</v>
      </c>
      <c r="F29">
        <f>+[63]BSPL!G242+[63]BSPL!G243</f>
        <v>4153020.3599999994</v>
      </c>
      <c r="G29">
        <v>3980523.36</v>
      </c>
      <c r="H29">
        <f>+G29-F29</f>
        <v>-172496.99999999953</v>
      </c>
      <c r="I29">
        <v>-52616.999999999534</v>
      </c>
      <c r="J29">
        <f t="shared" si="1"/>
        <v>-119880</v>
      </c>
      <c r="O29" s="859" t="s">
        <v>2548</v>
      </c>
      <c r="P29" s="859">
        <f>+[63]BSPL!F99</f>
        <v>4514807.180287933</v>
      </c>
      <c r="R29" s="859">
        <f>+[63]BSPL!G99</f>
        <v>16160409.421267949</v>
      </c>
      <c r="AX29" s="260" t="s">
        <v>2547</v>
      </c>
      <c r="AY29" s="260"/>
      <c r="AZ29" s="260">
        <f t="shared" ref="AZ29" si="4">+BB29</f>
        <v>0</v>
      </c>
      <c r="BA29" s="260"/>
      <c r="BB29" s="260"/>
      <c r="BC29" s="260">
        <f>1353400+2799620.36</f>
        <v>4153020.36</v>
      </c>
      <c r="BD29" s="260"/>
    </row>
    <row r="30" spans="1:56" x14ac:dyDescent="0.25">
      <c r="A30" s="865"/>
      <c r="B30" s="1219"/>
      <c r="C30" s="869"/>
    </row>
    <row r="31" spans="1:56" x14ac:dyDescent="0.25">
      <c r="A31" s="863" t="s">
        <v>2549</v>
      </c>
      <c r="B31" s="1221">
        <f>SUM(B17:B30)</f>
        <v>-33710225.397889346</v>
      </c>
      <c r="C31" s="867">
        <f>SUM(C17:C30)</f>
        <v>-13713408.310686462</v>
      </c>
      <c r="P31" s="859">
        <f>-P29+(SUM(P16:P27)-SUM(R16:R27))</f>
        <v>-12987881.180287933</v>
      </c>
    </row>
    <row r="32" spans="1:56" x14ac:dyDescent="0.25">
      <c r="A32" s="863" t="s">
        <v>2550</v>
      </c>
      <c r="B32" s="1221">
        <f>+B31+B15</f>
        <v>41169099.629999906</v>
      </c>
      <c r="C32" s="867">
        <f>+C31+C15</f>
        <v>34130177.03402371</v>
      </c>
    </row>
    <row r="33" spans="1:48" s="882" customFormat="1" x14ac:dyDescent="0.25">
      <c r="A33" s="866" t="s">
        <v>2551</v>
      </c>
      <c r="B33" s="1220">
        <f>-(BSPL!F95+BSPL!F96)+(BSPL!G283-BSPL!F283)+(BSPL!F412-BSPL!G412)+(BSPL!F368-BSPL!G368)</f>
        <v>-13061145.2400002</v>
      </c>
      <c r="C33" s="869">
        <v>-6175062.3349141693</v>
      </c>
      <c r="L33" s="883">
        <f>-6175062+6150116</f>
        <v>-24946</v>
      </c>
      <c r="M33" s="883"/>
      <c r="N33" s="883"/>
      <c r="O33" s="884" t="s">
        <v>2552</v>
      </c>
      <c r="P33" s="884">
        <f>+P17+P27+P24</f>
        <v>3859294</v>
      </c>
      <c r="Q33" s="884"/>
      <c r="R33" s="884">
        <f>+R16+R23</f>
        <v>12344841</v>
      </c>
      <c r="S33" s="884">
        <f>+R33-P33</f>
        <v>8485547</v>
      </c>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1"/>
    </row>
    <row r="34" spans="1:48" x14ac:dyDescent="0.25">
      <c r="A34" s="863" t="s">
        <v>2553</v>
      </c>
      <c r="B34" s="1221">
        <f>+B32+B33</f>
        <v>28107954.389999706</v>
      </c>
      <c r="C34" s="867">
        <f>+C32+C33</f>
        <v>27955114.699109539</v>
      </c>
      <c r="L34" s="858">
        <f>+L33/2</f>
        <v>-12473</v>
      </c>
      <c r="O34" s="859" t="s">
        <v>2554</v>
      </c>
      <c r="P34" s="859">
        <f>+P18+P19+P20+P21+P26</f>
        <v>585094</v>
      </c>
      <c r="R34" s="859">
        <f>+R18+R19+R20+R21+R25</f>
        <v>572621</v>
      </c>
      <c r="S34" s="859">
        <f>+R34-P34</f>
        <v>-12473</v>
      </c>
    </row>
    <row r="35" spans="1:48" x14ac:dyDescent="0.25">
      <c r="A35" s="865"/>
      <c r="B35" s="1219"/>
      <c r="C35" s="869"/>
      <c r="O35" s="859" t="s">
        <v>2555</v>
      </c>
      <c r="P35" s="859">
        <f>+P29</f>
        <v>4514807.180287933</v>
      </c>
      <c r="R35" s="859">
        <f>+R29</f>
        <v>16160409.421267949</v>
      </c>
      <c r="S35" s="859">
        <f>+P35-R35</f>
        <v>-11645602.240980016</v>
      </c>
    </row>
    <row r="36" spans="1:48" x14ac:dyDescent="0.25">
      <c r="A36" s="866" t="s">
        <v>2556</v>
      </c>
      <c r="B36" s="1220"/>
      <c r="C36" s="869"/>
      <c r="O36" s="859" t="s">
        <v>2557</v>
      </c>
      <c r="P36" s="859">
        <f>+[63]Computation!I83</f>
        <v>655513</v>
      </c>
      <c r="R36" s="859">
        <v>2326918</v>
      </c>
      <c r="S36" s="859">
        <f>+R36-P36</f>
        <v>1671405</v>
      </c>
    </row>
    <row r="37" spans="1:48" s="882" customFormat="1" x14ac:dyDescent="0.25">
      <c r="A37" s="865" t="s">
        <v>2558</v>
      </c>
      <c r="B37" s="1219">
        <f>-SUM(PPE!C10:J10)+(BSPL!G232-BSPL!F232)+(BSPL!G9-BSPL!F9)</f>
        <v>-11683041.68</v>
      </c>
      <c r="C37" s="869">
        <v>-8629887.8499999996</v>
      </c>
      <c r="G37" s="882">
        <v>-20356671.280000001</v>
      </c>
      <c r="H37" s="882">
        <f>+G37+(G38-F38)+(G39-F39)+(F40-G40)</f>
        <v>-21384868.280000001</v>
      </c>
      <c r="L37" s="883"/>
      <c r="M37" s="883"/>
      <c r="N37" s="883"/>
      <c r="O37" s="884" t="s">
        <v>2459</v>
      </c>
      <c r="P37" s="884">
        <f>-[63]BSPL!F371</f>
        <v>1808134</v>
      </c>
      <c r="Q37" s="884"/>
      <c r="R37" s="884">
        <f>-[63]BSPL!G371</f>
        <v>7089950.0863537798</v>
      </c>
      <c r="S37" s="884">
        <f>+R37-P37</f>
        <v>5281816.0863537798</v>
      </c>
      <c r="T37" s="883"/>
      <c r="U37" s="883"/>
      <c r="V37" s="883"/>
      <c r="W37" s="883"/>
      <c r="X37" s="883"/>
      <c r="Y37" s="883"/>
      <c r="Z37" s="883"/>
      <c r="AA37" s="883"/>
      <c r="AB37" s="883"/>
      <c r="AC37" s="883"/>
      <c r="AD37" s="883"/>
      <c r="AE37" s="883"/>
      <c r="AF37" s="883"/>
      <c r="AG37" s="883"/>
      <c r="AH37" s="883"/>
      <c r="AI37" s="883"/>
      <c r="AJ37" s="883"/>
      <c r="AK37" s="883"/>
      <c r="AL37" s="883"/>
      <c r="AM37" s="883"/>
      <c r="AN37" s="883"/>
      <c r="AO37" s="883"/>
      <c r="AP37" s="883"/>
      <c r="AQ37" s="883"/>
      <c r="AR37" s="883"/>
      <c r="AS37" s="883"/>
      <c r="AT37" s="883"/>
      <c r="AU37" s="883"/>
    </row>
    <row r="38" spans="1:48" s="882" customFormat="1" x14ac:dyDescent="0.25">
      <c r="A38" s="865" t="s">
        <v>2559</v>
      </c>
      <c r="B38" s="1219">
        <f>+SUM(PPE!C11:J11)-SUM(PPE!C20:J20)-B13</f>
        <v>80000.495776951313</v>
      </c>
      <c r="C38" s="869">
        <v>300000</v>
      </c>
      <c r="F38" s="882">
        <f>+[63]BSPL!G9</f>
        <v>484789</v>
      </c>
      <c r="G38" s="882">
        <v>382310</v>
      </c>
      <c r="L38" s="883"/>
      <c r="M38" s="883"/>
      <c r="N38" s="883"/>
      <c r="O38" s="884"/>
      <c r="P38" s="884">
        <f>+([63]BSPL!F412-[63]BSPL!G412)</f>
        <v>-1488650.2409800161</v>
      </c>
      <c r="Q38" s="884"/>
      <c r="R38" s="884"/>
      <c r="S38" s="884"/>
      <c r="T38" s="883"/>
      <c r="U38" s="883"/>
      <c r="V38" s="883"/>
      <c r="W38" s="883"/>
      <c r="X38" s="883"/>
      <c r="Y38" s="883"/>
      <c r="Z38" s="883"/>
      <c r="AA38" s="883"/>
      <c r="AB38" s="883"/>
      <c r="AC38" s="883"/>
      <c r="AD38" s="883"/>
      <c r="AE38" s="883"/>
      <c r="AF38" s="883"/>
      <c r="AG38" s="883"/>
      <c r="AH38" s="883"/>
      <c r="AI38" s="883"/>
      <c r="AJ38" s="883"/>
      <c r="AK38" s="883"/>
      <c r="AL38" s="883"/>
      <c r="AM38" s="883"/>
      <c r="AN38" s="883"/>
      <c r="AO38" s="883"/>
      <c r="AP38" s="883"/>
      <c r="AQ38" s="883"/>
      <c r="AR38" s="883"/>
      <c r="AS38" s="883"/>
      <c r="AT38" s="883"/>
      <c r="AU38" s="883"/>
    </row>
    <row r="39" spans="1:48" hidden="1" x14ac:dyDescent="0.25">
      <c r="A39" s="865" t="s">
        <v>2560</v>
      </c>
      <c r="B39" s="1219"/>
      <c r="C39" s="869">
        <v>0</v>
      </c>
      <c r="F39">
        <f>+[63]BSPL!G241</f>
        <v>1521769</v>
      </c>
      <c r="G39">
        <v>0</v>
      </c>
      <c r="P39" s="859">
        <f>+([63]BSPL!F371-[63]BSPL!G371)</f>
        <v>5281816.0863537798</v>
      </c>
    </row>
    <row r="40" spans="1:48" hidden="1" x14ac:dyDescent="0.25">
      <c r="A40" s="865" t="s">
        <v>2561</v>
      </c>
      <c r="B40" s="1219"/>
      <c r="C40" s="869">
        <v>0</v>
      </c>
      <c r="F40">
        <f>+[63]BSPL!G403</f>
        <v>775995</v>
      </c>
      <c r="G40">
        <v>179944</v>
      </c>
      <c r="P40" s="859">
        <f>+([63]BSPL!G22-[63]BSPL!F22)</f>
        <v>-12473</v>
      </c>
    </row>
    <row r="41" spans="1:48" hidden="1" x14ac:dyDescent="0.25">
      <c r="A41" s="865" t="s">
        <v>2562</v>
      </c>
      <c r="B41" s="1219"/>
      <c r="C41" s="869">
        <v>0</v>
      </c>
    </row>
    <row r="42" spans="1:48" hidden="1" x14ac:dyDescent="0.25">
      <c r="A42" s="865" t="s">
        <v>2563</v>
      </c>
      <c r="B42" s="1219"/>
      <c r="C42" s="869">
        <v>0</v>
      </c>
    </row>
    <row r="43" spans="1:48" x14ac:dyDescent="0.25">
      <c r="A43" s="865"/>
      <c r="B43" s="1219"/>
      <c r="C43" s="869"/>
    </row>
    <row r="44" spans="1:48" x14ac:dyDescent="0.25">
      <c r="A44" s="863" t="s">
        <v>2564</v>
      </c>
      <c r="B44" s="1221">
        <f>SUM(B37:B43)</f>
        <v>-11603041.184223048</v>
      </c>
      <c r="C44" s="867">
        <f>SUM(C37:C43)</f>
        <v>-8329887.8499999996</v>
      </c>
    </row>
    <row r="45" spans="1:48" x14ac:dyDescent="0.25">
      <c r="A45" s="865" t="s">
        <v>906</v>
      </c>
      <c r="B45" s="1219"/>
      <c r="C45" s="869"/>
    </row>
    <row r="46" spans="1:48" x14ac:dyDescent="0.25">
      <c r="A46" s="866" t="s">
        <v>2565</v>
      </c>
      <c r="B46" s="1220"/>
      <c r="C46" s="869"/>
    </row>
    <row r="47" spans="1:48" hidden="1" x14ac:dyDescent="0.25">
      <c r="A47" s="865" t="s">
        <v>2566</v>
      </c>
      <c r="B47" s="1219"/>
      <c r="C47" s="869">
        <v>0</v>
      </c>
    </row>
    <row r="48" spans="1:48" x14ac:dyDescent="0.25">
      <c r="A48" s="865" t="s">
        <v>2567</v>
      </c>
      <c r="B48" s="1219">
        <f>+BSPL!F40-BSPL!G40</f>
        <v>-18267487.610000007</v>
      </c>
      <c r="C48" s="869">
        <v>6167846.4500000002</v>
      </c>
      <c r="E48" s="441" t="s">
        <v>2568</v>
      </c>
      <c r="F48">
        <f>+[63]BSPL!G40</f>
        <v>55675684.390000001</v>
      </c>
      <c r="G48">
        <v>56946206.869999997</v>
      </c>
      <c r="H48">
        <f>+F48-G48</f>
        <v>-1270522.4799999967</v>
      </c>
      <c r="I48">
        <v>-1270522.4799999967</v>
      </c>
      <c r="J48">
        <f>+H48-I48</f>
        <v>0</v>
      </c>
    </row>
    <row r="49" spans="1:53" x14ac:dyDescent="0.25">
      <c r="A49" s="865" t="s">
        <v>2569</v>
      </c>
      <c r="B49" s="1219">
        <f>+BSPL!F346-BSPL!G346+BSPL!F399+BSPL!F400+BSPL!F401-BSPL!G399-BSPL!G400-BSPL!G401</f>
        <v>8620131</v>
      </c>
      <c r="C49" s="869">
        <v>-16562108</v>
      </c>
      <c r="F49">
        <f>+[63]BSPL!G351+[63]BSPL!G400+[63]BSPL!G401</f>
        <v>49684017</v>
      </c>
      <c r="G49">
        <f>69355820+16692000</f>
        <v>86047820</v>
      </c>
      <c r="H49">
        <f>+F49-G49</f>
        <v>-36363803</v>
      </c>
    </row>
    <row r="50" spans="1:53" x14ac:dyDescent="0.25">
      <c r="A50" s="865" t="s">
        <v>2570</v>
      </c>
      <c r="B50" s="1219">
        <f>-B12+BSPL!F402-BSPL!G402</f>
        <v>-6806950.8900000006</v>
      </c>
      <c r="C50" s="869">
        <v>-9044352.0000000019</v>
      </c>
    </row>
    <row r="51" spans="1:53" x14ac:dyDescent="0.25">
      <c r="A51" s="865" t="s">
        <v>2571</v>
      </c>
      <c r="B51" s="1222" t="s">
        <v>1170</v>
      </c>
      <c r="C51" s="869">
        <v>0</v>
      </c>
    </row>
    <row r="52" spans="1:53" x14ac:dyDescent="0.25">
      <c r="A52" s="863" t="s">
        <v>2572</v>
      </c>
      <c r="B52" s="1221">
        <f>SUM(B47:B51)</f>
        <v>-16454307.500000007</v>
      </c>
      <c r="C52" s="867">
        <f>SUM(C47:C51)</f>
        <v>-19438613.550000004</v>
      </c>
    </row>
    <row r="53" spans="1:53" x14ac:dyDescent="0.25">
      <c r="A53" s="866"/>
      <c r="B53" s="1220"/>
      <c r="C53" s="869"/>
    </row>
    <row r="54" spans="1:53" x14ac:dyDescent="0.25">
      <c r="A54" s="863" t="s">
        <v>2573</v>
      </c>
      <c r="B54" s="1221">
        <f>+B52+B44+B34</f>
        <v>50605.705776650459</v>
      </c>
      <c r="C54" s="867">
        <f>+C52+C44+C34</f>
        <v>186613.29910953343</v>
      </c>
    </row>
    <row r="55" spans="1:53" x14ac:dyDescent="0.25">
      <c r="A55" s="866"/>
      <c r="B55" s="1220"/>
      <c r="C55" s="869"/>
    </row>
    <row r="56" spans="1:53" x14ac:dyDescent="0.25">
      <c r="A56" s="873" t="s">
        <v>2574</v>
      </c>
      <c r="B56" s="1223">
        <f>+C58</f>
        <v>283263.04910953343</v>
      </c>
      <c r="C56" s="869">
        <v>96649.75</v>
      </c>
      <c r="AW56" s="441">
        <f>+B54-B58</f>
        <v>-283263.04910953343</v>
      </c>
    </row>
    <row r="57" spans="1:53" x14ac:dyDescent="0.25">
      <c r="A57" s="829"/>
      <c r="B57" s="1575"/>
      <c r="C57" s="869"/>
    </row>
    <row r="58" spans="1:53" x14ac:dyDescent="0.25">
      <c r="A58" s="863" t="s">
        <v>2575</v>
      </c>
      <c r="B58" s="1224">
        <f>+B54+B56</f>
        <v>333868.75488618389</v>
      </c>
      <c r="C58" s="874">
        <f>+C54+C56</f>
        <v>283263.04910953343</v>
      </c>
      <c r="D58">
        <v>-96650</v>
      </c>
      <c r="E58" s="441" t="e">
        <f>+#REF!+D58</f>
        <v>#REF!</v>
      </c>
      <c r="L58" s="858">
        <v>283262.68508566916</v>
      </c>
      <c r="AW58">
        <f>+BSPL!F18</f>
        <v>333868.40000000002</v>
      </c>
      <c r="AX58" s="441">
        <f>+B58-AW58</f>
        <v>0.35488618386443704</v>
      </c>
      <c r="AY58" s="441"/>
      <c r="AZ58" s="441"/>
      <c r="BA58" s="441"/>
    </row>
    <row r="59" spans="1:53" x14ac:dyDescent="0.25">
      <c r="C59" s="1576"/>
      <c r="D59" s="441"/>
      <c r="L59" s="877">
        <f>+C58-L58</f>
        <v>0.36402386426925659</v>
      </c>
    </row>
    <row r="60" spans="1:53" ht="0.75" customHeight="1" x14ac:dyDescent="0.25">
      <c r="C60" s="1576"/>
    </row>
    <row r="61" spans="1:53" ht="34.5" customHeight="1" x14ac:dyDescent="0.25">
      <c r="A61" s="878" t="s">
        <v>2576</v>
      </c>
      <c r="B61" s="879"/>
      <c r="C61" s="847"/>
    </row>
    <row r="62" spans="1:53" x14ac:dyDescent="0.25">
      <c r="A62" s="878"/>
      <c r="B62" s="879"/>
      <c r="C62" s="1577"/>
    </row>
    <row r="63" spans="1:53" ht="18.75" x14ac:dyDescent="0.3">
      <c r="A63" s="66" t="s">
        <v>946</v>
      </c>
      <c r="B63" s="67"/>
      <c r="C63" s="1578" t="s">
        <v>947</v>
      </c>
    </row>
    <row r="64" spans="1:53" ht="18.75" x14ac:dyDescent="0.3">
      <c r="A64" s="69" t="s">
        <v>1318</v>
      </c>
      <c r="B64" s="70"/>
      <c r="C64" s="1578"/>
    </row>
    <row r="65" spans="1:3" ht="18.75" x14ac:dyDescent="0.3">
      <c r="A65" s="69" t="s">
        <v>1319</v>
      </c>
      <c r="B65" s="70"/>
      <c r="C65" s="1578"/>
    </row>
    <row r="66" spans="1:3" ht="18.75" x14ac:dyDescent="0.3">
      <c r="A66" s="69" t="s">
        <v>1320</v>
      </c>
      <c r="B66" s="70"/>
      <c r="C66" s="1578"/>
    </row>
    <row r="67" spans="1:3" ht="18.75" x14ac:dyDescent="0.3">
      <c r="A67" s="69"/>
      <c r="B67" s="70"/>
      <c r="C67" s="1579" t="s">
        <v>3469</v>
      </c>
    </row>
    <row r="68" spans="1:3" ht="18.75" x14ac:dyDescent="0.3">
      <c r="A68" s="69"/>
      <c r="B68" s="70"/>
      <c r="C68" s="1580" t="s">
        <v>949</v>
      </c>
    </row>
    <row r="69" spans="1:3" ht="18.75" x14ac:dyDescent="0.3">
      <c r="A69" s="69"/>
      <c r="B69" s="70"/>
      <c r="C69" s="1580"/>
    </row>
    <row r="70" spans="1:3" ht="18.75" x14ac:dyDescent="0.3">
      <c r="A70" s="69"/>
      <c r="B70" s="70"/>
      <c r="C70" s="1580"/>
    </row>
    <row r="71" spans="1:3" ht="18.75" x14ac:dyDescent="0.3">
      <c r="A71" s="69"/>
      <c r="B71" s="70"/>
      <c r="C71" s="1580"/>
    </row>
    <row r="72" spans="1:3" ht="18.75" x14ac:dyDescent="0.3">
      <c r="A72" s="69" t="s">
        <v>1321</v>
      </c>
      <c r="B72" s="70"/>
      <c r="C72" s="1579" t="s">
        <v>3468</v>
      </c>
    </row>
    <row r="73" spans="1:3" ht="18.75" x14ac:dyDescent="0.3">
      <c r="A73" s="69" t="s">
        <v>1322</v>
      </c>
      <c r="B73" s="70"/>
      <c r="C73" s="1580" t="s">
        <v>948</v>
      </c>
    </row>
    <row r="74" spans="1:3" ht="18.75" x14ac:dyDescent="0.3">
      <c r="A74" s="69" t="s">
        <v>1323</v>
      </c>
      <c r="B74" s="70"/>
      <c r="C74" s="1578"/>
    </row>
    <row r="75" spans="1:3" ht="18.75" x14ac:dyDescent="0.3">
      <c r="A75" s="69" t="s">
        <v>955</v>
      </c>
      <c r="B75" s="70"/>
      <c r="C75" s="1578"/>
    </row>
    <row r="76" spans="1:3" ht="37.5" customHeight="1" x14ac:dyDescent="0.3">
      <c r="A76" s="69" t="str">
        <f>+BSPL!B61</f>
        <v>Date: 25-06-2021</v>
      </c>
      <c r="B76" s="70"/>
      <c r="C76" s="1579" t="s">
        <v>950</v>
      </c>
    </row>
    <row r="77" spans="1:3" ht="20.25" customHeight="1" x14ac:dyDescent="0.3">
      <c r="A77" s="69" t="str">
        <f>+BSPL!B62</f>
        <v>UDIN:</v>
      </c>
      <c r="B77" s="70"/>
      <c r="C77" s="1580" t="s">
        <v>951</v>
      </c>
    </row>
    <row r="78" spans="1:3" ht="18.75" x14ac:dyDescent="0.3">
      <c r="A78" s="69"/>
      <c r="B78" s="70"/>
      <c r="C78" s="1580"/>
    </row>
    <row r="79" spans="1:3" ht="18.75" x14ac:dyDescent="0.3">
      <c r="A79" s="69"/>
      <c r="B79" s="70"/>
      <c r="C79" s="1580"/>
    </row>
    <row r="80" spans="1:3" ht="18.75" x14ac:dyDescent="0.3">
      <c r="A80" s="69"/>
      <c r="B80" s="70"/>
      <c r="C80" s="1580"/>
    </row>
    <row r="81" spans="1:3" ht="18.75" x14ac:dyDescent="0.3">
      <c r="A81" s="69"/>
      <c r="B81" s="70"/>
      <c r="C81" s="1579" t="s">
        <v>952</v>
      </c>
    </row>
    <row r="82" spans="1:3" ht="18.75" x14ac:dyDescent="0.3">
      <c r="A82" s="69"/>
      <c r="B82" s="70"/>
      <c r="C82" s="1580" t="s">
        <v>953</v>
      </c>
    </row>
    <row r="83" spans="1:3" ht="18.75" x14ac:dyDescent="0.3">
      <c r="A83" s="69"/>
      <c r="B83" s="70"/>
      <c r="C83" s="1580"/>
    </row>
    <row r="84" spans="1:3" ht="18.75" x14ac:dyDescent="0.3">
      <c r="A84" s="69"/>
      <c r="B84" s="70"/>
      <c r="C84" s="1580"/>
    </row>
    <row r="85" spans="1:3" ht="18.75" x14ac:dyDescent="0.3">
      <c r="A85" s="69"/>
      <c r="B85" s="70"/>
      <c r="C85" s="1580"/>
    </row>
    <row r="86" spans="1:3" ht="18.75" x14ac:dyDescent="0.3">
      <c r="A86" s="69"/>
      <c r="B86" s="70"/>
      <c r="C86" s="1581" t="s">
        <v>954</v>
      </c>
    </row>
    <row r="87" spans="1:3" ht="18.75" x14ac:dyDescent="0.3">
      <c r="A87" s="69"/>
      <c r="B87" s="70"/>
      <c r="C87" s="1578" t="s">
        <v>955</v>
      </c>
    </row>
    <row r="88" spans="1:3" ht="18.75" x14ac:dyDescent="0.3">
      <c r="A88" s="101"/>
      <c r="B88" s="102"/>
      <c r="C88" s="1582" t="s">
        <v>1327</v>
      </c>
    </row>
  </sheetData>
  <customSheetViews>
    <customSheetView guid="{334DC1DD-AD60-4D12-A532-9CEE6201A253}" scale="69" hiddenRows="1" hiddenColumns="1" topLeftCell="A25">
      <selection activeCell="A67" sqref="A67"/>
      <pageMargins left="0.7" right="0.7" top="0.75" bottom="0.75" header="0.3" footer="0.3"/>
    </customSheetView>
    <customSheetView guid="{BD5AA3B3-719E-4481-B722-8DE3E8101662}" scale="69" hiddenRows="1" hiddenColumns="1" topLeftCell="B1">
      <selection activeCell="BC18" sqref="BC18:BC28"/>
      <pageMargins left="0.7" right="0.7" top="0.75" bottom="0.75" header="0.3" footer="0.3"/>
    </customSheetView>
  </customSheetViews>
  <mergeCells count="2">
    <mergeCell ref="A1:C1"/>
    <mergeCell ref="A3:C3"/>
  </mergeCells>
  <printOptions horizontalCentered="1" verticalCentered="1"/>
  <pageMargins left="0.31496062992125984" right="0.31496062992125984" top="0.15748031496062992" bottom="0.35433070866141736" header="0.31496062992125984" footer="0.31496062992125984"/>
  <pageSetup paperSize="9" scale="58"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915"/>
  <sheetViews>
    <sheetView tabSelected="1" view="pageBreakPreview" zoomScale="73" zoomScaleSheetLayoutView="73" workbookViewId="0">
      <pane ySplit="1" topLeftCell="A26" activePane="bottomLeft" state="frozen"/>
      <selection pane="bottomLeft" activeCell="F39" sqref="F39"/>
    </sheetView>
  </sheetViews>
  <sheetFormatPr defaultColWidth="9.140625" defaultRowHeight="18.75" x14ac:dyDescent="0.3"/>
  <cols>
    <col min="1" max="1" width="2.42578125" style="30" customWidth="1"/>
    <col min="2" max="2" width="42.85546875" style="231" customWidth="1"/>
    <col min="3" max="3" width="16.7109375" style="231" customWidth="1"/>
    <col min="4" max="4" width="23.28515625" style="231" customWidth="1"/>
    <col min="5" max="5" width="25.28515625" style="32" customWidth="1"/>
    <col min="6" max="6" width="24.42578125" style="339" customWidth="1"/>
    <col min="7" max="7" width="23.42578125" style="339" bestFit="1" customWidth="1"/>
    <col min="8" max="8" width="39.42578125" style="32" bestFit="1" customWidth="1"/>
    <col min="9" max="9" width="29.28515625" style="263" customWidth="1"/>
    <col min="10" max="10" width="23.85546875" style="263" bestFit="1" customWidth="1"/>
    <col min="11" max="11" width="18.28515625" style="263" customWidth="1"/>
    <col min="12" max="12" width="23.28515625" style="263" customWidth="1"/>
    <col min="13" max="13" width="16.85546875" style="263" bestFit="1" customWidth="1"/>
    <col min="14" max="14" width="20.140625" style="263" customWidth="1"/>
    <col min="15" max="15" width="15.140625" style="263" bestFit="1" customWidth="1"/>
    <col min="16" max="16" width="20.140625" style="263" customWidth="1"/>
    <col min="17" max="17" width="23.7109375" style="263" customWidth="1"/>
    <col min="18" max="19" width="18.28515625" style="263" customWidth="1"/>
    <col min="20" max="55" width="9.140625" style="263" customWidth="1"/>
    <col min="56" max="62" width="9.140625" style="30" customWidth="1"/>
    <col min="63" max="16384" width="9.140625" style="30"/>
  </cols>
  <sheetData>
    <row r="1" spans="1:10" x14ac:dyDescent="0.3">
      <c r="A1" s="30" t="s">
        <v>906</v>
      </c>
      <c r="B1" s="31"/>
      <c r="C1" s="31"/>
      <c r="D1" s="31"/>
      <c r="F1" s="283">
        <f>+F46-F26</f>
        <v>3.1719207763671875E-3</v>
      </c>
      <c r="G1" s="283">
        <f>+G46-G26</f>
        <v>1.8543004989624023E-4</v>
      </c>
      <c r="H1" s="33"/>
    </row>
    <row r="2" spans="1:10" x14ac:dyDescent="0.3">
      <c r="B2" s="1770" t="s">
        <v>907</v>
      </c>
      <c r="C2" s="1771"/>
      <c r="D2" s="1771"/>
      <c r="E2" s="1771"/>
      <c r="F2" s="1771"/>
      <c r="G2" s="1772"/>
      <c r="H2" s="1303"/>
    </row>
    <row r="3" spans="1:10" x14ac:dyDescent="0.3">
      <c r="B3" s="1773" t="s">
        <v>1324</v>
      </c>
      <c r="C3" s="1774"/>
      <c r="D3" s="1774"/>
      <c r="E3" s="1774"/>
      <c r="F3" s="1774"/>
      <c r="G3" s="1775"/>
      <c r="H3" s="1303"/>
    </row>
    <row r="4" spans="1:10" x14ac:dyDescent="0.3">
      <c r="B4" s="34" t="s">
        <v>9</v>
      </c>
      <c r="C4" s="1323"/>
      <c r="D4" s="1323"/>
      <c r="E4" s="1728" t="s">
        <v>908</v>
      </c>
      <c r="F4" s="1324" t="s">
        <v>909</v>
      </c>
      <c r="G4" s="1324" t="s">
        <v>910</v>
      </c>
      <c r="H4" s="273"/>
    </row>
    <row r="5" spans="1:10" x14ac:dyDescent="0.3">
      <c r="B5" s="36"/>
      <c r="C5" s="37"/>
      <c r="D5" s="37"/>
      <c r="E5" s="1729"/>
      <c r="F5" s="38" t="s">
        <v>1325</v>
      </c>
      <c r="G5" s="38" t="s">
        <v>911</v>
      </c>
      <c r="H5" s="209"/>
    </row>
    <row r="6" spans="1:10" x14ac:dyDescent="0.3">
      <c r="B6" s="39" t="s">
        <v>912</v>
      </c>
      <c r="C6" s="30"/>
      <c r="D6" s="30"/>
      <c r="E6" s="40"/>
      <c r="F6" s="41"/>
      <c r="G6" s="41"/>
      <c r="H6" s="65"/>
    </row>
    <row r="7" spans="1:10" x14ac:dyDescent="0.3">
      <c r="B7" s="39" t="s">
        <v>913</v>
      </c>
      <c r="C7" s="30"/>
      <c r="D7" s="30"/>
      <c r="E7" s="40"/>
      <c r="F7" s="41"/>
      <c r="G7" s="41"/>
      <c r="H7" s="65"/>
    </row>
    <row r="8" spans="1:10" x14ac:dyDescent="0.3">
      <c r="B8" s="42" t="s">
        <v>914</v>
      </c>
      <c r="C8" s="30"/>
      <c r="D8" s="30"/>
      <c r="E8" s="1779">
        <v>2</v>
      </c>
      <c r="F8" s="44">
        <f>+SUM(PPE!C25:J25)</f>
        <v>216229798.2609922</v>
      </c>
      <c r="G8" s="44">
        <f>+SUM(PPE!C24:J24)</f>
        <v>226395167.21986935</v>
      </c>
      <c r="H8" s="274"/>
    </row>
    <row r="9" spans="1:10" x14ac:dyDescent="0.3">
      <c r="B9" s="42" t="s">
        <v>915</v>
      </c>
      <c r="C9" s="30"/>
      <c r="D9" s="30"/>
      <c r="E9" s="1779"/>
      <c r="F9" s="44">
        <f>+PPE!K25</f>
        <v>313007.73999999836</v>
      </c>
      <c r="G9" s="44">
        <f>+GETPIVOTDATA("Sum of Dr. Final 2019-20",Pivot!$A$3,"Note",10,"BS Main Head","Fixed Assets","BS Sub Head","Capital WIP")</f>
        <v>402479.2</v>
      </c>
      <c r="H9" s="275">
        <f>+'IT Dep'!F60+'IT Dep'!G60</f>
        <v>9097291.25</v>
      </c>
    </row>
    <row r="10" spans="1:10" x14ac:dyDescent="0.3">
      <c r="B10" s="46" t="s">
        <v>916</v>
      </c>
      <c r="C10" s="30"/>
      <c r="D10" s="30"/>
      <c r="E10" s="43"/>
      <c r="F10" s="80"/>
      <c r="G10" s="44"/>
      <c r="H10" s="275">
        <f>+G9-F9</f>
        <v>89471.460000001651</v>
      </c>
    </row>
    <row r="11" spans="1:10" x14ac:dyDescent="0.3">
      <c r="B11" s="48" t="s">
        <v>2579</v>
      </c>
      <c r="C11" s="30"/>
      <c r="D11" s="30"/>
      <c r="E11" s="43">
        <v>3</v>
      </c>
      <c r="F11" s="45">
        <f>+F228</f>
        <v>1985304</v>
      </c>
      <c r="G11" s="45">
        <f>+G228</f>
        <v>2213235</v>
      </c>
      <c r="H11" s="33">
        <v>2118377.61</v>
      </c>
      <c r="I11" s="263">
        <f>+F11-H11</f>
        <v>-133073.60999999987</v>
      </c>
    </row>
    <row r="12" spans="1:10" x14ac:dyDescent="0.3">
      <c r="B12" s="1489" t="s">
        <v>917</v>
      </c>
      <c r="C12" s="30"/>
      <c r="D12" s="30"/>
      <c r="E12" s="43">
        <v>4</v>
      </c>
      <c r="F12" s="45">
        <f>+F235</f>
        <v>11587218</v>
      </c>
      <c r="G12" s="45">
        <f>+G235</f>
        <v>6377241</v>
      </c>
      <c r="H12" s="33">
        <v>6377241</v>
      </c>
    </row>
    <row r="13" spans="1:10" x14ac:dyDescent="0.3">
      <c r="B13" s="1595" t="s">
        <v>918</v>
      </c>
      <c r="C13" s="30"/>
      <c r="D13" s="30"/>
      <c r="E13" s="43"/>
      <c r="F13" s="49">
        <f>+SUM(F8:F12)</f>
        <v>230115328.00099221</v>
      </c>
      <c r="G13" s="49">
        <f>+SUM(G8:G12)</f>
        <v>235388122.41986933</v>
      </c>
      <c r="H13" s="172">
        <f>+H12-G12</f>
        <v>0</v>
      </c>
    </row>
    <row r="14" spans="1:10" x14ac:dyDescent="0.3">
      <c r="B14" s="1595" t="s">
        <v>919</v>
      </c>
      <c r="C14" s="30"/>
      <c r="D14" s="30"/>
      <c r="E14" s="43"/>
      <c r="F14" s="80"/>
      <c r="G14" s="44"/>
      <c r="H14" s="275"/>
    </row>
    <row r="15" spans="1:10" x14ac:dyDescent="0.3">
      <c r="B15" s="1489" t="s">
        <v>920</v>
      </c>
      <c r="C15" s="30"/>
      <c r="D15" s="30"/>
      <c r="E15" s="43">
        <v>5</v>
      </c>
      <c r="F15" s="45">
        <f>+F243</f>
        <v>67513794.217889339</v>
      </c>
      <c r="G15" s="45">
        <f>+G243</f>
        <v>67823511.890000001</v>
      </c>
      <c r="H15" s="33">
        <f>+G15-F15</f>
        <v>309717.67211066186</v>
      </c>
      <c r="J15" s="1229"/>
    </row>
    <row r="16" spans="1:10" x14ac:dyDescent="0.3">
      <c r="B16" s="1489" t="s">
        <v>916</v>
      </c>
      <c r="C16" s="30"/>
      <c r="D16" s="30"/>
      <c r="E16" s="43"/>
      <c r="F16" s="47"/>
      <c r="G16" s="47"/>
      <c r="H16" s="172"/>
    </row>
    <row r="17" spans="2:11" x14ac:dyDescent="0.3">
      <c r="B17" s="50" t="s">
        <v>921</v>
      </c>
      <c r="C17" s="30"/>
      <c r="D17" s="30"/>
      <c r="E17" s="43">
        <v>6</v>
      </c>
      <c r="F17" s="45">
        <f>+F249</f>
        <v>155760049.43000001</v>
      </c>
      <c r="G17" s="45">
        <f>+G249</f>
        <v>94854388</v>
      </c>
      <c r="H17" s="33">
        <f>+G17-F17</f>
        <v>-60905661.430000007</v>
      </c>
      <c r="I17" s="265"/>
      <c r="J17" s="265"/>
      <c r="K17" s="265"/>
    </row>
    <row r="18" spans="2:11" x14ac:dyDescent="0.3">
      <c r="B18" s="50" t="s">
        <v>922</v>
      </c>
      <c r="C18" s="30"/>
      <c r="D18" s="30"/>
      <c r="E18" s="43">
        <v>7</v>
      </c>
      <c r="F18" s="45">
        <f>+F263</f>
        <v>333868.40000000002</v>
      </c>
      <c r="G18" s="45">
        <f>+G263</f>
        <v>283263</v>
      </c>
      <c r="H18" s="33"/>
      <c r="I18" s="265"/>
      <c r="J18" s="265"/>
      <c r="K18" s="265"/>
    </row>
    <row r="19" spans="2:11" x14ac:dyDescent="0.3">
      <c r="B19" s="50" t="s">
        <v>923</v>
      </c>
      <c r="C19" s="30"/>
      <c r="D19" s="30"/>
      <c r="E19" s="43">
        <v>8</v>
      </c>
      <c r="F19" s="45">
        <f>+F268</f>
        <v>0</v>
      </c>
      <c r="G19" s="45">
        <f>+G268</f>
        <v>83453.5</v>
      </c>
      <c r="H19" s="33"/>
    </row>
    <row r="20" spans="2:11" x14ac:dyDescent="0.3">
      <c r="B20" s="50" t="s">
        <v>924</v>
      </c>
      <c r="C20" s="30"/>
      <c r="D20" s="30"/>
      <c r="E20" s="43">
        <v>9</v>
      </c>
      <c r="F20" s="45">
        <f>+F275</f>
        <v>7281000</v>
      </c>
      <c r="G20" s="45">
        <f>+G275</f>
        <v>8543299.9600000009</v>
      </c>
      <c r="H20" s="33"/>
    </row>
    <row r="21" spans="2:11" x14ac:dyDescent="0.3">
      <c r="B21" s="1489" t="s">
        <v>925</v>
      </c>
      <c r="C21" s="30"/>
      <c r="D21" s="30"/>
      <c r="E21" s="43">
        <v>10</v>
      </c>
      <c r="F21" s="45">
        <f>+F281</f>
        <v>4209495.0199999996</v>
      </c>
      <c r="G21" s="45">
        <f>+G281</f>
        <v>5106736.3549999995</v>
      </c>
      <c r="H21" s="33">
        <v>5106736</v>
      </c>
      <c r="I21" s="263">
        <f>+G21-H21</f>
        <v>0.35499999951571226</v>
      </c>
    </row>
    <row r="22" spans="2:11" x14ac:dyDescent="0.3">
      <c r="B22" s="1489" t="s">
        <v>926</v>
      </c>
      <c r="C22" s="30"/>
      <c r="D22" s="30"/>
      <c r="E22" s="43">
        <v>11</v>
      </c>
      <c r="F22" s="45">
        <f>+F284</f>
        <v>673307</v>
      </c>
      <c r="G22" s="45">
        <f>+G284</f>
        <v>585094</v>
      </c>
      <c r="H22" s="33">
        <v>673307</v>
      </c>
      <c r="I22" s="263">
        <f>+F22-H22</f>
        <v>0</v>
      </c>
    </row>
    <row r="23" spans="2:11" x14ac:dyDescent="0.3">
      <c r="B23" s="48"/>
      <c r="C23" s="30"/>
      <c r="D23" s="51"/>
      <c r="E23" s="52"/>
      <c r="F23" s="49">
        <f>+SUM(F15:F22)</f>
        <v>235771514.06788936</v>
      </c>
      <c r="G23" s="49">
        <f>+SUM(G15:G22)</f>
        <v>177279746.70499998</v>
      </c>
      <c r="H23" s="172"/>
    </row>
    <row r="24" spans="2:11" x14ac:dyDescent="0.3">
      <c r="B24" s="48"/>
      <c r="C24" s="30"/>
      <c r="D24" s="30"/>
      <c r="E24" s="43"/>
      <c r="F24" s="99"/>
      <c r="G24" s="53"/>
      <c r="H24" s="275"/>
    </row>
    <row r="25" spans="2:11" x14ac:dyDescent="0.3">
      <c r="B25" s="54"/>
      <c r="C25" s="30"/>
      <c r="D25" s="30"/>
      <c r="E25" s="40"/>
      <c r="F25" s="41"/>
      <c r="G25" s="41"/>
      <c r="H25" s="227"/>
    </row>
    <row r="26" spans="2:11" ht="19.5" thickBot="1" x14ac:dyDescent="0.35">
      <c r="B26" s="54" t="s">
        <v>927</v>
      </c>
      <c r="C26" s="30"/>
      <c r="D26" s="30"/>
      <c r="E26" s="40"/>
      <c r="F26" s="55">
        <f>+F23+F13+0.29</f>
        <v>465886842.35888159</v>
      </c>
      <c r="G26" s="55">
        <f>+G23+G13</f>
        <v>412667869.12486935</v>
      </c>
      <c r="H26" s="276">
        <v>412667869</v>
      </c>
      <c r="I26" s="263">
        <f>G26-H26</f>
        <v>0.12486934661865234</v>
      </c>
    </row>
    <row r="27" spans="2:11" ht="19.5" thickTop="1" x14ac:dyDescent="0.3">
      <c r="B27" s="56" t="s">
        <v>928</v>
      </c>
      <c r="C27" s="30"/>
      <c r="D27" s="30"/>
      <c r="E27" s="43"/>
      <c r="F27" s="80"/>
      <c r="G27" s="57"/>
      <c r="H27" s="277"/>
    </row>
    <row r="28" spans="2:11" x14ac:dyDescent="0.3">
      <c r="B28" s="54" t="s">
        <v>929</v>
      </c>
      <c r="C28" s="30"/>
      <c r="D28" s="30"/>
      <c r="E28" s="43"/>
      <c r="F28" s="80"/>
      <c r="G28" s="57"/>
      <c r="H28" s="277"/>
    </row>
    <row r="29" spans="2:11" x14ac:dyDescent="0.3">
      <c r="B29" s="48" t="s">
        <v>930</v>
      </c>
      <c r="C29" s="30"/>
      <c r="D29" s="30"/>
      <c r="E29" s="43">
        <v>12</v>
      </c>
      <c r="F29" s="45">
        <f>+F146</f>
        <v>26922650</v>
      </c>
      <c r="G29" s="45">
        <f>+G146</f>
        <v>26922650</v>
      </c>
      <c r="H29" s="33"/>
    </row>
    <row r="30" spans="2:11" x14ac:dyDescent="0.3">
      <c r="B30" s="48" t="s">
        <v>931</v>
      </c>
      <c r="C30" s="30"/>
      <c r="D30" s="30"/>
      <c r="E30" s="43"/>
      <c r="F30" s="45">
        <f>+F192</f>
        <v>241372133.95110667</v>
      </c>
      <c r="G30" s="45">
        <f>+G192</f>
        <v>205969136.39279005</v>
      </c>
      <c r="H30" s="33"/>
    </row>
    <row r="31" spans="2:11" x14ac:dyDescent="0.3">
      <c r="B31" s="54" t="s">
        <v>932</v>
      </c>
      <c r="C31" s="30"/>
      <c r="D31" s="30"/>
      <c r="E31" s="43"/>
      <c r="F31" s="58">
        <f>+SUM(F29:F30)</f>
        <v>268294783.95110667</v>
      </c>
      <c r="G31" s="58">
        <f>+SUM(G29:G30)</f>
        <v>232891786.39279005</v>
      </c>
      <c r="H31" s="276"/>
    </row>
    <row r="32" spans="2:11" x14ac:dyDescent="0.3">
      <c r="B32" s="54" t="s">
        <v>933</v>
      </c>
      <c r="C32" s="30"/>
      <c r="D32" s="30"/>
      <c r="E32" s="43"/>
      <c r="F32" s="80"/>
      <c r="G32" s="57"/>
      <c r="H32" s="277"/>
    </row>
    <row r="33" spans="2:8" x14ac:dyDescent="0.3">
      <c r="B33" s="48" t="s">
        <v>934</v>
      </c>
      <c r="C33" s="30"/>
      <c r="D33" s="30"/>
      <c r="E33" s="43"/>
      <c r="F33" s="80"/>
      <c r="G33" s="57"/>
      <c r="H33" s="277"/>
    </row>
    <row r="34" spans="2:8" x14ac:dyDescent="0.3">
      <c r="B34" s="48" t="s">
        <v>935</v>
      </c>
      <c r="C34" s="30"/>
      <c r="D34" s="30"/>
      <c r="E34" s="43">
        <v>13</v>
      </c>
      <c r="F34" s="45">
        <f>+F346</f>
        <v>31986480</v>
      </c>
      <c r="G34" s="45">
        <f>+G346</f>
        <v>26342951</v>
      </c>
      <c r="H34" s="33"/>
    </row>
    <row r="35" spans="2:8" x14ac:dyDescent="0.3">
      <c r="B35" s="48" t="s">
        <v>936</v>
      </c>
      <c r="C35" s="30"/>
      <c r="D35" s="30"/>
      <c r="E35" s="43">
        <v>14</v>
      </c>
      <c r="F35" s="45">
        <f>+F354</f>
        <v>1543625.7000000002</v>
      </c>
      <c r="G35" s="45">
        <f>+G354</f>
        <v>2183354.7000000002</v>
      </c>
      <c r="H35" s="33"/>
    </row>
    <row r="36" spans="2:8" x14ac:dyDescent="0.3">
      <c r="B36" s="48" t="s">
        <v>937</v>
      </c>
      <c r="C36" s="30"/>
      <c r="D36" s="30"/>
      <c r="E36" s="43">
        <v>15</v>
      </c>
      <c r="F36" s="45">
        <f>+F369</f>
        <v>19475120.165946875</v>
      </c>
      <c r="G36" s="45">
        <f>+G369</f>
        <v>18456791.502264731</v>
      </c>
      <c r="H36" s="33"/>
    </row>
    <row r="37" spans="2:8" x14ac:dyDescent="0.3">
      <c r="B37" s="885"/>
      <c r="C37" s="30"/>
      <c r="D37" s="30"/>
      <c r="E37" s="43"/>
      <c r="F37" s="58">
        <f>+SUM(F34:F36)</f>
        <v>53005225.865946874</v>
      </c>
      <c r="G37" s="58">
        <f>+SUM(G34:G36)</f>
        <v>46983097.202264726</v>
      </c>
      <c r="H37" s="276"/>
    </row>
    <row r="38" spans="2:8" x14ac:dyDescent="0.3">
      <c r="B38" s="54" t="s">
        <v>938</v>
      </c>
      <c r="C38" s="30"/>
      <c r="D38" s="30"/>
      <c r="E38" s="43"/>
      <c r="F38" s="80"/>
      <c r="G38" s="57"/>
      <c r="H38" s="277"/>
    </row>
    <row r="39" spans="2:8" x14ac:dyDescent="0.3">
      <c r="B39" s="48" t="s">
        <v>934</v>
      </c>
      <c r="C39" s="30"/>
      <c r="D39" s="30"/>
      <c r="E39" s="43"/>
      <c r="F39" s="80"/>
      <c r="G39" s="57"/>
      <c r="H39" s="277"/>
    </row>
    <row r="40" spans="2:8" x14ac:dyDescent="0.3">
      <c r="B40" s="48" t="s">
        <v>935</v>
      </c>
      <c r="C40" s="30"/>
      <c r="D40" s="30"/>
      <c r="E40" s="43">
        <v>16</v>
      </c>
      <c r="F40" s="45">
        <f>+F378</f>
        <v>43576042.979999997</v>
      </c>
      <c r="G40" s="45">
        <f>+G378</f>
        <v>61843530.590000004</v>
      </c>
      <c r="H40" s="33"/>
    </row>
    <row r="41" spans="2:8" x14ac:dyDescent="0.3">
      <c r="B41" s="48" t="s">
        <v>939</v>
      </c>
      <c r="C41" s="30"/>
      <c r="D41" s="30"/>
      <c r="E41" s="43">
        <v>17</v>
      </c>
      <c r="F41" s="45">
        <f>+F383</f>
        <v>79627699.75999999</v>
      </c>
      <c r="G41" s="45">
        <f>+G383</f>
        <v>59045466.559999995</v>
      </c>
      <c r="H41" s="33"/>
    </row>
    <row r="42" spans="2:8" x14ac:dyDescent="0.3">
      <c r="B42" s="48" t="s">
        <v>940</v>
      </c>
      <c r="C42" s="30"/>
      <c r="D42" s="30"/>
      <c r="E42" s="43">
        <v>18</v>
      </c>
      <c r="F42" s="45">
        <f>+F406</f>
        <v>11141021</v>
      </c>
      <c r="G42" s="45">
        <f>+G406</f>
        <v>8240996.9399999995</v>
      </c>
      <c r="H42" s="33"/>
    </row>
    <row r="43" spans="2:8" x14ac:dyDescent="0.3">
      <c r="B43" s="48" t="s">
        <v>3508</v>
      </c>
      <c r="C43" s="30"/>
      <c r="D43" s="30"/>
      <c r="E43" s="43">
        <v>19</v>
      </c>
      <c r="F43" s="45">
        <f>+F409</f>
        <v>6685831.3100000005</v>
      </c>
      <c r="G43" s="45">
        <f>+G409</f>
        <v>537842.43999999994</v>
      </c>
      <c r="H43" s="33"/>
    </row>
    <row r="44" spans="2:8" x14ac:dyDescent="0.3">
      <c r="B44" s="48" t="s">
        <v>941</v>
      </c>
      <c r="C44" s="30"/>
      <c r="D44" s="30"/>
      <c r="E44" s="43">
        <v>20</v>
      </c>
      <c r="F44" s="45">
        <f>+F416</f>
        <v>3556237.4950000001</v>
      </c>
      <c r="G44" s="45">
        <f>+G416</f>
        <v>3125149</v>
      </c>
      <c r="H44" s="33"/>
    </row>
    <row r="45" spans="2:8" x14ac:dyDescent="0.3">
      <c r="B45" s="54" t="s">
        <v>942</v>
      </c>
      <c r="C45" s="30"/>
      <c r="D45" s="30"/>
      <c r="E45" s="43"/>
      <c r="F45" s="59">
        <f>+SUM(F40:F44)</f>
        <v>144586832.54499999</v>
      </c>
      <c r="G45" s="59">
        <f>+SUM(G40:G44)</f>
        <v>132792985.53</v>
      </c>
      <c r="H45" s="276"/>
    </row>
    <row r="46" spans="2:8" ht="19.5" thickBot="1" x14ac:dyDescent="0.35">
      <c r="B46" s="56" t="s">
        <v>943</v>
      </c>
      <c r="C46" s="30"/>
      <c r="D46" s="30"/>
      <c r="E46" s="48"/>
      <c r="F46" s="60">
        <f>+F45+F37+F31</f>
        <v>465886842.36205351</v>
      </c>
      <c r="G46" s="60">
        <f>+G45+G37+G31</f>
        <v>412667869.12505478</v>
      </c>
      <c r="H46" s="276"/>
    </row>
    <row r="47" spans="2:8" ht="19.5" thickTop="1" x14ac:dyDescent="0.3">
      <c r="B47" s="61" t="s">
        <v>944</v>
      </c>
      <c r="C47" s="37"/>
      <c r="D47" s="37"/>
      <c r="E47" s="62" t="s">
        <v>3549</v>
      </c>
      <c r="F47" s="315"/>
      <c r="G47" s="316"/>
      <c r="H47" s="64"/>
    </row>
    <row r="48" spans="2:8" x14ac:dyDescent="0.3">
      <c r="B48" s="56"/>
      <c r="C48" s="30"/>
      <c r="D48" s="30"/>
      <c r="E48" s="63"/>
      <c r="F48" s="317"/>
      <c r="G48" s="1503"/>
      <c r="H48" s="64"/>
    </row>
    <row r="49" spans="2:8" x14ac:dyDescent="0.3">
      <c r="B49" s="56" t="s">
        <v>945</v>
      </c>
      <c r="C49" s="30"/>
      <c r="D49" s="30"/>
      <c r="E49" s="65"/>
      <c r="F49" s="227"/>
      <c r="G49" s="1354"/>
      <c r="H49" s="65"/>
    </row>
    <row r="50" spans="2:8" x14ac:dyDescent="0.3">
      <c r="B50" s="66" t="s">
        <v>946</v>
      </c>
      <c r="C50" s="67"/>
      <c r="D50" s="67"/>
      <c r="E50" s="32" t="s">
        <v>947</v>
      </c>
      <c r="F50" s="138"/>
      <c r="G50" s="151"/>
    </row>
    <row r="51" spans="2:8" x14ac:dyDescent="0.3">
      <c r="B51" s="69"/>
      <c r="C51" s="30"/>
      <c r="D51" s="30"/>
      <c r="F51" s="138"/>
      <c r="G51" s="151"/>
    </row>
    <row r="52" spans="2:8" x14ac:dyDescent="0.3">
      <c r="B52" s="69" t="s">
        <v>3287</v>
      </c>
      <c r="C52" s="70"/>
      <c r="D52" s="70"/>
      <c r="E52" s="71" t="s">
        <v>3469</v>
      </c>
      <c r="F52" s="318"/>
      <c r="G52" s="1320"/>
    </row>
    <row r="53" spans="2:8" x14ac:dyDescent="0.3">
      <c r="B53" s="69" t="s">
        <v>1319</v>
      </c>
      <c r="C53" s="70"/>
      <c r="D53" s="70"/>
      <c r="E53" s="30" t="s">
        <v>949</v>
      </c>
      <c r="F53" s="138"/>
      <c r="G53" s="151"/>
    </row>
    <row r="54" spans="2:8" x14ac:dyDescent="0.3">
      <c r="B54" s="69" t="s">
        <v>3289</v>
      </c>
      <c r="C54" s="30"/>
      <c r="D54" s="30"/>
      <c r="E54" s="30"/>
      <c r="F54" s="138"/>
      <c r="G54" s="151"/>
      <c r="H54" s="71"/>
    </row>
    <row r="55" spans="2:8" x14ac:dyDescent="0.3">
      <c r="B55" s="69"/>
      <c r="C55" s="70"/>
      <c r="D55" s="70"/>
      <c r="E55" s="30"/>
      <c r="F55" s="138"/>
      <c r="G55" s="151"/>
      <c r="H55" s="30"/>
    </row>
    <row r="56" spans="2:8" x14ac:dyDescent="0.3">
      <c r="B56" s="69" t="s">
        <v>3288</v>
      </c>
      <c r="C56" s="70"/>
      <c r="D56" s="70"/>
      <c r="E56" s="30"/>
      <c r="F56" s="138"/>
      <c r="G56" s="151"/>
      <c r="H56" s="30"/>
    </row>
    <row r="57" spans="2:8" x14ac:dyDescent="0.3">
      <c r="B57" s="69" t="s">
        <v>1322</v>
      </c>
      <c r="C57" s="70"/>
      <c r="D57" s="70"/>
      <c r="E57" s="71" t="s">
        <v>3468</v>
      </c>
      <c r="F57" s="318"/>
      <c r="G57" s="1320"/>
      <c r="H57" s="30"/>
    </row>
    <row r="58" spans="2:8" x14ac:dyDescent="0.3">
      <c r="B58" s="69" t="s">
        <v>3290</v>
      </c>
      <c r="C58" s="70"/>
      <c r="D58" s="70"/>
      <c r="E58" s="30" t="s">
        <v>948</v>
      </c>
      <c r="F58" s="138"/>
      <c r="G58" s="151"/>
      <c r="H58" s="30"/>
    </row>
    <row r="59" spans="2:8" x14ac:dyDescent="0.3">
      <c r="B59" s="69"/>
      <c r="C59" s="31"/>
      <c r="D59" s="31"/>
      <c r="F59" s="138"/>
      <c r="G59" s="151"/>
      <c r="H59" s="71"/>
    </row>
    <row r="60" spans="2:8" x14ac:dyDescent="0.3">
      <c r="B60" s="74" t="s">
        <v>955</v>
      </c>
      <c r="C60" s="72"/>
      <c r="D60" s="72"/>
      <c r="F60" s="138"/>
      <c r="G60" s="151"/>
      <c r="H60" s="30"/>
    </row>
    <row r="61" spans="2:8" x14ac:dyDescent="0.3">
      <c r="B61" s="74" t="s">
        <v>3487</v>
      </c>
      <c r="C61" s="72"/>
      <c r="D61" s="72"/>
      <c r="E61" s="71" t="s">
        <v>950</v>
      </c>
      <c r="F61" s="1304"/>
      <c r="G61" s="1504"/>
    </row>
    <row r="62" spans="2:8" x14ac:dyDescent="0.3">
      <c r="B62" s="74" t="s">
        <v>3291</v>
      </c>
      <c r="C62" s="72"/>
      <c r="D62" s="72"/>
      <c r="E62" s="30" t="s">
        <v>951</v>
      </c>
      <c r="F62" s="138"/>
      <c r="G62" s="151"/>
    </row>
    <row r="63" spans="2:8" ht="18.75" customHeight="1" x14ac:dyDescent="0.3">
      <c r="B63" s="74"/>
      <c r="C63" s="72"/>
      <c r="D63" s="72"/>
      <c r="E63" s="30"/>
      <c r="F63" s="138"/>
      <c r="G63" s="151"/>
      <c r="H63" s="1304"/>
    </row>
    <row r="64" spans="2:8" x14ac:dyDescent="0.3">
      <c r="B64" s="69"/>
      <c r="C64" s="72"/>
      <c r="D64" s="72"/>
      <c r="E64" s="30"/>
      <c r="F64" s="138"/>
      <c r="G64" s="151"/>
      <c r="H64" s="30"/>
    </row>
    <row r="65" spans="2:8" x14ac:dyDescent="0.3">
      <c r="B65" s="69"/>
      <c r="C65" s="72"/>
      <c r="D65" s="72"/>
      <c r="E65" s="30"/>
      <c r="F65" s="138"/>
      <c r="G65" s="151"/>
      <c r="H65" s="30"/>
    </row>
    <row r="66" spans="2:8" x14ac:dyDescent="0.3">
      <c r="B66" s="69"/>
      <c r="C66" s="72"/>
      <c r="D66" s="72"/>
      <c r="E66" s="71" t="s">
        <v>952</v>
      </c>
      <c r="F66" s="318"/>
      <c r="G66" s="1320"/>
      <c r="H66" s="30"/>
    </row>
    <row r="67" spans="2:8" x14ac:dyDescent="0.3">
      <c r="B67" s="69"/>
      <c r="C67" s="72"/>
      <c r="D67" s="72"/>
      <c r="E67" s="30" t="s">
        <v>953</v>
      </c>
      <c r="F67" s="138"/>
      <c r="G67" s="151"/>
      <c r="H67" s="30"/>
    </row>
    <row r="68" spans="2:8" x14ac:dyDescent="0.3">
      <c r="B68" s="69"/>
      <c r="C68" s="72"/>
      <c r="D68" s="72"/>
      <c r="E68" s="30"/>
      <c r="F68" s="138"/>
      <c r="G68" s="151"/>
      <c r="H68" s="71"/>
    </row>
    <row r="69" spans="2:8" x14ac:dyDescent="0.3">
      <c r="B69" s="69"/>
      <c r="C69" s="72"/>
      <c r="D69" s="72"/>
      <c r="E69" s="30"/>
      <c r="F69" s="138"/>
      <c r="G69" s="151"/>
      <c r="H69" s="30"/>
    </row>
    <row r="70" spans="2:8" x14ac:dyDescent="0.3">
      <c r="B70" s="69"/>
      <c r="C70" s="72"/>
      <c r="D70" s="72"/>
      <c r="E70" s="30"/>
      <c r="F70" s="138"/>
      <c r="G70" s="151"/>
      <c r="H70" s="30"/>
    </row>
    <row r="71" spans="2:8" x14ac:dyDescent="0.3">
      <c r="B71" s="69"/>
      <c r="C71" s="72"/>
      <c r="D71" s="72"/>
      <c r="E71" s="70" t="s">
        <v>954</v>
      </c>
      <c r="F71" s="290"/>
      <c r="G71" s="168"/>
      <c r="H71" s="30"/>
    </row>
    <row r="72" spans="2:8" x14ac:dyDescent="0.3">
      <c r="B72" s="69"/>
      <c r="C72" s="72"/>
      <c r="D72" s="72"/>
      <c r="E72" s="75" t="s">
        <v>955</v>
      </c>
      <c r="F72" s="309"/>
      <c r="G72" s="1505"/>
      <c r="H72" s="30"/>
    </row>
    <row r="73" spans="2:8" x14ac:dyDescent="0.3">
      <c r="B73" s="101"/>
      <c r="C73" s="228"/>
      <c r="D73" s="228"/>
      <c r="E73" s="77" t="s">
        <v>1327</v>
      </c>
      <c r="F73" s="217"/>
      <c r="G73" s="157"/>
    </row>
    <row r="74" spans="2:8" x14ac:dyDescent="0.3">
      <c r="B74" s="1722" t="s">
        <v>907</v>
      </c>
      <c r="C74" s="1723"/>
      <c r="D74" s="1723"/>
      <c r="E74" s="1723"/>
      <c r="F74" s="1723"/>
      <c r="G74" s="1724"/>
      <c r="H74" s="278"/>
    </row>
    <row r="75" spans="2:8" x14ac:dyDescent="0.3">
      <c r="B75" s="1776" t="s">
        <v>1326</v>
      </c>
      <c r="C75" s="1777"/>
      <c r="D75" s="1777"/>
      <c r="E75" s="1777"/>
      <c r="F75" s="1777"/>
      <c r="G75" s="1778"/>
      <c r="H75" s="1597"/>
    </row>
    <row r="76" spans="2:8" x14ac:dyDescent="0.3">
      <c r="B76" s="34" t="s">
        <v>9</v>
      </c>
      <c r="C76" s="1323"/>
      <c r="D76" s="78"/>
      <c r="E76" s="1728" t="s">
        <v>956</v>
      </c>
      <c r="F76" s="1324" t="str">
        <f>+F4</f>
        <v xml:space="preserve">As At </v>
      </c>
      <c r="G76" s="1324" t="s">
        <v>957</v>
      </c>
      <c r="H76" s="279"/>
    </row>
    <row r="77" spans="2:8" x14ac:dyDescent="0.3">
      <c r="B77" s="36" t="s">
        <v>906</v>
      </c>
      <c r="C77" s="37"/>
      <c r="D77" s="79"/>
      <c r="E77" s="1729"/>
      <c r="F77" s="319" t="str">
        <f>+F5</f>
        <v>March 31, 2021 (₹)</v>
      </c>
      <c r="G77" s="80" t="s">
        <v>911</v>
      </c>
      <c r="H77" s="209"/>
    </row>
    <row r="78" spans="2:8" x14ac:dyDescent="0.3">
      <c r="B78" s="48" t="s">
        <v>958</v>
      </c>
      <c r="C78" s="30"/>
      <c r="D78" s="30"/>
      <c r="E78" s="81">
        <v>21</v>
      </c>
      <c r="F78" s="1325">
        <f>+F430</f>
        <v>819759041.19999993</v>
      </c>
      <c r="G78" s="1325">
        <f>+G430</f>
        <v>698726028.5999999</v>
      </c>
      <c r="H78" s="33"/>
    </row>
    <row r="79" spans="2:8" x14ac:dyDescent="0.3">
      <c r="B79" s="48" t="s">
        <v>959</v>
      </c>
      <c r="C79" s="30"/>
      <c r="D79" s="30"/>
      <c r="E79" s="83">
        <v>22</v>
      </c>
      <c r="F79" s="45">
        <f>+F438</f>
        <v>1189801</v>
      </c>
      <c r="G79" s="45">
        <f>+G438</f>
        <v>1037875</v>
      </c>
      <c r="H79" s="33"/>
    </row>
    <row r="80" spans="2:8" x14ac:dyDescent="0.3">
      <c r="B80" s="54" t="s">
        <v>960</v>
      </c>
      <c r="C80" s="30"/>
      <c r="D80" s="30"/>
      <c r="E80" s="48"/>
      <c r="F80" s="84">
        <f>+F78+F79</f>
        <v>820948842.19999993</v>
      </c>
      <c r="G80" s="84">
        <f>+G78+G79</f>
        <v>699763903.5999999</v>
      </c>
      <c r="H80" s="280"/>
    </row>
    <row r="81" spans="2:12" x14ac:dyDescent="0.3">
      <c r="B81" s="85" t="s">
        <v>961</v>
      </c>
      <c r="C81" s="30"/>
      <c r="D81" s="30"/>
      <c r="E81" s="48"/>
      <c r="F81" s="320"/>
      <c r="G81" s="41"/>
      <c r="H81" s="65"/>
    </row>
    <row r="82" spans="2:12" x14ac:dyDescent="0.3">
      <c r="B82" s="48" t="s">
        <v>962</v>
      </c>
      <c r="C82" s="30"/>
      <c r="D82" s="30"/>
      <c r="E82" s="83">
        <v>23</v>
      </c>
      <c r="F82" s="45">
        <f>+F444</f>
        <v>552919696.88999999</v>
      </c>
      <c r="G82" s="45">
        <f>+G444</f>
        <v>432876064.31999999</v>
      </c>
      <c r="H82" s="33"/>
    </row>
    <row r="83" spans="2:12" x14ac:dyDescent="0.3">
      <c r="B83" s="48" t="s">
        <v>963</v>
      </c>
      <c r="C83" s="30"/>
      <c r="D83" s="30"/>
      <c r="E83" s="83"/>
      <c r="F83" s="45">
        <v>0</v>
      </c>
      <c r="G83" s="45">
        <v>1234765</v>
      </c>
      <c r="H83" s="33"/>
    </row>
    <row r="84" spans="2:12" x14ac:dyDescent="0.3">
      <c r="B84" s="86" t="s">
        <v>964</v>
      </c>
      <c r="C84" s="30"/>
      <c r="D84" s="30"/>
      <c r="E84" s="83">
        <v>24</v>
      </c>
      <c r="F84" s="45">
        <f>+F448</f>
        <v>-8248259.7178893462</v>
      </c>
      <c r="G84" s="45">
        <f>+G448</f>
        <v>5686699.3852898097</v>
      </c>
      <c r="H84" s="297">
        <f>+(F95+F98)/F93</f>
        <v>0.25466569869789829</v>
      </c>
      <c r="I84" s="297">
        <f>+(G95+G98)/G93</f>
        <v>0.21702479445888997</v>
      </c>
    </row>
    <row r="85" spans="2:12" x14ac:dyDescent="0.3">
      <c r="B85" s="48" t="s">
        <v>965</v>
      </c>
      <c r="C85" s="30"/>
      <c r="D85" s="30"/>
      <c r="E85" s="83">
        <v>25</v>
      </c>
      <c r="F85" s="45">
        <f>+F453</f>
        <v>21641049</v>
      </c>
      <c r="G85" s="45">
        <f>+G453</f>
        <v>21336667</v>
      </c>
      <c r="H85" s="33"/>
    </row>
    <row r="86" spans="2:12" x14ac:dyDescent="0.3">
      <c r="B86" s="48" t="s">
        <v>966</v>
      </c>
      <c r="C86" s="30"/>
      <c r="D86" s="51"/>
      <c r="E86" s="83">
        <v>26</v>
      </c>
      <c r="F86" s="45">
        <f>+F457</f>
        <v>6372184.9500000002</v>
      </c>
      <c r="G86" s="45">
        <f>+G457</f>
        <v>9356360.9400000013</v>
      </c>
      <c r="H86" s="33"/>
    </row>
    <row r="87" spans="2:12" x14ac:dyDescent="0.3">
      <c r="B87" s="1730" t="s">
        <v>967</v>
      </c>
      <c r="C87" s="1731"/>
      <c r="D87" s="1490"/>
      <c r="E87" s="83">
        <v>2</v>
      </c>
      <c r="F87" s="45">
        <f>+PPE!H43</f>
        <v>17727981.603100225</v>
      </c>
      <c r="G87" s="45">
        <f>GETPIVOTDATA("Sum of Dr. Final 2019-20",Pivot!$A$3,"Note",10,"BS Main Head","Depreciation &amp; Amortisation","BS Sub Head","Depreciation")</f>
        <v>17192939</v>
      </c>
      <c r="H87" s="33"/>
      <c r="I87" s="263">
        <f>+F90-H87</f>
        <v>48264536.474789023</v>
      </c>
    </row>
    <row r="88" spans="2:12" x14ac:dyDescent="0.3">
      <c r="B88" s="48" t="s">
        <v>968</v>
      </c>
      <c r="C88" s="30"/>
      <c r="D88" s="51"/>
      <c r="E88" s="83">
        <v>27</v>
      </c>
      <c r="F88" s="45">
        <f>+F512</f>
        <v>182271652.99999997</v>
      </c>
      <c r="G88" s="45">
        <f>+G512</f>
        <v>190581608.54999998</v>
      </c>
      <c r="H88" s="33"/>
      <c r="I88" s="263">
        <f>+F88-H88</f>
        <v>182271652.99999997</v>
      </c>
      <c r="J88" s="269" t="s">
        <v>3206</v>
      </c>
      <c r="K88" s="269">
        <f>+F87</f>
        <v>17727981.603100225</v>
      </c>
      <c r="L88" s="269"/>
    </row>
    <row r="89" spans="2:12" x14ac:dyDescent="0.3">
      <c r="B89" s="54" t="s">
        <v>969</v>
      </c>
      <c r="C89" s="30"/>
      <c r="D89" s="51"/>
      <c r="E89" s="48"/>
      <c r="F89" s="84">
        <f>+SUM(F82:F88)</f>
        <v>772684305.72521091</v>
      </c>
      <c r="G89" s="84">
        <f>+SUM(G82:G88)</f>
        <v>678265104.19528973</v>
      </c>
      <c r="H89" s="280"/>
      <c r="J89" s="269" t="s">
        <v>3207</v>
      </c>
      <c r="K89" s="269">
        <f>+F87</f>
        <v>17727981.603100225</v>
      </c>
      <c r="L89" s="269">
        <f>+K89-K88</f>
        <v>0</v>
      </c>
    </row>
    <row r="90" spans="2:12" x14ac:dyDescent="0.3">
      <c r="B90" s="56" t="s">
        <v>970</v>
      </c>
      <c r="C90" s="87"/>
      <c r="D90" s="88"/>
      <c r="E90" s="48"/>
      <c r="F90" s="89">
        <f>+F80-F89</f>
        <v>48264536.474789023</v>
      </c>
      <c r="G90" s="89">
        <f>+G80-G89</f>
        <v>21498799.404710174</v>
      </c>
      <c r="H90" s="280">
        <v>47694318.859999999</v>
      </c>
      <c r="I90" s="264"/>
    </row>
    <row r="91" spans="2:12" x14ac:dyDescent="0.3">
      <c r="B91" s="1730" t="s">
        <v>971</v>
      </c>
      <c r="C91" s="1731"/>
      <c r="D91" s="1490"/>
      <c r="E91" s="48"/>
      <c r="F91" s="320"/>
      <c r="G91" s="41">
        <v>0</v>
      </c>
      <c r="H91" s="281">
        <v>1699939</v>
      </c>
    </row>
    <row r="92" spans="2:12" x14ac:dyDescent="0.3">
      <c r="B92" s="1489"/>
      <c r="C92" s="1305"/>
      <c r="D92" s="1305"/>
      <c r="E92" s="48"/>
      <c r="F92" s="320"/>
      <c r="G92" s="41"/>
      <c r="H92" s="804">
        <f>+H90+H91</f>
        <v>49394257.859999999</v>
      </c>
      <c r="I92" s="263">
        <f>+H92-F90-F103</f>
        <v>-0.61478902399539948</v>
      </c>
    </row>
    <row r="93" spans="2:12" x14ac:dyDescent="0.3">
      <c r="B93" s="54" t="s">
        <v>972</v>
      </c>
      <c r="C93" s="30"/>
      <c r="D93" s="30"/>
      <c r="E93" s="90"/>
      <c r="F93" s="89">
        <f>+F90-F91</f>
        <v>48264536.474789023</v>
      </c>
      <c r="G93" s="89">
        <f>+G90-G91</f>
        <v>21498799.404710174</v>
      </c>
      <c r="H93" s="280"/>
    </row>
    <row r="94" spans="2:12" x14ac:dyDescent="0.3">
      <c r="B94" s="48" t="s">
        <v>973</v>
      </c>
      <c r="C94" s="30"/>
      <c r="D94" s="30"/>
      <c r="E94" s="90"/>
      <c r="F94" s="320"/>
      <c r="G94" s="41"/>
      <c r="H94" s="65"/>
    </row>
    <row r="95" spans="2:12" x14ac:dyDescent="0.3">
      <c r="B95" s="48" t="s">
        <v>974</v>
      </c>
      <c r="C95" s="30"/>
      <c r="D95" s="30"/>
      <c r="E95" s="83"/>
      <c r="F95" s="1478">
        <f>+COI!L66+COI!L73</f>
        <v>13081127.2400002</v>
      </c>
      <c r="G95" s="44">
        <v>4514807.180287933</v>
      </c>
      <c r="H95" s="209" t="s">
        <v>2482</v>
      </c>
    </row>
    <row r="96" spans="2:12" x14ac:dyDescent="0.3">
      <c r="B96" s="48" t="s">
        <v>3559</v>
      </c>
      <c r="C96" s="30"/>
      <c r="D96" s="30"/>
      <c r="E96" s="83"/>
      <c r="F96" s="1478">
        <f>+GETPIVOTDATA("Sum of Dr. Final HYR",Pivot!$A$3,"PARTICULARS","Provision of Earlier Year","Note",20,"BS Main Head","Other Income","BS Sub Head","Other Income")</f>
        <v>1699939</v>
      </c>
      <c r="G96" s="44"/>
      <c r="H96" s="209"/>
    </row>
    <row r="97" spans="2:11" x14ac:dyDescent="0.3">
      <c r="B97" s="48" t="s">
        <v>3565</v>
      </c>
      <c r="C97" s="30"/>
      <c r="D97" s="30"/>
      <c r="E97" s="83"/>
      <c r="F97" s="92">
        <v>0</v>
      </c>
      <c r="G97" s="45">
        <v>5440948</v>
      </c>
      <c r="H97" s="1321">
        <f>+F15</f>
        <v>67513794.217889339</v>
      </c>
      <c r="I97" s="269" t="s">
        <v>2483</v>
      </c>
      <c r="J97" s="805"/>
    </row>
    <row r="98" spans="2:11" x14ac:dyDescent="0.3">
      <c r="B98" s="48" t="s">
        <v>3566</v>
      </c>
      <c r="C98" s="30"/>
      <c r="D98" s="30"/>
      <c r="E98" s="83"/>
      <c r="F98" s="92">
        <f>+DT!I38</f>
        <v>-789805.33631785586</v>
      </c>
      <c r="G98" s="45">
        <v>150965.34163219854</v>
      </c>
      <c r="H98" s="1322">
        <v>67541077</v>
      </c>
      <c r="I98" s="269" t="s">
        <v>2484</v>
      </c>
      <c r="J98" s="805">
        <f>+H98-H97</f>
        <v>27282.782110661268</v>
      </c>
      <c r="K98" s="263" t="s">
        <v>2485</v>
      </c>
    </row>
    <row r="99" spans="2:11" x14ac:dyDescent="0.3">
      <c r="B99" s="48"/>
      <c r="C99" s="30"/>
      <c r="D99" s="30"/>
      <c r="E99" s="83"/>
      <c r="F99" s="1210">
        <f>+SUM(F95:F98)</f>
        <v>13991260.903682344</v>
      </c>
      <c r="G99" s="49">
        <f>+SUM(G95:G98)</f>
        <v>10106720.521920132</v>
      </c>
      <c r="H99" s="1231">
        <f>+H97-H98</f>
        <v>-27282.782110661268</v>
      </c>
      <c r="J99" s="1230"/>
    </row>
    <row r="100" spans="2:11" ht="19.5" thickBot="1" x14ac:dyDescent="0.35">
      <c r="B100" s="54" t="s">
        <v>977</v>
      </c>
      <c r="C100" s="30"/>
      <c r="D100" s="30"/>
      <c r="E100" s="48"/>
      <c r="F100" s="93">
        <f>+F93-F99</f>
        <v>34273275.57110668</v>
      </c>
      <c r="G100" s="94">
        <f>+G93-G99</f>
        <v>11392078.882790042</v>
      </c>
      <c r="H100" s="280"/>
    </row>
    <row r="101" spans="2:11" ht="19.5" thickTop="1" x14ac:dyDescent="0.3">
      <c r="B101" s="1717"/>
      <c r="C101" s="1718"/>
      <c r="D101" s="51"/>
      <c r="E101" s="48"/>
      <c r="F101" s="320"/>
      <c r="G101" s="41"/>
      <c r="H101" s="65"/>
    </row>
    <row r="102" spans="2:11" x14ac:dyDescent="0.3">
      <c r="B102" s="1717" t="s">
        <v>978</v>
      </c>
      <c r="C102" s="1718"/>
      <c r="D102" s="51"/>
      <c r="E102" s="83">
        <v>28</v>
      </c>
      <c r="F102" s="91"/>
      <c r="G102" s="80"/>
      <c r="H102" s="52"/>
    </row>
    <row r="103" spans="2:11" x14ac:dyDescent="0.3">
      <c r="B103" s="86" t="s">
        <v>979</v>
      </c>
      <c r="C103" s="1355"/>
      <c r="D103" s="51"/>
      <c r="E103" s="40"/>
      <c r="F103" s="41">
        <v>1129722</v>
      </c>
      <c r="G103" s="41">
        <v>-186251</v>
      </c>
      <c r="H103" s="227"/>
    </row>
    <row r="104" spans="2:11" x14ac:dyDescent="0.3">
      <c r="B104" s="86" t="s">
        <v>980</v>
      </c>
      <c r="C104" s="1355"/>
      <c r="D104" s="51"/>
      <c r="E104" s="40"/>
      <c r="F104" s="41">
        <v>0</v>
      </c>
      <c r="G104" s="41">
        <v>0</v>
      </c>
      <c r="H104" s="227"/>
    </row>
    <row r="105" spans="2:11" x14ac:dyDescent="0.3">
      <c r="B105" s="86" t="s">
        <v>981</v>
      </c>
      <c r="C105" s="1355"/>
      <c r="D105" s="51"/>
      <c r="E105" s="40"/>
      <c r="F105" s="41">
        <v>0</v>
      </c>
      <c r="G105" s="41">
        <v>0</v>
      </c>
      <c r="H105" s="227"/>
    </row>
    <row r="106" spans="2:11" x14ac:dyDescent="0.3">
      <c r="B106" s="86" t="s">
        <v>980</v>
      </c>
      <c r="C106" s="1356"/>
      <c r="D106" s="51"/>
      <c r="E106" s="40"/>
      <c r="F106" s="95">
        <v>0</v>
      </c>
      <c r="G106" s="95">
        <v>0</v>
      </c>
      <c r="H106" s="227"/>
    </row>
    <row r="107" spans="2:11" x14ac:dyDescent="0.3">
      <c r="B107" s="39" t="s">
        <v>982</v>
      </c>
      <c r="C107" s="96"/>
      <c r="D107" s="51"/>
      <c r="E107" s="40"/>
      <c r="F107" s="95">
        <f>+SUM(F103:F106)</f>
        <v>1129722</v>
      </c>
      <c r="G107" s="95">
        <f>+SUM(G103:G106)</f>
        <v>-186251</v>
      </c>
      <c r="H107" s="227"/>
    </row>
    <row r="108" spans="2:11" x14ac:dyDescent="0.3">
      <c r="B108" s="1719"/>
      <c r="C108" s="1720"/>
      <c r="D108" s="1721"/>
      <c r="E108" s="48"/>
      <c r="F108" s="320"/>
      <c r="G108" s="41"/>
      <c r="H108" s="65"/>
    </row>
    <row r="109" spans="2:11" x14ac:dyDescent="0.3">
      <c r="B109" s="39"/>
      <c r="C109" s="96"/>
      <c r="D109" s="51"/>
      <c r="E109" s="48"/>
      <c r="F109" s="320"/>
      <c r="G109" s="41"/>
      <c r="H109" s="65"/>
    </row>
    <row r="110" spans="2:11" ht="19.5" thickBot="1" x14ac:dyDescent="0.35">
      <c r="B110" s="1719" t="s">
        <v>983</v>
      </c>
      <c r="C110" s="1720"/>
      <c r="D110" s="51"/>
      <c r="E110" s="48"/>
      <c r="F110" s="94">
        <f>+F100+F107</f>
        <v>35402997.57110668</v>
      </c>
      <c r="G110" s="94">
        <f>+G100+G107</f>
        <v>11205827.882790042</v>
      </c>
      <c r="H110" s="280"/>
      <c r="I110" s="264"/>
      <c r="J110" s="264"/>
      <c r="K110" s="264"/>
    </row>
    <row r="111" spans="2:11" ht="19.5" thickTop="1" x14ac:dyDescent="0.3">
      <c r="B111" s="1719"/>
      <c r="C111" s="1720"/>
      <c r="D111" s="51"/>
      <c r="E111" s="48"/>
      <c r="F111" s="320"/>
      <c r="G111" s="41"/>
      <c r="H111" s="65"/>
    </row>
    <row r="112" spans="2:11" x14ac:dyDescent="0.3">
      <c r="B112" s="48" t="s">
        <v>984</v>
      </c>
      <c r="C112" s="30"/>
      <c r="D112" s="30"/>
      <c r="E112" s="1596">
        <v>29</v>
      </c>
      <c r="F112" s="1193">
        <f>+F530</f>
        <v>12.730275649353493</v>
      </c>
      <c r="G112" s="1326">
        <f>+G530</f>
        <v>4.2314106831199911</v>
      </c>
      <c r="H112" s="283"/>
    </row>
    <row r="113" spans="2:8" x14ac:dyDescent="0.3">
      <c r="B113" s="48" t="s">
        <v>985</v>
      </c>
      <c r="C113" s="30"/>
      <c r="D113" s="30"/>
      <c r="E113" s="1596"/>
      <c r="F113" s="1193">
        <f>+F531</f>
        <v>12.730275649353493</v>
      </c>
      <c r="G113" s="1326">
        <f>+G531</f>
        <v>4.2314106831199911</v>
      </c>
      <c r="H113" s="283"/>
    </row>
    <row r="114" spans="2:8" x14ac:dyDescent="0.3">
      <c r="B114" s="61" t="s">
        <v>944</v>
      </c>
      <c r="C114" s="97"/>
      <c r="D114" s="98"/>
      <c r="E114" s="62" t="s">
        <v>3549</v>
      </c>
      <c r="F114" s="321"/>
      <c r="G114" s="315"/>
      <c r="H114" s="63"/>
    </row>
    <row r="115" spans="2:8" x14ac:dyDescent="0.3">
      <c r="B115" s="56"/>
      <c r="C115" s="87"/>
      <c r="D115" s="1594"/>
      <c r="E115" s="1372"/>
      <c r="F115" s="317"/>
      <c r="G115" s="1373"/>
      <c r="H115" s="63"/>
    </row>
    <row r="116" spans="2:8" x14ac:dyDescent="0.3">
      <c r="B116" s="135" t="s">
        <v>945</v>
      </c>
      <c r="C116" s="31"/>
      <c r="D116" s="31"/>
      <c r="F116" s="138"/>
      <c r="G116" s="151"/>
    </row>
    <row r="117" spans="2:8" x14ac:dyDescent="0.3">
      <c r="B117" s="66" t="s">
        <v>946</v>
      </c>
      <c r="C117" s="67"/>
      <c r="D117" s="67"/>
      <c r="E117" s="32" t="s">
        <v>947</v>
      </c>
      <c r="F117" s="138"/>
      <c r="G117" s="151"/>
    </row>
    <row r="118" spans="2:8" x14ac:dyDescent="0.3">
      <c r="B118" s="69"/>
      <c r="C118" s="30"/>
      <c r="D118" s="30"/>
      <c r="F118" s="138"/>
      <c r="G118" s="151"/>
    </row>
    <row r="119" spans="2:8" x14ac:dyDescent="0.3">
      <c r="B119" s="69" t="s">
        <v>3287</v>
      </c>
      <c r="C119" s="70"/>
      <c r="D119" s="70"/>
      <c r="E119" s="139" t="str">
        <f>+E52</f>
        <v>ANIL KUMAR LAKHOTIYA - MANAGING  DIRECTOR</v>
      </c>
      <c r="F119" s="138"/>
      <c r="G119" s="151"/>
    </row>
    <row r="120" spans="2:8" x14ac:dyDescent="0.3">
      <c r="B120" s="69" t="s">
        <v>1319</v>
      </c>
      <c r="C120" s="70"/>
      <c r="D120" s="70"/>
      <c r="E120" s="32" t="str">
        <f>+E53</f>
        <v>(DIN:00367361)</v>
      </c>
      <c r="F120" s="138"/>
      <c r="G120" s="151"/>
    </row>
    <row r="121" spans="2:8" x14ac:dyDescent="0.3">
      <c r="B121" s="69" t="s">
        <v>3289</v>
      </c>
      <c r="C121" s="30"/>
      <c r="D121" s="30"/>
      <c r="E121" s="71"/>
      <c r="F121" s="318"/>
      <c r="G121" s="1320"/>
      <c r="H121" s="71"/>
    </row>
    <row r="122" spans="2:8" x14ac:dyDescent="0.3">
      <c r="B122" s="69"/>
      <c r="C122" s="30"/>
      <c r="D122" s="30"/>
      <c r="E122" s="30"/>
      <c r="F122" s="138"/>
      <c r="G122" s="151"/>
      <c r="H122" s="30"/>
    </row>
    <row r="123" spans="2:8" x14ac:dyDescent="0.3">
      <c r="B123" s="73"/>
      <c r="C123" s="30"/>
      <c r="D123" s="30"/>
      <c r="E123" s="70" t="str">
        <f>+E57</f>
        <v>KAILASH AGARWAL - WHOLE TIME DIRECTOR</v>
      </c>
      <c r="F123" s="138"/>
      <c r="G123" s="151"/>
      <c r="H123" s="30"/>
    </row>
    <row r="124" spans="2:8" x14ac:dyDescent="0.3">
      <c r="B124" s="69" t="s">
        <v>3288</v>
      </c>
      <c r="C124" s="70"/>
      <c r="D124" s="70"/>
      <c r="E124" s="30" t="str">
        <f>+E58</f>
        <v>(DIN:00367292)</v>
      </c>
      <c r="F124" s="138"/>
      <c r="G124" s="151"/>
      <c r="H124" s="30"/>
    </row>
    <row r="125" spans="2:8" x14ac:dyDescent="0.3">
      <c r="B125" s="69" t="s">
        <v>1322</v>
      </c>
      <c r="C125" s="72"/>
      <c r="D125" s="72"/>
      <c r="E125" s="30"/>
      <c r="F125" s="138"/>
      <c r="G125" s="151"/>
      <c r="H125" s="30"/>
    </row>
    <row r="126" spans="2:8" x14ac:dyDescent="0.3">
      <c r="B126" s="69" t="s">
        <v>3290</v>
      </c>
      <c r="C126" s="72"/>
      <c r="D126" s="72"/>
      <c r="F126" s="138"/>
      <c r="G126" s="151"/>
    </row>
    <row r="127" spans="2:8" x14ac:dyDescent="0.3">
      <c r="B127" s="74" t="s">
        <v>955</v>
      </c>
      <c r="C127" s="72"/>
      <c r="D127" s="72"/>
      <c r="E127" s="139" t="str">
        <f>+E61</f>
        <v>JARNAIL SINGH SAINI - CHIEF FINANCIAL OFFICER &amp; EXECUTIVE DIRECTOR</v>
      </c>
      <c r="F127" s="138"/>
      <c r="G127" s="151"/>
    </row>
    <row r="128" spans="2:8" x14ac:dyDescent="0.3">
      <c r="B128" s="74" t="str">
        <f>+B61</f>
        <v>Date: 25-06-2021</v>
      </c>
      <c r="C128" s="72"/>
      <c r="D128" s="72"/>
      <c r="E128" s="1768" t="str">
        <f>+E62</f>
        <v>(DIN:00367656)</v>
      </c>
      <c r="F128" s="1768"/>
      <c r="G128" s="1769"/>
      <c r="H128" s="1304"/>
    </row>
    <row r="129" spans="1:55" x14ac:dyDescent="0.3">
      <c r="B129" s="74" t="str">
        <f>+B62</f>
        <v>UDIN:</v>
      </c>
      <c r="C129" s="30"/>
      <c r="D129" s="30"/>
      <c r="E129" s="30"/>
      <c r="F129" s="138"/>
      <c r="G129" s="151"/>
      <c r="H129" s="30"/>
    </row>
    <row r="130" spans="1:55" x14ac:dyDescent="0.3">
      <c r="B130" s="74"/>
      <c r="C130" s="30"/>
      <c r="D130" s="30"/>
      <c r="E130" s="30"/>
      <c r="F130" s="138"/>
      <c r="G130" s="151"/>
      <c r="H130" s="30"/>
    </row>
    <row r="131" spans="1:55" x14ac:dyDescent="0.3">
      <c r="B131" s="74"/>
      <c r="C131" s="30"/>
      <c r="D131" s="30"/>
      <c r="E131" s="70" t="str">
        <f>+E66</f>
        <v>OMPRAKASH RATHI - EXECUTIVE DIRECTOR</v>
      </c>
      <c r="F131" s="138"/>
      <c r="G131" s="151"/>
      <c r="H131" s="30"/>
    </row>
    <row r="132" spans="1:55" x14ac:dyDescent="0.3">
      <c r="B132" s="74"/>
      <c r="C132" s="30"/>
      <c r="D132" s="30"/>
      <c r="E132" s="75" t="str">
        <f>+E67</f>
        <v>(DIN:00895316)</v>
      </c>
      <c r="F132" s="318"/>
      <c r="G132" s="1320"/>
      <c r="H132" s="71"/>
    </row>
    <row r="133" spans="1:55" x14ac:dyDescent="0.3">
      <c r="B133" s="74"/>
      <c r="C133" s="30"/>
      <c r="D133" s="30"/>
      <c r="E133" s="30"/>
      <c r="F133" s="138"/>
      <c r="G133" s="151"/>
      <c r="H133" s="30"/>
    </row>
    <row r="134" spans="1:55" x14ac:dyDescent="0.3">
      <c r="B134" s="74"/>
      <c r="C134" s="30"/>
      <c r="D134" s="30"/>
      <c r="E134" s="30"/>
      <c r="F134" s="138"/>
      <c r="G134" s="151"/>
      <c r="H134" s="30"/>
    </row>
    <row r="135" spans="1:55" x14ac:dyDescent="0.3">
      <c r="B135" s="74"/>
      <c r="C135" s="30"/>
      <c r="D135" s="30"/>
      <c r="E135" s="70" t="str">
        <f>+E71</f>
        <v>MAYANK LUNIYA - COMPANY SECRETARY</v>
      </c>
      <c r="F135" s="138"/>
      <c r="G135" s="151"/>
      <c r="H135" s="30"/>
    </row>
    <row r="136" spans="1:55" x14ac:dyDescent="0.3">
      <c r="B136" s="74"/>
      <c r="C136" s="30"/>
      <c r="D136" s="30"/>
      <c r="E136" s="70"/>
      <c r="F136" s="138"/>
      <c r="G136" s="151"/>
      <c r="H136" s="30"/>
    </row>
    <row r="137" spans="1:55" x14ac:dyDescent="0.3">
      <c r="B137" s="74"/>
      <c r="C137" s="30"/>
      <c r="D137" s="30"/>
      <c r="E137" s="32" t="str">
        <f>+E72</f>
        <v>Place: Nagpur</v>
      </c>
      <c r="F137" s="138"/>
      <c r="G137" s="151"/>
    </row>
    <row r="138" spans="1:55" x14ac:dyDescent="0.3">
      <c r="B138" s="76"/>
      <c r="C138" s="37"/>
      <c r="D138" s="37"/>
      <c r="E138" s="77" t="str">
        <f>+E73</f>
        <v xml:space="preserve">Date: </v>
      </c>
      <c r="F138" s="324"/>
      <c r="G138" s="1327"/>
      <c r="H138" s="75"/>
    </row>
    <row r="139" spans="1:55" s="35" customFormat="1" x14ac:dyDescent="0.3">
      <c r="A139" s="30"/>
      <c r="B139" s="1755" t="s">
        <v>907</v>
      </c>
      <c r="C139" s="1756"/>
      <c r="D139" s="1756"/>
      <c r="E139" s="1756"/>
      <c r="F139" s="1756"/>
      <c r="G139" s="1757"/>
      <c r="H139" s="1309"/>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row>
    <row r="140" spans="1:55" x14ac:dyDescent="0.3">
      <c r="B140" s="1725" t="s">
        <v>1389</v>
      </c>
      <c r="C140" s="1726"/>
      <c r="D140" s="1726"/>
      <c r="E140" s="1726"/>
      <c r="F140" s="1726"/>
      <c r="G140" s="1727"/>
      <c r="H140" s="1597"/>
    </row>
    <row r="141" spans="1:55" x14ac:dyDescent="0.3">
      <c r="B141" s="100" t="s">
        <v>451</v>
      </c>
      <c r="C141" s="1328"/>
      <c r="D141" s="1328"/>
      <c r="E141" s="1329"/>
      <c r="F141" s="1324" t="s">
        <v>909</v>
      </c>
      <c r="G141" s="1324" t="s">
        <v>957</v>
      </c>
      <c r="H141" s="279"/>
    </row>
    <row r="142" spans="1:55" x14ac:dyDescent="0.3">
      <c r="B142" s="101"/>
      <c r="C142" s="102"/>
      <c r="D142" s="102"/>
      <c r="E142" s="103"/>
      <c r="F142" s="319" t="str">
        <f>+F5</f>
        <v>March 31, 2021 (₹)</v>
      </c>
      <c r="G142" s="38" t="s">
        <v>911</v>
      </c>
      <c r="H142" s="209"/>
    </row>
    <row r="143" spans="1:55" x14ac:dyDescent="0.3">
      <c r="B143" s="104" t="s">
        <v>986</v>
      </c>
      <c r="C143" s="105"/>
      <c r="D143" s="105"/>
      <c r="E143" s="105"/>
      <c r="F143" s="322"/>
      <c r="G143" s="322"/>
      <c r="H143" s="105"/>
    </row>
    <row r="144" spans="1:55" x14ac:dyDescent="0.3">
      <c r="B144" s="74" t="s">
        <v>1441</v>
      </c>
      <c r="C144" s="106"/>
      <c r="D144" s="106"/>
      <c r="E144" s="30"/>
      <c r="F144" s="110">
        <f>+G146</f>
        <v>26922650</v>
      </c>
      <c r="G144" s="110">
        <v>26922650</v>
      </c>
      <c r="H144" s="212"/>
    </row>
    <row r="145" spans="2:8" x14ac:dyDescent="0.3">
      <c r="B145" s="74" t="s">
        <v>988</v>
      </c>
      <c r="C145" s="106"/>
      <c r="D145" s="106"/>
      <c r="E145" s="30"/>
      <c r="F145" s="133">
        <v>0</v>
      </c>
      <c r="G145" s="133">
        <v>0</v>
      </c>
      <c r="H145" s="130"/>
    </row>
    <row r="146" spans="2:8" ht="19.5" thickBot="1" x14ac:dyDescent="0.35">
      <c r="B146" s="107" t="s">
        <v>1442</v>
      </c>
      <c r="C146" s="106"/>
      <c r="D146" s="106"/>
      <c r="E146" s="30"/>
      <c r="F146" s="108">
        <f>+SUM(F144:F145)</f>
        <v>26922650</v>
      </c>
      <c r="G146" s="108">
        <f>+SUM(G144:G145)</f>
        <v>26922650</v>
      </c>
      <c r="H146" s="284"/>
    </row>
    <row r="147" spans="2:8" ht="19.5" hidden="1" thickTop="1" x14ac:dyDescent="0.3">
      <c r="B147" s="107"/>
      <c r="C147" s="106"/>
      <c r="D147" s="106"/>
      <c r="E147" s="30"/>
      <c r="F147" s="133"/>
      <c r="G147" s="133"/>
      <c r="H147" s="30"/>
    </row>
    <row r="148" spans="2:8" ht="19.5" thickTop="1" x14ac:dyDescent="0.3">
      <c r="B148" s="104" t="s">
        <v>989</v>
      </c>
      <c r="C148" s="106"/>
      <c r="D148" s="106"/>
      <c r="E148" s="106"/>
      <c r="F148" s="110"/>
      <c r="G148" s="110"/>
      <c r="H148" s="106"/>
    </row>
    <row r="149" spans="2:8" x14ac:dyDescent="0.3">
      <c r="B149" s="111" t="s">
        <v>539</v>
      </c>
      <c r="C149" s="106"/>
      <c r="D149" s="106"/>
      <c r="E149" s="106"/>
      <c r="F149" s="110"/>
      <c r="G149" s="110"/>
      <c r="H149" s="106"/>
    </row>
    <row r="150" spans="2:8" x14ac:dyDescent="0.3">
      <c r="B150" s="73" t="s">
        <v>987</v>
      </c>
      <c r="C150" s="112"/>
      <c r="D150" s="112"/>
      <c r="E150" s="106"/>
      <c r="F150" s="113">
        <f>+G154</f>
        <v>20413989</v>
      </c>
      <c r="G150" s="110">
        <v>20413989</v>
      </c>
      <c r="H150" s="212"/>
    </row>
    <row r="151" spans="2:8" x14ac:dyDescent="0.3">
      <c r="B151" s="107" t="s">
        <v>990</v>
      </c>
      <c r="C151" s="106"/>
      <c r="D151" s="106"/>
      <c r="E151" s="106"/>
      <c r="F151" s="110">
        <v>0</v>
      </c>
      <c r="G151" s="114">
        <v>0</v>
      </c>
      <c r="H151" s="285"/>
    </row>
    <row r="152" spans="2:8" x14ac:dyDescent="0.3">
      <c r="B152" s="107" t="s">
        <v>991</v>
      </c>
      <c r="C152" s="106"/>
      <c r="D152" s="106"/>
      <c r="E152" s="106"/>
      <c r="F152" s="1330">
        <f>+F150+F151</f>
        <v>20413989</v>
      </c>
      <c r="G152" s="110">
        <f>+G150+G151</f>
        <v>20413989</v>
      </c>
      <c r="H152" s="212"/>
    </row>
    <row r="153" spans="2:8" x14ac:dyDescent="0.3">
      <c r="B153" s="107" t="s">
        <v>992</v>
      </c>
      <c r="C153" s="106"/>
      <c r="D153" s="106"/>
      <c r="E153" s="106"/>
      <c r="F153" s="110">
        <v>0</v>
      </c>
      <c r="G153" s="110">
        <v>0</v>
      </c>
      <c r="H153" s="285"/>
    </row>
    <row r="154" spans="2:8" x14ac:dyDescent="0.3">
      <c r="B154" s="115" t="s">
        <v>10</v>
      </c>
      <c r="C154" s="116"/>
      <c r="D154" s="116"/>
      <c r="E154" s="116"/>
      <c r="F154" s="117">
        <f>+F152+F153</f>
        <v>20413989</v>
      </c>
      <c r="G154" s="117">
        <f>+G152+G153</f>
        <v>20413989</v>
      </c>
      <c r="H154" s="284"/>
    </row>
    <row r="155" spans="2:8" hidden="1" x14ac:dyDescent="0.3">
      <c r="B155" s="115"/>
      <c r="C155" s="116"/>
      <c r="D155" s="116"/>
      <c r="E155" s="116"/>
      <c r="F155" s="109"/>
      <c r="G155" s="109"/>
      <c r="H155" s="284"/>
    </row>
    <row r="156" spans="2:8" x14ac:dyDescent="0.3">
      <c r="B156" s="115" t="s">
        <v>809</v>
      </c>
      <c r="C156" s="106"/>
      <c r="D156" s="106"/>
      <c r="E156" s="106"/>
      <c r="F156" s="110"/>
      <c r="G156" s="110"/>
      <c r="H156" s="106"/>
    </row>
    <row r="157" spans="2:8" x14ac:dyDescent="0.3">
      <c r="B157" s="73" t="s">
        <v>987</v>
      </c>
      <c r="C157" s="106"/>
      <c r="D157" s="106"/>
      <c r="E157" s="106"/>
      <c r="F157" s="110">
        <f>+G161</f>
        <v>8664946</v>
      </c>
      <c r="G157" s="110">
        <v>8664946</v>
      </c>
      <c r="H157" s="188"/>
    </row>
    <row r="158" spans="2:8" x14ac:dyDescent="0.3">
      <c r="B158" s="107" t="s">
        <v>990</v>
      </c>
      <c r="C158" s="106"/>
      <c r="D158" s="106"/>
      <c r="E158" s="106"/>
      <c r="F158" s="114">
        <v>0</v>
      </c>
      <c r="G158" s="114">
        <v>0</v>
      </c>
      <c r="H158" s="285"/>
    </row>
    <row r="159" spans="2:8" x14ac:dyDescent="0.3">
      <c r="B159" s="107" t="s">
        <v>991</v>
      </c>
      <c r="C159" s="106"/>
      <c r="D159" s="106"/>
      <c r="E159" s="106"/>
      <c r="F159" s="110">
        <f>+F157+F158</f>
        <v>8664946</v>
      </c>
      <c r="G159" s="110">
        <f>+G157+G158</f>
        <v>8664946</v>
      </c>
      <c r="H159" s="212"/>
    </row>
    <row r="160" spans="2:8" x14ac:dyDescent="0.3">
      <c r="B160" s="107" t="s">
        <v>992</v>
      </c>
      <c r="C160" s="106"/>
      <c r="D160" s="106"/>
      <c r="E160" s="106"/>
      <c r="F160" s="110">
        <v>0</v>
      </c>
      <c r="G160" s="110">
        <v>0</v>
      </c>
      <c r="H160" s="285"/>
    </row>
    <row r="161" spans="2:8" x14ac:dyDescent="0.3">
      <c r="B161" s="115" t="s">
        <v>10</v>
      </c>
      <c r="C161" s="106"/>
      <c r="D161" s="106"/>
      <c r="E161" s="106"/>
      <c r="F161" s="117">
        <f>+F159+F160</f>
        <v>8664946</v>
      </c>
      <c r="G161" s="117">
        <f>+G159+G160</f>
        <v>8664946</v>
      </c>
      <c r="H161" s="284"/>
    </row>
    <row r="162" spans="2:8" hidden="1" x14ac:dyDescent="0.3">
      <c r="B162" s="115"/>
      <c r="C162" s="106"/>
      <c r="D162" s="106"/>
      <c r="E162" s="106"/>
      <c r="F162" s="109"/>
      <c r="G162" s="109"/>
      <c r="H162" s="284"/>
    </row>
    <row r="163" spans="2:8" x14ac:dyDescent="0.3">
      <c r="B163" s="115" t="s">
        <v>147</v>
      </c>
      <c r="C163" s="106"/>
      <c r="D163" s="106"/>
      <c r="E163" s="106"/>
      <c r="F163" s="110"/>
      <c r="G163" s="110"/>
      <c r="H163" s="106"/>
    </row>
    <row r="164" spans="2:8" x14ac:dyDescent="0.3">
      <c r="B164" s="73" t="s">
        <v>987</v>
      </c>
      <c r="C164" s="106"/>
      <c r="D164" s="106"/>
      <c r="E164" s="106"/>
      <c r="F164" s="113">
        <f>+G168</f>
        <v>1800000</v>
      </c>
      <c r="G164" s="110">
        <v>1800000</v>
      </c>
      <c r="H164" s="212"/>
    </row>
    <row r="165" spans="2:8" x14ac:dyDescent="0.3">
      <c r="B165" s="107" t="s">
        <v>990</v>
      </c>
      <c r="C165" s="106"/>
      <c r="D165" s="106"/>
      <c r="E165" s="106"/>
      <c r="F165" s="114">
        <v>0</v>
      </c>
      <c r="G165" s="114">
        <v>0</v>
      </c>
      <c r="H165" s="285"/>
    </row>
    <row r="166" spans="2:8" x14ac:dyDescent="0.3">
      <c r="B166" s="107" t="s">
        <v>991</v>
      </c>
      <c r="C166" s="106"/>
      <c r="D166" s="106"/>
      <c r="E166" s="106"/>
      <c r="F166" s="110">
        <f>+F164+F165</f>
        <v>1800000</v>
      </c>
      <c r="G166" s="110">
        <f>+G164+G165</f>
        <v>1800000</v>
      </c>
      <c r="H166" s="212"/>
    </row>
    <row r="167" spans="2:8" x14ac:dyDescent="0.3">
      <c r="B167" s="107" t="s">
        <v>992</v>
      </c>
      <c r="C167" s="106"/>
      <c r="D167" s="106"/>
      <c r="E167" s="106"/>
      <c r="F167" s="110"/>
      <c r="G167" s="110">
        <v>0</v>
      </c>
      <c r="H167" s="285"/>
    </row>
    <row r="168" spans="2:8" x14ac:dyDescent="0.3">
      <c r="B168" s="107" t="s">
        <v>10</v>
      </c>
      <c r="C168" s="106"/>
      <c r="D168" s="106"/>
      <c r="E168" s="106"/>
      <c r="F168" s="117">
        <f>+F166+F167</f>
        <v>1800000</v>
      </c>
      <c r="G168" s="117">
        <f>+G166+G167</f>
        <v>1800000</v>
      </c>
      <c r="H168" s="284"/>
    </row>
    <row r="169" spans="2:8" hidden="1" x14ac:dyDescent="0.3">
      <c r="B169" s="107"/>
      <c r="C169" s="106"/>
      <c r="D169" s="106"/>
      <c r="E169" s="106"/>
      <c r="F169" s="109"/>
      <c r="G169" s="109"/>
      <c r="H169" s="284"/>
    </row>
    <row r="170" spans="2:8" x14ac:dyDescent="0.3">
      <c r="B170" s="115" t="s">
        <v>993</v>
      </c>
      <c r="C170" s="106"/>
      <c r="D170" s="106"/>
      <c r="E170" s="106"/>
      <c r="F170" s="110"/>
      <c r="G170" s="110"/>
      <c r="H170" s="106"/>
    </row>
    <row r="171" spans="2:8" x14ac:dyDescent="0.3">
      <c r="B171" s="107" t="s">
        <v>987</v>
      </c>
      <c r="C171" s="106"/>
      <c r="D171" s="106"/>
      <c r="E171" s="106"/>
      <c r="F171" s="118">
        <f>+G176</f>
        <v>50905005</v>
      </c>
      <c r="G171" s="109">
        <v>50905005</v>
      </c>
      <c r="H171" s="284"/>
    </row>
    <row r="172" spans="2:8" x14ac:dyDescent="0.3">
      <c r="B172" s="107" t="s">
        <v>994</v>
      </c>
      <c r="C172" s="106"/>
      <c r="D172" s="106"/>
      <c r="E172" s="106"/>
      <c r="F172" s="110">
        <v>0</v>
      </c>
      <c r="G172" s="110">
        <v>0</v>
      </c>
      <c r="H172" s="212"/>
    </row>
    <row r="173" spans="2:8" x14ac:dyDescent="0.3">
      <c r="B173" s="107" t="s">
        <v>995</v>
      </c>
      <c r="C173" s="106"/>
      <c r="D173" s="106"/>
      <c r="E173" s="106"/>
      <c r="F173" s="114">
        <v>0</v>
      </c>
      <c r="G173" s="114">
        <v>0</v>
      </c>
      <c r="H173" s="212"/>
    </row>
    <row r="174" spans="2:8" x14ac:dyDescent="0.3">
      <c r="B174" s="107" t="s">
        <v>991</v>
      </c>
      <c r="C174" s="106"/>
      <c r="D174" s="106"/>
      <c r="E174" s="106"/>
      <c r="F174" s="109">
        <f>+F171+F172+F173</f>
        <v>50905005</v>
      </c>
      <c r="G174" s="109">
        <f>+G171+G172+G173</f>
        <v>50905005</v>
      </c>
      <c r="H174" s="284"/>
    </row>
    <row r="175" spans="2:8" x14ac:dyDescent="0.3">
      <c r="B175" s="107" t="s">
        <v>992</v>
      </c>
      <c r="C175" s="106"/>
      <c r="D175" s="106"/>
      <c r="E175" s="106"/>
      <c r="F175" s="110">
        <v>0</v>
      </c>
      <c r="G175" s="110">
        <v>0</v>
      </c>
      <c r="H175" s="212"/>
    </row>
    <row r="176" spans="2:8" x14ac:dyDescent="0.3">
      <c r="B176" s="107" t="s">
        <v>10</v>
      </c>
      <c r="C176" s="106"/>
      <c r="D176" s="106"/>
      <c r="E176" s="106"/>
      <c r="F176" s="117">
        <f>+F174+F175</f>
        <v>50905005</v>
      </c>
      <c r="G176" s="117">
        <f>+G174+G175</f>
        <v>50905005</v>
      </c>
      <c r="H176" s="284"/>
    </row>
    <row r="177" spans="2:9" hidden="1" x14ac:dyDescent="0.3">
      <c r="B177" s="107"/>
      <c r="C177" s="106"/>
      <c r="D177" s="106"/>
      <c r="E177" s="106"/>
      <c r="F177" s="109"/>
      <c r="G177" s="109"/>
      <c r="H177" s="284"/>
    </row>
    <row r="178" spans="2:9" x14ac:dyDescent="0.3">
      <c r="B178" s="115" t="s">
        <v>996</v>
      </c>
      <c r="C178" s="106"/>
      <c r="D178" s="106"/>
      <c r="E178" s="106"/>
      <c r="F178" s="110"/>
      <c r="G178" s="110"/>
      <c r="H178" s="106"/>
    </row>
    <row r="179" spans="2:9" x14ac:dyDescent="0.3">
      <c r="B179" s="73" t="s">
        <v>987</v>
      </c>
      <c r="C179" s="106"/>
      <c r="D179" s="106"/>
      <c r="E179" s="106"/>
      <c r="F179" s="110">
        <f>+GETPIVOTDATA("Sum of Cr. Final HYR",Pivot!$A$3,"Note",3,"BS Main Head","Reserves &amp; Surplus","BS Sub Head","Surplus")</f>
        <v>124185196.38</v>
      </c>
      <c r="G179" s="110">
        <f>GETPIVOTDATA("Sum of Cr. Final 2019-20",Pivot!$A$3,"Note",3,"BS Main Head","Reserves &amp; Surplus","BS Sub Head","Surplus")</f>
        <v>112979368.51000001</v>
      </c>
      <c r="H179" s="188"/>
    </row>
    <row r="180" spans="2:9" x14ac:dyDescent="0.3">
      <c r="B180" s="107" t="s">
        <v>990</v>
      </c>
      <c r="C180" s="106"/>
      <c r="D180" s="106"/>
      <c r="E180" s="106"/>
      <c r="F180" s="110">
        <v>0</v>
      </c>
      <c r="G180" s="110">
        <v>0</v>
      </c>
      <c r="H180" s="212"/>
    </row>
    <row r="181" spans="2:9" x14ac:dyDescent="0.3">
      <c r="B181" s="107" t="s">
        <v>997</v>
      </c>
      <c r="C181" s="106"/>
      <c r="D181" s="106"/>
      <c r="E181" s="106"/>
      <c r="F181" s="110">
        <v>0</v>
      </c>
      <c r="G181" s="110">
        <v>0</v>
      </c>
      <c r="H181" s="212"/>
    </row>
    <row r="182" spans="2:9" x14ac:dyDescent="0.3">
      <c r="B182" s="107" t="s">
        <v>991</v>
      </c>
      <c r="C182" s="106"/>
      <c r="D182" s="106"/>
      <c r="E182" s="106"/>
      <c r="F182" s="1330">
        <f>+F179+F180+F181</f>
        <v>124185196.38</v>
      </c>
      <c r="G182" s="1330">
        <f>+G179+G180+G181</f>
        <v>112979368.51000001</v>
      </c>
      <c r="H182" s="212"/>
    </row>
    <row r="183" spans="2:9" x14ac:dyDescent="0.3">
      <c r="B183" s="107" t="s">
        <v>998</v>
      </c>
      <c r="C183" s="106"/>
      <c r="D183" s="106"/>
      <c r="E183" s="106"/>
      <c r="F183" s="110">
        <f>+F100</f>
        <v>34273275.57110668</v>
      </c>
      <c r="G183" s="110">
        <f>+G100</f>
        <v>11392078.882790042</v>
      </c>
      <c r="H183" s="212">
        <v>38905622.857527018</v>
      </c>
      <c r="I183" s="263">
        <f>+F183-H183</f>
        <v>-4632347.2864203379</v>
      </c>
    </row>
    <row r="184" spans="2:9" x14ac:dyDescent="0.3">
      <c r="B184" s="107" t="s">
        <v>999</v>
      </c>
      <c r="C184" s="106"/>
      <c r="D184" s="106"/>
      <c r="E184" s="106"/>
      <c r="F184" s="114">
        <f>+F107</f>
        <v>1129722</v>
      </c>
      <c r="G184" s="114">
        <f>+G107</f>
        <v>-186251</v>
      </c>
      <c r="H184" s="212"/>
    </row>
    <row r="185" spans="2:9" x14ac:dyDescent="0.3">
      <c r="B185" s="107" t="s">
        <v>1000</v>
      </c>
      <c r="C185" s="106"/>
      <c r="D185" s="106"/>
      <c r="E185" s="106"/>
      <c r="F185" s="110">
        <f>+F183+F184</f>
        <v>35402997.57110668</v>
      </c>
      <c r="G185" s="110">
        <f>+G183+G184</f>
        <v>11205827.882790042</v>
      </c>
      <c r="H185" s="212"/>
    </row>
    <row r="186" spans="2:9" x14ac:dyDescent="0.3">
      <c r="B186" s="115" t="s">
        <v>1001</v>
      </c>
      <c r="C186" s="106"/>
      <c r="D186" s="106"/>
      <c r="E186" s="106"/>
      <c r="F186" s="110"/>
      <c r="G186" s="110"/>
      <c r="H186" s="106"/>
    </row>
    <row r="187" spans="2:9" x14ac:dyDescent="0.3">
      <c r="B187" s="107" t="s">
        <v>1002</v>
      </c>
      <c r="C187" s="106"/>
      <c r="D187" s="106"/>
      <c r="E187" s="106"/>
      <c r="F187" s="110">
        <v>0</v>
      </c>
      <c r="G187" s="110">
        <v>0</v>
      </c>
      <c r="H187" s="106"/>
    </row>
    <row r="188" spans="2:9" x14ac:dyDescent="0.3">
      <c r="B188" s="107" t="s">
        <v>1003</v>
      </c>
      <c r="C188" s="106"/>
      <c r="D188" s="106"/>
      <c r="E188" s="106"/>
      <c r="F188" s="110">
        <v>0</v>
      </c>
      <c r="G188" s="110">
        <v>0</v>
      </c>
      <c r="H188" s="285"/>
    </row>
    <row r="189" spans="2:9" x14ac:dyDescent="0.3">
      <c r="B189" s="107" t="s">
        <v>1004</v>
      </c>
      <c r="C189" s="106"/>
      <c r="D189" s="106"/>
      <c r="E189" s="106"/>
      <c r="F189" s="110">
        <v>0</v>
      </c>
      <c r="G189" s="110">
        <v>0</v>
      </c>
      <c r="H189" s="285"/>
    </row>
    <row r="190" spans="2:9" x14ac:dyDescent="0.3">
      <c r="B190" s="107" t="s">
        <v>992</v>
      </c>
      <c r="C190" s="106"/>
      <c r="D190" s="106"/>
      <c r="E190" s="106"/>
      <c r="F190" s="110">
        <v>0</v>
      </c>
      <c r="G190" s="110">
        <v>0</v>
      </c>
      <c r="H190" s="285"/>
    </row>
    <row r="191" spans="2:9" x14ac:dyDescent="0.3">
      <c r="B191" s="107" t="s">
        <v>10</v>
      </c>
      <c r="C191" s="106"/>
      <c r="D191" s="106"/>
      <c r="E191" s="106"/>
      <c r="F191" s="323">
        <f>+F182+F185-SUM(F188:F190)</f>
        <v>159588193.95110667</v>
      </c>
      <c r="G191" s="323">
        <f>+G182+G185-SUM(G188:G190)</f>
        <v>124185196.39279005</v>
      </c>
      <c r="H191" s="286"/>
    </row>
    <row r="192" spans="2:9" x14ac:dyDescent="0.3">
      <c r="B192" s="119"/>
      <c r="C192" s="120"/>
      <c r="D192" s="120"/>
      <c r="E192" s="120"/>
      <c r="F192" s="117">
        <f>F191+F168+F161+F154+F176</f>
        <v>241372133.95110667</v>
      </c>
      <c r="G192" s="117">
        <f>G191+G168+G161+G154+G176</f>
        <v>205969136.39279005</v>
      </c>
      <c r="H192" s="121"/>
    </row>
    <row r="193" spans="2:8" hidden="1" x14ac:dyDescent="0.3">
      <c r="B193" s="1332"/>
      <c r="C193" s="1333"/>
      <c r="D193" s="1333"/>
      <c r="E193" s="1333"/>
      <c r="F193" s="1334"/>
      <c r="G193" s="1335"/>
      <c r="H193" s="121"/>
    </row>
    <row r="194" spans="2:8" x14ac:dyDescent="0.3">
      <c r="B194" s="135" t="s">
        <v>945</v>
      </c>
      <c r="C194" s="1308"/>
      <c r="D194" s="1308"/>
      <c r="E194" s="1308"/>
      <c r="F194" s="223"/>
      <c r="G194" s="1331"/>
      <c r="H194" s="122"/>
    </row>
    <row r="195" spans="2:8" x14ac:dyDescent="0.3">
      <c r="B195" s="66" t="s">
        <v>946</v>
      </c>
      <c r="C195" s="67"/>
      <c r="D195" s="67"/>
      <c r="E195" s="32" t="s">
        <v>947</v>
      </c>
      <c r="F195" s="138"/>
      <c r="G195" s="151"/>
    </row>
    <row r="196" spans="2:8" x14ac:dyDescent="0.3">
      <c r="B196" s="69"/>
      <c r="C196" s="30"/>
      <c r="D196" s="30"/>
      <c r="F196" s="138"/>
      <c r="G196" s="151"/>
    </row>
    <row r="197" spans="2:8" x14ac:dyDescent="0.3">
      <c r="B197" s="69"/>
      <c r="C197" s="30"/>
      <c r="D197" s="30"/>
      <c r="F197" s="138"/>
      <c r="G197" s="151"/>
    </row>
    <row r="198" spans="2:8" x14ac:dyDescent="0.3">
      <c r="B198" s="69" t="s">
        <v>3287</v>
      </c>
      <c r="C198" s="70"/>
      <c r="D198" s="70"/>
      <c r="E198" s="139" t="str">
        <f>+E119</f>
        <v>ANIL KUMAR LAKHOTIYA - MANAGING  DIRECTOR</v>
      </c>
      <c r="F198" s="138"/>
      <c r="G198" s="151"/>
    </row>
    <row r="199" spans="2:8" x14ac:dyDescent="0.3">
      <c r="B199" s="69" t="s">
        <v>1319</v>
      </c>
      <c r="C199" s="70"/>
      <c r="D199" s="70"/>
      <c r="E199" s="32" t="str">
        <f>+E120</f>
        <v>(DIN:00367361)</v>
      </c>
      <c r="F199" s="138"/>
      <c r="G199" s="151"/>
    </row>
    <row r="200" spans="2:8" x14ac:dyDescent="0.3">
      <c r="B200" s="69" t="s">
        <v>3289</v>
      </c>
      <c r="C200" s="30"/>
      <c r="D200" s="30"/>
      <c r="E200" s="71"/>
      <c r="F200" s="318"/>
      <c r="G200" s="1320"/>
      <c r="H200" s="71"/>
    </row>
    <row r="201" spans="2:8" x14ac:dyDescent="0.3">
      <c r="B201" s="69"/>
      <c r="C201" s="30"/>
      <c r="D201" s="30"/>
      <c r="E201" s="30"/>
      <c r="F201" s="138"/>
      <c r="G201" s="151"/>
      <c r="H201" s="30"/>
    </row>
    <row r="202" spans="2:8" x14ac:dyDescent="0.3">
      <c r="B202" s="69"/>
      <c r="C202" s="30"/>
      <c r="D202" s="30"/>
      <c r="E202" s="70" t="str">
        <f>+E123</f>
        <v>KAILASH AGARWAL - WHOLE TIME DIRECTOR</v>
      </c>
      <c r="F202" s="138"/>
      <c r="G202" s="151"/>
      <c r="H202" s="30"/>
    </row>
    <row r="203" spans="2:8" x14ac:dyDescent="0.3">
      <c r="B203" s="69" t="s">
        <v>3288</v>
      </c>
      <c r="C203" s="70"/>
      <c r="D203" s="70"/>
      <c r="E203" s="30" t="str">
        <f>+E124</f>
        <v>(DIN:00367292)</v>
      </c>
      <c r="F203" s="138"/>
      <c r="G203" s="151"/>
      <c r="H203" s="71"/>
    </row>
    <row r="204" spans="2:8" x14ac:dyDescent="0.3">
      <c r="B204" s="69" t="s">
        <v>1322</v>
      </c>
      <c r="C204" s="31"/>
      <c r="D204" s="31"/>
      <c r="E204" s="71"/>
      <c r="F204" s="318"/>
      <c r="G204" s="1320"/>
      <c r="H204" s="30"/>
    </row>
    <row r="205" spans="2:8" x14ac:dyDescent="0.3">
      <c r="B205" s="69" t="s">
        <v>3290</v>
      </c>
      <c r="C205" s="72"/>
      <c r="D205" s="72"/>
      <c r="E205" s="30"/>
      <c r="F205" s="138"/>
      <c r="G205" s="151"/>
    </row>
    <row r="206" spans="2:8" x14ac:dyDescent="0.3">
      <c r="B206" s="74" t="s">
        <v>955</v>
      </c>
      <c r="C206" s="72"/>
      <c r="D206" s="72"/>
      <c r="E206" s="139" t="str">
        <f>+E127</f>
        <v>JARNAIL SINGH SAINI - CHIEF FINANCIAL OFFICER &amp; EXECUTIVE DIRECTOR</v>
      </c>
      <c r="F206" s="138"/>
      <c r="G206" s="151"/>
      <c r="H206" s="1304"/>
    </row>
    <row r="207" spans="2:8" x14ac:dyDescent="0.3">
      <c r="B207" s="74" t="str">
        <f>+B128</f>
        <v>Date: 25-06-2021</v>
      </c>
      <c r="C207" s="72"/>
      <c r="D207" s="72"/>
      <c r="E207" s="1768" t="str">
        <f>+E128</f>
        <v>(DIN:00367656)</v>
      </c>
      <c r="F207" s="1768"/>
      <c r="G207" s="1769"/>
      <c r="H207" s="30"/>
    </row>
    <row r="208" spans="2:8" x14ac:dyDescent="0.3">
      <c r="B208" s="74" t="str">
        <f>+B129</f>
        <v>UDIN:</v>
      </c>
      <c r="C208" s="30"/>
      <c r="D208" s="30"/>
      <c r="E208" s="30"/>
      <c r="F208" s="138"/>
      <c r="G208" s="151"/>
      <c r="H208" s="30"/>
    </row>
    <row r="209" spans="2:8" x14ac:dyDescent="0.3">
      <c r="B209" s="74"/>
      <c r="C209" s="30"/>
      <c r="D209" s="30"/>
      <c r="E209" s="30"/>
      <c r="F209" s="138"/>
      <c r="G209" s="151"/>
      <c r="H209" s="30"/>
    </row>
    <row r="210" spans="2:8" x14ac:dyDescent="0.3">
      <c r="B210" s="74"/>
      <c r="C210" s="30"/>
      <c r="D210" s="30"/>
      <c r="E210" s="70" t="str">
        <f>+E131</f>
        <v>OMPRAKASH RATHI - EXECUTIVE DIRECTOR</v>
      </c>
      <c r="F210" s="138"/>
      <c r="G210" s="151"/>
      <c r="H210" s="71"/>
    </row>
    <row r="211" spans="2:8" x14ac:dyDescent="0.3">
      <c r="B211" s="74"/>
      <c r="C211" s="30"/>
      <c r="D211" s="30"/>
      <c r="E211" s="30" t="str">
        <f>+E132</f>
        <v>(DIN:00895316)</v>
      </c>
      <c r="F211" s="318"/>
      <c r="G211" s="1320"/>
      <c r="H211" s="75"/>
    </row>
    <row r="212" spans="2:8" x14ac:dyDescent="0.3">
      <c r="B212" s="74"/>
      <c r="C212" s="30"/>
      <c r="D212" s="30"/>
      <c r="E212" s="30"/>
      <c r="F212" s="138"/>
      <c r="G212" s="151"/>
      <c r="H212" s="75"/>
    </row>
    <row r="213" spans="2:8" x14ac:dyDescent="0.3">
      <c r="B213" s="74"/>
      <c r="C213" s="30"/>
      <c r="D213" s="30"/>
      <c r="E213" s="30"/>
      <c r="F213" s="138"/>
      <c r="G213" s="151"/>
      <c r="H213" s="75"/>
    </row>
    <row r="214" spans="2:8" x14ac:dyDescent="0.3">
      <c r="B214" s="74"/>
      <c r="C214" s="30"/>
      <c r="D214" s="30"/>
      <c r="E214" s="30" t="str">
        <f>+E135</f>
        <v>MAYANK LUNIYA - COMPANY SECRETARY</v>
      </c>
      <c r="F214" s="138"/>
      <c r="G214" s="151"/>
      <c r="H214" s="71"/>
    </row>
    <row r="215" spans="2:8" hidden="1" x14ac:dyDescent="0.3">
      <c r="B215" s="74"/>
      <c r="C215" s="30"/>
      <c r="D215" s="30"/>
      <c r="E215" s="71"/>
      <c r="F215" s="318"/>
      <c r="G215" s="168"/>
      <c r="H215" s="75"/>
    </row>
    <row r="216" spans="2:8" x14ac:dyDescent="0.3">
      <c r="B216" s="74"/>
      <c r="C216" s="30"/>
      <c r="D216" s="30"/>
      <c r="E216" s="30" t="str">
        <f>+E137</f>
        <v>Place: Nagpur</v>
      </c>
      <c r="F216" s="138"/>
      <c r="G216" s="151"/>
      <c r="H216" s="75"/>
    </row>
    <row r="217" spans="2:8" x14ac:dyDescent="0.3">
      <c r="B217" s="76"/>
      <c r="C217" s="37"/>
      <c r="D217" s="37"/>
      <c r="E217" s="37" t="str">
        <f>+E138</f>
        <v xml:space="preserve">Date: </v>
      </c>
      <c r="F217" s="217"/>
      <c r="G217" s="157"/>
      <c r="H217" s="75"/>
    </row>
    <row r="218" spans="2:8" x14ac:dyDescent="0.3">
      <c r="B218" s="1755" t="s">
        <v>907</v>
      </c>
      <c r="C218" s="1756"/>
      <c r="D218" s="1756"/>
      <c r="E218" s="1756"/>
      <c r="F218" s="1756"/>
      <c r="G218" s="1757"/>
      <c r="H218" s="75"/>
    </row>
    <row r="219" spans="2:8" x14ac:dyDescent="0.3">
      <c r="B219" s="1758" t="s">
        <v>1328</v>
      </c>
      <c r="C219" s="1759"/>
      <c r="D219" s="1759"/>
      <c r="E219" s="1759"/>
      <c r="F219" s="1759"/>
      <c r="G219" s="1760"/>
      <c r="H219" s="261"/>
    </row>
    <row r="220" spans="2:8" x14ac:dyDescent="0.3">
      <c r="B220" s="100" t="s">
        <v>451</v>
      </c>
      <c r="C220" s="1328"/>
      <c r="D220" s="1328"/>
      <c r="E220" s="1329"/>
      <c r="F220" s="1324" t="s">
        <v>909</v>
      </c>
      <c r="G220" s="1324" t="s">
        <v>910</v>
      </c>
      <c r="H220" s="273"/>
    </row>
    <row r="221" spans="2:8" x14ac:dyDescent="0.3">
      <c r="B221" s="101"/>
      <c r="C221" s="102"/>
      <c r="D221" s="102"/>
      <c r="E221" s="103"/>
      <c r="F221" s="319" t="str">
        <f>+F5</f>
        <v>March 31, 2021 (₹)</v>
      </c>
      <c r="G221" s="38" t="s">
        <v>911</v>
      </c>
      <c r="H221" s="209"/>
    </row>
    <row r="222" spans="2:8" x14ac:dyDescent="0.3">
      <c r="B222" s="73"/>
      <c r="C222" s="31"/>
      <c r="D222" s="31"/>
      <c r="E222" s="139"/>
      <c r="F222" s="219"/>
      <c r="G222" s="99"/>
      <c r="H222" s="209"/>
    </row>
    <row r="223" spans="2:8" x14ac:dyDescent="0.3">
      <c r="B223" s="124" t="s">
        <v>2580</v>
      </c>
      <c r="C223" s="125"/>
      <c r="D223" s="125"/>
      <c r="F223" s="133"/>
      <c r="G223" s="151"/>
    </row>
    <row r="224" spans="2:8" x14ac:dyDescent="0.3">
      <c r="B224" s="126" t="s">
        <v>1005</v>
      </c>
      <c r="C224" s="125"/>
      <c r="D224" s="125"/>
      <c r="F224" s="133"/>
      <c r="G224" s="151"/>
    </row>
    <row r="225" spans="2:55" s="70" customFormat="1" x14ac:dyDescent="0.3">
      <c r="B225" s="1761" t="s">
        <v>1006</v>
      </c>
      <c r="C225" s="1762"/>
      <c r="D225" s="1762"/>
      <c r="E225" s="1762"/>
      <c r="F225" s="175"/>
      <c r="G225" s="176"/>
      <c r="H225" s="1308"/>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267"/>
      <c r="AT225" s="267"/>
      <c r="AU225" s="267"/>
      <c r="AV225" s="267"/>
      <c r="AW225" s="267"/>
      <c r="AX225" s="267"/>
      <c r="AY225" s="267"/>
      <c r="AZ225" s="267"/>
      <c r="BA225" s="267"/>
      <c r="BB225" s="267"/>
      <c r="BC225" s="267"/>
    </row>
    <row r="226" spans="2:55" s="70" customFormat="1" x14ac:dyDescent="0.3">
      <c r="B226" s="1763" t="s">
        <v>1007</v>
      </c>
      <c r="C226" s="1764"/>
      <c r="D226" s="1764"/>
      <c r="E226" s="1764"/>
      <c r="F226" s="258">
        <f>+GETPIVOTDATA("Sum of Dr. Final HYR",Pivot!$A$3,"Note",13,"BS Main Head","Other Financial Assets")</f>
        <v>1985304</v>
      </c>
      <c r="G226" s="250">
        <f>+GETPIVOTDATA("Sum of Dr. Final 2019-20",Pivot!$A$3,"Note",13,"BS Main Head","Other Financial Assets")</f>
        <v>2213235</v>
      </c>
      <c r="H226" s="309" t="s">
        <v>3316</v>
      </c>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7"/>
      <c r="AO226" s="267"/>
      <c r="AP226" s="267"/>
      <c r="AQ226" s="267"/>
      <c r="AR226" s="267"/>
      <c r="AS226" s="267"/>
      <c r="AT226" s="267"/>
      <c r="AU226" s="267"/>
      <c r="AV226" s="267"/>
      <c r="AW226" s="267"/>
      <c r="AX226" s="267"/>
      <c r="AY226" s="267"/>
      <c r="AZ226" s="267"/>
      <c r="BA226" s="267"/>
      <c r="BB226" s="267"/>
      <c r="BC226" s="267"/>
    </row>
    <row r="227" spans="2:55" x14ac:dyDescent="0.3">
      <c r="B227" s="74" t="s">
        <v>1008</v>
      </c>
      <c r="C227" s="30"/>
      <c r="D227" s="30"/>
      <c r="E227" s="30"/>
      <c r="F227" s="134"/>
      <c r="G227" s="133"/>
      <c r="H227" s="130"/>
    </row>
    <row r="228" spans="2:55" ht="19.5" thickBot="1" x14ac:dyDescent="0.35">
      <c r="B228" s="73"/>
      <c r="C228" s="31"/>
      <c r="D228" s="31"/>
      <c r="F228" s="127">
        <f>+SUM(F225:F227)</f>
        <v>1985304</v>
      </c>
      <c r="G228" s="127">
        <f>+SUM(G225:G227)</f>
        <v>2213235</v>
      </c>
      <c r="H228" s="172"/>
    </row>
    <row r="229" spans="2:55" ht="19.5" thickTop="1" x14ac:dyDescent="0.3">
      <c r="B229" s="128"/>
      <c r="C229" s="129"/>
      <c r="D229" s="129"/>
      <c r="F229" s="134"/>
      <c r="G229" s="133"/>
    </row>
    <row r="230" spans="2:55" x14ac:dyDescent="0.3">
      <c r="B230" s="124" t="s">
        <v>1009</v>
      </c>
      <c r="C230" s="125"/>
      <c r="D230" s="125"/>
      <c r="F230" s="134"/>
      <c r="G230" s="133"/>
    </row>
    <row r="231" spans="2:55" x14ac:dyDescent="0.3">
      <c r="B231" s="126" t="s">
        <v>1005</v>
      </c>
      <c r="C231" s="125"/>
      <c r="D231" s="125"/>
      <c r="F231" s="134"/>
      <c r="G231" s="133"/>
    </row>
    <row r="232" spans="2:55" x14ac:dyDescent="0.3">
      <c r="B232" s="1307" t="s">
        <v>1010</v>
      </c>
      <c r="C232" s="1308"/>
      <c r="D232" s="1308"/>
      <c r="E232" s="251"/>
      <c r="F232" s="1357">
        <f>+GETPIVOTDATA("Sum of Dr. Final HYR",Pivot!$A$3,"Note",8,"BS Main Head","Long Term Loans &amp; Advances","BS Sub Head","Advance For Capital Goods")</f>
        <v>2745000</v>
      </c>
      <c r="G232" s="175">
        <v>0</v>
      </c>
      <c r="H232" s="309"/>
    </row>
    <row r="233" spans="2:55" x14ac:dyDescent="0.3">
      <c r="B233" s="1307" t="s">
        <v>581</v>
      </c>
      <c r="C233" s="1308"/>
      <c r="D233" s="1308"/>
      <c r="E233" s="251"/>
      <c r="F233" s="1357">
        <f>+GETPIVOTDATA("Sum of Dr. Final HYR",Pivot!$A$3,"Note",12,"BS Main Head","Long Term Loans &amp; Advances","BS Sub Head","Long Term Deposits")</f>
        <v>465777</v>
      </c>
      <c r="G233" s="175">
        <f>+GETPIVOTDATA("Sum of Dr. Final 2019-20",Pivot!$A$3,"Note",12,"BS Main Head","Long Term Loans &amp; Advances","BS Sub Head","Long Term Deposits")+GETPIVOTDATA("Sum of Dr. Final 2019-20",Pivot!$A$3,"PARTICULARS","Deposit for  COAL to MSMC","Note",18,"BS Main Head","Other Current Assets","BS Sub Head","Deposits")</f>
        <v>1601600</v>
      </c>
      <c r="H233" s="288"/>
    </row>
    <row r="234" spans="2:55" x14ac:dyDescent="0.3">
      <c r="B234" s="73" t="s">
        <v>546</v>
      </c>
      <c r="C234" s="31"/>
      <c r="D234" s="31"/>
      <c r="E234" s="130"/>
      <c r="F234" s="134">
        <f>+GETPIVOTDATA("Sum of Dr. Final HYR",Pivot!$A$3,"Note",12,"BS Main Head","Long Term Loans &amp; Advances","BS Sub Head","Balance with Government Authorities")-F273</f>
        <v>8376441</v>
      </c>
      <c r="G234" s="133">
        <f>+GETPIVOTDATA("Sum of Dr. Final 2019-20",Pivot!$A$3,"Note",12,"BS Main Head","Long Term Loans &amp; Advances","BS Sub Head","Balance with Government Authorities")-G273</f>
        <v>4775641</v>
      </c>
      <c r="H234" s="289"/>
    </row>
    <row r="235" spans="2:55" x14ac:dyDescent="0.3">
      <c r="B235" s="73"/>
      <c r="C235" s="31"/>
      <c r="D235" s="31"/>
      <c r="F235" s="49">
        <f>+SUM(F232:F234)</f>
        <v>11587218</v>
      </c>
      <c r="G235" s="49">
        <f>+SUM(G232:G234)</f>
        <v>6377241</v>
      </c>
      <c r="H235" s="172"/>
    </row>
    <row r="236" spans="2:55" x14ac:dyDescent="0.3">
      <c r="B236" s="124" t="s">
        <v>1011</v>
      </c>
      <c r="C236" s="125"/>
      <c r="D236" s="125"/>
      <c r="F236" s="134"/>
      <c r="G236" s="133"/>
    </row>
    <row r="237" spans="2:55" x14ac:dyDescent="0.3">
      <c r="B237" s="1502" t="s">
        <v>3486</v>
      </c>
      <c r="C237" s="125"/>
      <c r="D237" s="125"/>
      <c r="F237" s="134"/>
      <c r="G237" s="133"/>
    </row>
    <row r="238" spans="2:55" x14ac:dyDescent="0.3">
      <c r="B238" s="131" t="s">
        <v>3560</v>
      </c>
      <c r="C238" s="132"/>
      <c r="D238" s="132"/>
      <c r="F238" s="133">
        <f>+F443</f>
        <v>41971585.5</v>
      </c>
      <c r="G238" s="133">
        <f>+G443</f>
        <v>46809782.420000002</v>
      </c>
      <c r="H238" s="289"/>
    </row>
    <row r="239" spans="2:55" s="1585" customFormat="1" hidden="1" x14ac:dyDescent="0.3">
      <c r="B239" s="1586"/>
      <c r="C239" s="1587"/>
      <c r="D239" s="1587"/>
      <c r="E239" s="1588"/>
      <c r="F239" s="1592"/>
      <c r="G239" s="1589"/>
      <c r="H239" s="1590"/>
      <c r="I239" s="1591"/>
      <c r="J239" s="1591"/>
      <c r="K239" s="1591"/>
      <c r="L239" s="1591"/>
      <c r="M239" s="1591"/>
      <c r="N239" s="1591"/>
      <c r="O239" s="1591"/>
      <c r="P239" s="1591"/>
      <c r="Q239" s="1591"/>
      <c r="R239" s="1591"/>
      <c r="S239" s="1591"/>
      <c r="T239" s="1591"/>
      <c r="U239" s="1591"/>
      <c r="V239" s="1591"/>
      <c r="W239" s="1591"/>
      <c r="X239" s="1591"/>
      <c r="Y239" s="1591"/>
      <c r="Z239" s="1591"/>
      <c r="AA239" s="1591"/>
      <c r="AB239" s="1591"/>
      <c r="AC239" s="1591"/>
      <c r="AD239" s="1591"/>
      <c r="AE239" s="1591"/>
      <c r="AF239" s="1591"/>
      <c r="AG239" s="1591"/>
      <c r="AH239" s="1591"/>
      <c r="AI239" s="1591"/>
      <c r="AJ239" s="1591"/>
      <c r="AK239" s="1591"/>
      <c r="AL239" s="1591"/>
      <c r="AM239" s="1591"/>
      <c r="AN239" s="1591"/>
      <c r="AO239" s="1591"/>
      <c r="AP239" s="1591"/>
      <c r="AQ239" s="1591"/>
      <c r="AR239" s="1591"/>
      <c r="AS239" s="1591"/>
      <c r="AT239" s="1591"/>
      <c r="AU239" s="1591"/>
      <c r="AV239" s="1591"/>
      <c r="AW239" s="1591"/>
      <c r="AX239" s="1591"/>
      <c r="AY239" s="1591"/>
      <c r="AZ239" s="1591"/>
      <c r="BA239" s="1591"/>
      <c r="BB239" s="1591"/>
      <c r="BC239" s="1591"/>
    </row>
    <row r="240" spans="2:55" x14ac:dyDescent="0.3">
      <c r="B240" s="73" t="s">
        <v>1012</v>
      </c>
      <c r="C240" s="132"/>
      <c r="D240" s="132"/>
      <c r="F240" s="134">
        <f>+L432+L433+L434</f>
        <v>9442397</v>
      </c>
      <c r="G240" s="133">
        <f>+M432+M433+M434</f>
        <v>13162177</v>
      </c>
      <c r="H240" s="289"/>
    </row>
    <row r="241" spans="2:55" x14ac:dyDescent="0.3">
      <c r="B241" s="131" t="s">
        <v>3564</v>
      </c>
      <c r="C241" s="132"/>
      <c r="D241" s="132"/>
      <c r="F241" s="133">
        <f>+F447</f>
        <v>16099811.717889346</v>
      </c>
      <c r="G241" s="133">
        <f>+G447</f>
        <v>7851552.4699999997</v>
      </c>
      <c r="H241" s="289"/>
    </row>
    <row r="242" spans="2:55" x14ac:dyDescent="0.3">
      <c r="B242" s="131" t="s">
        <v>1013</v>
      </c>
      <c r="C242" s="132"/>
      <c r="D242" s="132"/>
      <c r="E242" s="132"/>
      <c r="F242" s="325"/>
      <c r="G242" s="133"/>
      <c r="H242" s="289"/>
    </row>
    <row r="243" spans="2:55" s="70" customFormat="1" ht="19.5" thickBot="1" x14ac:dyDescent="0.35">
      <c r="B243" s="131"/>
      <c r="C243" s="132"/>
      <c r="D243" s="132"/>
      <c r="E243" s="132"/>
      <c r="F243" s="127">
        <f>+SUM(F238:F241)</f>
        <v>67513794.217889339</v>
      </c>
      <c r="G243" s="127">
        <f>+SUM(G238:G241)</f>
        <v>67823511.890000001</v>
      </c>
      <c r="H243" s="172"/>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c r="AI243" s="267"/>
      <c r="AJ243" s="267"/>
      <c r="AK243" s="267"/>
      <c r="AL243" s="267"/>
      <c r="AM243" s="267"/>
      <c r="AN243" s="267"/>
      <c r="AO243" s="267"/>
      <c r="AP243" s="267"/>
      <c r="AQ243" s="267"/>
      <c r="AR243" s="267"/>
      <c r="AS243" s="267"/>
      <c r="AT243" s="267"/>
      <c r="AU243" s="267"/>
      <c r="AV243" s="267"/>
      <c r="AW243" s="267"/>
      <c r="AX243" s="267"/>
      <c r="AY243" s="267"/>
      <c r="AZ243" s="267"/>
      <c r="BA243" s="267"/>
      <c r="BB243" s="267"/>
      <c r="BC243" s="267"/>
    </row>
    <row r="244" spans="2:55" s="70" customFormat="1" ht="19.5" thickTop="1" x14ac:dyDescent="0.3">
      <c r="B244" s="124" t="s">
        <v>1014</v>
      </c>
      <c r="C244" s="125"/>
      <c r="D244" s="125"/>
      <c r="E244" s="32"/>
      <c r="F244" s="134"/>
      <c r="G244" s="133"/>
      <c r="H244" s="32"/>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7"/>
      <c r="AH244" s="267"/>
      <c r="AI244" s="267"/>
      <c r="AJ244" s="267"/>
      <c r="AK244" s="267"/>
      <c r="AL244" s="267"/>
      <c r="AM244" s="267"/>
      <c r="AN244" s="267"/>
      <c r="AO244" s="267"/>
      <c r="AP244" s="267"/>
      <c r="AQ244" s="267"/>
      <c r="AR244" s="267"/>
      <c r="AS244" s="267"/>
      <c r="AT244" s="267"/>
      <c r="AU244" s="267"/>
      <c r="AV244" s="267"/>
      <c r="AW244" s="267"/>
      <c r="AX244" s="267"/>
      <c r="AY244" s="267"/>
      <c r="AZ244" s="267"/>
      <c r="BA244" s="267"/>
      <c r="BB244" s="267"/>
      <c r="BC244" s="267"/>
    </row>
    <row r="245" spans="2:55" s="70" customFormat="1" x14ac:dyDescent="0.3">
      <c r="B245" s="135" t="s">
        <v>1005</v>
      </c>
      <c r="C245" s="136"/>
      <c r="D245" s="136"/>
      <c r="E245" s="32"/>
      <c r="F245" s="134"/>
      <c r="G245" s="133"/>
      <c r="H245" s="32"/>
      <c r="I245" s="267"/>
      <c r="J245" s="267"/>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267"/>
      <c r="AG245" s="267"/>
      <c r="AH245" s="267"/>
      <c r="AI245" s="267"/>
      <c r="AJ245" s="267"/>
      <c r="AK245" s="267"/>
      <c r="AL245" s="267"/>
      <c r="AM245" s="267"/>
      <c r="AN245" s="267"/>
      <c r="AO245" s="267"/>
      <c r="AP245" s="267"/>
      <c r="AQ245" s="267"/>
      <c r="AR245" s="267"/>
      <c r="AS245" s="267"/>
      <c r="AT245" s="267"/>
      <c r="AU245" s="267"/>
      <c r="AV245" s="267"/>
      <c r="AW245" s="267"/>
      <c r="AX245" s="267"/>
      <c r="AY245" s="267"/>
      <c r="AZ245" s="267"/>
      <c r="BA245" s="267"/>
      <c r="BB245" s="267"/>
      <c r="BC245" s="267"/>
    </row>
    <row r="246" spans="2:55" s="70" customFormat="1" x14ac:dyDescent="0.3">
      <c r="B246" s="131" t="s">
        <v>1015</v>
      </c>
      <c r="C246" s="132"/>
      <c r="D246" s="132"/>
      <c r="E246" s="32"/>
      <c r="F246" s="134"/>
      <c r="G246" s="133"/>
      <c r="H246" s="32"/>
      <c r="I246" s="267"/>
      <c r="J246" s="267"/>
      <c r="K246" s="267"/>
      <c r="L246" s="267"/>
      <c r="M246" s="267"/>
      <c r="N246" s="267"/>
      <c r="O246" s="267"/>
      <c r="P246" s="267"/>
      <c r="Q246" s="267"/>
      <c r="R246" s="267"/>
      <c r="S246" s="267"/>
      <c r="T246" s="267"/>
      <c r="U246" s="267"/>
      <c r="V246" s="267"/>
      <c r="W246" s="267"/>
      <c r="X246" s="267"/>
      <c r="Y246" s="267"/>
      <c r="Z246" s="267"/>
      <c r="AA246" s="267"/>
      <c r="AB246" s="267"/>
      <c r="AC246" s="267"/>
      <c r="AD246" s="267"/>
      <c r="AE246" s="267"/>
      <c r="AF246" s="267"/>
      <c r="AG246" s="267"/>
      <c r="AH246" s="267"/>
      <c r="AI246" s="267"/>
      <c r="AJ246" s="267"/>
      <c r="AK246" s="267"/>
      <c r="AL246" s="267"/>
      <c r="AM246" s="267"/>
      <c r="AN246" s="267"/>
      <c r="AO246" s="267"/>
      <c r="AP246" s="267"/>
      <c r="AQ246" s="267"/>
      <c r="AR246" s="267"/>
      <c r="AS246" s="267"/>
      <c r="AT246" s="267"/>
      <c r="AU246" s="267"/>
      <c r="AV246" s="267"/>
      <c r="AW246" s="267"/>
      <c r="AX246" s="267"/>
      <c r="AY246" s="267"/>
      <c r="AZ246" s="267"/>
      <c r="BA246" s="267"/>
      <c r="BB246" s="267"/>
      <c r="BC246" s="267"/>
    </row>
    <row r="247" spans="2:55" s="70" customFormat="1" x14ac:dyDescent="0.3">
      <c r="B247" s="131" t="s">
        <v>1016</v>
      </c>
      <c r="C247" s="132"/>
      <c r="D247" s="132"/>
      <c r="E247" s="32"/>
      <c r="F247" s="45">
        <f>+F826+F827</f>
        <v>19773924</v>
      </c>
      <c r="G247" s="45">
        <f>+G826+G827</f>
        <v>6960523</v>
      </c>
      <c r="H247" s="33"/>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67"/>
      <c r="AO247" s="267"/>
      <c r="AP247" s="267"/>
      <c r="AQ247" s="267"/>
      <c r="AR247" s="267"/>
      <c r="AS247" s="267"/>
      <c r="AT247" s="267"/>
      <c r="AU247" s="267"/>
      <c r="AV247" s="267"/>
      <c r="AW247" s="267"/>
      <c r="AX247" s="267"/>
      <c r="AY247" s="267"/>
      <c r="AZ247" s="267"/>
      <c r="BA247" s="267"/>
      <c r="BB247" s="267"/>
      <c r="BC247" s="267"/>
    </row>
    <row r="248" spans="2:55" s="70" customFormat="1" x14ac:dyDescent="0.3">
      <c r="B248" s="131" t="s">
        <v>1017</v>
      </c>
      <c r="C248" s="132"/>
      <c r="D248" s="132"/>
      <c r="E248" s="32"/>
      <c r="F248" s="134">
        <f>+GETPIVOTDATA("Sum of Dr. Final HYR",Pivot!$A$3,"Note",15,"BS Main Head","Trade Receivables")-GETPIVOTDATA("Sum of Cr. Final HYR",Pivot!$A$3,"Note",15,"BS Main Head","Trade Receivables")-F247</f>
        <v>135986125.43000001</v>
      </c>
      <c r="G248" s="133">
        <f>GETPIVOTDATA("Sum of Dr. Final 2019-20",Pivot!$A$3,"Note",15,"BS Main Head","Trade Receivables")-GETPIVOTDATA("Sum of Cr. Final 2019-20",Pivot!$A$3,"Note",15,"BS Main Head","Trade Receivables")-G247</f>
        <v>87893865</v>
      </c>
      <c r="H248" s="289"/>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E248" s="267"/>
      <c r="AF248" s="267"/>
      <c r="AG248" s="267"/>
      <c r="AH248" s="267"/>
      <c r="AI248" s="267"/>
      <c r="AJ248" s="267"/>
      <c r="AK248" s="267"/>
      <c r="AL248" s="267"/>
      <c r="AM248" s="267"/>
      <c r="AN248" s="267"/>
      <c r="AO248" s="267"/>
      <c r="AP248" s="267"/>
      <c r="AQ248" s="267"/>
      <c r="AR248" s="267"/>
      <c r="AS248" s="267"/>
      <c r="AT248" s="267"/>
      <c r="AU248" s="267"/>
      <c r="AV248" s="267"/>
      <c r="AW248" s="267"/>
      <c r="AX248" s="267"/>
      <c r="AY248" s="267"/>
      <c r="AZ248" s="267"/>
      <c r="BA248" s="267"/>
      <c r="BB248" s="267"/>
      <c r="BC248" s="267"/>
    </row>
    <row r="249" spans="2:55" s="70" customFormat="1" x14ac:dyDescent="0.3">
      <c r="B249" s="131"/>
      <c r="C249" s="132"/>
      <c r="D249" s="132"/>
      <c r="E249" s="32"/>
      <c r="F249" s="49">
        <f>+SUM(F247:F248)</f>
        <v>155760049.43000001</v>
      </c>
      <c r="G249" s="49">
        <f>+SUM(G247:G248)</f>
        <v>94854388</v>
      </c>
      <c r="H249" s="172"/>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267"/>
      <c r="AM249" s="267"/>
      <c r="AN249" s="267"/>
      <c r="AO249" s="267"/>
      <c r="AP249" s="267"/>
      <c r="AQ249" s="267"/>
      <c r="AR249" s="267"/>
      <c r="AS249" s="267"/>
      <c r="AT249" s="267"/>
      <c r="AU249" s="267"/>
      <c r="AV249" s="267"/>
      <c r="AW249" s="267"/>
      <c r="AX249" s="267"/>
      <c r="AY249" s="267"/>
      <c r="AZ249" s="267"/>
      <c r="BA249" s="267"/>
      <c r="BB249" s="267"/>
      <c r="BC249" s="267"/>
    </row>
    <row r="250" spans="2:55" s="70" customFormat="1" x14ac:dyDescent="0.3">
      <c r="B250" s="131"/>
      <c r="C250" s="132"/>
      <c r="D250" s="132"/>
      <c r="E250" s="32"/>
      <c r="F250" s="1538"/>
      <c r="G250" s="47"/>
      <c r="H250" s="172"/>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7"/>
      <c r="AL250" s="267"/>
      <c r="AM250" s="267"/>
      <c r="AN250" s="267"/>
      <c r="AO250" s="267"/>
      <c r="AP250" s="267"/>
      <c r="AQ250" s="267"/>
      <c r="AR250" s="267"/>
      <c r="AS250" s="267"/>
      <c r="AT250" s="267"/>
      <c r="AU250" s="267"/>
      <c r="AV250" s="267"/>
      <c r="AW250" s="267"/>
      <c r="AX250" s="267"/>
      <c r="AY250" s="267"/>
      <c r="AZ250" s="267"/>
      <c r="BA250" s="267"/>
      <c r="BB250" s="267"/>
      <c r="BC250" s="267"/>
    </row>
    <row r="251" spans="2:55" s="70" customFormat="1" x14ac:dyDescent="0.3">
      <c r="B251" s="137" t="s">
        <v>1018</v>
      </c>
      <c r="C251" s="132"/>
      <c r="D251" s="132"/>
      <c r="E251" s="32"/>
      <c r="F251" s="134">
        <v>0</v>
      </c>
      <c r="G251" s="45">
        <v>0</v>
      </c>
      <c r="H251" s="33"/>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267"/>
      <c r="AY251" s="267"/>
      <c r="AZ251" s="267"/>
      <c r="BA251" s="267"/>
      <c r="BB251" s="267"/>
      <c r="BC251" s="267"/>
    </row>
    <row r="252" spans="2:55" s="70" customFormat="1" x14ac:dyDescent="0.3">
      <c r="B252" s="1765" t="s">
        <v>1019</v>
      </c>
      <c r="C252" s="1766"/>
      <c r="D252" s="1766"/>
      <c r="E252" s="1766"/>
      <c r="F252" s="325"/>
      <c r="G252" s="133"/>
      <c r="H252" s="32"/>
      <c r="I252" s="267"/>
      <c r="J252" s="267"/>
      <c r="K252" s="267"/>
      <c r="L252" s="267"/>
      <c r="M252" s="267"/>
      <c r="N252" s="267"/>
      <c r="O252" s="267"/>
      <c r="P252" s="267"/>
      <c r="Q252" s="267"/>
      <c r="R252" s="267"/>
      <c r="S252" s="267"/>
      <c r="T252" s="267"/>
      <c r="U252" s="267"/>
      <c r="V252" s="267"/>
      <c r="W252" s="267"/>
      <c r="X252" s="267"/>
      <c r="Y252" s="267"/>
      <c r="Z252" s="267"/>
      <c r="AA252" s="267"/>
      <c r="AB252" s="267"/>
      <c r="AC252" s="267"/>
      <c r="AD252" s="267"/>
      <c r="AE252" s="267"/>
      <c r="AF252" s="267"/>
      <c r="AG252" s="267"/>
      <c r="AH252" s="267"/>
      <c r="AI252" s="267"/>
      <c r="AJ252" s="267"/>
      <c r="AK252" s="267"/>
      <c r="AL252" s="267"/>
      <c r="AM252" s="267"/>
      <c r="AN252" s="267"/>
      <c r="AO252" s="267"/>
      <c r="AP252" s="267"/>
      <c r="AQ252" s="267"/>
      <c r="AR252" s="267"/>
      <c r="AS252" s="267"/>
      <c r="AT252" s="267"/>
      <c r="AU252" s="267"/>
      <c r="AV252" s="267"/>
      <c r="AW252" s="267"/>
      <c r="AX252" s="267"/>
      <c r="AY252" s="267"/>
      <c r="AZ252" s="267"/>
      <c r="BA252" s="267"/>
      <c r="BB252" s="267"/>
      <c r="BC252" s="267"/>
    </row>
    <row r="253" spans="2:55" s="70" customFormat="1" ht="52.9" customHeight="1" x14ac:dyDescent="0.3">
      <c r="B253" s="1761" t="s">
        <v>1020</v>
      </c>
      <c r="C253" s="1762"/>
      <c r="D253" s="1762"/>
      <c r="E253" s="1762"/>
      <c r="F253" s="175"/>
      <c r="G253" s="133"/>
      <c r="H253" s="32"/>
      <c r="I253" s="267"/>
      <c r="J253" s="267"/>
      <c r="K253" s="267"/>
      <c r="L253" s="267"/>
      <c r="M253" s="267"/>
      <c r="N253" s="267"/>
      <c r="O253" s="267"/>
      <c r="P253" s="267"/>
      <c r="Q253" s="267"/>
      <c r="R253" s="267"/>
      <c r="S253" s="267"/>
      <c r="T253" s="267"/>
      <c r="U253" s="267"/>
      <c r="V253" s="267"/>
      <c r="W253" s="267"/>
      <c r="X253" s="267"/>
      <c r="Y253" s="267"/>
      <c r="Z253" s="267"/>
      <c r="AA253" s="267"/>
      <c r="AB253" s="267"/>
      <c r="AC253" s="267"/>
      <c r="AD253" s="267"/>
      <c r="AE253" s="267"/>
      <c r="AF253" s="267"/>
      <c r="AG253" s="267"/>
      <c r="AH253" s="267"/>
      <c r="AI253" s="267"/>
      <c r="AJ253" s="267"/>
      <c r="AK253" s="267"/>
      <c r="AL253" s="267"/>
      <c r="AM253" s="267"/>
      <c r="AN253" s="267"/>
      <c r="AO253" s="267"/>
      <c r="AP253" s="267"/>
      <c r="AQ253" s="267"/>
      <c r="AR253" s="267"/>
      <c r="AS253" s="267"/>
      <c r="AT253" s="267"/>
      <c r="AU253" s="267"/>
      <c r="AV253" s="267"/>
      <c r="AW253" s="267"/>
      <c r="AX253" s="267"/>
      <c r="AY253" s="267"/>
      <c r="AZ253" s="267"/>
      <c r="BA253" s="267"/>
      <c r="BB253" s="267"/>
      <c r="BC253" s="267"/>
    </row>
    <row r="254" spans="2:55" s="70" customFormat="1" ht="64.900000000000006" customHeight="1" x14ac:dyDescent="0.3">
      <c r="B254" s="1761"/>
      <c r="C254" s="1762"/>
      <c r="D254" s="1762"/>
      <c r="E254" s="1762"/>
      <c r="F254" s="175"/>
      <c r="G254" s="133"/>
      <c r="H254" s="32"/>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267"/>
      <c r="AM254" s="267"/>
      <c r="AN254" s="267"/>
      <c r="AO254" s="267"/>
      <c r="AP254" s="267"/>
      <c r="AQ254" s="267"/>
      <c r="AR254" s="267"/>
      <c r="AS254" s="267"/>
      <c r="AT254" s="267"/>
      <c r="AU254" s="267"/>
      <c r="AV254" s="267"/>
      <c r="AW254" s="267"/>
      <c r="AX254" s="267"/>
      <c r="AY254" s="267"/>
      <c r="AZ254" s="267"/>
      <c r="BA254" s="267"/>
      <c r="BB254" s="267"/>
      <c r="BC254" s="267"/>
    </row>
    <row r="255" spans="2:55" s="70" customFormat="1" ht="51" customHeight="1" x14ac:dyDescent="0.3">
      <c r="B255" s="1761"/>
      <c r="C255" s="1762"/>
      <c r="D255" s="1762"/>
      <c r="E255" s="1762"/>
      <c r="F255" s="175"/>
      <c r="G255" s="133"/>
      <c r="H255" s="32"/>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c r="AE255" s="267"/>
      <c r="AF255" s="267"/>
      <c r="AG255" s="267"/>
      <c r="AH255" s="267"/>
      <c r="AI255" s="267"/>
      <c r="AJ255" s="267"/>
      <c r="AK255" s="267"/>
      <c r="AL255" s="267"/>
      <c r="AM255" s="267"/>
      <c r="AN255" s="267"/>
      <c r="AO255" s="267"/>
      <c r="AP255" s="267"/>
      <c r="AQ255" s="267"/>
      <c r="AR255" s="267"/>
      <c r="AS255" s="267"/>
      <c r="AT255" s="267"/>
      <c r="AU255" s="267"/>
      <c r="AV255" s="267"/>
      <c r="AW255" s="267"/>
      <c r="AX255" s="267"/>
      <c r="AY255" s="267"/>
      <c r="AZ255" s="267"/>
      <c r="BA255" s="267"/>
      <c r="BB255" s="267"/>
      <c r="BC255" s="267"/>
    </row>
    <row r="256" spans="2:55" s="70" customFormat="1" x14ac:dyDescent="0.3">
      <c r="B256" s="131"/>
      <c r="C256" s="132"/>
      <c r="D256" s="132"/>
      <c r="E256" s="32" t="s">
        <v>906</v>
      </c>
      <c r="F256" s="1336">
        <f>+F249+F251</f>
        <v>155760049.43000001</v>
      </c>
      <c r="G256" s="1336">
        <f>+G249+G251</f>
        <v>94854388</v>
      </c>
      <c r="H256" s="172"/>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267"/>
      <c r="AG256" s="267"/>
      <c r="AH256" s="267"/>
      <c r="AI256" s="267"/>
      <c r="AJ256" s="267"/>
      <c r="AK256" s="267"/>
      <c r="AL256" s="267"/>
      <c r="AM256" s="267"/>
      <c r="AN256" s="267"/>
      <c r="AO256" s="267"/>
      <c r="AP256" s="267"/>
      <c r="AQ256" s="267"/>
      <c r="AR256" s="267"/>
      <c r="AS256" s="267"/>
      <c r="AT256" s="267"/>
      <c r="AU256" s="267"/>
      <c r="AV256" s="267"/>
      <c r="AW256" s="267"/>
      <c r="AX256" s="267"/>
      <c r="AY256" s="267"/>
      <c r="AZ256" s="267"/>
      <c r="BA256" s="267"/>
      <c r="BB256" s="267"/>
      <c r="BC256" s="267"/>
    </row>
    <row r="257" spans="2:55" s="70" customFormat="1" x14ac:dyDescent="0.3">
      <c r="B257" s="124" t="s">
        <v>1021</v>
      </c>
      <c r="C257" s="125"/>
      <c r="D257" s="125"/>
      <c r="E257" s="32"/>
      <c r="F257" s="134"/>
      <c r="G257" s="133"/>
      <c r="H257" s="32"/>
      <c r="I257" s="267"/>
      <c r="J257" s="267"/>
      <c r="K257" s="267"/>
      <c r="L257" s="267"/>
      <c r="M257" s="267"/>
      <c r="N257" s="267"/>
      <c r="O257" s="267"/>
      <c r="P257" s="267"/>
      <c r="Q257" s="267"/>
      <c r="R257" s="267"/>
      <c r="S257" s="267"/>
      <c r="T257" s="267"/>
      <c r="U257" s="267"/>
      <c r="V257" s="267"/>
      <c r="W257" s="267"/>
      <c r="X257" s="267"/>
      <c r="Y257" s="267"/>
      <c r="Z257" s="267"/>
      <c r="AA257" s="267"/>
      <c r="AB257" s="267"/>
      <c r="AC257" s="267"/>
      <c r="AD257" s="267"/>
      <c r="AE257" s="267"/>
      <c r="AF257" s="267"/>
      <c r="AG257" s="267"/>
      <c r="AH257" s="267"/>
      <c r="AI257" s="267"/>
      <c r="AJ257" s="267"/>
      <c r="AK257" s="267"/>
      <c r="AL257" s="267"/>
      <c r="AM257" s="267"/>
      <c r="AN257" s="267"/>
      <c r="AO257" s="267"/>
      <c r="AP257" s="267"/>
      <c r="AQ257" s="267"/>
      <c r="AR257" s="267"/>
      <c r="AS257" s="267"/>
      <c r="AT257" s="267"/>
      <c r="AU257" s="267"/>
      <c r="AV257" s="267"/>
      <c r="AW257" s="267"/>
      <c r="AX257" s="267"/>
      <c r="AY257" s="267"/>
      <c r="AZ257" s="267"/>
      <c r="BA257" s="267"/>
      <c r="BB257" s="267"/>
      <c r="BC257" s="267"/>
    </row>
    <row r="258" spans="2:55" s="70" customFormat="1" x14ac:dyDescent="0.3">
      <c r="B258" s="128" t="s">
        <v>1022</v>
      </c>
      <c r="C258" s="129"/>
      <c r="D258" s="129"/>
      <c r="E258" s="32"/>
      <c r="F258" s="134"/>
      <c r="G258" s="133"/>
      <c r="H258" s="32"/>
      <c r="I258" s="267"/>
      <c r="J258" s="267"/>
      <c r="K258" s="267"/>
      <c r="L258" s="267"/>
      <c r="M258" s="267"/>
      <c r="N258" s="267"/>
      <c r="O258" s="267"/>
      <c r="P258" s="267"/>
      <c r="Q258" s="267"/>
      <c r="R258" s="267"/>
      <c r="S258" s="267"/>
      <c r="T258" s="267"/>
      <c r="U258" s="267"/>
      <c r="V258" s="267"/>
      <c r="W258" s="267"/>
      <c r="X258" s="267"/>
      <c r="Y258" s="267"/>
      <c r="Z258" s="267"/>
      <c r="AA258" s="267"/>
      <c r="AB258" s="267"/>
      <c r="AC258" s="267"/>
      <c r="AD258" s="267"/>
      <c r="AE258" s="267"/>
      <c r="AF258" s="267"/>
      <c r="AG258" s="267"/>
      <c r="AH258" s="267"/>
      <c r="AI258" s="267"/>
      <c r="AJ258" s="267"/>
      <c r="AK258" s="267"/>
      <c r="AL258" s="267"/>
      <c r="AM258" s="267"/>
      <c r="AN258" s="267"/>
      <c r="AO258" s="267"/>
      <c r="AP258" s="267"/>
      <c r="AQ258" s="267"/>
      <c r="AR258" s="267"/>
      <c r="AS258" s="267"/>
      <c r="AT258" s="267"/>
      <c r="AU258" s="267"/>
      <c r="AV258" s="267"/>
      <c r="AW258" s="267"/>
      <c r="AX258" s="267"/>
      <c r="AY258" s="267"/>
      <c r="AZ258" s="267"/>
      <c r="BA258" s="267"/>
      <c r="BB258" s="267"/>
      <c r="BC258" s="267"/>
    </row>
    <row r="259" spans="2:55" s="70" customFormat="1" x14ac:dyDescent="0.3">
      <c r="B259" s="131" t="s">
        <v>1023</v>
      </c>
      <c r="C259" s="132"/>
      <c r="D259" s="132"/>
      <c r="E259" s="32"/>
      <c r="F259" s="134">
        <f>+GETPIVOTDATA("Sum of Dr. Final HYR",Pivot!$A$3,"Note",16,"BS Main Head","Cash And Bank Balances","BS Sub Head","Cash On Hand")</f>
        <v>255504</v>
      </c>
      <c r="G259" s="133">
        <f>+GETPIVOTDATA("Sum of Dr. Final 2019-20",Pivot!$A$3,"Note",16,"BS Main Head","Cash And Bank Balances","BS Sub Head","Cash On Hand")</f>
        <v>234166</v>
      </c>
      <c r="H259" s="289"/>
      <c r="I259" s="267"/>
      <c r="J259" s="267"/>
      <c r="K259" s="267"/>
      <c r="L259" s="267"/>
      <c r="M259" s="267"/>
      <c r="N259" s="267"/>
      <c r="O259" s="267"/>
      <c r="P259" s="267"/>
      <c r="Q259" s="267"/>
      <c r="R259" s="267"/>
      <c r="S259" s="267"/>
      <c r="T259" s="267"/>
      <c r="U259" s="267"/>
      <c r="V259" s="267"/>
      <c r="W259" s="267"/>
      <c r="X259" s="267"/>
      <c r="Y259" s="267"/>
      <c r="Z259" s="267"/>
      <c r="AA259" s="267"/>
      <c r="AB259" s="267"/>
      <c r="AC259" s="267"/>
      <c r="AD259" s="267"/>
      <c r="AE259" s="267"/>
      <c r="AF259" s="267"/>
      <c r="AG259" s="267"/>
      <c r="AH259" s="267"/>
      <c r="AI259" s="267"/>
      <c r="AJ259" s="267"/>
      <c r="AK259" s="267"/>
      <c r="AL259" s="267"/>
      <c r="AM259" s="267"/>
      <c r="AN259" s="267"/>
      <c r="AO259" s="267"/>
      <c r="AP259" s="267"/>
      <c r="AQ259" s="267"/>
      <c r="AR259" s="267"/>
      <c r="AS259" s="267"/>
      <c r="AT259" s="267"/>
      <c r="AU259" s="267"/>
      <c r="AV259" s="267"/>
      <c r="AW259" s="267"/>
      <c r="AX259" s="267"/>
      <c r="AY259" s="267"/>
      <c r="AZ259" s="267"/>
      <c r="BA259" s="267"/>
      <c r="BB259" s="267"/>
      <c r="BC259" s="267"/>
    </row>
    <row r="260" spans="2:55" s="70" customFormat="1" x14ac:dyDescent="0.3">
      <c r="B260" s="131"/>
      <c r="C260" s="132"/>
      <c r="D260" s="132"/>
      <c r="E260" s="32"/>
      <c r="F260" s="134"/>
      <c r="G260" s="133"/>
      <c r="H260" s="289"/>
      <c r="I260" s="267"/>
      <c r="J260" s="267"/>
      <c r="K260" s="267"/>
      <c r="L260" s="267"/>
      <c r="M260" s="267"/>
      <c r="N260" s="267"/>
      <c r="O260" s="267"/>
      <c r="P260" s="267"/>
      <c r="Q260" s="267"/>
      <c r="R260" s="267"/>
      <c r="S260" s="267"/>
      <c r="T260" s="267"/>
      <c r="U260" s="267"/>
      <c r="V260" s="267"/>
      <c r="W260" s="267"/>
      <c r="X260" s="267"/>
      <c r="Y260" s="267"/>
      <c r="Z260" s="267"/>
      <c r="AA260" s="267"/>
      <c r="AB260" s="267"/>
      <c r="AC260" s="267"/>
      <c r="AD260" s="267"/>
      <c r="AE260" s="267"/>
      <c r="AF260" s="267"/>
      <c r="AG260" s="267"/>
      <c r="AH260" s="267"/>
      <c r="AI260" s="267"/>
      <c r="AJ260" s="267"/>
      <c r="AK260" s="267"/>
      <c r="AL260" s="267"/>
      <c r="AM260" s="267"/>
      <c r="AN260" s="267"/>
      <c r="AO260" s="267"/>
      <c r="AP260" s="267"/>
      <c r="AQ260" s="267"/>
      <c r="AR260" s="267"/>
      <c r="AS260" s="267"/>
      <c r="AT260" s="267"/>
      <c r="AU260" s="267"/>
      <c r="AV260" s="267"/>
      <c r="AW260" s="267"/>
      <c r="AX260" s="267"/>
      <c r="AY260" s="267"/>
      <c r="AZ260" s="267"/>
      <c r="BA260" s="267"/>
      <c r="BB260" s="267"/>
      <c r="BC260" s="267"/>
    </row>
    <row r="261" spans="2:55" s="70" customFormat="1" x14ac:dyDescent="0.3">
      <c r="B261" s="137" t="s">
        <v>1024</v>
      </c>
      <c r="C261" s="132"/>
      <c r="D261" s="132"/>
      <c r="E261" s="32"/>
      <c r="F261" s="134"/>
      <c r="G261" s="133"/>
      <c r="H261" s="32"/>
      <c r="I261" s="267"/>
      <c r="J261" s="267"/>
      <c r="K261" s="267"/>
      <c r="L261" s="267"/>
      <c r="M261" s="267"/>
      <c r="N261" s="267"/>
      <c r="O261" s="267"/>
      <c r="P261" s="267"/>
      <c r="Q261" s="267"/>
      <c r="R261" s="267"/>
      <c r="S261" s="267"/>
      <c r="T261" s="267"/>
      <c r="U261" s="267"/>
      <c r="V261" s="267"/>
      <c r="W261" s="267"/>
      <c r="X261" s="267"/>
      <c r="Y261" s="267"/>
      <c r="Z261" s="267"/>
      <c r="AA261" s="267"/>
      <c r="AB261" s="267"/>
      <c r="AC261" s="267"/>
      <c r="AD261" s="267"/>
      <c r="AE261" s="267"/>
      <c r="AF261" s="267"/>
      <c r="AG261" s="267"/>
      <c r="AH261" s="267"/>
      <c r="AI261" s="267"/>
      <c r="AJ261" s="267"/>
      <c r="AK261" s="267"/>
      <c r="AL261" s="267"/>
      <c r="AM261" s="267"/>
      <c r="AN261" s="267"/>
      <c r="AO261" s="267"/>
      <c r="AP261" s="267"/>
      <c r="AQ261" s="267"/>
      <c r="AR261" s="267"/>
      <c r="AS261" s="267"/>
      <c r="AT261" s="267"/>
      <c r="AU261" s="267"/>
      <c r="AV261" s="267"/>
      <c r="AW261" s="267"/>
      <c r="AX261" s="267"/>
      <c r="AY261" s="267"/>
      <c r="AZ261" s="267"/>
      <c r="BA261" s="267"/>
      <c r="BB261" s="267"/>
      <c r="BC261" s="267"/>
    </row>
    <row r="262" spans="2:55" s="70" customFormat="1" x14ac:dyDescent="0.3">
      <c r="B262" s="131" t="s">
        <v>1025</v>
      </c>
      <c r="C262" s="132"/>
      <c r="D262" s="132"/>
      <c r="E262" s="32"/>
      <c r="F262" s="134">
        <f>+GETPIVOTDATA("Sum of Dr. Final HYR",Pivot!$A$3,"Note",16,"BS Main Head","Cash And Bank Balances","BS Sub Head","Balance With Bank - Current A/c")</f>
        <v>78364.399999999994</v>
      </c>
      <c r="G262" s="140">
        <f>+GETPIVOTDATA("Sum of Dr. Final 2019-20",Pivot!$A$3,"Note",16,"BS Main Head","Cash And Bank Balances","BS Sub Head","Balance With Bank - Current A/c")</f>
        <v>49097</v>
      </c>
      <c r="H262" s="289"/>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67"/>
      <c r="AI262" s="267"/>
      <c r="AJ262" s="267"/>
      <c r="AK262" s="267"/>
      <c r="AL262" s="267"/>
      <c r="AM262" s="267"/>
      <c r="AN262" s="267"/>
      <c r="AO262" s="267"/>
      <c r="AP262" s="267"/>
      <c r="AQ262" s="267"/>
      <c r="AR262" s="267"/>
      <c r="AS262" s="267"/>
      <c r="AT262" s="267"/>
      <c r="AU262" s="267"/>
      <c r="AV262" s="267"/>
      <c r="AW262" s="267"/>
      <c r="AX262" s="267"/>
      <c r="AY262" s="267"/>
      <c r="AZ262" s="267"/>
      <c r="BA262" s="267"/>
      <c r="BB262" s="267"/>
      <c r="BC262" s="267"/>
    </row>
    <row r="263" spans="2:55" s="70" customFormat="1" ht="19.5" thickBot="1" x14ac:dyDescent="0.35">
      <c r="B263" s="128"/>
      <c r="C263" s="129"/>
      <c r="D263" s="129"/>
      <c r="E263" s="32"/>
      <c r="F263" s="127">
        <f>+SUM(F259:F262)</f>
        <v>333868.40000000002</v>
      </c>
      <c r="G263" s="127">
        <f>+SUM(G259:G262)</f>
        <v>283263</v>
      </c>
      <c r="H263" s="172"/>
      <c r="I263" s="267"/>
      <c r="J263" s="267"/>
      <c r="K263" s="267"/>
      <c r="L263" s="267"/>
      <c r="M263" s="267"/>
      <c r="N263" s="267"/>
      <c r="O263" s="267"/>
      <c r="P263" s="267"/>
      <c r="Q263" s="267"/>
      <c r="R263" s="267"/>
      <c r="S263" s="267"/>
      <c r="T263" s="267"/>
      <c r="U263" s="267"/>
      <c r="V263" s="267"/>
      <c r="W263" s="267"/>
      <c r="X263" s="267"/>
      <c r="Y263" s="267"/>
      <c r="Z263" s="267"/>
      <c r="AA263" s="267"/>
      <c r="AB263" s="267"/>
      <c r="AC263" s="267"/>
      <c r="AD263" s="267"/>
      <c r="AE263" s="267"/>
      <c r="AF263" s="267"/>
      <c r="AG263" s="267"/>
      <c r="AH263" s="267"/>
      <c r="AI263" s="267"/>
      <c r="AJ263" s="267"/>
      <c r="AK263" s="267"/>
      <c r="AL263" s="267"/>
      <c r="AM263" s="267"/>
      <c r="AN263" s="267"/>
      <c r="AO263" s="267"/>
      <c r="AP263" s="267"/>
      <c r="AQ263" s="267"/>
      <c r="AR263" s="267"/>
      <c r="AS263" s="267"/>
      <c r="AT263" s="267"/>
      <c r="AU263" s="267"/>
      <c r="AV263" s="267"/>
      <c r="AW263" s="267"/>
      <c r="AX263" s="267"/>
      <c r="AY263" s="267"/>
      <c r="AZ263" s="267"/>
      <c r="BA263" s="267"/>
      <c r="BB263" s="267"/>
      <c r="BC263" s="267"/>
    </row>
    <row r="264" spans="2:55" ht="19.5" thickTop="1" x14ac:dyDescent="0.3">
      <c r="B264" s="74"/>
      <c r="C264" s="30"/>
      <c r="D264" s="30"/>
      <c r="E264" s="30"/>
      <c r="F264" s="133"/>
      <c r="G264" s="151"/>
      <c r="H264" s="74"/>
    </row>
    <row r="265" spans="2:55" x14ac:dyDescent="0.3">
      <c r="B265" s="124" t="s">
        <v>1026</v>
      </c>
      <c r="C265" s="125"/>
      <c r="D265" s="125"/>
      <c r="F265" s="134"/>
      <c r="G265" s="133"/>
    </row>
    <row r="266" spans="2:55" s="70" customFormat="1" x14ac:dyDescent="0.3">
      <c r="B266" s="131" t="s">
        <v>1027</v>
      </c>
      <c r="C266" s="132"/>
      <c r="D266" s="132"/>
      <c r="E266" s="32"/>
      <c r="F266" s="134">
        <f>+GETPIVOTDATA("Sum of Dr. Final HYR",Pivot!$A$3,"Note",16,"BS Main Head","Cash And Bank Balances","BS Sub Head","Balance With Bank - Other Bank Balance")</f>
        <v>0</v>
      </c>
      <c r="G266" s="133">
        <f>GETPIVOTDATA("Sum of Dr. Final 2019-20",Pivot!$A$3,"Note",16,"BS Main Head","Cash And Bank Balances","BS Sub Head","Balance With Bank - Other Bank Balance")</f>
        <v>83453.5</v>
      </c>
      <c r="H266" s="138"/>
      <c r="I266" s="267"/>
      <c r="J266" s="267"/>
      <c r="K266" s="267"/>
      <c r="L266" s="267"/>
      <c r="M266" s="267"/>
      <c r="N266" s="267"/>
      <c r="O266" s="267"/>
      <c r="P266" s="267"/>
      <c r="Q266" s="267"/>
      <c r="R266" s="267"/>
      <c r="S266" s="267"/>
      <c r="T266" s="267"/>
      <c r="U266" s="267"/>
      <c r="V266" s="267"/>
      <c r="W266" s="267"/>
      <c r="X266" s="267"/>
      <c r="Y266" s="267"/>
      <c r="Z266" s="267"/>
      <c r="AA266" s="267"/>
      <c r="AB266" s="267"/>
      <c r="AC266" s="267"/>
      <c r="AD266" s="267"/>
      <c r="AE266" s="267"/>
      <c r="AF266" s="267"/>
      <c r="AG266" s="267"/>
      <c r="AH266" s="267"/>
      <c r="AI266" s="267"/>
      <c r="AJ266" s="267"/>
      <c r="AK266" s="267"/>
      <c r="AL266" s="267"/>
      <c r="AM266" s="267"/>
      <c r="AN266" s="267"/>
      <c r="AO266" s="267"/>
      <c r="AP266" s="267"/>
      <c r="AQ266" s="267"/>
      <c r="AR266" s="267"/>
      <c r="AS266" s="267"/>
      <c r="AT266" s="267"/>
      <c r="AU266" s="267"/>
      <c r="AV266" s="267"/>
      <c r="AW266" s="267"/>
      <c r="AX266" s="267"/>
      <c r="AY266" s="267"/>
      <c r="AZ266" s="267"/>
      <c r="BA266" s="267"/>
      <c r="BB266" s="267"/>
      <c r="BC266" s="267"/>
    </row>
    <row r="267" spans="2:55" s="70" customFormat="1" x14ac:dyDescent="0.3">
      <c r="B267" s="131" t="s">
        <v>1028</v>
      </c>
      <c r="C267" s="132"/>
      <c r="D267" s="132"/>
      <c r="E267" s="32"/>
      <c r="F267" s="134"/>
      <c r="G267" s="133"/>
      <c r="H267" s="32"/>
      <c r="I267" s="267"/>
      <c r="J267" s="267"/>
      <c r="K267" s="267"/>
      <c r="L267" s="267"/>
      <c r="M267" s="267"/>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267"/>
      <c r="AL267" s="267"/>
      <c r="AM267" s="267"/>
      <c r="AN267" s="267"/>
      <c r="AO267" s="267"/>
      <c r="AP267" s="267"/>
      <c r="AQ267" s="267"/>
      <c r="AR267" s="267"/>
      <c r="AS267" s="267"/>
      <c r="AT267" s="267"/>
      <c r="AU267" s="267"/>
      <c r="AV267" s="267"/>
      <c r="AW267" s="267"/>
      <c r="AX267" s="267"/>
      <c r="AY267" s="267"/>
      <c r="AZ267" s="267"/>
      <c r="BA267" s="267"/>
      <c r="BB267" s="267"/>
      <c r="BC267" s="267"/>
    </row>
    <row r="268" spans="2:55" ht="19.5" thickBot="1" x14ac:dyDescent="0.35">
      <c r="B268" s="128"/>
      <c r="C268" s="129"/>
      <c r="D268" s="129"/>
      <c r="F268" s="127">
        <f>+SUM(F266:F267)</f>
        <v>0</v>
      </c>
      <c r="G268" s="127">
        <f>+SUM(G266:G267)</f>
        <v>83453.5</v>
      </c>
      <c r="H268" s="172"/>
    </row>
    <row r="269" spans="2:55" ht="19.5" thickTop="1" x14ac:dyDescent="0.3">
      <c r="B269" s="1788" t="s">
        <v>1029</v>
      </c>
      <c r="C269" s="1789"/>
      <c r="D269" s="1302"/>
      <c r="F269" s="134"/>
      <c r="G269" s="1337"/>
      <c r="H269" s="33"/>
    </row>
    <row r="270" spans="2:55" x14ac:dyDescent="0.3">
      <c r="B270" s="1790" t="s">
        <v>1030</v>
      </c>
      <c r="C270" s="1791"/>
      <c r="D270" s="1791"/>
      <c r="E270" s="1791"/>
      <c r="F270" s="326"/>
      <c r="G270" s="45"/>
      <c r="H270" s="33"/>
    </row>
    <row r="271" spans="2:55" x14ac:dyDescent="0.3">
      <c r="B271" s="73" t="s">
        <v>1031</v>
      </c>
      <c r="C271" s="138"/>
      <c r="D271" s="138"/>
      <c r="F271" s="134">
        <f>+GETPIVOTDATA("Sum of Dr. Final HYR",Pivot!$A$3,"Note",12,"BS Main Head","Long Term Loans &amp; Advances","BS Sub Head","Loans and Advances to Employees")</f>
        <v>207000</v>
      </c>
      <c r="G271" s="45">
        <f>GETPIVOTDATA("Sum of Dr. Final 2019-20",Pivot!$A$3,"Note",12,"BS Main Head","Long Term Loans &amp; Advances","BS Sub Head","Loans and Advances to Employees")</f>
        <v>348000</v>
      </c>
      <c r="H271" s="33"/>
    </row>
    <row r="272" spans="2:55" x14ac:dyDescent="0.3">
      <c r="B272" s="131" t="s">
        <v>1032</v>
      </c>
      <c r="C272" s="252"/>
      <c r="D272" s="252"/>
      <c r="F272" s="45">
        <f>+SUM(F273:F274)</f>
        <v>7074000</v>
      </c>
      <c r="G272" s="45">
        <f>+SUM(G273:G274)</f>
        <v>8195299.96</v>
      </c>
      <c r="H272" s="33"/>
    </row>
    <row r="273" spans="1:55" hidden="1" x14ac:dyDescent="0.3">
      <c r="B273" s="73" t="s">
        <v>1033</v>
      </c>
      <c r="C273" s="252"/>
      <c r="D273" s="252"/>
      <c r="F273" s="134">
        <f>+'PSI Bifurcation'!E44</f>
        <v>7074000</v>
      </c>
      <c r="G273" s="133">
        <v>7440550</v>
      </c>
      <c r="H273" s="138"/>
    </row>
    <row r="274" spans="1:55" hidden="1" x14ac:dyDescent="0.3">
      <c r="B274" s="131" t="s">
        <v>550</v>
      </c>
      <c r="C274" s="252"/>
      <c r="D274" s="252"/>
      <c r="F274" s="134">
        <v>0</v>
      </c>
      <c r="G274" s="45">
        <f>GETPIVOTDATA("Sum of Dr. Final 2019-20",Pivot!$A$3,"Note",12,"BS Main Head","Long Term Loans &amp; Advances","BS Sub Head","GST")-GETPIVOTDATA("Sum of Cr. Final 2019-20",Pivot!$A$3,"Note",12,"BS Main Head","Long Term Loans &amp; Advances","BS Sub Head","GST")</f>
        <v>754749.96</v>
      </c>
      <c r="H274" s="309" t="s">
        <v>1435</v>
      </c>
    </row>
    <row r="275" spans="1:55" ht="19.5" thickBot="1" x14ac:dyDescent="0.35">
      <c r="B275" s="137"/>
      <c r="C275" s="136"/>
      <c r="D275" s="136"/>
      <c r="E275" s="139"/>
      <c r="F275" s="127">
        <f>+SUM(F271:F272)</f>
        <v>7281000</v>
      </c>
      <c r="G275" s="127">
        <f>+SUM(G271:G272)</f>
        <v>8543299.9600000009</v>
      </c>
      <c r="H275" s="172"/>
    </row>
    <row r="276" spans="1:55" ht="19.5" thickTop="1" x14ac:dyDescent="0.3">
      <c r="B276" s="124" t="s">
        <v>1034</v>
      </c>
      <c r="C276" s="31"/>
      <c r="D276" s="31"/>
      <c r="F276" s="134"/>
      <c r="G276" s="45"/>
      <c r="H276" s="33"/>
    </row>
    <row r="277" spans="1:55" x14ac:dyDescent="0.3">
      <c r="B277" s="73" t="s">
        <v>1035</v>
      </c>
      <c r="C277" s="138"/>
      <c r="D277" s="138"/>
      <c r="F277" s="134">
        <f>+GETPIVOTDATA("Sum of Dr. Final HYR",Pivot!$A$3,"Note",17,"BS Main Head","Short Term Loans &amp; Advances")-GETPIVOTDATA("Sum of Cr. Final HYR",Pivot!$A$3,"Note",17,"BS Main Head","Short Term Loans &amp; Advances")</f>
        <v>1840673.02</v>
      </c>
      <c r="G277" s="45">
        <f>GETPIVOTDATA("Sum of Dr. Final 2019-20",Pivot!$A$3,"Note",17,"BS Main Head","Short Term Loans &amp; Advances","BS Sub Head","Advance to Suppliers")-GETPIVOTDATA("Sum of Cr. Final 2019-20",Pivot!$A$3,"Note",17,"BS Main Head","Short Term Loans &amp; Advances","BS Sub Head","Advance to Suppliers")</f>
        <v>3923050.7999999993</v>
      </c>
      <c r="H277" s="33"/>
    </row>
    <row r="278" spans="1:55" x14ac:dyDescent="0.3">
      <c r="B278" s="73" t="s">
        <v>655</v>
      </c>
      <c r="C278" s="125"/>
      <c r="D278" s="125"/>
      <c r="F278" s="134">
        <f>+GETPIVOTDATA("Sum of Dr. Final HYR",Pivot!$A$3,"Note",18,"BS Main Head","Other Current Assets","BS Sub Head","Prepaid Expenses")</f>
        <v>636564</v>
      </c>
      <c r="G278" s="45">
        <f>GETPIVOTDATA("Sum of Dr. Final 2019-20",Pivot!$A$3,"Note",18,"BS Main Head","Other Current Assets","BS Sub Head","Prepaid Expenses")-1.445</f>
        <v>713685.55500000005</v>
      </c>
      <c r="H278" s="309"/>
    </row>
    <row r="279" spans="1:55" x14ac:dyDescent="0.3">
      <c r="B279" s="73" t="s">
        <v>1036</v>
      </c>
      <c r="C279" s="125"/>
      <c r="D279" s="125"/>
      <c r="F279" s="134">
        <f>+GETPIVOTDATA("Sum of Dr. Final HYR",Pivot!$A$3,"Note",18,"BS Main Head","Other Current Assets","BS Sub Head","Insurance claim Receivable")</f>
        <v>545158</v>
      </c>
      <c r="G279" s="45">
        <f>GETPIVOTDATA("Sum of Dr. Final 2019-20",Pivot!$A$3,"Note",18,"BS Main Head","Other Current Assets","BS Sub Head","Insurance claim Receivable")</f>
        <v>0</v>
      </c>
      <c r="H279" s="33"/>
    </row>
    <row r="280" spans="1:55" x14ac:dyDescent="0.3">
      <c r="B280" s="74" t="s">
        <v>3326</v>
      </c>
      <c r="C280" s="125"/>
      <c r="D280" s="125"/>
      <c r="F280" s="140">
        <f>+GETPIVOTDATA("Sum of Dr. Final HYR",Pivot!$A$3,"Note",18,"BS Main Head","Other Current Assets","BS Sub Head","Deposits")</f>
        <v>1187100</v>
      </c>
      <c r="G280" s="133">
        <f>+GETPIVOTDATA("Sum of Dr. Final 2019-20",Pivot!$A$3,"Note",18,"BS Main Head","Other Current Assets","BS Sub Head","Deposits")-GETPIVOTDATA("Sum of Dr. Final 2019-20",Pivot!$A$3,"PARTICULARS","Deposit for  COAL to MSMC","Note",18,"BS Main Head","Other Current Assets","BS Sub Head","Deposits")</f>
        <v>470000</v>
      </c>
    </row>
    <row r="281" spans="1:55" ht="19.5" thickBot="1" x14ac:dyDescent="0.35">
      <c r="B281" s="137"/>
      <c r="C281" s="125"/>
      <c r="D281" s="125"/>
      <c r="E281" s="139"/>
      <c r="F281" s="127">
        <f>+SUM(F277:F280)</f>
        <v>4209495.0199999996</v>
      </c>
      <c r="G281" s="127">
        <f>+SUM(G277:G280)</f>
        <v>5106736.3549999995</v>
      </c>
      <c r="H281" s="172"/>
    </row>
    <row r="282" spans="1:55" ht="19.5" thickTop="1" x14ac:dyDescent="0.3">
      <c r="B282" s="124" t="s">
        <v>1037</v>
      </c>
      <c r="C282" s="125"/>
      <c r="D282" s="125"/>
      <c r="E282" s="139"/>
      <c r="F282" s="1203"/>
      <c r="G282" s="167"/>
      <c r="H282" s="139"/>
    </row>
    <row r="283" spans="1:55" x14ac:dyDescent="0.3">
      <c r="B283" s="73" t="s">
        <v>1038</v>
      </c>
      <c r="C283" s="31"/>
      <c r="D283" s="31"/>
      <c r="F283" s="134">
        <f>+GETPIVOTDATA("Sum of Dr. Final HYR",Pivot!$A$3,"PARTICULARS","Income Tax Receivable (Refund)","Note",12,"BS Main Head","Long Term Loans &amp; Advances","BS Sub Head","Advance Income Tax")+GETPIVOTDATA("Sum of Dr. Final HYR",Pivot!$A$3,"PARTICULARS","Provision for I.T, A.Y.2017-18","Note",12,"BS Main Head","Long Term Loans &amp; Advances","BS Sub Head","Advance Income Tax")+GETPIVOTDATA("Sum of Dr. Final HYR",Pivot!$A$3,"PARTICULARS","Provision For I.T. A.Y, 2005-06","Note",12,"BS Main Head","Long Term Loans &amp; Advances","BS Sub Head","Advance Income Tax")+GETPIVOTDATA("Sum of Dr. Final HYR",Pivot!$A$3,"PARTICULARS","Provision for I.T. A.Y, 2013-14","Note",12,"BS Main Head","Long Term Loans &amp; Advances","BS Sub Head","Advance Income Tax")+GETPIVOTDATA("Sum of Dr. Final HYR",Pivot!$A$3,"PARTICULARS","Provision for I.T. A.Y. 2008-09","Note",12,"BS Main Head","Long Term Loans &amp; Advances","BS Sub Head","Advance Income Tax")+GETPIVOTDATA("Sum of Dr. Final HYR",Pivot!$A$3,"PARTICULARS","Income Tax Refunf A.Y. 2020-21","Note",12,"BS Main Head","Long Term Loans &amp; Advances","BS Sub Head","Advance Income Tax")</f>
        <v>673307</v>
      </c>
      <c r="G283" s="140">
        <f>+GETPIVOTDATA("Sum of Dr. Final 2019-20",Pivot!$A$3,"PARTICULARS","Provision for I.T, A.Y.2017-18","Note",12,"BS Main Head","Long Term Loans &amp; Advances","BS Sub Head","Advance Income Tax")+GETPIVOTDATA("Sum of Dr. Final 2019-20",Pivot!$A$3,"PARTICULARS","Provision For I.T. A.Y, 2005-06","Note",12,"BS Main Head","Long Term Loans &amp; Advances","BS Sub Head","Advance Income Tax")+GETPIVOTDATA("Sum of Dr. Final 2019-20",Pivot!$A$3,"PARTICULARS","Provision for I.T. A.Y, 2013-14","Note",12,"BS Main Head","Long Term Loans &amp; Advances","BS Sub Head","Advance Income Tax")+GETPIVOTDATA("Sum of Dr. Final 2019-20",Pivot!$A$3,"PARTICULARS","Provision for I.T. A.Y. 2008-09","Note",12,"BS Main Head","Long Term Loans &amp; Advances","BS Sub Head","Advance Income Tax")+GETPIVOTDATA("Sum of Dr. Final 2019-20",Pivot!$A$3,"PARTICULARS","Income Tax Receivable (Refund)","Note",12,"BS Main Head","Long Term Loans &amp; Advances","BS Sub Head","Advance Income Tax")</f>
        <v>585094</v>
      </c>
      <c r="H283" s="138"/>
    </row>
    <row r="284" spans="1:55" x14ac:dyDescent="0.3">
      <c r="B284" s="1204"/>
      <c r="C284" s="1205"/>
      <c r="D284" s="1205"/>
      <c r="E284" s="103"/>
      <c r="F284" s="49">
        <f>+F283</f>
        <v>673307</v>
      </c>
      <c r="G284" s="49">
        <f>+G283</f>
        <v>585094</v>
      </c>
      <c r="H284" s="172"/>
    </row>
    <row r="285" spans="1:55" s="35" customFormat="1" x14ac:dyDescent="0.3">
      <c r="A285" s="30"/>
      <c r="B285" s="1792" t="s">
        <v>907</v>
      </c>
      <c r="C285" s="1793"/>
      <c r="D285" s="1793"/>
      <c r="E285" s="1793"/>
      <c r="F285" s="1793"/>
      <c r="G285" s="1794"/>
      <c r="H285" s="1306"/>
      <c r="I285" s="266"/>
      <c r="J285" s="266"/>
      <c r="K285" s="266"/>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row>
    <row r="286" spans="1:55" x14ac:dyDescent="0.3">
      <c r="B286" s="1758" t="s">
        <v>1328</v>
      </c>
      <c r="C286" s="1759"/>
      <c r="D286" s="1759"/>
      <c r="E286" s="1759"/>
      <c r="F286" s="1759"/>
      <c r="G286" s="1760"/>
      <c r="H286" s="261"/>
    </row>
    <row r="287" spans="1:55" x14ac:dyDescent="0.3">
      <c r="B287" s="100" t="s">
        <v>451</v>
      </c>
      <c r="C287" s="1328"/>
      <c r="D287" s="1328"/>
      <c r="E287" s="1329"/>
      <c r="F287" s="1324" t="s">
        <v>909</v>
      </c>
      <c r="G287" s="1324" t="s">
        <v>910</v>
      </c>
      <c r="H287" s="273"/>
    </row>
    <row r="288" spans="1:55" x14ac:dyDescent="0.3">
      <c r="B288" s="101"/>
      <c r="C288" s="102"/>
      <c r="D288" s="102"/>
      <c r="E288" s="103"/>
      <c r="F288" s="319" t="str">
        <f>+F5</f>
        <v>March 31, 2021 (₹)</v>
      </c>
      <c r="G288" s="38" t="s">
        <v>911</v>
      </c>
      <c r="H288" s="209"/>
    </row>
    <row r="289" spans="2:8" x14ac:dyDescent="0.3">
      <c r="B289" s="73"/>
      <c r="C289" s="31"/>
      <c r="D289" s="31"/>
      <c r="E289" s="139"/>
      <c r="F289" s="219"/>
      <c r="G289" s="99"/>
      <c r="H289" s="209"/>
    </row>
    <row r="290" spans="2:8" x14ac:dyDescent="0.3">
      <c r="B290" s="124" t="s">
        <v>1039</v>
      </c>
      <c r="C290" s="125"/>
      <c r="D290" s="125"/>
      <c r="E290" s="139"/>
      <c r="F290" s="167"/>
      <c r="G290" s="168"/>
      <c r="H290" s="139"/>
    </row>
    <row r="291" spans="2:8" x14ac:dyDescent="0.3">
      <c r="B291" s="128"/>
      <c r="C291" s="129"/>
      <c r="D291" s="129"/>
      <c r="F291" s="133"/>
      <c r="G291" s="151"/>
    </row>
    <row r="292" spans="2:8" x14ac:dyDescent="0.3">
      <c r="B292" s="142" t="s">
        <v>1040</v>
      </c>
      <c r="C292" s="143"/>
      <c r="D292" s="143"/>
      <c r="F292" s="133"/>
      <c r="G292" s="151"/>
    </row>
    <row r="293" spans="2:8" x14ac:dyDescent="0.3">
      <c r="B293" s="144" t="s">
        <v>1041</v>
      </c>
      <c r="C293" s="145"/>
      <c r="D293" s="145"/>
      <c r="E293" s="146"/>
      <c r="F293" s="147">
        <v>35000000</v>
      </c>
      <c r="G293" s="147">
        <v>35000000</v>
      </c>
      <c r="H293" s="33"/>
    </row>
    <row r="294" spans="2:8" ht="19.5" thickBot="1" x14ac:dyDescent="0.35">
      <c r="B294" s="144"/>
      <c r="C294" s="145"/>
      <c r="D294" s="145"/>
      <c r="F294" s="148">
        <v>35000000</v>
      </c>
      <c r="G294" s="148">
        <v>35000000</v>
      </c>
      <c r="H294" s="290"/>
    </row>
    <row r="295" spans="2:8" ht="19.5" thickTop="1" x14ac:dyDescent="0.3">
      <c r="B295" s="149" t="s">
        <v>1042</v>
      </c>
      <c r="C295" s="150"/>
      <c r="D295" s="150"/>
      <c r="F295" s="133"/>
      <c r="G295" s="133"/>
    </row>
    <row r="296" spans="2:8" x14ac:dyDescent="0.3">
      <c r="B296" s="1780" t="s">
        <v>1043</v>
      </c>
      <c r="C296" s="1781"/>
      <c r="D296" s="1781"/>
      <c r="E296" s="1781"/>
      <c r="F296" s="133">
        <v>26922650</v>
      </c>
      <c r="G296" s="151">
        <v>26922650</v>
      </c>
      <c r="H296" s="138"/>
    </row>
    <row r="297" spans="2:8" x14ac:dyDescent="0.3">
      <c r="B297" s="1780"/>
      <c r="C297" s="1781"/>
      <c r="D297" s="1781"/>
      <c r="E297" s="1781"/>
      <c r="F297" s="327"/>
      <c r="G297" s="151"/>
    </row>
    <row r="298" spans="2:8" ht="19.5" thickBot="1" x14ac:dyDescent="0.35">
      <c r="B298" s="128"/>
      <c r="C298" s="129"/>
      <c r="D298" s="129"/>
      <c r="F298" s="127">
        <v>26922650</v>
      </c>
      <c r="G298" s="127">
        <v>26922650</v>
      </c>
      <c r="H298" s="172"/>
    </row>
    <row r="299" spans="2:8" ht="19.5" thickTop="1" x14ac:dyDescent="0.3">
      <c r="B299" s="152" t="s">
        <v>1044</v>
      </c>
      <c r="C299" s="145"/>
      <c r="D299" s="145"/>
      <c r="F299" s="133"/>
      <c r="G299" s="151"/>
    </row>
    <row r="300" spans="2:8" x14ac:dyDescent="0.3">
      <c r="B300" s="128"/>
      <c r="C300" s="31"/>
      <c r="D300" s="52" t="s">
        <v>2266</v>
      </c>
      <c r="E300" s="52" t="s">
        <v>1045</v>
      </c>
      <c r="F300" s="80"/>
      <c r="G300" s="133"/>
    </row>
    <row r="301" spans="2:8" x14ac:dyDescent="0.3">
      <c r="B301" s="153" t="s">
        <v>1046</v>
      </c>
      <c r="C301" s="31"/>
      <c r="D301" s="154" t="s">
        <v>1047</v>
      </c>
      <c r="E301" s="154" t="s">
        <v>1047</v>
      </c>
      <c r="F301" s="155" t="s">
        <v>1048</v>
      </c>
      <c r="G301" s="155" t="s">
        <v>1048</v>
      </c>
      <c r="H301" s="291"/>
    </row>
    <row r="302" spans="2:8" x14ac:dyDescent="0.3">
      <c r="B302" s="73" t="s">
        <v>1049</v>
      </c>
      <c r="C302" s="31"/>
      <c r="D302" s="156">
        <v>9.9306717577950163</v>
      </c>
      <c r="E302" s="156">
        <v>9.9306717577950163</v>
      </c>
      <c r="F302" s="133">
        <v>267360</v>
      </c>
      <c r="G302" s="133">
        <v>267360</v>
      </c>
      <c r="H302" s="138"/>
    </row>
    <row r="303" spans="2:8" x14ac:dyDescent="0.3">
      <c r="B303" s="73" t="s">
        <v>1050</v>
      </c>
      <c r="C303" s="31"/>
      <c r="D303" s="156">
        <v>8.9884000000000004</v>
      </c>
      <c r="E303" s="156">
        <v>8.5985220622784162</v>
      </c>
      <c r="F303" s="45">
        <v>241995</v>
      </c>
      <c r="G303" s="45">
        <v>241995</v>
      </c>
      <c r="H303" s="33"/>
    </row>
    <row r="304" spans="2:8" x14ac:dyDescent="0.3">
      <c r="B304" s="73" t="s">
        <v>1051</v>
      </c>
      <c r="C304" s="31"/>
      <c r="D304" s="156">
        <v>8.4837488137311894</v>
      </c>
      <c r="E304" s="156">
        <v>8.4837488137311894</v>
      </c>
      <c r="F304" s="133">
        <v>228405</v>
      </c>
      <c r="G304" s="133">
        <v>228405</v>
      </c>
      <c r="H304" s="138"/>
    </row>
    <row r="305" spans="2:8" x14ac:dyDescent="0.3">
      <c r="B305" s="73" t="s">
        <v>1052</v>
      </c>
      <c r="C305" s="31"/>
      <c r="D305" s="156">
        <v>6.9196382971215691</v>
      </c>
      <c r="E305" s="156">
        <v>6.9196382971215691</v>
      </c>
      <c r="F305" s="133">
        <v>186295</v>
      </c>
      <c r="G305" s="133">
        <v>186295</v>
      </c>
      <c r="H305" s="138"/>
    </row>
    <row r="306" spans="2:8" x14ac:dyDescent="0.3">
      <c r="B306" s="73" t="s">
        <v>1053</v>
      </c>
      <c r="C306" s="31"/>
      <c r="D306" s="156">
        <v>5.6066174763628389</v>
      </c>
      <c r="E306" s="156">
        <v>5.6066174763628389</v>
      </c>
      <c r="F306" s="133">
        <v>150945</v>
      </c>
      <c r="G306" s="133">
        <v>150945</v>
      </c>
      <c r="H306" s="138"/>
    </row>
    <row r="307" spans="2:8" x14ac:dyDescent="0.3">
      <c r="B307" s="73" t="s">
        <v>2265</v>
      </c>
      <c r="C307" s="31"/>
      <c r="D307" s="156">
        <v>5.09</v>
      </c>
      <c r="E307" s="156">
        <v>5.09</v>
      </c>
      <c r="F307" s="140">
        <v>137078</v>
      </c>
      <c r="G307" s="140">
        <v>137078</v>
      </c>
      <c r="H307" s="138"/>
    </row>
    <row r="308" spans="2:8" x14ac:dyDescent="0.3">
      <c r="B308" s="128"/>
      <c r="C308" s="32"/>
      <c r="D308" s="32"/>
      <c r="F308" s="133"/>
      <c r="G308" s="1506"/>
    </row>
    <row r="309" spans="2:8" x14ac:dyDescent="0.3">
      <c r="B309" s="128"/>
      <c r="C309" s="32"/>
      <c r="D309" s="32"/>
      <c r="F309" s="133"/>
      <c r="G309" s="133"/>
    </row>
    <row r="310" spans="2:8" x14ac:dyDescent="0.3">
      <c r="B310" s="1782" t="s">
        <v>1054</v>
      </c>
      <c r="C310" s="1783"/>
      <c r="D310" s="1783"/>
      <c r="E310" s="1783"/>
      <c r="F310" s="328"/>
      <c r="G310" s="325"/>
      <c r="H310" s="1301"/>
    </row>
    <row r="311" spans="2:8" x14ac:dyDescent="0.3">
      <c r="B311" s="135" t="s">
        <v>451</v>
      </c>
      <c r="C311" s="32"/>
      <c r="D311" s="32"/>
      <c r="F311" s="155" t="s">
        <v>1048</v>
      </c>
      <c r="G311" s="155" t="s">
        <v>1048</v>
      </c>
      <c r="H311" s="291"/>
    </row>
    <row r="312" spans="2:8" x14ac:dyDescent="0.3">
      <c r="B312" s="73" t="s">
        <v>1055</v>
      </c>
      <c r="C312" s="32"/>
      <c r="D312" s="32"/>
      <c r="F312" s="133">
        <v>2692265</v>
      </c>
      <c r="G312" s="133">
        <v>2692265</v>
      </c>
      <c r="H312" s="138"/>
    </row>
    <row r="313" spans="2:8" x14ac:dyDescent="0.3">
      <c r="B313" s="73" t="s">
        <v>1056</v>
      </c>
      <c r="C313" s="32"/>
      <c r="D313" s="32"/>
      <c r="F313" s="147">
        <v>0</v>
      </c>
      <c r="G313" s="147">
        <v>0</v>
      </c>
      <c r="H313" s="33"/>
    </row>
    <row r="314" spans="2:8" x14ac:dyDescent="0.3">
      <c r="B314" s="73" t="s">
        <v>1057</v>
      </c>
      <c r="C314" s="32"/>
      <c r="D314" s="32"/>
      <c r="F314" s="1336">
        <v>2692265</v>
      </c>
      <c r="G314" s="1336">
        <v>2692265</v>
      </c>
      <c r="H314" s="172"/>
    </row>
    <row r="315" spans="2:8" x14ac:dyDescent="0.3">
      <c r="B315" s="128"/>
      <c r="C315" s="32"/>
      <c r="D315" s="32"/>
      <c r="F315" s="133"/>
      <c r="G315" s="133"/>
    </row>
    <row r="316" spans="2:8" x14ac:dyDescent="0.3">
      <c r="B316" s="1784" t="s">
        <v>2267</v>
      </c>
      <c r="C316" s="1785"/>
      <c r="D316" s="1785"/>
      <c r="E316" s="1785"/>
      <c r="F316" s="329"/>
      <c r="G316" s="329"/>
      <c r="H316" s="1313"/>
    </row>
    <row r="317" spans="2:8" x14ac:dyDescent="0.3">
      <c r="B317" s="1784"/>
      <c r="C317" s="1785"/>
      <c r="D317" s="1785"/>
      <c r="E317" s="1785"/>
      <c r="F317" s="329"/>
      <c r="G317" s="329"/>
      <c r="H317" s="1313"/>
    </row>
    <row r="318" spans="2:8" x14ac:dyDescent="0.3">
      <c r="B318" s="128"/>
      <c r="C318" s="32"/>
      <c r="D318" s="32"/>
      <c r="F318" s="133"/>
      <c r="G318" s="133"/>
    </row>
    <row r="319" spans="2:8" x14ac:dyDescent="0.3">
      <c r="B319" s="1786" t="s">
        <v>1058</v>
      </c>
      <c r="C319" s="1787"/>
      <c r="D319" s="1787"/>
      <c r="E319" s="1787"/>
      <c r="F319" s="328"/>
      <c r="G319" s="328"/>
      <c r="H319" s="1314"/>
    </row>
    <row r="320" spans="2:8" x14ac:dyDescent="0.3">
      <c r="B320" s="159" t="s">
        <v>1059</v>
      </c>
      <c r="C320" s="32"/>
      <c r="D320" s="32"/>
      <c r="F320" s="133"/>
      <c r="G320" s="133"/>
    </row>
    <row r="321" spans="2:8" x14ac:dyDescent="0.3">
      <c r="B321" s="1753" t="s">
        <v>1060</v>
      </c>
      <c r="C321" s="1754"/>
      <c r="D321" s="1754"/>
      <c r="E321" s="1754"/>
      <c r="F321" s="175"/>
      <c r="G321" s="175"/>
      <c r="H321" s="1310"/>
    </row>
    <row r="322" spans="2:8" x14ac:dyDescent="0.3">
      <c r="B322" s="1753"/>
      <c r="C322" s="1754"/>
      <c r="D322" s="1754"/>
      <c r="E322" s="1754"/>
      <c r="F322" s="175"/>
      <c r="G322" s="175"/>
      <c r="H322" s="1310"/>
    </row>
    <row r="323" spans="2:8" x14ac:dyDescent="0.3">
      <c r="B323" s="1753"/>
      <c r="C323" s="1754"/>
      <c r="D323" s="1754"/>
      <c r="E323" s="1754"/>
      <c r="F323" s="175"/>
      <c r="G323" s="175"/>
      <c r="H323" s="1310"/>
    </row>
    <row r="324" spans="2:8" x14ac:dyDescent="0.3">
      <c r="B324" s="1753"/>
      <c r="C324" s="1754"/>
      <c r="D324" s="1754"/>
      <c r="E324" s="1754"/>
      <c r="F324" s="175"/>
      <c r="G324" s="175"/>
      <c r="H324" s="1310"/>
    </row>
    <row r="325" spans="2:8" x14ac:dyDescent="0.3">
      <c r="B325" s="1753"/>
      <c r="C325" s="1754"/>
      <c r="D325" s="1754"/>
      <c r="E325" s="1754"/>
      <c r="F325" s="175"/>
      <c r="G325" s="175"/>
      <c r="H325" s="1310"/>
    </row>
    <row r="326" spans="2:8" x14ac:dyDescent="0.3">
      <c r="B326" s="1753"/>
      <c r="C326" s="1754"/>
      <c r="D326" s="1754"/>
      <c r="E326" s="1754"/>
      <c r="F326" s="175"/>
      <c r="G326" s="175"/>
      <c r="H326" s="1310"/>
    </row>
    <row r="327" spans="2:8" x14ac:dyDescent="0.3">
      <c r="B327" s="73"/>
      <c r="C327" s="31"/>
      <c r="D327" s="31"/>
      <c r="E327" s="139"/>
      <c r="F327" s="167"/>
      <c r="G327" s="167"/>
      <c r="H327" s="139"/>
    </row>
    <row r="328" spans="2:8" x14ac:dyDescent="0.3">
      <c r="B328" s="124" t="s">
        <v>1061</v>
      </c>
      <c r="C328" s="125"/>
      <c r="D328" s="125"/>
      <c r="F328" s="133"/>
      <c r="G328" s="151"/>
    </row>
    <row r="329" spans="2:8" x14ac:dyDescent="0.3">
      <c r="B329" s="124"/>
      <c r="C329" s="125"/>
      <c r="D329" s="125"/>
      <c r="F329" s="133"/>
      <c r="G329" s="151"/>
    </row>
    <row r="330" spans="2:8" x14ac:dyDescent="0.3">
      <c r="B330" s="128" t="s">
        <v>1062</v>
      </c>
      <c r="C330" s="129"/>
      <c r="D330" s="129"/>
      <c r="F330" s="133"/>
      <c r="G330" s="151"/>
    </row>
    <row r="331" spans="2:8" x14ac:dyDescent="0.3">
      <c r="B331" s="161" t="s">
        <v>1063</v>
      </c>
      <c r="C331" s="132"/>
      <c r="D331" s="132"/>
      <c r="F331" s="133"/>
      <c r="G331" s="151"/>
    </row>
    <row r="332" spans="2:8" x14ac:dyDescent="0.3">
      <c r="B332" s="161"/>
      <c r="C332" s="132"/>
      <c r="D332" s="132"/>
      <c r="F332" s="133"/>
      <c r="G332" s="151"/>
    </row>
    <row r="333" spans="2:8" x14ac:dyDescent="0.3">
      <c r="B333" s="111" t="s">
        <v>1426</v>
      </c>
      <c r="C333" s="145"/>
      <c r="D333" s="145"/>
      <c r="F333" s="133">
        <f>+'Term Loan'!F5+'Term Loan'!F6</f>
        <v>1292191</v>
      </c>
      <c r="G333" s="151">
        <f>GETPIVOTDATA("Sum of Cr. Final 2019-20",Pivot!$A$3,"Note",4,"BS Main Head","Long Term Borrowings","BS Sub Head","Secured - From Banks - Term Loan")-G399</f>
        <v>7052448</v>
      </c>
      <c r="H333" s="138"/>
    </row>
    <row r="334" spans="2:8" ht="54" customHeight="1" x14ac:dyDescent="0.3">
      <c r="B334" s="1765" t="s">
        <v>2268</v>
      </c>
      <c r="C334" s="1766"/>
      <c r="D334" s="1766"/>
      <c r="E334" s="1767"/>
      <c r="F334" s="175"/>
      <c r="G334" s="176"/>
      <c r="H334" s="1308"/>
    </row>
    <row r="335" spans="2:8" ht="71.45" customHeight="1" x14ac:dyDescent="0.3">
      <c r="B335" s="1765" t="s">
        <v>2269</v>
      </c>
      <c r="C335" s="1766"/>
      <c r="D335" s="1766"/>
      <c r="E335" s="1767"/>
      <c r="F335" s="175"/>
      <c r="G335" s="176"/>
      <c r="H335" s="1308"/>
    </row>
    <row r="336" spans="2:8" x14ac:dyDescent="0.3">
      <c r="B336" s="1491"/>
      <c r="C336" s="1301"/>
      <c r="D336" s="1301"/>
      <c r="E336" s="1301"/>
      <c r="F336" s="175"/>
      <c r="G336" s="176"/>
      <c r="H336" s="1308"/>
    </row>
    <row r="337" spans="1:55" ht="19.899999999999999" customHeight="1" x14ac:dyDescent="0.3">
      <c r="B337" s="355" t="s">
        <v>2270</v>
      </c>
      <c r="C337" s="354"/>
      <c r="D337" s="354"/>
      <c r="E337" s="354"/>
      <c r="F337" s="175">
        <f>+'Term Loan'!F4</f>
        <v>10544440</v>
      </c>
      <c r="G337" s="176">
        <v>0</v>
      </c>
      <c r="H337" s="1308"/>
    </row>
    <row r="338" spans="1:55" ht="73.150000000000006" customHeight="1" x14ac:dyDescent="0.3">
      <c r="B338" s="1765" t="s">
        <v>2272</v>
      </c>
      <c r="C338" s="1766"/>
      <c r="D338" s="1766"/>
      <c r="E338" s="1767"/>
      <c r="F338" s="175"/>
      <c r="G338" s="176"/>
      <c r="H338" s="1308"/>
    </row>
    <row r="339" spans="1:55" ht="54" customHeight="1" x14ac:dyDescent="0.3">
      <c r="B339" s="1765" t="s">
        <v>2271</v>
      </c>
      <c r="C339" s="1766"/>
      <c r="D339" s="1766"/>
      <c r="E339" s="1767"/>
      <c r="F339" s="175"/>
      <c r="G339" s="176"/>
      <c r="H339" s="1308"/>
    </row>
    <row r="340" spans="1:55" x14ac:dyDescent="0.3">
      <c r="B340" s="1307"/>
      <c r="C340" s="1308"/>
      <c r="D340" s="1308"/>
      <c r="E340" s="1308"/>
      <c r="F340" s="175"/>
      <c r="G340" s="176"/>
      <c r="H340" s="1308"/>
    </row>
    <row r="341" spans="1:55" x14ac:dyDescent="0.3">
      <c r="A341" s="163"/>
      <c r="B341" s="1202" t="s">
        <v>1064</v>
      </c>
      <c r="C341" s="1308"/>
      <c r="D341" s="1308"/>
      <c r="E341" s="1308"/>
      <c r="F341" s="330">
        <f>+GETPIVOTDATA("Sum of Cr. Final HYR",Pivot!$A$3,"Note",4,"BS Main Head","Long Term Borrowings","BS Sub Head","Secured - From Other - Term Loan")</f>
        <v>0</v>
      </c>
      <c r="G341" s="45">
        <f>GETPIVOTDATA("Sum of Cr. Final 2019-20",Pivot!$A$3,"Note",4,"BS Main Head","Long Term Borrowings","BS Sub Head","Secured - From Other - Term Loan")-G401</f>
        <v>0</v>
      </c>
      <c r="H341" s="33"/>
    </row>
    <row r="342" spans="1:55" x14ac:dyDescent="0.3">
      <c r="B342" s="1307"/>
      <c r="C342" s="1308"/>
      <c r="D342" s="1308"/>
      <c r="E342" s="1308"/>
      <c r="F342" s="175"/>
      <c r="G342" s="176"/>
      <c r="H342" s="1308"/>
    </row>
    <row r="343" spans="1:55" x14ac:dyDescent="0.3">
      <c r="B343" s="137" t="s">
        <v>1065</v>
      </c>
      <c r="C343" s="132"/>
      <c r="D343" s="132"/>
      <c r="F343" s="133"/>
      <c r="G343" s="151"/>
    </row>
    <row r="344" spans="1:55" x14ac:dyDescent="0.3">
      <c r="B344" s="161" t="s">
        <v>1066</v>
      </c>
      <c r="C344" s="132"/>
      <c r="D344" s="132"/>
      <c r="F344" s="133"/>
      <c r="G344" s="151"/>
    </row>
    <row r="345" spans="1:55" x14ac:dyDescent="0.3">
      <c r="B345" s="131" t="s">
        <v>2304</v>
      </c>
      <c r="C345" s="132"/>
      <c r="D345" s="132"/>
      <c r="F345" s="133">
        <f>+GETPIVOTDATA("Sum of Cr. Final HYR",Pivot!$A$3,"Note",4,"BS Main Head","Long Term Borrowings","BS Sub Head","Unsecured-From Related Party")</f>
        <v>20149849</v>
      </c>
      <c r="G345" s="151">
        <f>GETPIVOTDATA("Sum of Cr. Final 2019-20",Pivot!$A$3,"Note",4,"BS Main Head","Long Term Borrowings","BS Sub Head","Unsecured-From Related Party")</f>
        <v>19290503</v>
      </c>
      <c r="H345" s="138"/>
    </row>
    <row r="346" spans="1:55" x14ac:dyDescent="0.3">
      <c r="B346" s="164"/>
      <c r="C346" s="165"/>
      <c r="D346" s="165"/>
      <c r="E346" s="77"/>
      <c r="F346" s="49">
        <f>+SUM(F333:F345)</f>
        <v>31986480</v>
      </c>
      <c r="G346" s="49">
        <f>+SUM(G333:G345)</f>
        <v>26342951</v>
      </c>
      <c r="H346" s="172"/>
    </row>
    <row r="347" spans="1:55" s="35" customFormat="1" x14ac:dyDescent="0.3">
      <c r="A347" s="30"/>
      <c r="B347" s="1792" t="s">
        <v>907</v>
      </c>
      <c r="C347" s="1793"/>
      <c r="D347" s="1793"/>
      <c r="E347" s="1793"/>
      <c r="F347" s="1793"/>
      <c r="G347" s="1794"/>
      <c r="H347" s="1306"/>
      <c r="I347" s="266"/>
      <c r="J347" s="266"/>
      <c r="K347" s="266"/>
      <c r="L347" s="266"/>
      <c r="M347" s="266"/>
      <c r="N347" s="266"/>
      <c r="O347" s="266"/>
      <c r="P347" s="266"/>
      <c r="Q347" s="266"/>
      <c r="R347" s="266"/>
      <c r="S347" s="266"/>
      <c r="T347" s="266"/>
      <c r="U347" s="266"/>
      <c r="V347" s="266"/>
      <c r="W347" s="266"/>
      <c r="X347" s="266"/>
      <c r="Y347" s="266"/>
      <c r="Z347" s="266"/>
      <c r="AA347" s="266"/>
      <c r="AB347" s="266"/>
      <c r="AC347" s="266"/>
      <c r="AD347" s="266"/>
      <c r="AE347" s="266"/>
      <c r="AF347" s="266"/>
      <c r="AG347" s="266"/>
      <c r="AH347" s="266"/>
      <c r="AI347" s="266"/>
      <c r="AJ347" s="266"/>
      <c r="AK347" s="266"/>
      <c r="AL347" s="266"/>
      <c r="AM347" s="266"/>
      <c r="AN347" s="266"/>
      <c r="AO347" s="266"/>
      <c r="AP347" s="266"/>
      <c r="AQ347" s="266"/>
      <c r="AR347" s="266"/>
      <c r="AS347" s="266"/>
      <c r="AT347" s="266"/>
      <c r="AU347" s="266"/>
      <c r="AV347" s="266"/>
      <c r="AW347" s="266"/>
      <c r="AX347" s="266"/>
      <c r="AY347" s="266"/>
      <c r="AZ347" s="266"/>
      <c r="BA347" s="266"/>
      <c r="BB347" s="266"/>
      <c r="BC347" s="266"/>
    </row>
    <row r="348" spans="1:55" x14ac:dyDescent="0.3">
      <c r="B348" s="1758" t="s">
        <v>1328</v>
      </c>
      <c r="C348" s="1759"/>
      <c r="D348" s="1759"/>
      <c r="E348" s="1759"/>
      <c r="F348" s="1759"/>
      <c r="G348" s="1760"/>
      <c r="H348" s="261"/>
    </row>
    <row r="349" spans="1:55" x14ac:dyDescent="0.3">
      <c r="B349" s="100" t="s">
        <v>451</v>
      </c>
      <c r="C349" s="1328"/>
      <c r="D349" s="1328"/>
      <c r="E349" s="1329"/>
      <c r="F349" s="1324" t="s">
        <v>909</v>
      </c>
      <c r="G349" s="1324" t="s">
        <v>910</v>
      </c>
      <c r="H349" s="273"/>
    </row>
    <row r="350" spans="1:55" x14ac:dyDescent="0.3">
      <c r="B350" s="101"/>
      <c r="C350" s="102"/>
      <c r="D350" s="102"/>
      <c r="E350" s="103"/>
      <c r="F350" s="319" t="str">
        <f>+F5</f>
        <v>March 31, 2021 (₹)</v>
      </c>
      <c r="G350" s="38" t="s">
        <v>911</v>
      </c>
      <c r="H350" s="209"/>
    </row>
    <row r="351" spans="1:55" x14ac:dyDescent="0.3">
      <c r="B351" s="73"/>
      <c r="C351" s="31"/>
      <c r="D351" s="31"/>
      <c r="E351" s="139"/>
      <c r="F351" s="219"/>
      <c r="G351" s="80"/>
      <c r="H351" s="209"/>
    </row>
    <row r="352" spans="1:55" x14ac:dyDescent="0.3">
      <c r="B352" s="142" t="s">
        <v>1067</v>
      </c>
      <c r="C352" s="31"/>
      <c r="D352" s="31"/>
      <c r="E352" s="139"/>
      <c r="F352" s="167"/>
      <c r="G352" s="80"/>
      <c r="H352" s="52"/>
    </row>
    <row r="353" spans="2:55" x14ac:dyDescent="0.3">
      <c r="B353" s="73" t="s">
        <v>1068</v>
      </c>
      <c r="C353" s="31"/>
      <c r="D353" s="31"/>
      <c r="E353" s="139"/>
      <c r="F353" s="253">
        <f>+GETPIVOTDATA("Sum of Cr. Final HYR",Pivot!$A$3,"PARTICULARS","Provisions For Gratuity Payable","Note",9,"BS Main Head","Short Term Provision","BS Sub Head","Provision for Employee Benefit")+GETPIVOTDATA("Sum of Cr. Final HYR",Pivot!$A$3,"PARTICULARS","Provision for Acturial Gratuity","Note",9,"BS Main Head","Short Term Provision","BS Sub Head","Provision for Employee Benefit")-GETPIVOTDATA("Sum of Dr. Final HYR",Pivot!$A$3,"Note",9,"BS Main Head","Short Term Provision","BS Sub Head","Provision for Employee Benefit")-F414</f>
        <v>1543625.7000000002</v>
      </c>
      <c r="G353" s="253">
        <f>+GETPIVOTDATA("Sum of Cr. Final 2019-20",Pivot!$A$3,"PARTICULARS","Provisions For Gratuity Payable","Note",9,"BS Main Head","Short Term Provision","BS Sub Head","Provision for Employee Benefit")+GETPIVOTDATA("Sum of Cr. Final 2019-20",Pivot!$A$3,"PARTICULARS","Provision for Acturial Gratuity","Note",9,"BS Main Head","Short Term Provision","BS Sub Head","Provision for Employee Benefit")-GETPIVOTDATA("Sum of Dr. Final 2019-20",Pivot!$A$3,"PARTICULARS","Deposits Group Gratuity Fund","Note",9,"BS Main Head","Short Term Provision","BS Sub Head","Provision for Employee Benefit")-G414</f>
        <v>2183354.7000000002</v>
      </c>
      <c r="H353" s="309"/>
    </row>
    <row r="354" spans="2:55" x14ac:dyDescent="0.3">
      <c r="B354" s="73"/>
      <c r="C354" s="31"/>
      <c r="D354" s="31"/>
      <c r="E354" s="139"/>
      <c r="F354" s="38">
        <f>+SUM(F353)</f>
        <v>1543625.7000000002</v>
      </c>
      <c r="G354" s="38">
        <f>+SUM(G353)</f>
        <v>2183354.7000000002</v>
      </c>
      <c r="H354" s="209"/>
    </row>
    <row r="355" spans="2:55" x14ac:dyDescent="0.3">
      <c r="B355" s="142" t="s">
        <v>1069</v>
      </c>
      <c r="C355" s="129"/>
      <c r="D355" s="129"/>
      <c r="F355" s="133"/>
      <c r="G355" s="1506"/>
    </row>
    <row r="356" spans="2:55" s="106" customFormat="1" x14ac:dyDescent="0.3">
      <c r="B356" s="1803" t="s">
        <v>1070</v>
      </c>
      <c r="C356" s="1804"/>
      <c r="D356" s="1804"/>
      <c r="E356" s="32"/>
      <c r="F356" s="133"/>
      <c r="G356" s="133"/>
      <c r="H356" s="32"/>
      <c r="I356" s="268"/>
      <c r="J356" s="268"/>
      <c r="K356" s="268"/>
      <c r="L356" s="268"/>
      <c r="M356" s="268"/>
      <c r="N356" s="268"/>
      <c r="O356" s="268"/>
      <c r="P356" s="268"/>
      <c r="Q356" s="268"/>
      <c r="R356" s="268"/>
      <c r="S356" s="268"/>
      <c r="T356" s="268"/>
      <c r="U356" s="268"/>
      <c r="V356" s="268"/>
      <c r="W356" s="268"/>
      <c r="X356" s="268"/>
      <c r="Y356" s="268"/>
      <c r="Z356" s="268"/>
      <c r="AA356" s="268"/>
      <c r="AB356" s="268"/>
      <c r="AC356" s="268"/>
      <c r="AD356" s="268"/>
      <c r="AE356" s="268"/>
      <c r="AF356" s="268"/>
      <c r="AG356" s="268"/>
      <c r="AH356" s="268"/>
      <c r="AI356" s="268"/>
      <c r="AJ356" s="268"/>
      <c r="AK356" s="268"/>
      <c r="AL356" s="268"/>
      <c r="AM356" s="268"/>
      <c r="AN356" s="268"/>
      <c r="AO356" s="268"/>
      <c r="AP356" s="268"/>
      <c r="AQ356" s="268"/>
      <c r="AR356" s="268"/>
      <c r="AS356" s="268"/>
      <c r="AT356" s="268"/>
      <c r="AU356" s="268"/>
      <c r="AV356" s="268"/>
      <c r="AW356" s="268"/>
      <c r="AX356" s="268"/>
      <c r="AY356" s="268"/>
      <c r="AZ356" s="268"/>
      <c r="BA356" s="268"/>
      <c r="BB356" s="268"/>
      <c r="BC356" s="268"/>
    </row>
    <row r="357" spans="2:55" s="106" customFormat="1" x14ac:dyDescent="0.3">
      <c r="B357" s="1194" t="s">
        <v>1071</v>
      </c>
      <c r="C357" s="1195"/>
      <c r="D357" s="1195"/>
      <c r="E357" s="1195"/>
      <c r="F357" s="325"/>
      <c r="G357" s="133"/>
      <c r="H357" s="138"/>
      <c r="I357" s="268"/>
      <c r="J357" s="268"/>
      <c r="K357" s="268"/>
      <c r="L357" s="268"/>
      <c r="M357" s="268"/>
      <c r="N357" s="268"/>
      <c r="O357" s="268"/>
      <c r="P357" s="268"/>
      <c r="Q357" s="268"/>
      <c r="R357" s="268"/>
      <c r="S357" s="268"/>
      <c r="T357" s="268"/>
      <c r="U357" s="268"/>
      <c r="V357" s="268"/>
      <c r="W357" s="268"/>
      <c r="X357" s="268"/>
      <c r="Y357" s="268"/>
      <c r="Z357" s="268"/>
      <c r="AA357" s="268"/>
      <c r="AB357" s="268"/>
      <c r="AC357" s="268"/>
      <c r="AD357" s="268"/>
      <c r="AE357" s="268"/>
      <c r="AF357" s="268"/>
      <c r="AG357" s="268"/>
      <c r="AH357" s="268"/>
      <c r="AI357" s="268"/>
      <c r="AJ357" s="268"/>
      <c r="AK357" s="268"/>
      <c r="AL357" s="268"/>
      <c r="AM357" s="268"/>
      <c r="AN357" s="268"/>
      <c r="AO357" s="268"/>
      <c r="AP357" s="268"/>
      <c r="AQ357" s="268"/>
      <c r="AR357" s="268"/>
      <c r="AS357" s="268"/>
      <c r="AT357" s="268"/>
      <c r="AU357" s="268"/>
      <c r="AV357" s="268"/>
      <c r="AW357" s="268"/>
      <c r="AX357" s="268"/>
      <c r="AY357" s="268"/>
      <c r="AZ357" s="268"/>
      <c r="BA357" s="268"/>
      <c r="BB357" s="268"/>
      <c r="BC357" s="268"/>
    </row>
    <row r="358" spans="2:55" s="106" customFormat="1" x14ac:dyDescent="0.3">
      <c r="B358" s="1196" t="s">
        <v>1072</v>
      </c>
      <c r="C358" s="1195"/>
      <c r="D358" s="1195"/>
      <c r="E358" s="1195"/>
      <c r="F358" s="325"/>
      <c r="G358" s="133"/>
      <c r="H358" s="138"/>
      <c r="I358" s="268"/>
      <c r="J358" s="268"/>
      <c r="K358" s="268"/>
      <c r="L358" s="268"/>
      <c r="M358" s="268"/>
      <c r="N358" s="268"/>
      <c r="O358" s="268"/>
      <c r="P358" s="268"/>
      <c r="Q358" s="268"/>
      <c r="R358" s="268"/>
      <c r="S358" s="268"/>
      <c r="T358" s="268"/>
      <c r="U358" s="268"/>
      <c r="V358" s="268"/>
      <c r="W358" s="268"/>
      <c r="X358" s="268"/>
      <c r="Y358" s="268"/>
      <c r="Z358" s="268"/>
      <c r="AA358" s="268"/>
      <c r="AB358" s="268"/>
      <c r="AC358" s="268"/>
      <c r="AD358" s="268"/>
      <c r="AE358" s="268"/>
      <c r="AF358" s="268"/>
      <c r="AG358" s="268"/>
      <c r="AH358" s="268"/>
      <c r="AI358" s="268"/>
      <c r="AJ358" s="268"/>
      <c r="AK358" s="268"/>
      <c r="AL358" s="268"/>
      <c r="AM358" s="268"/>
      <c r="AN358" s="268"/>
      <c r="AO358" s="268"/>
      <c r="AP358" s="268"/>
      <c r="AQ358" s="268"/>
      <c r="AR358" s="268"/>
      <c r="AS358" s="268"/>
      <c r="AT358" s="268"/>
      <c r="AU358" s="268"/>
      <c r="AV358" s="268"/>
      <c r="AW358" s="268"/>
      <c r="AX358" s="268"/>
      <c r="AY358" s="268"/>
      <c r="AZ358" s="268"/>
      <c r="BA358" s="268"/>
      <c r="BB358" s="268"/>
      <c r="BC358" s="268"/>
    </row>
    <row r="359" spans="2:55" s="106" customFormat="1" x14ac:dyDescent="0.3">
      <c r="B359" s="1197" t="s">
        <v>1073</v>
      </c>
      <c r="C359" s="1195"/>
      <c r="D359" s="1195"/>
      <c r="E359" s="1195"/>
      <c r="F359" s="1198">
        <f>+DT!J15</f>
        <v>19796178.702971876</v>
      </c>
      <c r="G359" s="140">
        <f>+'[64]Deffered Tax'!J15</f>
        <v>20900187.78983973</v>
      </c>
      <c r="H359" s="138"/>
      <c r="I359" s="268"/>
      <c r="J359" s="268"/>
      <c r="K359" s="268"/>
      <c r="L359" s="268"/>
      <c r="M359" s="268"/>
      <c r="N359" s="268"/>
      <c r="O359" s="268"/>
      <c r="P359" s="268"/>
      <c r="Q359" s="268"/>
      <c r="R359" s="268"/>
      <c r="S359" s="268"/>
      <c r="T359" s="268"/>
      <c r="U359" s="268"/>
      <c r="V359" s="268"/>
      <c r="W359" s="268"/>
      <c r="X359" s="268"/>
      <c r="Y359" s="268"/>
      <c r="Z359" s="268"/>
      <c r="AA359" s="268"/>
      <c r="AB359" s="268"/>
      <c r="AC359" s="268"/>
      <c r="AD359" s="268"/>
      <c r="AE359" s="268"/>
      <c r="AF359" s="268"/>
      <c r="AG359" s="268"/>
      <c r="AH359" s="268"/>
      <c r="AI359" s="268"/>
      <c r="AJ359" s="268"/>
      <c r="AK359" s="268"/>
      <c r="AL359" s="268"/>
      <c r="AM359" s="268"/>
      <c r="AN359" s="268"/>
      <c r="AO359" s="268"/>
      <c r="AP359" s="268"/>
      <c r="AQ359" s="268"/>
      <c r="AR359" s="268"/>
      <c r="AS359" s="268"/>
      <c r="AT359" s="268"/>
      <c r="AU359" s="268"/>
      <c r="AV359" s="268"/>
      <c r="AW359" s="268"/>
      <c r="AX359" s="268"/>
      <c r="AY359" s="268"/>
      <c r="AZ359" s="268"/>
      <c r="BA359" s="268"/>
      <c r="BB359" s="268"/>
      <c r="BC359" s="268"/>
    </row>
    <row r="360" spans="2:55" s="106" customFormat="1" x14ac:dyDescent="0.3">
      <c r="B360" s="1194" t="s">
        <v>1074</v>
      </c>
      <c r="C360" s="1195"/>
      <c r="D360" s="1195"/>
      <c r="E360" s="1195"/>
      <c r="F360" s="167">
        <f>+F359</f>
        <v>19796178.702971876</v>
      </c>
      <c r="G360" s="167">
        <f>+G359</f>
        <v>20900187.78983973</v>
      </c>
      <c r="H360" s="290"/>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8"/>
      <c r="AL360" s="268"/>
      <c r="AM360" s="268"/>
      <c r="AN360" s="268"/>
      <c r="AO360" s="268"/>
      <c r="AP360" s="268"/>
      <c r="AQ360" s="268"/>
      <c r="AR360" s="268"/>
      <c r="AS360" s="268"/>
      <c r="AT360" s="268"/>
      <c r="AU360" s="268"/>
      <c r="AV360" s="268"/>
      <c r="AW360" s="268"/>
      <c r="AX360" s="268"/>
      <c r="AY360" s="268"/>
      <c r="AZ360" s="268"/>
      <c r="BA360" s="268"/>
      <c r="BB360" s="268"/>
      <c r="BC360" s="268"/>
    </row>
    <row r="361" spans="2:55" s="106" customFormat="1" x14ac:dyDescent="0.3">
      <c r="B361" s="1194"/>
      <c r="C361" s="1195"/>
      <c r="D361" s="1195"/>
      <c r="E361" s="1195"/>
      <c r="F361" s="167"/>
      <c r="G361" s="167"/>
      <c r="H361" s="290"/>
      <c r="I361" s="268"/>
      <c r="J361" s="268"/>
      <c r="K361" s="268"/>
      <c r="L361" s="268"/>
      <c r="M361" s="268"/>
      <c r="N361" s="268"/>
      <c r="O361" s="268"/>
      <c r="P361" s="268"/>
      <c r="Q361" s="268"/>
      <c r="R361" s="268"/>
      <c r="S361" s="268"/>
      <c r="T361" s="268"/>
      <c r="U361" s="268"/>
      <c r="V361" s="268"/>
      <c r="W361" s="268"/>
      <c r="X361" s="268"/>
      <c r="Y361" s="268"/>
      <c r="Z361" s="268"/>
      <c r="AA361" s="268"/>
      <c r="AB361" s="268"/>
      <c r="AC361" s="268"/>
      <c r="AD361" s="268"/>
      <c r="AE361" s="268"/>
      <c r="AF361" s="268"/>
      <c r="AG361" s="268"/>
      <c r="AH361" s="268"/>
      <c r="AI361" s="268"/>
      <c r="AJ361" s="268"/>
      <c r="AK361" s="268"/>
      <c r="AL361" s="268"/>
      <c r="AM361" s="268"/>
      <c r="AN361" s="268"/>
      <c r="AO361" s="268"/>
      <c r="AP361" s="268"/>
      <c r="AQ361" s="268"/>
      <c r="AR361" s="268"/>
      <c r="AS361" s="268"/>
      <c r="AT361" s="268"/>
      <c r="AU361" s="268"/>
      <c r="AV361" s="268"/>
      <c r="AW361" s="268"/>
      <c r="AX361" s="268"/>
      <c r="AY361" s="268"/>
      <c r="AZ361" s="268"/>
      <c r="BA361" s="268"/>
      <c r="BB361" s="268"/>
      <c r="BC361" s="268"/>
    </row>
    <row r="362" spans="2:55" s="106" customFormat="1" x14ac:dyDescent="0.3">
      <c r="B362" s="1194" t="s">
        <v>1075</v>
      </c>
      <c r="C362" s="1195"/>
      <c r="D362" s="1195"/>
      <c r="E362" s="1195"/>
      <c r="F362" s="325"/>
      <c r="G362" s="133"/>
      <c r="H362" s="138"/>
      <c r="I362" s="268"/>
      <c r="J362" s="268"/>
      <c r="K362" s="268"/>
      <c r="L362" s="268"/>
      <c r="M362" s="268"/>
      <c r="N362" s="268"/>
      <c r="O362" s="268"/>
      <c r="P362" s="268"/>
      <c r="Q362" s="268"/>
      <c r="R362" s="268"/>
      <c r="S362" s="268"/>
      <c r="T362" s="268"/>
      <c r="U362" s="268"/>
      <c r="V362" s="268"/>
      <c r="W362" s="268"/>
      <c r="X362" s="268"/>
      <c r="Y362" s="268"/>
      <c r="Z362" s="268"/>
      <c r="AA362" s="268"/>
      <c r="AB362" s="268"/>
      <c r="AC362" s="268"/>
      <c r="AD362" s="268"/>
      <c r="AE362" s="268"/>
      <c r="AF362" s="268"/>
      <c r="AG362" s="268"/>
      <c r="AH362" s="268"/>
      <c r="AI362" s="268"/>
      <c r="AJ362" s="268"/>
      <c r="AK362" s="268"/>
      <c r="AL362" s="268"/>
      <c r="AM362" s="268"/>
      <c r="AN362" s="268"/>
      <c r="AO362" s="268"/>
      <c r="AP362" s="268"/>
      <c r="AQ362" s="268"/>
      <c r="AR362" s="268"/>
      <c r="AS362" s="268"/>
      <c r="AT362" s="268"/>
      <c r="AU362" s="268"/>
      <c r="AV362" s="268"/>
      <c r="AW362" s="268"/>
      <c r="AX362" s="268"/>
      <c r="AY362" s="268"/>
      <c r="AZ362" s="268"/>
      <c r="BA362" s="268"/>
      <c r="BB362" s="268"/>
      <c r="BC362" s="268"/>
    </row>
    <row r="363" spans="2:55" s="106" customFormat="1" x14ac:dyDescent="0.3">
      <c r="B363" s="1196" t="s">
        <v>1072</v>
      </c>
      <c r="C363" s="1195"/>
      <c r="D363" s="1195"/>
      <c r="E363" s="1195"/>
      <c r="F363" s="325"/>
      <c r="G363" s="133"/>
      <c r="H363" s="138"/>
      <c r="I363" s="268"/>
      <c r="J363" s="268"/>
      <c r="K363" s="268"/>
      <c r="L363" s="268"/>
      <c r="M363" s="268"/>
      <c r="N363" s="268"/>
      <c r="O363" s="268"/>
      <c r="P363" s="268"/>
      <c r="Q363" s="268"/>
      <c r="R363" s="268"/>
      <c r="S363" s="268"/>
      <c r="T363" s="268"/>
      <c r="U363" s="268"/>
      <c r="V363" s="268"/>
      <c r="W363" s="268"/>
      <c r="X363" s="268"/>
      <c r="Y363" s="268"/>
      <c r="Z363" s="268"/>
      <c r="AA363" s="268"/>
      <c r="AB363" s="268"/>
      <c r="AC363" s="268"/>
      <c r="AD363" s="268"/>
      <c r="AE363" s="268"/>
      <c r="AF363" s="268"/>
      <c r="AG363" s="268"/>
      <c r="AH363" s="268"/>
      <c r="AI363" s="268"/>
      <c r="AJ363" s="268"/>
      <c r="AK363" s="268"/>
      <c r="AL363" s="268"/>
      <c r="AM363" s="268"/>
      <c r="AN363" s="268"/>
      <c r="AO363" s="268"/>
      <c r="AP363" s="268"/>
      <c r="AQ363" s="268"/>
      <c r="AR363" s="268"/>
      <c r="AS363" s="268"/>
      <c r="AT363" s="268"/>
      <c r="AU363" s="268"/>
      <c r="AV363" s="268"/>
      <c r="AW363" s="268"/>
      <c r="AX363" s="268"/>
      <c r="AY363" s="268"/>
      <c r="AZ363" s="268"/>
      <c r="BA363" s="268"/>
      <c r="BB363" s="268"/>
      <c r="BC363" s="268"/>
    </row>
    <row r="364" spans="2:55" s="106" customFormat="1" x14ac:dyDescent="0.3">
      <c r="B364" s="1197" t="s">
        <v>1076</v>
      </c>
      <c r="C364" s="1195"/>
      <c r="D364" s="1195"/>
      <c r="E364" s="1195"/>
      <c r="F364" s="325">
        <f>+DT!J21</f>
        <v>321058.53702500003</v>
      </c>
      <c r="G364" s="140">
        <f>+'[64]Deffered Tax'!J21</f>
        <v>635262.28757500008</v>
      </c>
      <c r="H364" s="13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268"/>
      <c r="AH364" s="268"/>
      <c r="AI364" s="268"/>
      <c r="AJ364" s="268"/>
      <c r="AK364" s="268"/>
      <c r="AL364" s="268"/>
      <c r="AM364" s="268"/>
      <c r="AN364" s="268"/>
      <c r="AO364" s="268"/>
      <c r="AP364" s="268"/>
      <c r="AQ364" s="268"/>
      <c r="AR364" s="268"/>
      <c r="AS364" s="268"/>
      <c r="AT364" s="268"/>
      <c r="AU364" s="268"/>
      <c r="AV364" s="268"/>
      <c r="AW364" s="268"/>
      <c r="AX364" s="268"/>
      <c r="AY364" s="268"/>
      <c r="AZ364" s="268"/>
      <c r="BA364" s="268"/>
      <c r="BB364" s="268"/>
      <c r="BC364" s="268"/>
    </row>
    <row r="365" spans="2:55" s="106" customFormat="1" x14ac:dyDescent="0.3">
      <c r="B365" s="1194" t="s">
        <v>1074</v>
      </c>
      <c r="C365" s="1195"/>
      <c r="D365" s="1195"/>
      <c r="E365" s="1195"/>
      <c r="F365" s="1199">
        <f>+F364</f>
        <v>321058.53702500003</v>
      </c>
      <c r="G365" s="167">
        <f>+G364</f>
        <v>635262.28757500008</v>
      </c>
      <c r="H365" s="290"/>
      <c r="I365" s="268"/>
      <c r="J365" s="268"/>
      <c r="K365" s="268"/>
      <c r="L365" s="268"/>
      <c r="M365" s="268"/>
      <c r="N365" s="268"/>
      <c r="O365" s="268"/>
      <c r="P365" s="268"/>
      <c r="Q365" s="268"/>
      <c r="R365" s="268"/>
      <c r="S365" s="268"/>
      <c r="T365" s="268"/>
      <c r="U365" s="268"/>
      <c r="V365" s="268"/>
      <c r="W365" s="268"/>
      <c r="X365" s="268"/>
      <c r="Y365" s="268"/>
      <c r="Z365" s="268"/>
      <c r="AA365" s="268"/>
      <c r="AB365" s="268"/>
      <c r="AC365" s="268"/>
      <c r="AD365" s="268"/>
      <c r="AE365" s="268"/>
      <c r="AF365" s="268"/>
      <c r="AG365" s="268"/>
      <c r="AH365" s="268"/>
      <c r="AI365" s="268"/>
      <c r="AJ365" s="268"/>
      <c r="AK365" s="268"/>
      <c r="AL365" s="268"/>
      <c r="AM365" s="268"/>
      <c r="AN365" s="268"/>
      <c r="AO365" s="268"/>
      <c r="AP365" s="268"/>
      <c r="AQ365" s="268"/>
      <c r="AR365" s="268"/>
      <c r="AS365" s="268"/>
      <c r="AT365" s="268"/>
      <c r="AU365" s="268"/>
      <c r="AV365" s="268"/>
      <c r="AW365" s="268"/>
      <c r="AX365" s="268"/>
      <c r="AY365" s="268"/>
      <c r="AZ365" s="268"/>
      <c r="BA365" s="268"/>
      <c r="BB365" s="268"/>
      <c r="BC365" s="268"/>
    </row>
    <row r="366" spans="2:55" s="106" customFormat="1" x14ac:dyDescent="0.3">
      <c r="B366" s="1194" t="s">
        <v>1077</v>
      </c>
      <c r="C366" s="72"/>
      <c r="D366" s="139"/>
      <c r="E366" s="139"/>
      <c r="F366" s="117">
        <f>+F360-F365</f>
        <v>19475120.165946875</v>
      </c>
      <c r="G366" s="117">
        <f>+G360-G365</f>
        <v>20264925.502264731</v>
      </c>
      <c r="H366" s="284"/>
      <c r="I366" s="268"/>
      <c r="J366" s="268"/>
      <c r="K366" s="268"/>
      <c r="L366" s="268"/>
      <c r="M366" s="268"/>
      <c r="N366" s="268"/>
      <c r="O366" s="268"/>
      <c r="P366" s="268"/>
      <c r="Q366" s="268"/>
      <c r="R366" s="268"/>
      <c r="S366" s="268"/>
      <c r="T366" s="268"/>
      <c r="U366" s="268"/>
      <c r="V366" s="268"/>
      <c r="W366" s="268"/>
      <c r="X366" s="268"/>
      <c r="Y366" s="268"/>
      <c r="Z366" s="268"/>
      <c r="AA366" s="268"/>
      <c r="AB366" s="268"/>
      <c r="AC366" s="268"/>
      <c r="AD366" s="268"/>
      <c r="AE366" s="268"/>
      <c r="AF366" s="268"/>
      <c r="AG366" s="268"/>
      <c r="AH366" s="268"/>
      <c r="AI366" s="268"/>
      <c r="AJ366" s="268"/>
      <c r="AK366" s="268"/>
      <c r="AL366" s="268"/>
      <c r="AM366" s="268"/>
      <c r="AN366" s="268"/>
      <c r="AO366" s="268"/>
      <c r="AP366" s="268"/>
      <c r="AQ366" s="268"/>
      <c r="AR366" s="268"/>
      <c r="AS366" s="268"/>
      <c r="AT366" s="268"/>
      <c r="AU366" s="268"/>
      <c r="AV366" s="268"/>
      <c r="AW366" s="268"/>
      <c r="AX366" s="268"/>
      <c r="AY366" s="268"/>
      <c r="AZ366" s="268"/>
      <c r="BA366" s="268"/>
      <c r="BB366" s="268"/>
      <c r="BC366" s="268"/>
    </row>
    <row r="367" spans="2:55" s="106" customFormat="1" x14ac:dyDescent="0.3">
      <c r="B367" s="1194"/>
      <c r="C367" s="72"/>
      <c r="D367" s="139"/>
      <c r="E367" s="139"/>
      <c r="F367" s="167"/>
      <c r="G367" s="109"/>
      <c r="H367" s="284"/>
      <c r="I367" s="268"/>
      <c r="J367" s="268"/>
      <c r="K367" s="268"/>
      <c r="L367" s="268"/>
      <c r="M367" s="268"/>
      <c r="N367" s="268"/>
      <c r="O367" s="268"/>
      <c r="P367" s="268"/>
      <c r="Q367" s="268"/>
      <c r="R367" s="268"/>
      <c r="S367" s="268"/>
      <c r="T367" s="268"/>
      <c r="U367" s="268"/>
      <c r="V367" s="268"/>
      <c r="W367" s="268"/>
      <c r="X367" s="268"/>
      <c r="Y367" s="268"/>
      <c r="Z367" s="268"/>
      <c r="AA367" s="268"/>
      <c r="AB367" s="268"/>
      <c r="AC367" s="268"/>
      <c r="AD367" s="268"/>
      <c r="AE367" s="268"/>
      <c r="AF367" s="268"/>
      <c r="AG367" s="268"/>
      <c r="AH367" s="268"/>
      <c r="AI367" s="268"/>
      <c r="AJ367" s="268"/>
      <c r="AK367" s="268"/>
      <c r="AL367" s="268"/>
      <c r="AM367" s="268"/>
      <c r="AN367" s="268"/>
      <c r="AO367" s="268"/>
      <c r="AP367" s="268"/>
      <c r="AQ367" s="268"/>
      <c r="AR367" s="268"/>
      <c r="AS367" s="268"/>
      <c r="AT367" s="268"/>
      <c r="AU367" s="268"/>
      <c r="AV367" s="268"/>
      <c r="AW367" s="268"/>
      <c r="AX367" s="268"/>
      <c r="AY367" s="268"/>
      <c r="AZ367" s="268"/>
      <c r="BA367" s="268"/>
      <c r="BB367" s="268"/>
      <c r="BC367" s="268"/>
    </row>
    <row r="368" spans="2:55" s="106" customFormat="1" x14ac:dyDescent="0.3">
      <c r="B368" s="169" t="s">
        <v>1078</v>
      </c>
      <c r="C368" s="31"/>
      <c r="D368" s="139"/>
      <c r="E368" s="32"/>
      <c r="F368" s="133">
        <f>+GETPIVOTDATA("Sum of Cr. Final HYR",Pivot!$A$3,"Note",12,"BS Main Head","Long Term Loans &amp; Advances","BS Sub Head","MAT Credit Entitlement")-GETPIVOTDATA("Sum of Dr. Final HYR",Pivot!$A$3,"Note",12,"BS Main Head","Long Term Loans &amp; Advances","BS Sub Head","MAT Credit Entitlement")</f>
        <v>0</v>
      </c>
      <c r="G368" s="44">
        <v>-1808134</v>
      </c>
      <c r="H368" s="1358"/>
      <c r="I368" s="268"/>
      <c r="J368" s="268"/>
      <c r="K368" s="268"/>
      <c r="L368" s="268"/>
      <c r="M368" s="268"/>
      <c r="N368" s="268"/>
      <c r="O368" s="268"/>
      <c r="P368" s="268"/>
      <c r="Q368" s="268"/>
      <c r="R368" s="268"/>
      <c r="S368" s="268"/>
      <c r="T368" s="268"/>
      <c r="U368" s="268"/>
      <c r="V368" s="268"/>
      <c r="W368" s="268"/>
      <c r="X368" s="268"/>
      <c r="Y368" s="268"/>
      <c r="Z368" s="268"/>
      <c r="AA368" s="268"/>
      <c r="AB368" s="268"/>
      <c r="AC368" s="268"/>
      <c r="AD368" s="268"/>
      <c r="AE368" s="268"/>
      <c r="AF368" s="268"/>
      <c r="AG368" s="268"/>
      <c r="AH368" s="268"/>
      <c r="AI368" s="268"/>
      <c r="AJ368" s="268"/>
      <c r="AK368" s="268"/>
      <c r="AL368" s="268"/>
      <c r="AM368" s="268"/>
      <c r="AN368" s="268"/>
      <c r="AO368" s="268"/>
      <c r="AP368" s="268"/>
      <c r="AQ368" s="268"/>
      <c r="AR368" s="268"/>
      <c r="AS368" s="268"/>
      <c r="AT368" s="268"/>
      <c r="AU368" s="268"/>
      <c r="AV368" s="268"/>
      <c r="AW368" s="268"/>
      <c r="AX368" s="268"/>
      <c r="AY368" s="268"/>
      <c r="AZ368" s="268"/>
      <c r="BA368" s="268"/>
      <c r="BB368" s="268"/>
      <c r="BC368" s="268"/>
    </row>
    <row r="369" spans="2:55" s="106" customFormat="1" x14ac:dyDescent="0.3">
      <c r="B369" s="135" t="s">
        <v>1079</v>
      </c>
      <c r="C369" s="31"/>
      <c r="D369" s="139"/>
      <c r="E369" s="32"/>
      <c r="F369" s="117">
        <f>+F366+F368</f>
        <v>19475120.165946875</v>
      </c>
      <c r="G369" s="117">
        <f>+G366+G368</f>
        <v>18456791.502264731</v>
      </c>
      <c r="H369" s="1200"/>
      <c r="I369" s="1201"/>
      <c r="J369" s="1201"/>
      <c r="K369" s="1201"/>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c r="AG369" s="268"/>
      <c r="AH369" s="268"/>
      <c r="AI369" s="268"/>
      <c r="AJ369" s="268"/>
      <c r="AK369" s="268"/>
      <c r="AL369" s="268"/>
      <c r="AM369" s="268"/>
      <c r="AN369" s="268"/>
      <c r="AO369" s="268"/>
      <c r="AP369" s="268"/>
      <c r="AQ369" s="268"/>
      <c r="AR369" s="268"/>
      <c r="AS369" s="268"/>
      <c r="AT369" s="268"/>
      <c r="AU369" s="268"/>
      <c r="AV369" s="268"/>
      <c r="AW369" s="268"/>
      <c r="AX369" s="268"/>
      <c r="AY369" s="268"/>
      <c r="AZ369" s="268"/>
      <c r="BA369" s="268"/>
      <c r="BB369" s="268"/>
      <c r="BC369" s="268"/>
    </row>
    <row r="370" spans="2:55" s="106" customFormat="1" x14ac:dyDescent="0.3">
      <c r="B370" s="135"/>
      <c r="C370" s="31"/>
      <c r="D370" s="139"/>
      <c r="E370" s="32"/>
      <c r="F370" s="133"/>
      <c r="G370" s="133"/>
      <c r="H370" s="32"/>
      <c r="I370" s="268"/>
      <c r="J370" s="268"/>
      <c r="K370" s="268"/>
      <c r="L370" s="268"/>
      <c r="M370" s="268"/>
      <c r="N370" s="268"/>
      <c r="O370" s="268"/>
      <c r="P370" s="268"/>
      <c r="Q370" s="268"/>
      <c r="R370" s="268"/>
      <c r="S370" s="268"/>
      <c r="T370" s="268"/>
      <c r="U370" s="268"/>
      <c r="V370" s="268"/>
      <c r="W370" s="268"/>
      <c r="X370" s="268"/>
      <c r="Y370" s="268"/>
      <c r="Z370" s="268"/>
      <c r="AA370" s="268"/>
      <c r="AB370" s="268"/>
      <c r="AC370" s="268"/>
      <c r="AD370" s="268"/>
      <c r="AE370" s="268"/>
      <c r="AF370" s="268"/>
      <c r="AG370" s="268"/>
      <c r="AH370" s="268"/>
      <c r="AI370" s="268"/>
      <c r="AJ370" s="268"/>
      <c r="AK370" s="268"/>
      <c r="AL370" s="268"/>
      <c r="AM370" s="268"/>
      <c r="AN370" s="268"/>
      <c r="AO370" s="268"/>
      <c r="AP370" s="268"/>
      <c r="AQ370" s="268"/>
      <c r="AR370" s="268"/>
      <c r="AS370" s="268"/>
      <c r="AT370" s="268"/>
      <c r="AU370" s="268"/>
      <c r="AV370" s="268"/>
      <c r="AW370" s="268"/>
      <c r="AX370" s="268"/>
      <c r="AY370" s="268"/>
      <c r="AZ370" s="268"/>
      <c r="BA370" s="268"/>
      <c r="BB370" s="268"/>
      <c r="BC370" s="268"/>
    </row>
    <row r="371" spans="2:55" x14ac:dyDescent="0.3">
      <c r="B371" s="124" t="s">
        <v>1080</v>
      </c>
      <c r="C371" s="125"/>
      <c r="D371" s="125"/>
      <c r="F371" s="133"/>
      <c r="G371" s="133"/>
    </row>
    <row r="372" spans="2:55" x14ac:dyDescent="0.3">
      <c r="B372" s="124"/>
      <c r="C372" s="125"/>
      <c r="D372" s="125"/>
      <c r="F372" s="133"/>
      <c r="G372" s="133"/>
    </row>
    <row r="373" spans="2:55" x14ac:dyDescent="0.3">
      <c r="B373" s="111" t="s">
        <v>1062</v>
      </c>
      <c r="C373" s="136"/>
      <c r="D373" s="136"/>
      <c r="F373" s="133"/>
      <c r="G373" s="133"/>
    </row>
    <row r="374" spans="2:55" x14ac:dyDescent="0.3">
      <c r="B374" s="170" t="s">
        <v>1081</v>
      </c>
      <c r="C374" s="145"/>
      <c r="D374" s="145"/>
      <c r="F374" s="133"/>
      <c r="G374" s="45"/>
      <c r="H374" s="33"/>
    </row>
    <row r="375" spans="2:55" x14ac:dyDescent="0.3">
      <c r="B375" s="162" t="s">
        <v>1082</v>
      </c>
      <c r="C375" s="145"/>
      <c r="D375" s="145"/>
      <c r="F375" s="133">
        <f>+GETPIVOTDATA("Sum of Cr. Final HYR",Pivot!$A$3,"Note",6,"BS Main Head","Short Term Borrowings","BS Sub Head","Secured - From Banks - Working Capital Loan")</f>
        <v>43576042.979999997</v>
      </c>
      <c r="G375" s="45">
        <f>GETPIVOTDATA("Sum of Cr. Final 2019-20",Pivot!$A$3,"Note",6,"BS Main Head","Short Term Borrowings","BS Sub Head","Secured - From Banks - Working Capital Loan")</f>
        <v>61843530.590000004</v>
      </c>
      <c r="H375" s="33"/>
    </row>
    <row r="376" spans="2:55" ht="37.15" customHeight="1" x14ac:dyDescent="0.3">
      <c r="B376" s="1761" t="s">
        <v>1083</v>
      </c>
      <c r="C376" s="1762"/>
      <c r="D376" s="1762"/>
      <c r="E376" s="1762"/>
      <c r="F376" s="175"/>
      <c r="G376" s="175"/>
      <c r="H376" s="1308"/>
    </row>
    <row r="377" spans="2:55" ht="36" customHeight="1" x14ac:dyDescent="0.3">
      <c r="B377" s="1761"/>
      <c r="C377" s="1762"/>
      <c r="D377" s="1762"/>
      <c r="E377" s="1762"/>
      <c r="F377" s="175"/>
      <c r="G377" s="175"/>
      <c r="H377" s="1308"/>
    </row>
    <row r="378" spans="2:55" ht="19.5" thickBot="1" x14ac:dyDescent="0.35">
      <c r="B378" s="107"/>
      <c r="C378" s="106"/>
      <c r="D378" s="106"/>
      <c r="F378" s="127">
        <f>+SUM(F375:F377)</f>
        <v>43576042.979999997</v>
      </c>
      <c r="G378" s="127">
        <f>+SUM(G375:G377)</f>
        <v>61843530.590000004</v>
      </c>
      <c r="H378" s="172"/>
    </row>
    <row r="379" spans="2:55" ht="19.5" thickTop="1" x14ac:dyDescent="0.3">
      <c r="B379" s="124" t="s">
        <v>1084</v>
      </c>
      <c r="C379" s="171"/>
      <c r="D379" s="171"/>
      <c r="F379" s="133"/>
      <c r="G379" s="151"/>
    </row>
    <row r="380" spans="2:55" x14ac:dyDescent="0.3">
      <c r="B380" s="137" t="s">
        <v>1085</v>
      </c>
      <c r="C380" s="171"/>
      <c r="D380" s="171"/>
      <c r="F380" s="133"/>
      <c r="G380" s="45"/>
      <c r="H380" s="33"/>
    </row>
    <row r="381" spans="2:55" x14ac:dyDescent="0.3">
      <c r="B381" s="131" t="s">
        <v>1086</v>
      </c>
      <c r="C381" s="171"/>
      <c r="D381" s="171"/>
      <c r="F381" s="133">
        <v>0</v>
      </c>
      <c r="G381" s="45">
        <f>GETPIVOTDATA("Sum of Cr. Final 2019-20",Pivot!$A$3,"Note",7,"BS Main Head","Trade Payables","BS Sub Head","Trade Payables")</f>
        <v>50171484.799999997</v>
      </c>
      <c r="H381" s="309"/>
    </row>
    <row r="382" spans="2:55" x14ac:dyDescent="0.3">
      <c r="B382" s="131" t="s">
        <v>1087</v>
      </c>
      <c r="C382" s="171"/>
      <c r="D382" s="171"/>
      <c r="F382" s="133">
        <f>+GETPIVOTDATA("Sum of Cr. Final HYR",Pivot!$A$3,"Note",7,"BS Main Head","Trade Payables")-GETPIVOTDATA("Sum of Dr. Final HYR",Pivot!$A$3,"Note",7,"BS Main Head","Trade Payables")</f>
        <v>79627699.75999999</v>
      </c>
      <c r="G382" s="151">
        <f>GETPIVOTDATA("Sum of Cr. Final 2019-20",Pivot!$A$3,"Note",7,"BS Main Head","Trade Payables","BS Sub Head","Trade Payables - Others")-GETPIVOTDATA("Sum of Dr. Final 2019-20",Pivot!$A$3,"Note",7,"BS Main Head","Trade Payables","BS Sub Head","Trade Payables - Others")</f>
        <v>8873981.7599999998</v>
      </c>
      <c r="H382" s="138"/>
    </row>
    <row r="383" spans="2:55" ht="19.5" thickBot="1" x14ac:dyDescent="0.35">
      <c r="B383" s="131"/>
      <c r="C383" s="171"/>
      <c r="D383" s="171"/>
      <c r="F383" s="127">
        <f>+SUM(F381:F382)</f>
        <v>79627699.75999999</v>
      </c>
      <c r="G383" s="127">
        <f>+SUM(G381:G382)</f>
        <v>59045466.559999995</v>
      </c>
      <c r="H383" s="172"/>
    </row>
    <row r="384" spans="2:55" ht="19.5" thickTop="1" x14ac:dyDescent="0.3">
      <c r="B384" s="1765" t="s">
        <v>3545</v>
      </c>
      <c r="C384" s="1766"/>
      <c r="D384" s="1766"/>
      <c r="E384" s="1766"/>
      <c r="F384" s="1766"/>
      <c r="G384" s="1767"/>
      <c r="H384" s="1301"/>
    </row>
    <row r="385" spans="2:55" x14ac:dyDescent="0.3">
      <c r="B385" s="1765"/>
      <c r="C385" s="1766"/>
      <c r="D385" s="1766"/>
      <c r="E385" s="1766"/>
      <c r="F385" s="1766"/>
      <c r="G385" s="1767"/>
      <c r="H385" s="1301"/>
    </row>
    <row r="386" spans="2:55" x14ac:dyDescent="0.3">
      <c r="B386" s="1765"/>
      <c r="C386" s="1766"/>
      <c r="D386" s="1766"/>
      <c r="E386" s="1766"/>
      <c r="F386" s="1766"/>
      <c r="G386" s="1767"/>
      <c r="H386" s="1301"/>
    </row>
    <row r="387" spans="2:55" x14ac:dyDescent="0.3">
      <c r="B387" s="1491"/>
      <c r="C387" s="1301"/>
      <c r="D387" s="1301"/>
      <c r="E387" s="1301"/>
      <c r="F387" s="1301"/>
      <c r="G387" s="1492"/>
      <c r="H387" s="1301"/>
    </row>
    <row r="388" spans="2:55" s="307" customFormat="1" x14ac:dyDescent="0.3">
      <c r="B388" s="1795" t="s">
        <v>1088</v>
      </c>
      <c r="C388" s="1795"/>
      <c r="D388" s="1795"/>
      <c r="E388" s="1795"/>
      <c r="F388" s="408" t="s">
        <v>1122</v>
      </c>
      <c r="G388" s="409" t="s">
        <v>1089</v>
      </c>
      <c r="H388" s="410"/>
      <c r="I388" s="306"/>
      <c r="J388" s="306"/>
      <c r="K388" s="306"/>
      <c r="L388" s="306"/>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6"/>
      <c r="AL388" s="306"/>
      <c r="AM388" s="306"/>
      <c r="AN388" s="306"/>
      <c r="AO388" s="306"/>
      <c r="AP388" s="306"/>
      <c r="AQ388" s="306"/>
      <c r="AR388" s="306"/>
      <c r="AS388" s="306"/>
      <c r="AT388" s="306"/>
      <c r="AU388" s="306"/>
      <c r="AV388" s="306"/>
      <c r="AW388" s="306"/>
      <c r="AX388" s="306"/>
      <c r="AY388" s="306"/>
      <c r="AZ388" s="306"/>
      <c r="BA388" s="306"/>
      <c r="BB388" s="306"/>
      <c r="BC388" s="306"/>
    </row>
    <row r="389" spans="2:55" s="307" customFormat="1" x14ac:dyDescent="0.3">
      <c r="B389" s="1796" t="s">
        <v>1090</v>
      </c>
      <c r="C389" s="1797"/>
      <c r="D389" s="1797"/>
      <c r="E389" s="1798"/>
      <c r="F389" s="411"/>
      <c r="G389" s="406">
        <v>11323685</v>
      </c>
      <c r="H389" s="407"/>
      <c r="I389" s="306"/>
      <c r="J389" s="306"/>
      <c r="K389" s="306"/>
      <c r="L389" s="306"/>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6"/>
      <c r="AL389" s="306"/>
      <c r="AM389" s="306"/>
      <c r="AN389" s="306"/>
      <c r="AO389" s="306"/>
      <c r="AP389" s="306"/>
      <c r="AQ389" s="306"/>
      <c r="AR389" s="306"/>
      <c r="AS389" s="306"/>
      <c r="AT389" s="306"/>
      <c r="AU389" s="306"/>
      <c r="AV389" s="306"/>
      <c r="AW389" s="306"/>
      <c r="AX389" s="306"/>
      <c r="AY389" s="306"/>
      <c r="AZ389" s="306"/>
      <c r="BA389" s="306"/>
      <c r="BB389" s="306"/>
      <c r="BC389" s="306"/>
    </row>
    <row r="390" spans="2:55" s="307" customFormat="1" x14ac:dyDescent="0.3">
      <c r="B390" s="1796" t="s">
        <v>1091</v>
      </c>
      <c r="C390" s="1797"/>
      <c r="D390" s="1797"/>
      <c r="E390" s="1798"/>
      <c r="F390" s="411"/>
      <c r="G390" s="406">
        <v>0</v>
      </c>
      <c r="H390" s="407"/>
      <c r="I390" s="306"/>
      <c r="J390" s="306"/>
      <c r="K390" s="306"/>
      <c r="L390" s="306"/>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6"/>
      <c r="AL390" s="306"/>
      <c r="AM390" s="306"/>
      <c r="AN390" s="306"/>
      <c r="AO390" s="306"/>
      <c r="AP390" s="306"/>
      <c r="AQ390" s="306"/>
      <c r="AR390" s="306"/>
      <c r="AS390" s="306"/>
      <c r="AT390" s="306"/>
      <c r="AU390" s="306"/>
      <c r="AV390" s="306"/>
      <c r="AW390" s="306"/>
      <c r="AX390" s="306"/>
      <c r="AY390" s="306"/>
      <c r="AZ390" s="306"/>
      <c r="BA390" s="306"/>
      <c r="BB390" s="306"/>
      <c r="BC390" s="306"/>
    </row>
    <row r="391" spans="2:55" s="307" customFormat="1" x14ac:dyDescent="0.3">
      <c r="B391" s="1507"/>
      <c r="C391" s="1508"/>
      <c r="D391" s="1508"/>
      <c r="E391" s="1495"/>
      <c r="F391" s="411"/>
      <c r="G391" s="406"/>
      <c r="H391" s="407"/>
      <c r="I391" s="306"/>
      <c r="J391" s="306"/>
      <c r="K391" s="306"/>
      <c r="L391" s="306"/>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6"/>
      <c r="AL391" s="306"/>
      <c r="AM391" s="306"/>
      <c r="AN391" s="306"/>
      <c r="AO391" s="306"/>
      <c r="AP391" s="306"/>
      <c r="AQ391" s="306"/>
      <c r="AR391" s="306"/>
      <c r="AS391" s="306"/>
      <c r="AT391" s="306"/>
      <c r="AU391" s="306"/>
      <c r="AV391" s="306"/>
      <c r="AW391" s="306"/>
      <c r="AX391" s="306"/>
      <c r="AY391" s="306"/>
      <c r="AZ391" s="306"/>
      <c r="BA391" s="306"/>
      <c r="BB391" s="306"/>
      <c r="BC391" s="306"/>
    </row>
    <row r="392" spans="2:55" s="307" customFormat="1" ht="53.45" customHeight="1" x14ac:dyDescent="0.3">
      <c r="B392" s="1799" t="s">
        <v>1092</v>
      </c>
      <c r="C392" s="1799"/>
      <c r="D392" s="1799"/>
      <c r="E392" s="1799"/>
      <c r="F392" s="412"/>
      <c r="G392" s="406">
        <v>0</v>
      </c>
      <c r="H392" s="407"/>
      <c r="I392" s="306"/>
      <c r="J392" s="306"/>
      <c r="K392" s="306"/>
      <c r="L392" s="306"/>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6"/>
      <c r="AL392" s="306"/>
      <c r="AM392" s="306"/>
      <c r="AN392" s="306"/>
      <c r="AO392" s="306"/>
      <c r="AP392" s="306"/>
      <c r="AQ392" s="306"/>
      <c r="AR392" s="306"/>
      <c r="AS392" s="306"/>
      <c r="AT392" s="306"/>
      <c r="AU392" s="306"/>
      <c r="AV392" s="306"/>
      <c r="AW392" s="306"/>
      <c r="AX392" s="306"/>
      <c r="AY392" s="306"/>
      <c r="AZ392" s="306"/>
      <c r="BA392" s="306"/>
      <c r="BB392" s="306"/>
      <c r="BC392" s="306"/>
    </row>
    <row r="393" spans="2:55" s="307" customFormat="1" ht="53.45" customHeight="1" x14ac:dyDescent="0.3">
      <c r="B393" s="1799" t="s">
        <v>1093</v>
      </c>
      <c r="C393" s="1799"/>
      <c r="D393" s="1799"/>
      <c r="E393" s="1799"/>
      <c r="F393" s="412"/>
      <c r="G393" s="406">
        <v>0</v>
      </c>
      <c r="H393" s="407"/>
      <c r="I393" s="306"/>
      <c r="J393" s="306"/>
      <c r="K393" s="306"/>
      <c r="L393" s="306"/>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6"/>
      <c r="AL393" s="306"/>
      <c r="AM393" s="306"/>
      <c r="AN393" s="306"/>
      <c r="AO393" s="306"/>
      <c r="AP393" s="306"/>
      <c r="AQ393" s="306"/>
      <c r="AR393" s="306"/>
      <c r="AS393" s="306"/>
      <c r="AT393" s="306"/>
      <c r="AU393" s="306"/>
      <c r="AV393" s="306"/>
      <c r="AW393" s="306"/>
      <c r="AX393" s="306"/>
      <c r="AY393" s="306"/>
      <c r="AZ393" s="306"/>
      <c r="BA393" s="306"/>
      <c r="BB393" s="306"/>
      <c r="BC393" s="306"/>
    </row>
    <row r="394" spans="2:55" s="307" customFormat="1" x14ac:dyDescent="0.3">
      <c r="B394" s="1799" t="s">
        <v>1094</v>
      </c>
      <c r="C394" s="1799"/>
      <c r="D394" s="1799"/>
      <c r="E394" s="1799"/>
      <c r="F394" s="412"/>
      <c r="G394" s="406">
        <v>0</v>
      </c>
      <c r="H394" s="407"/>
      <c r="I394" s="306"/>
      <c r="J394" s="306"/>
      <c r="K394" s="306"/>
      <c r="L394" s="306"/>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6"/>
      <c r="AL394" s="306"/>
      <c r="AM394" s="306"/>
      <c r="AN394" s="306"/>
      <c r="AO394" s="306"/>
      <c r="AP394" s="306"/>
      <c r="AQ394" s="306"/>
      <c r="AR394" s="306"/>
      <c r="AS394" s="306"/>
      <c r="AT394" s="306"/>
      <c r="AU394" s="306"/>
      <c r="AV394" s="306"/>
      <c r="AW394" s="306"/>
      <c r="AX394" s="306"/>
      <c r="AY394" s="306"/>
      <c r="AZ394" s="306"/>
      <c r="BA394" s="306"/>
      <c r="BB394" s="306"/>
      <c r="BC394" s="306"/>
    </row>
    <row r="395" spans="2:55" s="307" customFormat="1" ht="51.6" customHeight="1" x14ac:dyDescent="0.3">
      <c r="B395" s="1799" t="s">
        <v>1095</v>
      </c>
      <c r="C395" s="1799"/>
      <c r="D395" s="1799"/>
      <c r="E395" s="1799"/>
      <c r="F395" s="412"/>
      <c r="G395" s="406">
        <v>0</v>
      </c>
      <c r="H395" s="407"/>
      <c r="I395" s="306"/>
      <c r="J395" s="306"/>
      <c r="K395" s="306"/>
      <c r="L395" s="306"/>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6"/>
      <c r="AL395" s="306"/>
      <c r="AM395" s="306"/>
      <c r="AN395" s="306"/>
      <c r="AO395" s="306"/>
      <c r="AP395" s="306"/>
      <c r="AQ395" s="306"/>
      <c r="AR395" s="306"/>
      <c r="AS395" s="306"/>
      <c r="AT395" s="306"/>
      <c r="AU395" s="306"/>
      <c r="AV395" s="306"/>
      <c r="AW395" s="306"/>
      <c r="AX395" s="306"/>
      <c r="AY395" s="306"/>
      <c r="AZ395" s="306"/>
      <c r="BA395" s="306"/>
      <c r="BB395" s="306"/>
      <c r="BC395" s="306"/>
    </row>
    <row r="396" spans="2:55" x14ac:dyDescent="0.3">
      <c r="B396" s="131"/>
      <c r="C396" s="171"/>
      <c r="D396" s="171"/>
      <c r="F396" s="1506"/>
      <c r="G396" s="158"/>
      <c r="H396" s="172"/>
    </row>
    <row r="397" spans="2:55" x14ac:dyDescent="0.3">
      <c r="B397" s="142" t="s">
        <v>1096</v>
      </c>
      <c r="C397" s="129"/>
      <c r="D397" s="129"/>
      <c r="F397" s="133"/>
      <c r="G397" s="151"/>
    </row>
    <row r="398" spans="2:55" x14ac:dyDescent="0.3">
      <c r="B398" s="173" t="s">
        <v>1097</v>
      </c>
      <c r="C398" s="129"/>
      <c r="D398" s="129"/>
      <c r="F398" s="133"/>
      <c r="G398" s="133"/>
    </row>
    <row r="399" spans="2:55" x14ac:dyDescent="0.3">
      <c r="B399" s="131" t="s">
        <v>1098</v>
      </c>
      <c r="C399" s="174"/>
      <c r="D399" s="174"/>
      <c r="E399" s="1308"/>
      <c r="F399" s="175">
        <f>+'Term Loan'!E5+'Term Loan'!E6</f>
        <v>5700000</v>
      </c>
      <c r="G399" s="175">
        <v>6648561</v>
      </c>
      <c r="H399" s="223"/>
    </row>
    <row r="400" spans="2:55" x14ac:dyDescent="0.3">
      <c r="B400" s="131" t="s">
        <v>2273</v>
      </c>
      <c r="C400" s="174"/>
      <c r="D400" s="174"/>
      <c r="E400" s="1308"/>
      <c r="F400" s="175">
        <f>+'Term Loan'!E4</f>
        <v>4055560</v>
      </c>
      <c r="G400" s="175">
        <v>0</v>
      </c>
      <c r="H400" s="223"/>
    </row>
    <row r="401" spans="2:55" x14ac:dyDescent="0.3">
      <c r="B401" s="131" t="s">
        <v>1099</v>
      </c>
      <c r="C401" s="174"/>
      <c r="D401" s="174"/>
      <c r="E401" s="1308"/>
      <c r="F401" s="175">
        <v>0</v>
      </c>
      <c r="G401" s="175">
        <v>130397</v>
      </c>
      <c r="H401" s="223"/>
    </row>
    <row r="402" spans="2:55" x14ac:dyDescent="0.3">
      <c r="B402" s="131" t="s">
        <v>1100</v>
      </c>
      <c r="C402" s="174"/>
      <c r="D402" s="174"/>
      <c r="F402" s="133">
        <f>+GETPIVOTDATA("Sum of Cr. Final HYR",Pivot!$A$3,"PARTICULARS","Interest Payable","Note",8,"BS Main Head","Other Current Liabilities","BS Sub Head","Other Current Liabilities")</f>
        <v>139269</v>
      </c>
      <c r="G402" s="133">
        <f>+GETPIVOTDATA("Sum of Cr. Final 2019-20",Pivot!$A$3,"PARTICULARS","Interest Payable","Note",8,"BS Main Head","Other Current Liabilities","BS Sub Head","Other Current Liabilities")</f>
        <v>574034.93999999994</v>
      </c>
      <c r="H402" s="138"/>
    </row>
    <row r="403" spans="2:55" x14ac:dyDescent="0.3">
      <c r="B403" s="73" t="s">
        <v>1101</v>
      </c>
      <c r="C403" s="174"/>
      <c r="D403" s="174"/>
      <c r="E403" s="177"/>
      <c r="F403" s="133">
        <v>0</v>
      </c>
      <c r="G403" s="133">
        <f>GETPIVOTDATA("Sum of Cr. Final 2019-20",Pivot!$A$3,"PARTICULARS","Payable to Investor education &amp; Protection Fund","Note",8,"BS Main Head","Other Current Liabilities","BS Sub Head","Dividend Payable")</f>
        <v>84300</v>
      </c>
      <c r="H403" s="177"/>
    </row>
    <row r="404" spans="2:55" x14ac:dyDescent="0.3">
      <c r="B404" s="73" t="s">
        <v>2305</v>
      </c>
      <c r="C404" s="174"/>
      <c r="D404" s="174"/>
      <c r="E404" s="177"/>
      <c r="F404" s="133">
        <f>+GETPIVOTDATA("Sum of Cr. Final HYR",Pivot!$A$3,"PARTICULARS","Remuneration Payable","Note",9,"BS Main Head","Short Term Provision","BS Sub Head","Provision for Employee Benefit")</f>
        <v>216400</v>
      </c>
      <c r="G404" s="133">
        <v>0</v>
      </c>
      <c r="H404" s="177"/>
    </row>
    <row r="405" spans="2:55" x14ac:dyDescent="0.3">
      <c r="B405" s="1307" t="s">
        <v>796</v>
      </c>
      <c r="C405" s="174"/>
      <c r="D405" s="174"/>
      <c r="E405" s="177"/>
      <c r="F405" s="133">
        <f>+GETPIVOTDATA("Sum of Cr. Final HYR",Pivot!$A$3,"Note",8,"BS Main Head","Other Current Liabilities","BS Sub Head","Employee Payables")</f>
        <v>1029792</v>
      </c>
      <c r="G405" s="133">
        <f>GETPIVOTDATA("Sum of Cr. Final 2019-20",Pivot!$A$3,"Note",8,"BS Main Head","Other Current Liabilities","BS Sub Head","Employee Payables")</f>
        <v>803704</v>
      </c>
      <c r="H405" s="177"/>
    </row>
    <row r="406" spans="2:55" x14ac:dyDescent="0.3">
      <c r="B406" s="178"/>
      <c r="C406" s="174"/>
      <c r="D406" s="174"/>
      <c r="F406" s="49">
        <f>+SUM(F399:F405)</f>
        <v>11141021</v>
      </c>
      <c r="G406" s="49">
        <f>+SUM(G399:G405)</f>
        <v>8240996.9399999995</v>
      </c>
      <c r="H406" s="172"/>
    </row>
    <row r="407" spans="2:55" x14ac:dyDescent="0.3">
      <c r="B407" s="142" t="s">
        <v>1102</v>
      </c>
      <c r="C407" s="174"/>
      <c r="D407" s="174"/>
      <c r="F407" s="133"/>
      <c r="G407" s="133"/>
    </row>
    <row r="408" spans="2:55" x14ac:dyDescent="0.3">
      <c r="B408" s="254" t="s">
        <v>567</v>
      </c>
      <c r="C408" s="174"/>
      <c r="D408" s="174"/>
      <c r="E408" s="177"/>
      <c r="F408" s="133">
        <f>+GETPIVOTDATA("Sum of Cr. Final HYR",Pivot!$A$3,"Note",8,"BS Main Head","Other Current Liabilities","BS Sub Head","Statutory Dues")+GETPIVOTDATA("Sum of Cr. Final HYR",Pivot!$A$3,"Note",12,"BS Main Head","Long Term Loans &amp; Advances","BS Sub Head","GST")-GETPIVOTDATA("Sum of Dr. Final HYR",Pivot!$A$3,"Note",12,"BS Main Head","Long Term Loans &amp; Advances","BS Sub Head","GST")</f>
        <v>6685831.3100000005</v>
      </c>
      <c r="G408" s="133">
        <f>GETPIVOTDATA("Sum of Cr. Final 2019-20",Pivot!$A$3,"Note",8,"BS Main Head","Other Current Liabilities","BS Sub Head","Statutory Dues")</f>
        <v>537842.43999999994</v>
      </c>
      <c r="H408" s="177"/>
    </row>
    <row r="409" spans="2:55" x14ac:dyDescent="0.3">
      <c r="B409" s="178"/>
      <c r="C409" s="174"/>
      <c r="D409" s="174"/>
      <c r="F409" s="49">
        <f>+SUM(F408)</f>
        <v>6685831.3100000005</v>
      </c>
      <c r="G409" s="49">
        <f>+SUM(G408)</f>
        <v>537842.43999999994</v>
      </c>
      <c r="H409" s="172"/>
    </row>
    <row r="410" spans="2:55" x14ac:dyDescent="0.3">
      <c r="B410" s="142" t="s">
        <v>1103</v>
      </c>
      <c r="C410" s="174"/>
      <c r="D410" s="174"/>
      <c r="F410" s="133"/>
      <c r="G410" s="133"/>
      <c r="H410" s="138">
        <f>+GETPIVOTDATA("Sum of Dr. Final HYR",Pivot!$A$3,"PARTICULARS","Advance Income Tax (A.Y. 2021-22)","Note",12,"BS Main Head","Long Term Loans &amp; Advances","BS Sub Head","Advance Income Tax")-GETPIVOTDATA("Sum of Dr. Final HYR",Pivot!$A$3,"PARTICULARS","TCS on  CHEMICAL","Note",12,"BS Main Head","Long Term Loans &amp; Advances","BS Sub Head","Advance Income Tax")</f>
        <v>13000000</v>
      </c>
    </row>
    <row r="411" spans="2:55" hidden="1" x14ac:dyDescent="0.3">
      <c r="B411" s="179"/>
      <c r="C411" s="174"/>
      <c r="D411" s="174"/>
      <c r="F411" s="133"/>
      <c r="G411" s="133"/>
      <c r="H411" s="138">
        <f>-GETPIVOTDATA("Sum of Dr. Final HYR",Pivot!$A$3,"PARTICULARS","TCS on  CHEMICAL","Note",12,"BS Main Head","Long Term Loans &amp; Advances","BS Sub Head","Advance Income Tax")</f>
        <v>0</v>
      </c>
    </row>
    <row r="412" spans="2:55" s="1585" customFormat="1" x14ac:dyDescent="0.3">
      <c r="B412" s="179" t="s">
        <v>1104</v>
      </c>
      <c r="C412" s="174"/>
      <c r="D412" s="174"/>
      <c r="E412" s="32"/>
      <c r="F412" s="1648">
        <v>0</v>
      </c>
      <c r="G412" s="45">
        <v>0</v>
      </c>
      <c r="H412" s="1593"/>
      <c r="I412" s="1591"/>
      <c r="J412" s="1591"/>
      <c r="K412" s="1591"/>
      <c r="L412" s="1591"/>
      <c r="M412" s="1591"/>
      <c r="N412" s="1591"/>
      <c r="O412" s="1591"/>
      <c r="P412" s="1591"/>
      <c r="Q412" s="1591"/>
      <c r="R412" s="1591"/>
      <c r="S412" s="1591"/>
      <c r="T412" s="1591"/>
      <c r="U412" s="1591"/>
      <c r="V412" s="1591"/>
      <c r="W412" s="1591"/>
      <c r="X412" s="1591"/>
      <c r="Y412" s="1591"/>
      <c r="Z412" s="1591"/>
      <c r="AA412" s="1591"/>
      <c r="AB412" s="1591"/>
      <c r="AC412" s="1591"/>
      <c r="AD412" s="1591"/>
      <c r="AE412" s="1591"/>
      <c r="AF412" s="1591"/>
      <c r="AG412" s="1591"/>
      <c r="AH412" s="1591"/>
      <c r="AI412" s="1591"/>
      <c r="AJ412" s="1591"/>
      <c r="AK412" s="1591"/>
      <c r="AL412" s="1591"/>
      <c r="AM412" s="1591"/>
      <c r="AN412" s="1591"/>
      <c r="AO412" s="1591"/>
      <c r="AP412" s="1591"/>
      <c r="AQ412" s="1591"/>
      <c r="AR412" s="1591"/>
      <c r="AS412" s="1591"/>
      <c r="AT412" s="1591"/>
      <c r="AU412" s="1591"/>
      <c r="AV412" s="1591"/>
      <c r="AW412" s="1591"/>
      <c r="AX412" s="1591"/>
      <c r="AY412" s="1591"/>
      <c r="AZ412" s="1591"/>
      <c r="BA412" s="1591"/>
      <c r="BB412" s="1591"/>
      <c r="BC412" s="1591"/>
    </row>
    <row r="413" spans="2:55" x14ac:dyDescent="0.3">
      <c r="B413" s="162" t="s">
        <v>1105</v>
      </c>
      <c r="C413" s="180"/>
      <c r="D413" s="180"/>
      <c r="E413" s="130"/>
      <c r="F413" s="133">
        <f>+GETPIVOTDATA("Sum of Cr. Final HYR",Pivot!$A$3,"PARTICULARS","Incentive/ Bonus Payable","Note",9,"BS Main Head","Short Term Provision","BS Sub Head","Provision for Employee Benefit")+GETPIVOTDATA("Sum of Cr. Final HYR",Pivot!$A$3,"PARTICULARS","Leave Encashment Payable","Note",9,"BS Main Head","Short Term Provision","BS Sub Head","Provision for Employee Benefit")+0.495</f>
        <v>1499180.4950000001</v>
      </c>
      <c r="G413" s="45">
        <f>+GETPIVOTDATA("Sum of Cr. Final 2019-20",Pivot!$A$3,"PARTICULARS","Leave Encashment Payable","Note",9,"BS Main Head","Short Term Provision","BS Sub Head","Provision for Employee Benefit")+GETPIVOTDATA("Sum of Cr. Final 2019-20",Pivot!$A$3,"PARTICULARS","Incentive/ Bonus Payable","Note",9,"BS Main Head","Short Term Provision","BS Sub Head","Provision for Employee Benefit")</f>
        <v>1454879</v>
      </c>
      <c r="H413" s="33"/>
    </row>
    <row r="414" spans="2:55" x14ac:dyDescent="0.3">
      <c r="B414" s="162" t="s">
        <v>3546</v>
      </c>
      <c r="C414" s="180"/>
      <c r="D414" s="180"/>
      <c r="E414" s="130"/>
      <c r="F414" s="45">
        <v>1776180</v>
      </c>
      <c r="G414" s="45">
        <v>1670270</v>
      </c>
      <c r="H414" s="33"/>
    </row>
    <row r="415" spans="2:55" x14ac:dyDescent="0.3">
      <c r="B415" s="162" t="s">
        <v>3558</v>
      </c>
      <c r="C415" s="180"/>
      <c r="D415" s="180"/>
      <c r="E415" s="130"/>
      <c r="F415" s="45">
        <f>+GETPIVOTDATA("Sum of Cr. Final HYR",Pivot!$A$3,"Note",9,"BS Main Head","Short Term Provision","BS Sub Head","CSR Expenses  Payable")</f>
        <v>280877</v>
      </c>
      <c r="G415" s="45">
        <v>0</v>
      </c>
      <c r="H415" s="33"/>
    </row>
    <row r="416" spans="2:55" x14ac:dyDescent="0.3">
      <c r="B416" s="1509"/>
      <c r="C416" s="1510"/>
      <c r="D416" s="1510"/>
      <c r="E416" s="77"/>
      <c r="F416" s="49">
        <f>+SUM(F411:F415)</f>
        <v>3556237.4950000001</v>
      </c>
      <c r="G416" s="49">
        <f>+SUM(G411:G414)</f>
        <v>3125149</v>
      </c>
      <c r="H416" s="172"/>
    </row>
    <row r="417" spans="1:55" s="35" customFormat="1" x14ac:dyDescent="0.3">
      <c r="A417" s="30"/>
      <c r="B417" s="1819" t="s">
        <v>907</v>
      </c>
      <c r="C417" s="1820"/>
      <c r="D417" s="1820"/>
      <c r="E417" s="1820"/>
      <c r="F417" s="1820"/>
      <c r="G417" s="1821"/>
      <c r="H417" s="413"/>
      <c r="I417" s="269" t="s">
        <v>1121</v>
      </c>
      <c r="J417" s="269" t="s">
        <v>1089</v>
      </c>
      <c r="K417" s="269" t="s">
        <v>1123</v>
      </c>
      <c r="L417" s="269" t="s">
        <v>1089</v>
      </c>
      <c r="M417" s="269" t="s">
        <v>1124</v>
      </c>
      <c r="N417" s="269" t="s">
        <v>1089</v>
      </c>
      <c r="O417" s="269"/>
      <c r="P417" s="270"/>
      <c r="Q417" s="263"/>
      <c r="R417" s="266"/>
      <c r="S417" s="266"/>
      <c r="T417" s="266"/>
      <c r="U417" s="266"/>
      <c r="V417" s="266"/>
      <c r="W417" s="266"/>
      <c r="X417" s="266"/>
      <c r="Y417" s="266"/>
      <c r="Z417" s="266"/>
      <c r="AA417" s="266"/>
      <c r="AB417" s="266"/>
      <c r="AC417" s="266"/>
      <c r="AD417" s="266"/>
      <c r="AE417" s="266"/>
      <c r="AF417" s="266"/>
      <c r="AG417" s="266"/>
      <c r="AH417" s="266"/>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row>
    <row r="418" spans="1:55" x14ac:dyDescent="0.3">
      <c r="B418" s="1824" t="s">
        <v>1328</v>
      </c>
      <c r="C418" s="1825"/>
      <c r="D418" s="1825"/>
      <c r="E418" s="1825"/>
      <c r="F418" s="1825"/>
      <c r="G418" s="1826"/>
      <c r="H418" s="1316"/>
      <c r="I418" s="269" t="s">
        <v>1126</v>
      </c>
      <c r="J418" s="269">
        <f>+GETPIVOTDATA("Sum of Dr. Final 2019-20",Pivot!$A$3,"Note",26,"BS Main Head","Other Expenses","BS Sub Head","Manufacturing Expenses - Power &amp; Fuel Consumed")</f>
        <v>132169304.02</v>
      </c>
      <c r="K418" s="269" t="s">
        <v>1126</v>
      </c>
      <c r="L418" s="269">
        <f>+GETPIVOTDATA("Sum of Dr. Final 2019-20",Pivot!$A$3,"Note",26,"BS Main Head","Other Expenses","BS Sub Head","Manufacturing Expenses - Stores &amp; Spares Consumed")</f>
        <v>9155866.8599999994</v>
      </c>
      <c r="M418" s="269" t="s">
        <v>1126</v>
      </c>
      <c r="N418" s="269">
        <f>+GETPIVOTDATA("Sum of Dr. Final 2019-20",Pivot!$A$3,"Note",26,"BS Main Head","Other Expenses","BS Sub Head","Manufacturing Expenses - Packing Material Consumed")</f>
        <v>7664377.8099999996</v>
      </c>
      <c r="O418" s="269"/>
      <c r="P418" s="270"/>
      <c r="Q418" s="271"/>
    </row>
    <row r="419" spans="1:55" x14ac:dyDescent="0.3">
      <c r="B419" s="100" t="s">
        <v>451</v>
      </c>
      <c r="C419" s="1328"/>
      <c r="D419" s="1328"/>
      <c r="E419" s="1329"/>
      <c r="F419" s="1324" t="s">
        <v>909</v>
      </c>
      <c r="G419" s="1324" t="s">
        <v>957</v>
      </c>
      <c r="H419" s="1338"/>
      <c r="I419" s="269" t="s">
        <v>1127</v>
      </c>
      <c r="J419" s="269">
        <f>+K434</f>
        <v>1264539</v>
      </c>
      <c r="K419" s="269" t="s">
        <v>1127</v>
      </c>
      <c r="L419" s="269">
        <f>+K433</f>
        <v>7318133</v>
      </c>
      <c r="M419" s="269" t="s">
        <v>1127</v>
      </c>
      <c r="N419" s="269">
        <f>+K432</f>
        <v>536457</v>
      </c>
      <c r="O419" s="269"/>
      <c r="P419" s="270"/>
    </row>
    <row r="420" spans="1:55" x14ac:dyDescent="0.3">
      <c r="B420" s="101"/>
      <c r="C420" s="102"/>
      <c r="D420" s="102"/>
      <c r="E420" s="77"/>
      <c r="F420" s="319" t="str">
        <f>+F5</f>
        <v>March 31, 2021 (₹)</v>
      </c>
      <c r="G420" s="38" t="s">
        <v>911</v>
      </c>
      <c r="H420" s="99"/>
      <c r="I420" s="269" t="s">
        <v>1128</v>
      </c>
      <c r="J420" s="269">
        <f>+M434</f>
        <v>2340378</v>
      </c>
      <c r="K420" s="269" t="s">
        <v>1128</v>
      </c>
      <c r="L420" s="269">
        <f>+M433</f>
        <v>10405893</v>
      </c>
      <c r="M420" s="269" t="s">
        <v>1128</v>
      </c>
      <c r="N420" s="269">
        <f>+M432</f>
        <v>415906</v>
      </c>
      <c r="O420" s="269"/>
      <c r="P420" s="270"/>
    </row>
    <row r="421" spans="1:55" x14ac:dyDescent="0.3">
      <c r="B421" s="142" t="s">
        <v>1106</v>
      </c>
      <c r="C421" s="72"/>
      <c r="D421" s="72"/>
      <c r="E421" s="52"/>
      <c r="F421" s="80"/>
      <c r="G421" s="80"/>
      <c r="H421" s="1339"/>
      <c r="I421" s="269"/>
      <c r="J421" s="269"/>
      <c r="K421" s="269"/>
      <c r="L421" s="269"/>
      <c r="M421" s="269"/>
      <c r="N421" s="269"/>
      <c r="O421" s="269"/>
      <c r="P421" s="270"/>
    </row>
    <row r="422" spans="1:55" x14ac:dyDescent="0.3">
      <c r="B422" s="128" t="s">
        <v>1107</v>
      </c>
      <c r="C422" s="72"/>
      <c r="D422" s="72"/>
      <c r="E422" s="52"/>
      <c r="F422" s="80"/>
      <c r="G422" s="80"/>
      <c r="H422" s="1339"/>
      <c r="I422" s="269"/>
      <c r="J422" s="269">
        <f>+J418+J419-J420</f>
        <v>131093465.02</v>
      </c>
      <c r="K422" s="269"/>
      <c r="L422" s="269">
        <f>+L418+L419-L420</f>
        <v>6068106.8599999994</v>
      </c>
      <c r="M422" s="269"/>
      <c r="N422" s="269">
        <f>+N418+N419-N420</f>
        <v>7784928.8099999996</v>
      </c>
      <c r="O422" s="269"/>
      <c r="P422" s="270"/>
    </row>
    <row r="423" spans="1:55" x14ac:dyDescent="0.3">
      <c r="B423" s="181" t="s">
        <v>3547</v>
      </c>
      <c r="C423" s="72"/>
      <c r="D423" s="72"/>
      <c r="E423" s="52"/>
      <c r="F423" s="44">
        <f>+GETPIVOTDATA("Sum of Cr. Final HYR",Pivot!$A$3,"Note",19,"BS Main Head","Revenue From Operations","BS Sub Head","Sale of Goods - Manufacturing Sales")-GETPIVOTDATA("Sum of Dr. Final HYR",Pivot!$A$3,"Note",19,"BS Main Head","Revenue From Operations","BS Sub Head","Sale of Goods - Manufacturing Sales")-F424</f>
        <v>800902541.19999993</v>
      </c>
      <c r="G423" s="45">
        <f>GETPIVOTDATA("Sum of Cr. Final 2019-20",Pivot!$A$3,"Note",19,"BS Main Head","Revenue From Operations","BS Sub Head","Sale of Goods - Manufacturing Sales")-GETPIVOTDATA("Sum of Dr. Final 2019-20",Pivot!$A$3,"Note",19,"BS Main Head","Revenue From Operations","BS Sub Head","Sale of Goods - Manufacturing Sales")-G435</f>
        <v>688047763.5999999</v>
      </c>
      <c r="H423" s="33">
        <f>+F423-G423</f>
        <v>112854777.60000002</v>
      </c>
    </row>
    <row r="424" spans="1:55" hidden="1" x14ac:dyDescent="0.3">
      <c r="B424" s="181" t="s">
        <v>2308</v>
      </c>
      <c r="C424" s="72"/>
      <c r="D424" s="72"/>
      <c r="E424" s="52"/>
      <c r="F424" s="44">
        <v>0</v>
      </c>
      <c r="G424" s="45" t="s">
        <v>1170</v>
      </c>
      <c r="H424" s="33"/>
    </row>
    <row r="425" spans="1:55" x14ac:dyDescent="0.3">
      <c r="B425" s="182" t="s">
        <v>1108</v>
      </c>
      <c r="C425" s="72"/>
      <c r="D425" s="72"/>
      <c r="E425" s="52"/>
      <c r="F425" s="147">
        <v>0</v>
      </c>
      <c r="G425" s="147">
        <v>1234765</v>
      </c>
      <c r="H425" s="33"/>
    </row>
    <row r="426" spans="1:55" x14ac:dyDescent="0.3">
      <c r="B426" s="182"/>
      <c r="C426" s="72"/>
      <c r="D426" s="72"/>
      <c r="E426" s="52"/>
      <c r="F426" s="47">
        <f>+SUM(F423:F425)</f>
        <v>800902541.19999993</v>
      </c>
      <c r="G426" s="47">
        <f>+SUM(G423:G425)</f>
        <v>689282528.5999999</v>
      </c>
      <c r="H426" s="172"/>
    </row>
    <row r="427" spans="1:55" x14ac:dyDescent="0.3">
      <c r="B427" s="183" t="s">
        <v>1109</v>
      </c>
      <c r="C427" s="72"/>
      <c r="D427" s="72"/>
      <c r="E427" s="52"/>
      <c r="F427" s="80"/>
      <c r="G427" s="45"/>
      <c r="H427" s="33"/>
    </row>
    <row r="428" spans="1:55" x14ac:dyDescent="0.3">
      <c r="B428" s="182" t="s">
        <v>1110</v>
      </c>
      <c r="C428" s="72"/>
      <c r="D428" s="72"/>
      <c r="E428" s="52"/>
      <c r="F428" s="45">
        <f>+GETPIVOTDATA("Sum of Cr. Final HYR",Pivot!$A$3,"PARTICULARS","Profit on Sales Tax Under P.S.I.Scheme","Note",20,"BS Main Head","Other Income","BS Sub Head","Other Income")</f>
        <v>18856500</v>
      </c>
      <c r="G428" s="45">
        <f>GETPIVOTDATA("Sum of Cr. Final 2019-20",Pivot!$A$3,"PARTICULARS","Profit on Sales Tax Under P.S.I.Scheme","Note",20,"BS Main Head","Other Income","BS Sub Head","Other Income")</f>
        <v>9443500</v>
      </c>
      <c r="H428" s="33"/>
    </row>
    <row r="429" spans="1:55" hidden="1" x14ac:dyDescent="0.3">
      <c r="B429" s="184"/>
      <c r="C429" s="72"/>
      <c r="D429" s="72"/>
      <c r="E429" s="52"/>
      <c r="F429" s="80"/>
      <c r="G429" s="45"/>
      <c r="H429" s="68"/>
      <c r="I429" s="272" t="s">
        <v>1356</v>
      </c>
      <c r="J429" s="272" t="s">
        <v>1385</v>
      </c>
      <c r="K429" s="272" t="s">
        <v>1386</v>
      </c>
      <c r="L429" s="272" t="s">
        <v>1387</v>
      </c>
      <c r="M429" s="272" t="s">
        <v>1388</v>
      </c>
    </row>
    <row r="430" spans="1:55" x14ac:dyDescent="0.3">
      <c r="B430" s="135"/>
      <c r="C430" s="72"/>
      <c r="D430" s="72"/>
      <c r="E430" s="52"/>
      <c r="F430" s="49">
        <f>+F426+F428</f>
        <v>819759041.19999993</v>
      </c>
      <c r="G430" s="49">
        <f>+G426+G428</f>
        <v>698726028.5999999</v>
      </c>
      <c r="H430" s="158"/>
      <c r="I430" s="269" t="s">
        <v>1357</v>
      </c>
      <c r="J430" s="269">
        <v>7851552</v>
      </c>
      <c r="K430" s="269">
        <v>13538251.855289809</v>
      </c>
      <c r="L430" s="269">
        <f>+'FG Valuation'!G35</f>
        <v>16099811.717889346</v>
      </c>
      <c r="M430" s="1208">
        <v>7851552.4699999997</v>
      </c>
    </row>
    <row r="431" spans="1:55" x14ac:dyDescent="0.3">
      <c r="B431" s="124" t="s">
        <v>1111</v>
      </c>
      <c r="C431" s="72"/>
      <c r="D431" s="72"/>
      <c r="F431" s="133"/>
      <c r="G431" s="133"/>
      <c r="H431" s="1340"/>
      <c r="I431" s="269" t="s">
        <v>1359</v>
      </c>
      <c r="J431" s="269">
        <f>741466+2919004+4924841+38224471</f>
        <v>46809782</v>
      </c>
      <c r="K431" s="269">
        <v>28527546.25</v>
      </c>
      <c r="L431" s="269">
        <f>+'CLOSING STOCK AS ON 31-03-21'!P36+'CLOSING STOCK AS ON 31-03-21'!P40</f>
        <v>41971585.5</v>
      </c>
      <c r="M431" s="1208">
        <f>741466+2919004+4924841+38224471.42</f>
        <v>46809782.420000002</v>
      </c>
    </row>
    <row r="432" spans="1:55" hidden="1" x14ac:dyDescent="0.3">
      <c r="B432" s="73" t="s">
        <v>1112</v>
      </c>
      <c r="C432" s="31"/>
      <c r="D432" s="31"/>
      <c r="F432" s="133">
        <v>0</v>
      </c>
      <c r="G432" s="133">
        <v>0</v>
      </c>
      <c r="H432" s="1340"/>
      <c r="I432" s="269" t="s">
        <v>1124</v>
      </c>
      <c r="J432" s="269">
        <v>415906</v>
      </c>
      <c r="K432" s="269">
        <v>536457</v>
      </c>
      <c r="L432" s="269">
        <f>+O452</f>
        <v>490918</v>
      </c>
      <c r="M432" s="1208">
        <v>415906</v>
      </c>
    </row>
    <row r="433" spans="2:13" x14ac:dyDescent="0.3">
      <c r="B433" s="73" t="s">
        <v>1113</v>
      </c>
      <c r="C433" s="31"/>
      <c r="D433" s="31"/>
      <c r="F433" s="133">
        <f>+GETPIVOTDATA("Sum of Cr. Final HYR",Pivot!$A$3,"Note",20,"BS Main Head","Other Income","BS Sub Head","Foreign Exchange Fluctuation Gain on RM")</f>
        <v>1088007</v>
      </c>
      <c r="G433" s="45">
        <f>GETPIVOTDATA("Sum of Cr. Final 2019-20",Pivot!$A$3,"Note",20,"BS Main Head","Other Income","BS Sub Head","Foreign Exchange Fluctuation Gain on RM")</f>
        <v>588805</v>
      </c>
      <c r="H433" s="68"/>
      <c r="I433" s="269" t="s">
        <v>1123</v>
      </c>
      <c r="J433" s="269">
        <v>10405893</v>
      </c>
      <c r="K433" s="269">
        <v>7318133</v>
      </c>
      <c r="L433" s="269">
        <v>8085595</v>
      </c>
      <c r="M433" s="1208">
        <v>10405893</v>
      </c>
    </row>
    <row r="434" spans="2:13" x14ac:dyDescent="0.3">
      <c r="B434" s="73" t="s">
        <v>1114</v>
      </c>
      <c r="C434" s="31"/>
      <c r="D434" s="31"/>
      <c r="F434" s="133">
        <f>+GETPIVOTDATA("Sum of Cr. Final HYR",Pivot!$A$3,"Note",20,"BS Main Head","Other Income","BS Sub Head","Profit on Sale of Asset")</f>
        <v>0</v>
      </c>
      <c r="G434" s="45">
        <f>GETPIVOTDATA("Sum of Cr. Final 2019-20",Pivot!$A$3,"Note",20,"BS Main Head","Other Income","BS Sub Head","Profit on Sale of Asset")</f>
        <v>18263</v>
      </c>
      <c r="H434" s="68"/>
      <c r="I434" s="269" t="s">
        <v>1358</v>
      </c>
      <c r="J434" s="269">
        <v>2340378</v>
      </c>
      <c r="K434" s="269">
        <v>1264539</v>
      </c>
      <c r="L434" s="269">
        <f>+'CLOSING STOCK AS ON 31-03-21'!P42</f>
        <v>865884</v>
      </c>
      <c r="M434" s="1208">
        <v>2340378</v>
      </c>
    </row>
    <row r="435" spans="2:13" x14ac:dyDescent="0.3">
      <c r="B435" s="73" t="s">
        <v>1115</v>
      </c>
      <c r="C435" s="31"/>
      <c r="D435" s="31"/>
      <c r="F435" s="133">
        <f>+GETPIVOTDATA("Sum of Cr. Final HYR",Pivot!$A$3,"Note",20,"BS Main Head","Other Income","BS Sub Head","Scrape Sale")</f>
        <v>25865</v>
      </c>
      <c r="G435" s="45">
        <v>246110</v>
      </c>
      <c r="H435" s="68"/>
      <c r="I435" s="269" t="s">
        <v>1079</v>
      </c>
      <c r="J435" s="269">
        <f>+SUM(J430:J434)</f>
        <v>67823511</v>
      </c>
      <c r="K435" s="269">
        <f>+SUM(K430:K434)</f>
        <v>51184927.105289809</v>
      </c>
      <c r="L435" s="269">
        <f>+SUM(L430:L434)</f>
        <v>67513794.217889339</v>
      </c>
      <c r="M435" s="1208">
        <f>+SUM(M430:M434)</f>
        <v>67823511.890000001</v>
      </c>
    </row>
    <row r="436" spans="2:13" x14ac:dyDescent="0.3">
      <c r="B436" s="73" t="s">
        <v>1116</v>
      </c>
      <c r="C436" s="31"/>
      <c r="D436" s="31"/>
      <c r="F436" s="133">
        <v>0</v>
      </c>
      <c r="G436" s="45">
        <f>+GETPIVOTDATA("Sum of Cr. Final 2019-20",Pivot!$A$3,"PARTICULARS","Provision of Earlier Year","Note",20,"BS Main Head","Other Income","BS Sub Head","Other Income")+GETPIVOTDATA("Sum of Cr. Final 2019-20",Pivot!$A$3,"PARTICULARS","Assessment Refund","Note",20,"BS Main Head","Other Income","BS Sub Head","Assessment Refund")+490</f>
        <v>15656</v>
      </c>
      <c r="H436" s="33"/>
    </row>
    <row r="437" spans="2:13" x14ac:dyDescent="0.3">
      <c r="B437" s="73" t="s">
        <v>1117</v>
      </c>
      <c r="C437" s="31"/>
      <c r="D437" s="31"/>
      <c r="F437" s="133">
        <f>+GETPIVOTDATA("Sum of Cr. Final HYR",Pivot!$A$3,"Note",20,"BS Main Head","Other Income","BS Sub Head","Interest Received")+GETPIVOTDATA("Sum of Cr. Final HYR",Pivot!$A$3,"PARTICULARS","Interest Accured On Deposit","Note",20,"BS Main Head","Other Income","BS Sub Head","Other Income")</f>
        <v>75929</v>
      </c>
      <c r="G437" s="45">
        <f>GETPIVOTDATA("Sum of Cr. Final 2019-20",Pivot!$A$3,"Note",20,"BS Main Head","Other Income","BS Sub Head","Interest Received")</f>
        <v>169041</v>
      </c>
      <c r="H437" s="33" t="s">
        <v>2310</v>
      </c>
    </row>
    <row r="438" spans="2:13" ht="19.5" thickBot="1" x14ac:dyDescent="0.35">
      <c r="B438" s="73"/>
      <c r="C438" s="31"/>
      <c r="D438" s="31"/>
      <c r="F438" s="127">
        <f>+SUM(F433:F437)</f>
        <v>1189801</v>
      </c>
      <c r="G438" s="127">
        <f>+SUM(G433:G437)</f>
        <v>1037875</v>
      </c>
      <c r="H438" s="33">
        <f>+H439-G438</f>
        <v>0</v>
      </c>
      <c r="I438" s="263" t="s">
        <v>2309</v>
      </c>
    </row>
    <row r="439" spans="2:13" ht="19.5" thickTop="1" x14ac:dyDescent="0.3">
      <c r="B439" s="124" t="s">
        <v>1118</v>
      </c>
      <c r="C439" s="125"/>
      <c r="D439" s="125"/>
      <c r="F439" s="133"/>
      <c r="G439" s="45"/>
      <c r="H439" s="172">
        <v>1037875</v>
      </c>
    </row>
    <row r="440" spans="2:13" x14ac:dyDescent="0.3">
      <c r="B440" s="73" t="s">
        <v>13</v>
      </c>
      <c r="C440" s="31"/>
      <c r="D440" s="31"/>
      <c r="F440" s="133">
        <f>+J431</f>
        <v>46809782</v>
      </c>
      <c r="G440" s="45">
        <f>K431</f>
        <v>28527546.25</v>
      </c>
      <c r="H440" s="33"/>
    </row>
    <row r="441" spans="2:13" x14ac:dyDescent="0.3">
      <c r="B441" s="73" t="s">
        <v>1119</v>
      </c>
      <c r="C441" s="31"/>
      <c r="D441" s="31"/>
      <c r="E441" s="130"/>
      <c r="F441" s="140">
        <f>+GETPIVOTDATA("Sum of Dr. Final HYR",Pivot!$A$3,"Note",22,"BS Main Head","Raw Material Consumed","BS Sub Head","Raw Material Purchase")-GETPIVOTDATA("Sum of Cr. Final HYR",Pivot!$A$3,"Note",22,"BS Main Head","Raw Material Consumed","BS Sub Head","Raw Material Purchase")</f>
        <v>548081500.38999999</v>
      </c>
      <c r="G441" s="147">
        <f>GETPIVOTDATA("Sum of Dr. Final 2019-20",Pivot!$A$3,"Note",22,"BS Main Head","Raw Material Consumed","BS Sub Head","Raw Material Purchase")</f>
        <v>451158300.49000001</v>
      </c>
      <c r="H441" s="33"/>
    </row>
    <row r="442" spans="2:13" x14ac:dyDescent="0.3">
      <c r="B442" s="73"/>
      <c r="C442" s="31"/>
      <c r="D442" s="31"/>
      <c r="F442" s="47">
        <f>+SUM(F440:F441)</f>
        <v>594891282.38999999</v>
      </c>
      <c r="G442" s="47">
        <f>+SUM(G440:G441)</f>
        <v>479685846.74000001</v>
      </c>
      <c r="H442" s="33"/>
    </row>
    <row r="443" spans="2:13" x14ac:dyDescent="0.3">
      <c r="B443" s="73" t="s">
        <v>3561</v>
      </c>
      <c r="C443" s="31"/>
      <c r="D443" s="31"/>
      <c r="E443" s="151"/>
      <c r="F443" s="133">
        <f>+'CLOSING STOCK AS ON 31-03-21'!P36+'CLOSING STOCK AS ON 31-03-21'!P40</f>
        <v>41971585.5</v>
      </c>
      <c r="G443" s="45">
        <f>M431</f>
        <v>46809782.420000002</v>
      </c>
      <c r="H443" s="172"/>
    </row>
    <row r="444" spans="2:13" ht="19.5" thickBot="1" x14ac:dyDescent="0.35">
      <c r="B444" s="73"/>
      <c r="C444" s="185"/>
      <c r="D444" s="185"/>
      <c r="E444" s="185"/>
      <c r="F444" s="127">
        <f>+F442-F443</f>
        <v>552919696.88999999</v>
      </c>
      <c r="G444" s="127">
        <f>+G442-G443</f>
        <v>432876064.31999999</v>
      </c>
      <c r="H444" s="33"/>
    </row>
    <row r="445" spans="2:13" ht="19.5" thickTop="1" x14ac:dyDescent="0.3">
      <c r="B445" s="124" t="s">
        <v>1120</v>
      </c>
      <c r="C445" s="125"/>
      <c r="D445" s="125"/>
      <c r="E445" s="186"/>
      <c r="F445" s="110"/>
      <c r="G445" s="331"/>
      <c r="H445" s="172"/>
    </row>
    <row r="446" spans="2:13" x14ac:dyDescent="0.3">
      <c r="B446" s="73" t="s">
        <v>13</v>
      </c>
      <c r="C446" s="31"/>
      <c r="D446" s="31"/>
      <c r="F446" s="133">
        <f>+J430</f>
        <v>7851552</v>
      </c>
      <c r="G446" s="133">
        <f>+K430</f>
        <v>13538251.855289809</v>
      </c>
      <c r="H446" s="186"/>
    </row>
    <row r="447" spans="2:13" x14ac:dyDescent="0.3">
      <c r="B447" s="73" t="s">
        <v>3563</v>
      </c>
      <c r="C447" s="31"/>
      <c r="D447" s="31"/>
      <c r="E447" s="151"/>
      <c r="F447" s="133">
        <f>+L430</f>
        <v>16099811.717889346</v>
      </c>
      <c r="G447" s="133">
        <f>M430</f>
        <v>7851552.4699999997</v>
      </c>
      <c r="H447" s="289"/>
    </row>
    <row r="448" spans="2:13" ht="19.5" thickBot="1" x14ac:dyDescent="0.35">
      <c r="B448" s="73"/>
      <c r="C448" s="31"/>
      <c r="D448" s="31"/>
      <c r="F448" s="127">
        <f>+F446-F447</f>
        <v>-8248259.7178893462</v>
      </c>
      <c r="G448" s="127">
        <f>+G446-G447</f>
        <v>5686699.3852898097</v>
      </c>
      <c r="H448" s="289"/>
    </row>
    <row r="449" spans="2:15" ht="19.5" thickTop="1" x14ac:dyDescent="0.3">
      <c r="B449" s="124" t="s">
        <v>1125</v>
      </c>
      <c r="C449" s="125"/>
      <c r="D449" s="125"/>
      <c r="F449" s="133"/>
      <c r="G449" s="133"/>
      <c r="H449" s="1341"/>
      <c r="I449" s="269" t="s">
        <v>1121</v>
      </c>
      <c r="J449" s="269" t="s">
        <v>1122</v>
      </c>
      <c r="K449" s="269"/>
      <c r="L449" s="269" t="s">
        <v>1123</v>
      </c>
      <c r="M449" s="269" t="s">
        <v>1122</v>
      </c>
      <c r="N449" s="269" t="s">
        <v>1124</v>
      </c>
      <c r="O449" s="269" t="s">
        <v>1122</v>
      </c>
    </row>
    <row r="450" spans="2:15" x14ac:dyDescent="0.3">
      <c r="B450" s="73" t="s">
        <v>601</v>
      </c>
      <c r="C450" s="31"/>
      <c r="D450" s="31"/>
      <c r="E450" s="138"/>
      <c r="F450" s="133">
        <f>+GETPIVOTDATA("Sum of Dr. Final HYR",Pivot!$A$3,"Note",24,"BS Main Head","Employee Benefit Expenses","BS Sub Head","Salary &amp; Wages")-GETPIVOTDATA("Sum of Cr. Final HYR",Pivot!$A$3,"Note",24,"BS Main Head","Employee Benefit Expenses","BS Sub Head","Salary &amp; Wages")</f>
        <v>19178887</v>
      </c>
      <c r="G450" s="133">
        <f>GETPIVOTDATA("Sum of Dr. Final 2019-20",Pivot!$A$3,"Note",24,"BS Main Head","Employee Benefit Expenses","BS Sub Head","Salary &amp; Wages")</f>
        <v>19024629</v>
      </c>
      <c r="H450" s="1340"/>
      <c r="I450" s="269" t="s">
        <v>1126</v>
      </c>
      <c r="J450" s="269">
        <f>+GETPIVOTDATA("Sum of Dr. Final HYR",Pivot!$A$3,"Note",26,"BS Main Head","Other Expenses","BS Sub Head","Manufacturing Expenses - Power &amp; Fuel Consumed")</f>
        <v>122464907.44</v>
      </c>
      <c r="K450" s="269"/>
      <c r="L450" s="269" t="s">
        <v>1126</v>
      </c>
      <c r="M450" s="269">
        <f>+GETPIVOTDATA("Sum of Dr. Final HYR",Pivot!$A$3,"Note",26,"BS Main Head","Other Expenses","BS Sub Head","Manufacturing Expenses - Stores &amp; Spares Consumed")</f>
        <v>5885577.8399999999</v>
      </c>
      <c r="N450" s="269" t="s">
        <v>1126</v>
      </c>
      <c r="O450" s="269">
        <f>+GETPIVOTDATA("Sum of Dr. Final HYR",Pivot!$A$3,"Note",26,"BS Main Head","Other Expenses","BS Sub Head","Manufacturing Expenses - Packing Material Consumed")</f>
        <v>6950844.8200000003</v>
      </c>
    </row>
    <row r="451" spans="2:15" x14ac:dyDescent="0.3">
      <c r="B451" s="73" t="s">
        <v>613</v>
      </c>
      <c r="C451" s="31"/>
      <c r="D451" s="31"/>
      <c r="F451" s="133">
        <f>+GETPIVOTDATA("Sum of Dr. Final HYR",Pivot!$A$3,"Note",24,"BS Main Head","Employee Benefit Expenses","BS Sub Head","Contribution to Funds")+F516</f>
        <v>2155531</v>
      </c>
      <c r="G451" s="133">
        <f>GETPIVOTDATA("Sum of Dr. Final 2019-20",Pivot!$A$3,"Note",24,"BS Main Head","Employee Benefit Expenses","BS Sub Head","Contribution to Funds")+G516</f>
        <v>2072611</v>
      </c>
      <c r="H451" s="151"/>
      <c r="I451" s="269" t="s">
        <v>1127</v>
      </c>
      <c r="J451" s="269">
        <f>+J434</f>
        <v>2340378</v>
      </c>
      <c r="K451" s="269"/>
      <c r="L451" s="269" t="s">
        <v>1127</v>
      </c>
      <c r="M451" s="269">
        <f>+J433</f>
        <v>10405893</v>
      </c>
      <c r="N451" s="269" t="s">
        <v>1127</v>
      </c>
      <c r="O451" s="269">
        <f>+J432</f>
        <v>415906</v>
      </c>
    </row>
    <row r="452" spans="2:15" x14ac:dyDescent="0.3">
      <c r="B452" s="73" t="s">
        <v>704</v>
      </c>
      <c r="C452" s="31"/>
      <c r="D452" s="31"/>
      <c r="F452" s="133">
        <f>+GETPIVOTDATA("Sum of Dr. Final HYR",Pivot!$A$3,"Note",24,"BS Main Head","Employee Benefit Expenses","BS Sub Head","Staff Welfare Expenses")</f>
        <v>306631</v>
      </c>
      <c r="G452" s="140">
        <f>GETPIVOTDATA("Sum of Dr. Final 2019-20",Pivot!$A$3,"Note",24,"BS Main Head","Employee Benefit Expenses","BS Sub Head","Staff Welfare Expenses")</f>
        <v>239427</v>
      </c>
      <c r="H452" s="1342"/>
      <c r="I452" s="269" t="s">
        <v>1128</v>
      </c>
      <c r="J452" s="269">
        <f>+L434</f>
        <v>865884</v>
      </c>
      <c r="K452" s="269"/>
      <c r="L452" s="269" t="s">
        <v>1128</v>
      </c>
      <c r="M452" s="269">
        <f>+L433</f>
        <v>8085595</v>
      </c>
      <c r="N452" s="269" t="s">
        <v>1128</v>
      </c>
      <c r="O452" s="269">
        <f>+'CLOSING STOCK AS ON 31-03-21'!P38</f>
        <v>490918</v>
      </c>
    </row>
    <row r="453" spans="2:15" ht="19.5" thickBot="1" x14ac:dyDescent="0.35">
      <c r="B453" s="73"/>
      <c r="C453" s="31"/>
      <c r="D453" s="31"/>
      <c r="F453" s="127">
        <f>+SUM(F450:F452)</f>
        <v>21641049</v>
      </c>
      <c r="G453" s="127">
        <f>+SUM(G450:G452)</f>
        <v>21336667</v>
      </c>
      <c r="H453" s="157"/>
      <c r="I453" s="269"/>
      <c r="J453" s="269"/>
      <c r="K453" s="269"/>
      <c r="L453" s="269"/>
      <c r="M453" s="269"/>
      <c r="N453" s="269"/>
      <c r="O453" s="269"/>
    </row>
    <row r="454" spans="2:15" ht="19.5" thickTop="1" x14ac:dyDescent="0.3">
      <c r="B454" s="124" t="s">
        <v>1129</v>
      </c>
      <c r="C454" s="125"/>
      <c r="D454" s="125"/>
      <c r="F454" s="133"/>
      <c r="G454" s="332"/>
      <c r="H454" s="1343"/>
      <c r="I454" s="269"/>
      <c r="J454" s="269">
        <f>+J450+J451-J452</f>
        <v>123939401.44</v>
      </c>
      <c r="K454" s="269"/>
      <c r="L454" s="269"/>
      <c r="M454" s="269">
        <f>+M450+M451-M452</f>
        <v>8205875.8399999999</v>
      </c>
      <c r="N454" s="269"/>
      <c r="O454" s="269">
        <f>+O450+O451-O452</f>
        <v>6875832.8200000003</v>
      </c>
    </row>
    <row r="455" spans="2:15" x14ac:dyDescent="0.3">
      <c r="B455" s="73" t="s">
        <v>661</v>
      </c>
      <c r="C455" s="31"/>
      <c r="D455" s="31"/>
      <c r="E455" s="106"/>
      <c r="F455" s="110">
        <f>+GETPIVOTDATA("Sum of Dr. Final HYR",Pivot!$A$3,"Note",25,"BS Main Head","Finance Costs","BS Sub Head","Interest Expenses")</f>
        <v>5951031.9500000002</v>
      </c>
      <c r="G455" s="45">
        <f>GETPIVOTDATA("Sum of Dr. Final 2019-20",Pivot!$A$3,"Note",25,"BS Main Head","Finance Costs","BS Sub Head","Interest Expenses")</f>
        <v>9030452.9400000013</v>
      </c>
    </row>
    <row r="456" spans="2:15" x14ac:dyDescent="0.3">
      <c r="B456" s="73" t="s">
        <v>1130</v>
      </c>
      <c r="C456" s="31"/>
      <c r="D456" s="31"/>
      <c r="E456" s="106"/>
      <c r="F456" s="110">
        <f>+GETPIVOTDATA("Sum of Dr. Final HYR",Pivot!$A$3,"Note",25,"BS Main Head","Finance Costs","BS Sub Head","Other Borrowing Costs")</f>
        <v>421153</v>
      </c>
      <c r="G456" s="45">
        <f>GETPIVOTDATA("Sum of Dr. Final 2019-20",Pivot!$A$3,"Note",25,"BS Main Head","Finance Costs","BS Sub Head","Other Borrowing Costs")</f>
        <v>325908</v>
      </c>
      <c r="H456" s="33"/>
    </row>
    <row r="457" spans="2:15" x14ac:dyDescent="0.3">
      <c r="B457" s="73"/>
      <c r="C457" s="31"/>
      <c r="D457" s="31"/>
      <c r="E457" s="1340"/>
      <c r="F457" s="49">
        <f>+SUM(F455:F456)</f>
        <v>6372184.9500000002</v>
      </c>
      <c r="G457" s="49">
        <f>+SUM(G455:G456)</f>
        <v>9356360.9400000013</v>
      </c>
      <c r="H457" s="33"/>
    </row>
    <row r="458" spans="2:15" hidden="1" x14ac:dyDescent="0.3">
      <c r="B458" s="1800" t="s">
        <v>907</v>
      </c>
      <c r="C458" s="1801"/>
      <c r="D458" s="1801"/>
      <c r="E458" s="1801"/>
      <c r="F458" s="1820"/>
      <c r="G458" s="1821"/>
      <c r="H458" s="172"/>
    </row>
    <row r="459" spans="2:15" hidden="1" x14ac:dyDescent="0.3">
      <c r="B459" s="1800" t="s">
        <v>1328</v>
      </c>
      <c r="C459" s="1801"/>
      <c r="D459" s="1801"/>
      <c r="E459" s="1801"/>
      <c r="F459" s="1801"/>
      <c r="G459" s="1802"/>
      <c r="H459" s="1316"/>
    </row>
    <row r="460" spans="2:15" hidden="1" x14ac:dyDescent="0.3">
      <c r="B460" s="74"/>
      <c r="C460" s="1328"/>
      <c r="D460" s="1328"/>
      <c r="E460" s="1318"/>
      <c r="F460" s="1324" t="s">
        <v>909</v>
      </c>
      <c r="G460" s="1324" t="s">
        <v>957</v>
      </c>
      <c r="H460" s="1316"/>
    </row>
    <row r="461" spans="2:15" x14ac:dyDescent="0.3">
      <c r="B461" s="124" t="s">
        <v>1131</v>
      </c>
      <c r="C461" s="72"/>
      <c r="D461" s="72"/>
      <c r="F461" s="219"/>
      <c r="G461" s="80"/>
      <c r="H461" s="279"/>
    </row>
    <row r="462" spans="2:15" x14ac:dyDescent="0.3">
      <c r="B462" s="135" t="s">
        <v>1132</v>
      </c>
      <c r="C462" s="72"/>
      <c r="D462" s="72"/>
      <c r="F462" s="133"/>
      <c r="G462" s="80"/>
      <c r="H462" s="209"/>
    </row>
    <row r="463" spans="2:15" x14ac:dyDescent="0.3">
      <c r="B463" s="107" t="s">
        <v>1133</v>
      </c>
      <c r="C463" s="106"/>
      <c r="D463" s="106"/>
      <c r="F463" s="133">
        <f>+GETPIVOTDATA("Sum of Dr. Final HYR",Pivot!$A$3,"Note",26,"BS Main Head","Other Expenses","BS Sub Head","Manufacturing Expenses - Factory Expenses")</f>
        <v>4250954.5</v>
      </c>
      <c r="G463" s="45">
        <f>GETPIVOTDATA("Sum of Dr. Final 2019-20",Pivot!$A$3,"Note",26,"BS Main Head","Other Expenses","BS Sub Head","Manufacturing Expenses - Factory Expenses")</f>
        <v>4661821.3</v>
      </c>
      <c r="H463" s="209"/>
    </row>
    <row r="464" spans="2:15" x14ac:dyDescent="0.3">
      <c r="B464" s="73" t="s">
        <v>1134</v>
      </c>
      <c r="C464" s="31"/>
      <c r="D464" s="31"/>
      <c r="F464" s="133">
        <f>+GETPIVOTDATA("Sum of Dr. Final HYR",Pivot!$A$3,"Note",26,"BS Main Head","Other Expenses","BS Sub Head","Manufacturin Expenses - FG Packing &amp; Allied Chgs")</f>
        <v>2854617</v>
      </c>
      <c r="G464" s="45">
        <f>GETPIVOTDATA("Sum of Dr. Final 2019-20",Pivot!$A$3,"Note",26,"BS Main Head","Other Expenses","BS Sub Head","Manufacturin Expenses - FG Packing &amp; Allied Chgs")</f>
        <v>2841598</v>
      </c>
      <c r="H464" s="33"/>
    </row>
    <row r="465" spans="2:8" x14ac:dyDescent="0.3">
      <c r="B465" s="73" t="s">
        <v>1135</v>
      </c>
      <c r="C465" s="1206"/>
      <c r="D465" s="1206"/>
      <c r="F465" s="133">
        <f>+O454</f>
        <v>6875832.8200000003</v>
      </c>
      <c r="G465" s="45">
        <f>N422</f>
        <v>7784928.8099999996</v>
      </c>
      <c r="H465" s="33"/>
    </row>
    <row r="466" spans="2:8" x14ac:dyDescent="0.3">
      <c r="B466" s="73" t="s">
        <v>1136</v>
      </c>
      <c r="C466" s="31"/>
      <c r="D466" s="31"/>
      <c r="E466" s="138"/>
      <c r="F466" s="133">
        <f>+J454</f>
        <v>123939401.44</v>
      </c>
      <c r="G466" s="1359">
        <f>J422</f>
        <v>131093465.02</v>
      </c>
      <c r="H466" s="33"/>
    </row>
    <row r="467" spans="2:8" x14ac:dyDescent="0.3">
      <c r="B467" s="73" t="s">
        <v>313</v>
      </c>
      <c r="C467" s="31"/>
      <c r="D467" s="31"/>
      <c r="F467" s="133">
        <f>+GETPIVOTDATA("Sum of Dr. Final HYR",Pivot!$A$3,"Note",26,"BS Main Head","Other Expenses","BS Sub Head","Manufacturin Expenses - RM Sorting Charges")</f>
        <v>3861148</v>
      </c>
      <c r="G467" s="133">
        <f>GETPIVOTDATA("Sum of Dr. Final 2019-20",Pivot!$A$3,"Note",26,"BS Main Head","Other Expenses","BS Sub Head","Manufacturin Expenses - RM Sorting Charges")</f>
        <v>4167429</v>
      </c>
      <c r="H467" s="1360">
        <f>+F466-G466</f>
        <v>-7154063.5799999982</v>
      </c>
    </row>
    <row r="468" spans="2:8" x14ac:dyDescent="0.3">
      <c r="B468" s="187" t="s">
        <v>1137</v>
      </c>
      <c r="C468" s="31"/>
      <c r="D468" s="31"/>
      <c r="F468" s="133"/>
      <c r="G468" s="133"/>
      <c r="H468" s="138"/>
    </row>
    <row r="469" spans="2:8" x14ac:dyDescent="0.3">
      <c r="B469" s="73" t="s">
        <v>1138</v>
      </c>
      <c r="C469" s="31"/>
      <c r="D469" s="31"/>
      <c r="F469" s="133">
        <f>+GETPIVOTDATA("Sum of Dr. Final HYR",Pivot!$A$3,"Note",26,"BS Main Head","Other Expenses","BS Sub Head","Manufacturing Expenses-Repairs &amp; Maintainence Machinery")</f>
        <v>10661532.07</v>
      </c>
      <c r="G469" s="133">
        <f>GETPIVOTDATA("Sum of Dr. Final 2019-20",Pivot!$A$3,"Note",26,"BS Main Head","Other Expenses","BS Sub Head","Manufacturing Expenses-Repairs &amp; Maintainence Machinery")</f>
        <v>13943254.359999999</v>
      </c>
    </row>
    <row r="470" spans="2:8" x14ac:dyDescent="0.3">
      <c r="B470" s="73" t="s">
        <v>1139</v>
      </c>
      <c r="C470" s="31"/>
      <c r="D470" s="31"/>
      <c r="E470" s="106"/>
      <c r="F470" s="110">
        <f>+GETPIVOTDATA("Sum of Dr. Final HYR",Pivot!$A$3,"Note",26,"BS Main Head","Other Expenses","BS Sub Head","Manufacturing Expenses-Repairs &amp; Maintainence Building")</f>
        <v>688233.98</v>
      </c>
      <c r="G470" s="45">
        <f>GETPIVOTDATA("Sum of Dr. Final 2019-20",Pivot!$A$3,"Note",26,"BS Main Head","Other Expenses","BS Sub Head","Manufacturing Expenses-Repairs &amp; Maintainence Building")</f>
        <v>954273.6</v>
      </c>
      <c r="H470" s="289"/>
    </row>
    <row r="471" spans="2:8" x14ac:dyDescent="0.3">
      <c r="B471" s="73" t="s">
        <v>347</v>
      </c>
      <c r="C471" s="31"/>
      <c r="D471" s="31"/>
      <c r="F471" s="133">
        <f>+GETPIVOTDATA("Sum of Dr. Final HYR",Pivot!$A$3,"Note",26,"BS Main Head","Other Expenses","BS Sub Head","Manufacturing Expenses - Security Service Charges")</f>
        <v>703243</v>
      </c>
      <c r="G471" s="45">
        <f>GETPIVOTDATA("Sum of Dr. Final 2019-20",Pivot!$A$3,"Note",26,"BS Main Head","Other Expenses","BS Sub Head","Manufacturing Expenses - Security Service Charges")</f>
        <v>689707</v>
      </c>
      <c r="H471" s="33"/>
    </row>
    <row r="472" spans="2:8" x14ac:dyDescent="0.3">
      <c r="B472" s="73" t="s">
        <v>1140</v>
      </c>
      <c r="C472" s="31"/>
      <c r="D472" s="31"/>
      <c r="F472" s="133">
        <f>+M454</f>
        <v>8205875.8399999999</v>
      </c>
      <c r="G472" s="45">
        <f>L422</f>
        <v>6068106.8599999994</v>
      </c>
      <c r="H472" s="33"/>
    </row>
    <row r="473" spans="2:8" x14ac:dyDescent="0.3">
      <c r="B473" s="107" t="s">
        <v>1141</v>
      </c>
      <c r="C473" s="31"/>
      <c r="D473" s="31"/>
      <c r="F473" s="133">
        <f>+GETPIVOTDATA("Sum of Dr. Final HYR",Pivot!$A$3,"Note",26,"BS Main Head","Other Expenses","BS Sub Head","Manufacturing Expenses - Waste Paper Feeding Chgs")</f>
        <v>6129998</v>
      </c>
      <c r="G473" s="45">
        <f>GETPIVOTDATA("Sum of Dr. Final 2019-20",Pivot!$A$3,"Note",26,"BS Main Head","Other Expenses","BS Sub Head","Manufacturing Expenses - Waste Paper Feeding Chgs")</f>
        <v>6659960</v>
      </c>
      <c r="H473" s="33"/>
    </row>
    <row r="474" spans="2:8" x14ac:dyDescent="0.3">
      <c r="B474" s="73"/>
      <c r="C474" s="31"/>
      <c r="D474" s="31"/>
      <c r="E474" s="116" t="s">
        <v>1142</v>
      </c>
      <c r="F474" s="49">
        <f>+SUM(F463:F473)</f>
        <v>168170836.64999998</v>
      </c>
      <c r="G474" s="49">
        <f>+SUM(G463:G473)</f>
        <v>178864543.94999999</v>
      </c>
      <c r="H474" s="33"/>
    </row>
    <row r="475" spans="2:8" x14ac:dyDescent="0.3">
      <c r="B475" s="126" t="s">
        <v>1143</v>
      </c>
      <c r="C475" s="72"/>
      <c r="D475" s="72"/>
      <c r="E475" s="106"/>
      <c r="F475" s="110"/>
      <c r="G475" s="110"/>
      <c r="H475" s="172"/>
    </row>
    <row r="476" spans="2:8" x14ac:dyDescent="0.3">
      <c r="B476" s="187" t="s">
        <v>1144</v>
      </c>
      <c r="C476" s="106"/>
      <c r="D476" s="106"/>
      <c r="E476" s="106"/>
      <c r="F476" s="110"/>
      <c r="G476" s="110"/>
      <c r="H476" s="106"/>
    </row>
    <row r="477" spans="2:8" x14ac:dyDescent="0.3">
      <c r="B477" s="73" t="s">
        <v>1145</v>
      </c>
      <c r="C477" s="106"/>
      <c r="D477" s="106"/>
      <c r="E477" s="106"/>
      <c r="F477" s="110">
        <f>+GETPIVOTDATA("Sum of Dr. Final HYR",Pivot!$A$3,"PARTICULARS","Statutory Audit Fees (Darak &amp; Asso)","Note",26,"BS Main Head","Other Expenses","BS Sub Head","Establishment Expenses-Auditors Remuneration")</f>
        <v>275000</v>
      </c>
      <c r="G477" s="45">
        <f>GETPIVOTDATA("Sum of Dr. Final 2019-20",Pivot!$A$3,"PARTICULARS","Statutory Audit Fees (Darak &amp; Asso)","Note",26,"BS Main Head","Other Expenses","BS Sub Head","Establishment Expenses-Auditors Remuneration")</f>
        <v>275000</v>
      </c>
      <c r="H477" s="283"/>
    </row>
    <row r="478" spans="2:8" x14ac:dyDescent="0.3">
      <c r="B478" s="73" t="s">
        <v>1146</v>
      </c>
      <c r="C478" s="106"/>
      <c r="D478" s="106"/>
      <c r="E478" s="106"/>
      <c r="F478" s="110">
        <f>+GETPIVOTDATA("Sum of Dr. Final HYR",Pivot!$A$3,"PARTICULARS","Internal Audit Fees (Khandelwal)","Note",26,"BS Main Head","Other Expenses","BS Sub Head","Establishment Expenses-Auditors Remuneration")</f>
        <v>180000</v>
      </c>
      <c r="G478" s="45">
        <f>GETPIVOTDATA("Sum of Dr. Final 2019-20",Pivot!$A$3,"PARTICULARS","Internal Audit Fees (Khandelwal)","Note",26,"BS Main Head","Other Expenses","BS Sub Head","Establishment Expenses-Auditors Remuneration")</f>
        <v>196000</v>
      </c>
      <c r="H478" s="283"/>
    </row>
    <row r="479" spans="2:8" x14ac:dyDescent="0.3">
      <c r="B479" s="73" t="s">
        <v>1147</v>
      </c>
      <c r="C479" s="106"/>
      <c r="D479" s="106"/>
      <c r="E479" s="106"/>
      <c r="F479" s="110">
        <f>+GETPIVOTDATA("Sum of Dr. Final HYR",Pivot!$A$3,"PARTICULARS","Audit Expenses : (Sales Tax )","Note",26,"BS Main Head","Other Expenses","BS Sub Head","Establishment Expenses-Auditors Remuneration")</f>
        <v>4000</v>
      </c>
      <c r="G479" s="45">
        <f>+GETPIVOTDATA("Sum of Dr. Final 2019-20",Pivot!$A$3,"PARTICULARS","Audit Expenses (Darak)","Note",26,"BS Main Head","Other Expenses","BS Sub Head","Establishment Expenses-Auditors Remuneration")+GETPIVOTDATA("Sum of Dr. Final 2019-20",Pivot!$A$3,"PARTICULARS","Audit Expenses (Walter)","Note",26,"BS Main Head","Other Expenses","BS Sub Head","Establishment Expenses-Auditors Remuneration")</f>
        <v>11546</v>
      </c>
      <c r="H479" s="283"/>
    </row>
    <row r="480" spans="2:8" x14ac:dyDescent="0.3">
      <c r="B480" s="255" t="s">
        <v>33</v>
      </c>
      <c r="C480" s="256"/>
      <c r="D480" s="256"/>
      <c r="E480" s="106"/>
      <c r="F480" s="110">
        <f>+GETPIVOTDATA("Sum of Dr. Final HYR",Pivot!$A$3,"Note",26,"BS Main Head","Other Expenses","BS Sub Head","Establishment Expenses-Bank Charges")</f>
        <v>226111.04</v>
      </c>
      <c r="G480" s="45">
        <f>GETPIVOTDATA("Sum of Dr. Final 2019-20",Pivot!$A$3,"Note",26,"BS Main Head","Other Expenses","BS Sub Head","Establishment Expenses-Bank Charges")</f>
        <v>608223.63</v>
      </c>
      <c r="H480" s="283"/>
    </row>
    <row r="481" spans="2:8" x14ac:dyDescent="0.3">
      <c r="B481" s="73" t="s">
        <v>1148</v>
      </c>
      <c r="C481" s="31"/>
      <c r="D481" s="31"/>
      <c r="E481" s="31"/>
      <c r="F481" s="133">
        <f>+GETPIVOTDATA("Sum of Dr. Final HYR",Pivot!$A$3,"Note",26,"BS Main Head","Other Expenses","BS Sub Head","Bad Debts")</f>
        <v>0</v>
      </c>
      <c r="G481" s="45">
        <f>GETPIVOTDATA("Sum of Dr. Final 2019-20",Pivot!$A$3,"Note",26,"BS Main Head","Other Expenses","BS Sub Head","Bad Debts")</f>
        <v>2927</v>
      </c>
      <c r="H481" s="283"/>
    </row>
    <row r="482" spans="2:8" x14ac:dyDescent="0.3">
      <c r="B482" s="73" t="s">
        <v>3548</v>
      </c>
      <c r="C482" s="31"/>
      <c r="D482" s="31"/>
      <c r="E482" s="31"/>
      <c r="F482" s="133">
        <f>+GETPIVOTDATA("Sum of Dr. Final HYR",Pivot!$A$3,"Note",26,"BS Main Head","Other Expenses","BS Sub Head","Establishment Expenses-CSR")</f>
        <v>909877</v>
      </c>
      <c r="G482" s="45">
        <f>GETPIVOTDATA("Sum of Dr. Final 2019-20",Pivot!$A$3,"Note",26,"BS Main Head","Other Expenses","BS Sub Head","Establishment Expenses-CSR")</f>
        <v>380250</v>
      </c>
      <c r="H482" s="283"/>
    </row>
    <row r="483" spans="2:8" x14ac:dyDescent="0.3">
      <c r="B483" s="73" t="s">
        <v>1149</v>
      </c>
      <c r="C483" s="31"/>
      <c r="D483" s="31"/>
      <c r="E483" s="31"/>
      <c r="F483" s="133"/>
      <c r="G483" s="45"/>
      <c r="H483" s="30"/>
    </row>
    <row r="484" spans="2:8" x14ac:dyDescent="0.3">
      <c r="B484" s="73" t="s">
        <v>606</v>
      </c>
      <c r="C484" s="31"/>
      <c r="D484" s="31"/>
      <c r="E484" s="106"/>
      <c r="F484" s="110">
        <f>+GETPIVOTDATA("Sum of Dr. Final HYR",Pivot!$A$3,"Note",26,"BS Main Head","Other Expenses","BS Sub Head","Donation")</f>
        <v>56000</v>
      </c>
      <c r="G484" s="45">
        <f>GETPIVOTDATA("Sum of Dr. Final 2019-20",Pivot!$A$3,"Note",26,"BS Main Head","Other Expenses","BS Sub Head","Donation")</f>
        <v>13002</v>
      </c>
      <c r="H484" s="283"/>
    </row>
    <row r="485" spans="2:8" hidden="1" x14ac:dyDescent="0.3">
      <c r="B485" s="73" t="s">
        <v>3470</v>
      </c>
      <c r="C485" s="31"/>
      <c r="D485" s="31"/>
      <c r="E485" s="106"/>
      <c r="F485" s="110">
        <f>0</f>
        <v>0</v>
      </c>
      <c r="G485" s="45">
        <v>0</v>
      </c>
      <c r="H485" s="283"/>
    </row>
    <row r="486" spans="2:8" x14ac:dyDescent="0.3">
      <c r="B486" s="73" t="s">
        <v>1150</v>
      </c>
      <c r="C486" s="31"/>
      <c r="D486" s="31"/>
      <c r="E486" s="106"/>
      <c r="F486" s="110">
        <f>+GETPIVOTDATA("Sum of Dr. Final HYR",Pivot!$A$3,"Note",26,"BS Main Head","Other Expenses","BS Sub Head","Establishment Expenses-Insurance Charges")</f>
        <v>907184</v>
      </c>
      <c r="G486" s="45">
        <f>GETPIVOTDATA("Sum of Dr. Final 2019-20",Pivot!$A$3,"Note",26,"BS Main Head","Other Expenses","BS Sub Head","Establishment Expenses-Insurance Charges")</f>
        <v>944137</v>
      </c>
      <c r="H486" s="283"/>
    </row>
    <row r="487" spans="2:8" x14ac:dyDescent="0.3">
      <c r="B487" s="73" t="s">
        <v>1151</v>
      </c>
      <c r="C487" s="31"/>
      <c r="D487" s="31"/>
      <c r="E487" s="106"/>
      <c r="F487" s="110">
        <f>+GETPIVOTDATA("Sum of Dr. Final HYR",Pivot!$A$3,"Note",26,"BS Main Head","Other Expenses","BS Sub Head","Establishment Expenses-General Expenses")-GETPIVOTDATA("Sum of Cr. Final HYR",Pivot!$A$3,"Note",26,"BS Main Head","Other Expenses","BS Sub Head","Establishment Expenses-General Expenses")-GETPIVOTDATA("Sum of Dr. Final HYR",Pivot!$A$3,"PARTICULARS","Loss on Sale of PL &amp; Mc","Note",26,"BS Main Head","Other Expenses","BS Sub Head","Establishment Expenses-General Expenses")-GETPIVOTDATA("Sum of Dr. Final HYR",Pivot!$A$3,"PARTICULARS","Loss on Discardment of F A","Note",26,"BS Main Head","Other Expenses","BS Sub Head","Establishment Expenses-General Expenses")</f>
        <v>675628.27</v>
      </c>
      <c r="G487" s="45">
        <f>GETPIVOTDATA("Sum of Dr. Final 2019-20",Pivot!$A$3,"Note",26,"BS Main Head","Other Expenses","BS Sub Head","Establishment Expenses-General Expenses")-GETPIVOTDATA("Sum of Cr. Final 2019-20",Pivot!$A$3,"Note",26,"BS Main Head","Other Expenses","BS Sub Head","Establishment Expenses-General Expenses")</f>
        <v>1133601.58</v>
      </c>
      <c r="H487" s="283"/>
    </row>
    <row r="488" spans="2:8" x14ac:dyDescent="0.3">
      <c r="B488" s="73" t="s">
        <v>633</v>
      </c>
      <c r="C488" s="106"/>
      <c r="D488" s="106"/>
      <c r="E488" s="106"/>
      <c r="F488" s="110">
        <f>+GETPIVOTDATA("Sum of Dr. Final HYR",Pivot!$A$3,"PARTICULARS","GST Audit Fees","Note",26,"BS Main Head","Other Expenses","BS Sub Head","Establishment Expenses-Legal &amp; Professional Charges")</f>
        <v>45000</v>
      </c>
      <c r="G488" s="45">
        <f>+GETPIVOTDATA("Sum of Dr. Final 2019-20",Pivot!$A$3,"PARTICULARS","GST Audit Fees F.Y.2018-19","Note",26,"BS Main Head","Other Expenses","BS Sub Head","Establishment Expenses-Legal &amp; Professional Charges")+GETPIVOTDATA("Sum of Dr. Final 2019-20",Pivot!$A$3,"PARTICULARS","GST Audit Fees A. Y. 2019-2020","Note",26,"BS Main Head","Other Expenses","BS Sub Head","Establishment Expenses-Legal &amp; Professional Charges")</f>
        <v>85000</v>
      </c>
    </row>
    <row r="489" spans="2:8" x14ac:dyDescent="0.3">
      <c r="B489" s="73" t="s">
        <v>1152</v>
      </c>
      <c r="C489" s="31"/>
      <c r="D489" s="31"/>
      <c r="E489" s="106"/>
      <c r="F489" s="110">
        <f>+GETPIVOTDATA("Sum of Dr. Final HYR",Pivot!$A$3,"Note",26,"BS Main Head","Other Expenses","BS Sub Head","Establishment Expenses-Legal &amp; Professional Charges")-GETPIVOTDATA("Sum of Dr. Final HYR",Pivot!$A$3,"PARTICULARS","GST Audit","Note",26,"BS Main Head","Other Expenses","BS Sub Head","Establishment Expenses-Legal &amp; Professional Charges")-GETPIVOTDATA("Sum of Dr. Final HYR",Pivot!$A$3,"PARTICULARS","GST Audit Fees","Note",26,"BS Main Head","Other Expenses","BS Sub Head","Establishment Expenses-Legal &amp; Professional Charges")+GETPIVOTDATA("Sum of Dr. Final HYR",Pivot!$A$3,"PARTICULARS","GST Audit","Note",26,"BS Main Head","Other Expenses","BS Sub Head","Establishment Expenses-Legal &amp; Professional Charges")</f>
        <v>1225420</v>
      </c>
      <c r="G489" s="45">
        <f>+GETPIVOTDATA("Sum of Dr. Final 2019-20",Pivot!$A$3,"Note",26,"BS Main Head","Other Expenses","BS Sub Head","Establishment Expenses-Legal &amp; Professional Charges")-GETPIVOTDATA("Sum of Dr. Final 2019-20",Pivot!$A$3,"PARTICULARS","GST Audit Fees","Note",26,"BS Main Head","Other Expenses","BS Sub Head","Establishment Expenses-Legal &amp; Professional Charges")-GETPIVOTDATA("Sum of Dr. Final 2019-20",Pivot!$A$3,"PARTICULARS","GST Audit Fees A. Y. 2019-2020","Note",26,"BS Main Head","Other Expenses","BS Sub Head","Establishment Expenses-Legal &amp; Professional Charges")-GETPIVOTDATA("Sum of Dr. Final 2019-20",Pivot!$A$3,"PARTICULARS","GST Audit Fees F.Y.2018-19","Note",26,"BS Main Head","Other Expenses","BS Sub Head","Establishment Expenses-Legal &amp; Professional Charges")+GETPIVOTDATA("Sum of Dr. Final 2019-20",Pivot!$A$3,"PARTICULARS","GST Audit Fees","Note",26,"BS Main Head","Other Expenses","BS Sub Head","Establishment Expenses-Legal &amp; Professional Charges")</f>
        <v>869958.98</v>
      </c>
      <c r="H489" s="283"/>
    </row>
    <row r="490" spans="2:8" x14ac:dyDescent="0.3">
      <c r="B490" s="73" t="s">
        <v>1153</v>
      </c>
      <c r="C490" s="31"/>
      <c r="D490" s="31"/>
      <c r="E490" s="31"/>
      <c r="F490" s="133">
        <f>+GETPIVOTDATA("Sum of Dr. Final HYR",Pivot!$A$3,"Note",26,"BS Main Head","Other Expenses","BS Sub Head","Establishment Expenses-Listing Expense")</f>
        <v>9000</v>
      </c>
      <c r="G490" s="45">
        <f>GETPIVOTDATA("Sum of Dr. Final 2019-20",Pivot!$A$3,"Note",26,"BS Main Head","Other Expenses","BS Sub Head","Establishment Expenses-Listing Expense")</f>
        <v>64000</v>
      </c>
      <c r="H490" s="283"/>
    </row>
    <row r="491" spans="2:8" x14ac:dyDescent="0.3">
      <c r="B491" s="73" t="s">
        <v>3562</v>
      </c>
      <c r="C491" s="31"/>
      <c r="D491" s="31"/>
      <c r="E491" s="31"/>
      <c r="F491" s="133">
        <f>+GETPIVOTDATA("Sum of Dr. Final HYR",Pivot!$A$3,"PARTICULARS","Loss on Sale of PL &amp; Mc","Note",26,"BS Main Head","Other Expenses","BS Sub Head","Establishment Expenses-General Expenses")++GETPIVOTDATA("Sum of Dr. Final HYR",Pivot!$A$3,"PARTICULARS","Loss on Discardment of F A","Note",26,"BS Main Head","Other Expenses","BS Sub Head","Establishment Expenses-General Expenses")</f>
        <v>1384900</v>
      </c>
      <c r="G491" s="45">
        <v>0</v>
      </c>
      <c r="H491" s="283"/>
    </row>
    <row r="492" spans="2:8" x14ac:dyDescent="0.3">
      <c r="B492" s="101" t="s">
        <v>1154</v>
      </c>
      <c r="C492" s="102"/>
      <c r="D492" s="102"/>
      <c r="E492" s="120"/>
      <c r="F492" s="114">
        <f>+GETPIVOTDATA("Sum of Dr. Final HYR",Pivot!$A$3,"Note",26,"BS Main Head","Other Expenses","BS Sub Head","Establishment Expenses-Office Expenses")</f>
        <v>298336</v>
      </c>
      <c r="G492" s="147">
        <f>GETPIVOTDATA("Sum of Dr. Final 2019-20",Pivot!$A$3,"Note",26,"BS Main Head","Other Expenses","BS Sub Head","Establishment Expenses-Office Expenses")</f>
        <v>482428</v>
      </c>
      <c r="H492" s="283"/>
    </row>
    <row r="493" spans="2:8" x14ac:dyDescent="0.3">
      <c r="B493" s="1792" t="s">
        <v>907</v>
      </c>
      <c r="C493" s="1793"/>
      <c r="D493" s="1793"/>
      <c r="E493" s="1793"/>
      <c r="F493" s="1793"/>
      <c r="G493" s="1794"/>
      <c r="H493" s="172"/>
    </row>
    <row r="494" spans="2:8" x14ac:dyDescent="0.3">
      <c r="B494" s="1758" t="s">
        <v>1328</v>
      </c>
      <c r="C494" s="1759"/>
      <c r="D494" s="1759"/>
      <c r="E494" s="1759"/>
      <c r="F494" s="1759"/>
      <c r="G494" s="1760"/>
      <c r="H494" s="261"/>
    </row>
    <row r="495" spans="2:8" x14ac:dyDescent="0.3">
      <c r="B495" s="100" t="s">
        <v>451</v>
      </c>
      <c r="C495" s="1328"/>
      <c r="D495" s="1328"/>
      <c r="E495" s="78"/>
      <c r="F495" s="1324" t="s">
        <v>909</v>
      </c>
      <c r="G495" s="1324" t="s">
        <v>957</v>
      </c>
      <c r="H495" s="261"/>
    </row>
    <row r="496" spans="2:8" x14ac:dyDescent="0.3">
      <c r="B496" s="101"/>
      <c r="C496" s="102"/>
      <c r="D496" s="102"/>
      <c r="E496" s="79"/>
      <c r="F496" s="319" t="str">
        <f>+F5</f>
        <v>March 31, 2021 (₹)</v>
      </c>
      <c r="G496" s="38" t="s">
        <v>911</v>
      </c>
      <c r="H496" s="279"/>
    </row>
    <row r="497" spans="2:8" x14ac:dyDescent="0.3">
      <c r="B497" s="73" t="s">
        <v>1155</v>
      </c>
      <c r="C497" s="31"/>
      <c r="D497" s="31"/>
      <c r="E497" s="106"/>
      <c r="F497" s="110">
        <f>+GETPIVOTDATA("Sum of Dr. Final HYR",Pivot!$A$3,"Note",26,"BS Main Head","Other Expenses","BS Sub Head","Establishment Expenses-Printing &amp; Stationery")</f>
        <v>301037.90000000002</v>
      </c>
      <c r="G497" s="45">
        <f>GETPIVOTDATA("Sum of Dr. Final 2019-20",Pivot!$A$3,"Note",26,"BS Main Head","Other Expenses","BS Sub Head","Establishment Expenses-Printing &amp; Stationery")</f>
        <v>237277.27</v>
      </c>
      <c r="H497" s="283"/>
    </row>
    <row r="498" spans="2:8" x14ac:dyDescent="0.3">
      <c r="B498" s="73" t="s">
        <v>312</v>
      </c>
      <c r="C498" s="31"/>
      <c r="D498" s="31"/>
      <c r="E498" s="106"/>
      <c r="F498" s="110">
        <f>+GETPIVOTDATA("Sum of Dr. Final HYR",Pivot!$A$3,"Note",26,"BS Main Head","Other Expenses","BS Sub Head","Establishment Expenses-Rates &amp; Taxes")</f>
        <v>555080</v>
      </c>
      <c r="G498" s="45">
        <f>GETPIVOTDATA("Sum of Dr. Final 2019-20",Pivot!$A$3,"Note",26,"BS Main Head","Other Expenses","BS Sub Head","Establishment Expenses-Rates &amp; Taxes")</f>
        <v>1214761.3600000001</v>
      </c>
      <c r="H498" s="283"/>
    </row>
    <row r="499" spans="2:8" x14ac:dyDescent="0.3">
      <c r="B499" s="187" t="s">
        <v>1137</v>
      </c>
      <c r="C499" s="106"/>
      <c r="D499" s="106"/>
      <c r="E499" s="106"/>
      <c r="F499" s="110"/>
      <c r="G499" s="45"/>
      <c r="H499" s="283"/>
    </row>
    <row r="500" spans="2:8" x14ac:dyDescent="0.3">
      <c r="B500" s="73" t="s">
        <v>1156</v>
      </c>
      <c r="C500" s="31"/>
      <c r="D500" s="31"/>
      <c r="E500" s="188"/>
      <c r="F500" s="110">
        <f>+GETPIVOTDATA("Sum of Dr. Final HYR",Pivot!$A$3,"Note",26,"BS Main Head","Other Expenses","BS Sub Head","Establishment Expenses-Rep. &amp; Maint. Vehicle")</f>
        <v>793706.74</v>
      </c>
      <c r="G500" s="45">
        <f>GETPIVOTDATA("Sum of Dr. Final 2019-20",Pivot!$A$3,"Note",26,"BS Main Head","Other Expenses","BS Sub Head","Establishment Expenses-Rep. &amp; Maint. Vehicle")</f>
        <v>587236</v>
      </c>
      <c r="H500" s="283"/>
    </row>
    <row r="501" spans="2:8" x14ac:dyDescent="0.3">
      <c r="B501" s="73" t="s">
        <v>1157</v>
      </c>
      <c r="C501" s="31"/>
      <c r="D501" s="31"/>
      <c r="E501" s="106"/>
      <c r="F501" s="110">
        <f>+GETPIVOTDATA("Sum of Dr. Final HYR",Pivot!$A$3,"Note",26,"BS Main Head","Other Expenses","BS Sub Head","Establishment Expenses-Rep. &amp; Maint. Others")</f>
        <v>806397.4</v>
      </c>
      <c r="G501" s="45">
        <f>GETPIVOTDATA("Sum of Dr. Final 2019-20",Pivot!$A$3,"Note",26,"BS Main Head","Other Expenses","BS Sub Head","Establishment Expenses-Rep. &amp; Maint. Others")</f>
        <v>409071.26</v>
      </c>
      <c r="H501" s="283"/>
    </row>
    <row r="502" spans="2:8" x14ac:dyDescent="0.3">
      <c r="B502" s="73" t="s">
        <v>1158</v>
      </c>
      <c r="C502" s="31"/>
      <c r="D502" s="31"/>
      <c r="E502" s="139"/>
      <c r="F502" s="133">
        <f>+GETPIVOTDATA("Sum of Dr. Final HYR",Pivot!$A$3,"Note",26,"BS Main Head","Other Expenses","BS Sub Head","Establishment Expenses-Rent")</f>
        <v>320000</v>
      </c>
      <c r="G502" s="45">
        <f>GETPIVOTDATA("Sum of Dr. Final 2019-20",Pivot!$A$3,"Note",26,"BS Main Head","Other Expenses","BS Sub Head","Establishment Expenses-Rent")</f>
        <v>312000</v>
      </c>
      <c r="H502" s="283"/>
    </row>
    <row r="503" spans="2:8" x14ac:dyDescent="0.3">
      <c r="B503" s="73" t="s">
        <v>1159</v>
      </c>
      <c r="C503" s="31"/>
      <c r="D503" s="31"/>
      <c r="E503" s="189"/>
      <c r="F503" s="110">
        <f>+GETPIVOTDATA("Sum of Dr. Final HYR",Pivot!$A$3,"Note",26,"BS Main Head","Other Expenses","BS Sub Head","Establishment Expenses-Travelling &amp; Conveyance")</f>
        <v>172981</v>
      </c>
      <c r="G503" s="45">
        <f>GETPIVOTDATA("Sum of Dr. Final 2019-20",Pivot!$A$3,"Note",26,"BS Main Head","Other Expenses","BS Sub Head","Establishment Expenses-Travelling &amp; Conveyance")</f>
        <v>1355567.44</v>
      </c>
      <c r="H503" s="283"/>
    </row>
    <row r="504" spans="2:8" x14ac:dyDescent="0.3">
      <c r="B504" s="73" t="s">
        <v>852</v>
      </c>
      <c r="C504" s="31"/>
      <c r="D504" s="31"/>
      <c r="E504" s="106"/>
      <c r="F504" s="110">
        <f>+GETPIVOTDATA("Sum of Dr. Final HYR",Pivot!$A$3,"Note",26,"BS Main Head","Other Expenses","BS Sub Head","Establishment Expenses-Telephone Charges")</f>
        <v>65764</v>
      </c>
      <c r="G504" s="45">
        <f>GETPIVOTDATA("Sum of Dr. Final 2019-20",Pivot!$A$3,"Note",26,"BS Main Head","Other Expenses","BS Sub Head","Establishment Expenses-Telephone Charges")</f>
        <v>57609.08</v>
      </c>
      <c r="H504" s="283"/>
    </row>
    <row r="505" spans="2:8" x14ac:dyDescent="0.3">
      <c r="B505" s="73"/>
      <c r="C505" s="31"/>
      <c r="D505" s="31"/>
      <c r="E505" s="116" t="s">
        <v>1160</v>
      </c>
      <c r="F505" s="49">
        <f>+SUM(F477:F504)</f>
        <v>9211423.3500000015</v>
      </c>
      <c r="G505" s="49">
        <f>+SUM(G477:G504)</f>
        <v>9239596.5999999996</v>
      </c>
      <c r="H505" s="33"/>
    </row>
    <row r="506" spans="2:8" x14ac:dyDescent="0.3">
      <c r="B506" s="135" t="s">
        <v>1161</v>
      </c>
      <c r="C506" s="72"/>
      <c r="D506" s="72"/>
      <c r="E506" s="106"/>
      <c r="F506" s="110"/>
      <c r="G506" s="45"/>
      <c r="H506" s="172"/>
    </row>
    <row r="507" spans="2:8" x14ac:dyDescent="0.3">
      <c r="B507" s="73" t="s">
        <v>1162</v>
      </c>
      <c r="C507" s="31"/>
      <c r="D507" s="31"/>
      <c r="E507" s="106"/>
      <c r="F507" s="110">
        <f>+GETPIVOTDATA("Sum of Dr. Final HYR",Pivot!$A$3,"Note",26,"BS Main Head","Other Expenses","BS Sub Head","Selling &amp; Dist.-Advertisement Expenses")</f>
        <v>114760</v>
      </c>
      <c r="G507" s="45">
        <f>GETPIVOTDATA("Sum of Dr. Final 2019-20",Pivot!$A$3,"Note",26,"BS Main Head","Other Expenses","BS Sub Head","Selling &amp; Dist.-Advertisement Expenses")</f>
        <v>138158</v>
      </c>
      <c r="H507" s="33"/>
    </row>
    <row r="508" spans="2:8" x14ac:dyDescent="0.3">
      <c r="B508" s="73" t="s">
        <v>1163</v>
      </c>
      <c r="C508" s="31"/>
      <c r="D508" s="31"/>
      <c r="E508" s="106"/>
      <c r="F508" s="110">
        <f>+GETPIVOTDATA("Sum of Dr. Final HYR",Pivot!$A$3,"Note",26,"BS Main Head","Other Expenses","BS Sub Head","Selling &amp; Dist.-Insurance on Sales")</f>
        <v>295193</v>
      </c>
      <c r="G508" s="45">
        <f>GETPIVOTDATA("Sum of Dr. Final 2019-20",Pivot!$A$3,"Note",26,"BS Main Head","Other Expenses","BS Sub Head","Selling &amp; Dist.-Insurance on Sales")</f>
        <v>86275</v>
      </c>
      <c r="H508" s="33"/>
    </row>
    <row r="509" spans="2:8" x14ac:dyDescent="0.3">
      <c r="B509" s="73" t="s">
        <v>3472</v>
      </c>
      <c r="C509" s="31"/>
      <c r="D509" s="31"/>
      <c r="E509" s="106"/>
      <c r="F509" s="110">
        <f>+GETPIVOTDATA("Sum of Dr. Final HYR",Pivot!$A$3,"PARTICULARS","Export Expenses for Clearing &amp; Forwarding","Note",26,"BS Main Head","Other Expenses","BS Sub Head","Selling &amp; Dist.-Clearing &amp; Forwarding")</f>
        <v>2277589</v>
      </c>
      <c r="G509" s="68">
        <f>+GETPIVOTDATA("Sum of Dr. Final 2019-20",Pivot!$A$3,"PARTICULARS","Export Expenses for Clearing &amp; Forwarding","Note",26,"BS Main Head","Other Expenses","BS Sub Head","Selling &amp; Dist.-Clearing &amp; Forwarding")</f>
        <v>491501</v>
      </c>
      <c r="H509" s="33"/>
    </row>
    <row r="510" spans="2:8" x14ac:dyDescent="0.3">
      <c r="B510" s="73" t="s">
        <v>3474</v>
      </c>
      <c r="C510" s="31"/>
      <c r="D510" s="31"/>
      <c r="E510" s="106"/>
      <c r="F510" s="1474">
        <f>+GETPIVOTDATA("Sum of Dr. Final HYR",Pivot!$A$3,"Note",26,"BS Main Head","Other Expenses","BS Sub Head","Selling &amp; Dist.-Discount &amp; Commission")</f>
        <v>2201851</v>
      </c>
      <c r="G510" s="1473">
        <f>GETPIVOTDATA("Sum of Dr. Final 2019-20",Pivot!$A$3,"Note",26,"BS Main Head","Other Expenses","BS Sub Head","Selling &amp; Dist.-Discount &amp; Commission")</f>
        <v>1761534</v>
      </c>
      <c r="H510" s="33"/>
    </row>
    <row r="511" spans="2:8" x14ac:dyDescent="0.3">
      <c r="B511" s="73"/>
      <c r="C511" s="31"/>
      <c r="D511" s="31"/>
      <c r="E511" s="116" t="s">
        <v>1164</v>
      </c>
      <c r="F511" s="49">
        <f>+SUM(F507:F510)</f>
        <v>4889393</v>
      </c>
      <c r="G511" s="49">
        <f>+SUM(G507:G510)</f>
        <v>2477468</v>
      </c>
      <c r="H511" s="33"/>
    </row>
    <row r="512" spans="2:8" x14ac:dyDescent="0.3">
      <c r="B512" s="73"/>
      <c r="C512" s="31"/>
      <c r="D512" s="31"/>
      <c r="E512" s="1369" t="s">
        <v>1165</v>
      </c>
      <c r="F512" s="49">
        <f>+F511+F505+F474</f>
        <v>182271652.99999997</v>
      </c>
      <c r="G512" s="49">
        <f>+G511+G505+G474</f>
        <v>190581608.54999998</v>
      </c>
      <c r="H512" s="172"/>
    </row>
    <row r="513" spans="2:8" x14ac:dyDescent="0.3">
      <c r="B513" s="169" t="s">
        <v>1166</v>
      </c>
      <c r="C513" s="31"/>
      <c r="D513" s="31"/>
      <c r="E513" s="51"/>
      <c r="F513" s="133"/>
      <c r="G513" s="1344"/>
      <c r="H513" s="209"/>
    </row>
    <row r="514" spans="2:8" x14ac:dyDescent="0.3">
      <c r="B514" s="135" t="s">
        <v>9</v>
      </c>
      <c r="C514" s="31"/>
      <c r="D514" s="31"/>
      <c r="E514" s="51"/>
      <c r="F514" s="133"/>
      <c r="G514" s="80"/>
      <c r="H514" s="209"/>
    </row>
    <row r="515" spans="2:8" x14ac:dyDescent="0.3">
      <c r="B515" s="135" t="s">
        <v>1167</v>
      </c>
      <c r="C515" s="31"/>
      <c r="D515" s="31"/>
      <c r="E515" s="51"/>
      <c r="F515" s="133"/>
      <c r="G515" s="80"/>
      <c r="H515" s="209"/>
    </row>
    <row r="516" spans="2:8" x14ac:dyDescent="0.3">
      <c r="B516" s="73" t="s">
        <v>1168</v>
      </c>
      <c r="C516" s="31"/>
      <c r="D516" s="31"/>
      <c r="E516" s="51"/>
      <c r="F516" s="44">
        <f>+F103</f>
        <v>1129722</v>
      </c>
      <c r="G516" s="44">
        <f>+G103</f>
        <v>-186251</v>
      </c>
      <c r="H516" s="209"/>
    </row>
    <row r="517" spans="2:8" x14ac:dyDescent="0.3">
      <c r="B517" s="73" t="s">
        <v>1169</v>
      </c>
      <c r="C517" s="31"/>
      <c r="D517" s="31"/>
      <c r="E517" s="51"/>
      <c r="F517" s="133"/>
      <c r="G517" s="44">
        <v>0</v>
      </c>
      <c r="H517" s="275"/>
    </row>
    <row r="518" spans="2:8" x14ac:dyDescent="0.3">
      <c r="B518" s="86" t="s">
        <v>980</v>
      </c>
      <c r="C518" s="31"/>
      <c r="D518" s="31"/>
      <c r="E518" s="51"/>
      <c r="F518" s="133"/>
      <c r="G518" s="44"/>
      <c r="H518" s="275"/>
    </row>
    <row r="519" spans="2:8" hidden="1" x14ac:dyDescent="0.3">
      <c r="B519" s="86" t="s">
        <v>906</v>
      </c>
      <c r="C519" s="31"/>
      <c r="D519" s="31"/>
      <c r="E519" s="51"/>
      <c r="F519" s="133"/>
      <c r="G519" s="80"/>
      <c r="H519" s="275"/>
    </row>
    <row r="520" spans="2:8" x14ac:dyDescent="0.3">
      <c r="B520" s="73" t="s">
        <v>1170</v>
      </c>
      <c r="C520" s="31"/>
      <c r="D520" s="31"/>
      <c r="E520" s="51"/>
      <c r="F520" s="166">
        <f>+SUM(F516:F518)</f>
        <v>1129722</v>
      </c>
      <c r="G520" s="166">
        <f>+SUM(G516:G518)</f>
        <v>-186251</v>
      </c>
      <c r="H520" s="209"/>
    </row>
    <row r="521" spans="2:8" x14ac:dyDescent="0.3">
      <c r="B521" s="135" t="s">
        <v>1171</v>
      </c>
      <c r="C521" s="31"/>
      <c r="D521" s="31"/>
      <c r="E521" s="51"/>
      <c r="F521" s="133"/>
      <c r="G521" s="80"/>
      <c r="H521" s="209"/>
    </row>
    <row r="522" spans="2:8" x14ac:dyDescent="0.3">
      <c r="B522" s="42" t="s">
        <v>1172</v>
      </c>
      <c r="C522" s="31"/>
      <c r="D522" s="31"/>
      <c r="E522" s="51"/>
      <c r="F522" s="133">
        <v>0</v>
      </c>
      <c r="G522" s="44">
        <v>0</v>
      </c>
      <c r="H522" s="209"/>
    </row>
    <row r="523" spans="2:8" x14ac:dyDescent="0.3">
      <c r="B523" s="135"/>
      <c r="C523" s="31"/>
      <c r="D523" s="31"/>
      <c r="E523" s="51"/>
      <c r="F523" s="133"/>
      <c r="G523" s="80"/>
      <c r="H523" s="275"/>
    </row>
    <row r="524" spans="2:8" x14ac:dyDescent="0.3">
      <c r="B524" s="73" t="s">
        <v>1170</v>
      </c>
      <c r="C524" s="31"/>
      <c r="D524" s="31"/>
      <c r="E524" s="51"/>
      <c r="F524" s="166">
        <v>0</v>
      </c>
      <c r="G524" s="166">
        <v>0</v>
      </c>
      <c r="H524" s="209"/>
    </row>
    <row r="525" spans="2:8" ht="19.5" thickBot="1" x14ac:dyDescent="0.35">
      <c r="B525" s="135" t="s">
        <v>1173</v>
      </c>
      <c r="C525" s="31"/>
      <c r="D525" s="31"/>
      <c r="E525" s="51"/>
      <c r="F525" s="190">
        <f>F524+F520</f>
        <v>1129722</v>
      </c>
      <c r="G525" s="190">
        <f>G524+G520</f>
        <v>-186251</v>
      </c>
      <c r="H525" s="209"/>
    </row>
    <row r="526" spans="2:8" ht="19.5" hidden="1" thickTop="1" x14ac:dyDescent="0.3">
      <c r="B526" s="135"/>
      <c r="C526" s="31"/>
      <c r="D526" s="31"/>
      <c r="E526" s="51"/>
      <c r="F526" s="80"/>
      <c r="G526" s="80"/>
      <c r="H526" s="209"/>
    </row>
    <row r="527" spans="2:8" ht="19.5" thickTop="1" x14ac:dyDescent="0.3">
      <c r="B527" s="169" t="s">
        <v>1174</v>
      </c>
      <c r="C527" s="31"/>
      <c r="D527" s="31"/>
      <c r="E527" s="51"/>
      <c r="F527" s="80"/>
      <c r="G527" s="80"/>
      <c r="H527" s="209"/>
    </row>
    <row r="528" spans="2:8" x14ac:dyDescent="0.3">
      <c r="B528" s="73" t="s">
        <v>1175</v>
      </c>
      <c r="C528" s="31"/>
      <c r="D528" s="31"/>
      <c r="E528" s="51"/>
      <c r="F528" s="44">
        <f>+F100</f>
        <v>34273275.57110668</v>
      </c>
      <c r="G528" s="44">
        <f>+G100</f>
        <v>11392078.882790042</v>
      </c>
      <c r="H528" s="209"/>
    </row>
    <row r="529" spans="2:8" x14ac:dyDescent="0.3">
      <c r="B529" s="1747" t="s">
        <v>1176</v>
      </c>
      <c r="C529" s="1748"/>
      <c r="D529" s="1748"/>
      <c r="E529" s="1749"/>
      <c r="F529" s="44">
        <f>+F314</f>
        <v>2692265</v>
      </c>
      <c r="G529" s="44">
        <f>+G314</f>
        <v>2692265</v>
      </c>
      <c r="H529" s="209"/>
    </row>
    <row r="530" spans="2:8" x14ac:dyDescent="0.3">
      <c r="B530" s="73" t="s">
        <v>1177</v>
      </c>
      <c r="C530" s="31"/>
      <c r="D530" s="31"/>
      <c r="E530" s="191"/>
      <c r="F530" s="1471">
        <f>+F528/F529</f>
        <v>12.730275649353493</v>
      </c>
      <c r="G530" s="1471">
        <f>+G528/G529</f>
        <v>4.2314106831199911</v>
      </c>
      <c r="H530" s="209"/>
    </row>
    <row r="531" spans="2:8" x14ac:dyDescent="0.3">
      <c r="B531" s="73" t="s">
        <v>1178</v>
      </c>
      <c r="C531" s="31"/>
      <c r="D531" s="31"/>
      <c r="E531" s="192"/>
      <c r="F531" s="1471">
        <f>+F528/F529</f>
        <v>12.730275649353493</v>
      </c>
      <c r="G531" s="1471">
        <f>+G528/G529</f>
        <v>4.2314106831199911</v>
      </c>
      <c r="H531" s="292"/>
    </row>
    <row r="532" spans="2:8" x14ac:dyDescent="0.3">
      <c r="B532" s="135"/>
      <c r="C532" s="31"/>
      <c r="D532" s="31"/>
      <c r="E532" s="51"/>
      <c r="F532" s="1472"/>
      <c r="G532" s="1472"/>
      <c r="H532" s="293"/>
    </row>
    <row r="533" spans="2:8" x14ac:dyDescent="0.3">
      <c r="B533" s="169" t="s">
        <v>1179</v>
      </c>
      <c r="C533" s="31"/>
      <c r="D533" s="31"/>
      <c r="E533" s="51"/>
      <c r="F533" s="151"/>
      <c r="G533" s="80"/>
      <c r="H533" s="209"/>
    </row>
    <row r="534" spans="2:8" hidden="1" x14ac:dyDescent="0.3">
      <c r="B534" s="135"/>
      <c r="C534" s="31"/>
      <c r="D534" s="31"/>
      <c r="E534" s="51"/>
      <c r="F534" s="151"/>
      <c r="G534" s="80"/>
      <c r="H534" s="209"/>
    </row>
    <row r="535" spans="2:8" x14ac:dyDescent="0.3">
      <c r="B535" s="135" t="s">
        <v>1180</v>
      </c>
      <c r="C535" s="31"/>
      <c r="D535" s="31"/>
      <c r="E535" s="51"/>
      <c r="F535" s="151"/>
      <c r="G535" s="80"/>
      <c r="H535" s="209"/>
    </row>
    <row r="536" spans="2:8" x14ac:dyDescent="0.3">
      <c r="B536" s="73" t="s">
        <v>1181</v>
      </c>
      <c r="C536" s="31"/>
      <c r="D536" s="31"/>
      <c r="E536" s="51"/>
      <c r="F536" s="151">
        <f>+'CLOSING STOCK AS ON 31-03-21'!J35+97418771</f>
        <v>101798866</v>
      </c>
      <c r="G536" s="44">
        <v>120643906.14</v>
      </c>
      <c r="H536" s="209"/>
    </row>
    <row r="537" spans="2:8" x14ac:dyDescent="0.3">
      <c r="B537" s="73" t="s">
        <v>1182</v>
      </c>
      <c r="C537" s="31"/>
      <c r="D537" s="31"/>
      <c r="E537" s="51"/>
      <c r="F537" s="151">
        <v>526167</v>
      </c>
      <c r="G537" s="44">
        <v>1527900</v>
      </c>
      <c r="H537" s="275"/>
    </row>
    <row r="538" spans="2:8" x14ac:dyDescent="0.3">
      <c r="B538" s="73" t="s">
        <v>1183</v>
      </c>
      <c r="C538" s="31"/>
      <c r="D538" s="31"/>
      <c r="E538" s="51"/>
      <c r="F538" s="151">
        <f>297779+576436+32756+13300+12750+8825+370+14149+11000+13900+720</f>
        <v>981985</v>
      </c>
      <c r="G538" s="44">
        <f>1159882</f>
        <v>1159882</v>
      </c>
      <c r="H538" s="275"/>
    </row>
    <row r="539" spans="2:8" hidden="1" x14ac:dyDescent="0.3">
      <c r="B539" s="135"/>
      <c r="C539" s="31"/>
      <c r="D539" s="31"/>
      <c r="E539" s="51"/>
      <c r="F539" s="151"/>
      <c r="G539" s="80"/>
      <c r="H539" s="275"/>
    </row>
    <row r="540" spans="2:8" x14ac:dyDescent="0.3">
      <c r="B540" s="135" t="s">
        <v>1184</v>
      </c>
      <c r="C540" s="31"/>
      <c r="D540" s="31"/>
      <c r="E540" s="51"/>
      <c r="F540" s="151"/>
      <c r="G540" s="80"/>
      <c r="H540" s="209"/>
    </row>
    <row r="541" spans="2:8" x14ac:dyDescent="0.3">
      <c r="B541" s="135" t="s">
        <v>1185</v>
      </c>
      <c r="C541" s="31"/>
      <c r="D541" s="31"/>
      <c r="E541" s="51"/>
      <c r="F541" s="151"/>
      <c r="G541" s="80"/>
      <c r="H541" s="209"/>
    </row>
    <row r="542" spans="2:8" x14ac:dyDescent="0.3">
      <c r="B542" s="73" t="s">
        <v>1186</v>
      </c>
      <c r="C542" s="31"/>
      <c r="D542" s="31"/>
      <c r="E542" s="51"/>
      <c r="F542" s="151">
        <f>+'CLOSING STOCK AS ON 31-03-21'!P36</f>
        <v>39601793</v>
      </c>
      <c r="G542" s="44">
        <f>+'[64]CLOSING STOCK 31-03-20'!Q38</f>
        <v>43890778.421285272</v>
      </c>
      <c r="H542" s="209"/>
    </row>
    <row r="543" spans="2:8" x14ac:dyDescent="0.3">
      <c r="B543" s="73" t="s">
        <v>1187</v>
      </c>
      <c r="C543" s="31"/>
      <c r="D543" s="31"/>
      <c r="E543" s="51"/>
      <c r="F543" s="151">
        <f>+'CLOSING STOCK AS ON 31-03-21'!P40</f>
        <v>2369792.5</v>
      </c>
      <c r="G543" s="44">
        <f>+'[64]CLOSING STOCK 31-03-20'!Q42</f>
        <v>2919004</v>
      </c>
      <c r="H543" s="275"/>
    </row>
    <row r="544" spans="2:8" hidden="1" x14ac:dyDescent="0.3">
      <c r="B544" s="135"/>
      <c r="C544" s="31"/>
      <c r="D544" s="31"/>
      <c r="E544" s="51"/>
      <c r="F544" s="151"/>
      <c r="G544" s="80"/>
      <c r="H544" s="275"/>
    </row>
    <row r="545" spans="2:8" x14ac:dyDescent="0.3">
      <c r="B545" s="135" t="s">
        <v>1188</v>
      </c>
      <c r="C545" s="31"/>
      <c r="D545" s="31"/>
      <c r="E545" s="51"/>
      <c r="F545" s="151"/>
      <c r="G545" s="80"/>
      <c r="H545" s="209"/>
    </row>
    <row r="546" spans="2:8" x14ac:dyDescent="0.3">
      <c r="B546" s="73" t="s">
        <v>1189</v>
      </c>
      <c r="C546" s="31"/>
      <c r="D546" s="31"/>
      <c r="E546" s="51"/>
      <c r="F546" s="151">
        <f>+'CLOSING STOCK AS ON 31-03-21'!P46</f>
        <v>8237781.8968448304</v>
      </c>
      <c r="G546" s="44">
        <f>+G241</f>
        <v>7851552.4699999997</v>
      </c>
      <c r="H546" s="209"/>
    </row>
    <row r="547" spans="2:8" x14ac:dyDescent="0.3">
      <c r="B547" s="73" t="s">
        <v>3480</v>
      </c>
      <c r="C547" s="31"/>
      <c r="D547" s="31"/>
      <c r="E547" s="51"/>
      <c r="F547" s="151">
        <f>+'CLOSING STOCK AS ON 31-03-21'!P47</f>
        <v>7862029.8210445167</v>
      </c>
      <c r="G547" s="44">
        <v>0</v>
      </c>
      <c r="H547" s="209"/>
    </row>
    <row r="548" spans="2:8" hidden="1" x14ac:dyDescent="0.3">
      <c r="B548" s="135"/>
      <c r="C548" s="31"/>
      <c r="D548" s="31"/>
      <c r="E548" s="51"/>
      <c r="F548" s="151"/>
      <c r="G548" s="80"/>
      <c r="H548" s="275"/>
    </row>
    <row r="549" spans="2:8" x14ac:dyDescent="0.3">
      <c r="B549" s="1808" t="s">
        <v>1190</v>
      </c>
      <c r="C549" s="1809"/>
      <c r="D549" s="1809"/>
      <c r="E549" s="1810"/>
      <c r="F549" s="333"/>
      <c r="G549" s="80"/>
      <c r="H549" s="209"/>
    </row>
    <row r="550" spans="2:8" x14ac:dyDescent="0.3">
      <c r="B550" s="1496" t="s">
        <v>1191</v>
      </c>
      <c r="C550" s="1497"/>
      <c r="D550" s="1497"/>
      <c r="E550" s="1498"/>
      <c r="F550" s="333"/>
      <c r="G550" s="80"/>
      <c r="H550" s="209"/>
    </row>
    <row r="551" spans="2:8" x14ac:dyDescent="0.3">
      <c r="B551" s="1496" t="s">
        <v>1192</v>
      </c>
      <c r="C551" s="1497"/>
      <c r="D551" s="1497"/>
      <c r="E551" s="1498"/>
      <c r="F551" s="333"/>
      <c r="G551" s="80"/>
      <c r="H551" s="209"/>
    </row>
    <row r="552" spans="2:8" x14ac:dyDescent="0.3">
      <c r="B552" s="187" t="s">
        <v>1186</v>
      </c>
      <c r="C552" s="31"/>
      <c r="D552" s="31"/>
      <c r="E552" s="51"/>
      <c r="F552" s="151"/>
      <c r="G552" s="80"/>
      <c r="H552" s="209"/>
    </row>
    <row r="553" spans="2:8" x14ac:dyDescent="0.3">
      <c r="B553" s="73" t="s">
        <v>1193</v>
      </c>
      <c r="C553" s="31"/>
      <c r="D553" s="31"/>
      <c r="E553" s="51"/>
      <c r="F553" s="151">
        <f>+'CLOSING STOCK AS ON 31-03-21'!M32</f>
        <v>129943471</v>
      </c>
      <c r="G553" s="44">
        <f>+'[64]CLOSING STOCK 31-03-20'!N34</f>
        <v>152872055.94415474</v>
      </c>
      <c r="H553" s="209"/>
    </row>
    <row r="554" spans="2:8" x14ac:dyDescent="0.3">
      <c r="B554" s="73" t="s">
        <v>1194</v>
      </c>
      <c r="C554" s="31"/>
      <c r="D554" s="31"/>
      <c r="E554" s="51"/>
      <c r="F554" s="1479">
        <f>+F553/(F553+F563)</f>
        <v>0.25075396552104656</v>
      </c>
      <c r="G554" s="1479">
        <f>+G553/(G553+G563)</f>
        <v>0.35315432930051155</v>
      </c>
      <c r="H554" s="275"/>
    </row>
    <row r="555" spans="2:8" hidden="1" x14ac:dyDescent="0.3">
      <c r="B555" s="135"/>
      <c r="C555" s="31"/>
      <c r="D555" s="31"/>
      <c r="E555" s="51"/>
      <c r="F555" s="151"/>
      <c r="G555" s="80"/>
      <c r="H555" s="1361"/>
    </row>
    <row r="556" spans="2:8" x14ac:dyDescent="0.3">
      <c r="B556" s="187" t="s">
        <v>1183</v>
      </c>
      <c r="C556" s="31"/>
      <c r="D556" s="31"/>
      <c r="E556" s="51"/>
      <c r="F556" s="151"/>
      <c r="G556" s="80"/>
      <c r="H556" s="209"/>
    </row>
    <row r="557" spans="2:8" x14ac:dyDescent="0.3">
      <c r="B557" s="73" t="s">
        <v>1193</v>
      </c>
      <c r="C557" s="31"/>
      <c r="D557" s="31"/>
      <c r="E557" s="51"/>
      <c r="F557" s="151">
        <f>+F538</f>
        <v>981985</v>
      </c>
      <c r="G557" s="44">
        <f>+G538</f>
        <v>1159882</v>
      </c>
      <c r="H557" s="209"/>
    </row>
    <row r="558" spans="2:8" x14ac:dyDescent="0.3">
      <c r="B558" s="73" t="s">
        <v>1194</v>
      </c>
      <c r="C558" s="31"/>
      <c r="D558" s="31"/>
      <c r="E558" s="51"/>
      <c r="F558" s="1479">
        <f>+F557/(F557+F571)</f>
        <v>0.10687852342352194</v>
      </c>
      <c r="G558" s="1479">
        <f>+G557/(G557+G571)</f>
        <v>0.19114396413249718</v>
      </c>
      <c r="H558" s="275"/>
    </row>
    <row r="559" spans="2:8" hidden="1" x14ac:dyDescent="0.3">
      <c r="B559" s="135"/>
      <c r="C559" s="31"/>
      <c r="D559" s="31"/>
      <c r="E559" s="51"/>
      <c r="F559" s="151"/>
      <c r="G559" s="80"/>
      <c r="H559" s="1361"/>
    </row>
    <row r="560" spans="2:8" x14ac:dyDescent="0.3">
      <c r="B560" s="1496" t="s">
        <v>1195</v>
      </c>
      <c r="C560" s="1497"/>
      <c r="D560" s="1497"/>
      <c r="E560" s="1498"/>
      <c r="F560" s="333"/>
      <c r="G560" s="80"/>
      <c r="H560" s="209"/>
    </row>
    <row r="561" spans="2:8" x14ac:dyDescent="0.3">
      <c r="B561" s="1496" t="s">
        <v>1192</v>
      </c>
      <c r="C561" s="1497"/>
      <c r="D561" s="1497"/>
      <c r="E561" s="1498"/>
      <c r="F561" s="333"/>
      <c r="G561" s="80"/>
      <c r="H561" s="209"/>
    </row>
    <row r="562" spans="2:8" x14ac:dyDescent="0.3">
      <c r="B562" s="187" t="s">
        <v>1186</v>
      </c>
      <c r="C562" s="31"/>
      <c r="D562" s="31"/>
      <c r="E562" s="51"/>
      <c r="F562" s="151"/>
      <c r="G562" s="80"/>
      <c r="H562" s="209"/>
    </row>
    <row r="563" spans="2:8" x14ac:dyDescent="0.3">
      <c r="B563" s="73" t="s">
        <v>1193</v>
      </c>
      <c r="C563" s="31"/>
      <c r="D563" s="31"/>
      <c r="E563" s="51"/>
      <c r="F563" s="151">
        <f>+'CLOSING STOCK AS ON 31-03-21'!M10</f>
        <v>388267560</v>
      </c>
      <c r="G563" s="44">
        <f>+'[64]CLOSING STOCK 31-03-20'!N10+'[64]CLOSING STOCK 31-03-20'!N42</f>
        <v>280004007.75</v>
      </c>
      <c r="H563" s="209"/>
    </row>
    <row r="564" spans="2:8" x14ac:dyDescent="0.3">
      <c r="B564" s="73" t="s">
        <v>1194</v>
      </c>
      <c r="C564" s="31"/>
      <c r="D564" s="31"/>
      <c r="E564" s="51"/>
      <c r="F564" s="1479">
        <f>+F563/(F553+F563)</f>
        <v>0.74924603447895344</v>
      </c>
      <c r="G564" s="1479">
        <f>+G563/(G553+G563)</f>
        <v>0.6468456706994884</v>
      </c>
      <c r="H564" s="275"/>
    </row>
    <row r="565" spans="2:8" hidden="1" x14ac:dyDescent="0.3">
      <c r="B565" s="135"/>
      <c r="C565" s="31"/>
      <c r="D565" s="31"/>
      <c r="E565" s="51"/>
      <c r="F565" s="151"/>
      <c r="G565" s="80"/>
      <c r="H565" s="1361"/>
    </row>
    <row r="566" spans="2:8" x14ac:dyDescent="0.3">
      <c r="B566" s="187" t="s">
        <v>1187</v>
      </c>
      <c r="C566" s="31"/>
      <c r="D566" s="31"/>
      <c r="E566" s="51"/>
      <c r="F566" s="151"/>
      <c r="G566" s="80"/>
      <c r="H566" s="209"/>
    </row>
    <row r="567" spans="2:8" x14ac:dyDescent="0.3">
      <c r="B567" s="73" t="s">
        <v>1193</v>
      </c>
      <c r="C567" s="31"/>
      <c r="D567" s="31"/>
      <c r="E567" s="51"/>
      <c r="F567" s="44">
        <f>+'CLOSING STOCK AS ON 31-03-21'!M40</f>
        <v>35517321.5</v>
      </c>
      <c r="G567" s="44">
        <f>+'[64]CLOSING STOCK 31-03-20'!N42</f>
        <v>41830145.75</v>
      </c>
      <c r="H567" s="209"/>
    </row>
    <row r="568" spans="2:8" x14ac:dyDescent="0.3">
      <c r="B568" s="73" t="s">
        <v>1194</v>
      </c>
      <c r="C568" s="31"/>
      <c r="D568" s="31"/>
      <c r="E568" s="51"/>
      <c r="F568" s="1479">
        <v>1</v>
      </c>
      <c r="G568" s="1479">
        <v>1</v>
      </c>
      <c r="H568" s="275"/>
    </row>
    <row r="569" spans="2:8" hidden="1" x14ac:dyDescent="0.3">
      <c r="B569" s="135"/>
      <c r="C569" s="31"/>
      <c r="D569" s="31"/>
      <c r="E569" s="51"/>
      <c r="F569" s="151"/>
      <c r="G569" s="80"/>
      <c r="H569" s="1361"/>
    </row>
    <row r="570" spans="2:8" x14ac:dyDescent="0.3">
      <c r="B570" s="187" t="s">
        <v>1183</v>
      </c>
      <c r="C570" s="31"/>
      <c r="D570" s="31"/>
      <c r="E570" s="51"/>
      <c r="F570" s="151"/>
      <c r="G570" s="80"/>
      <c r="H570" s="209"/>
    </row>
    <row r="571" spans="2:8" x14ac:dyDescent="0.3">
      <c r="B571" s="73" t="s">
        <v>1193</v>
      </c>
      <c r="C571" s="31"/>
      <c r="D571" s="31"/>
      <c r="E571" s="51"/>
      <c r="F571" s="44">
        <f>+F472</f>
        <v>8205875.8399999999</v>
      </c>
      <c r="G571" s="44">
        <f>+G472-G538</f>
        <v>4908224.8599999994</v>
      </c>
      <c r="H571" s="209">
        <f>+F563+F567+F571</f>
        <v>431990757.33999997</v>
      </c>
    </row>
    <row r="572" spans="2:8" x14ac:dyDescent="0.3">
      <c r="B572" s="73" t="s">
        <v>1194</v>
      </c>
      <c r="C572" s="31"/>
      <c r="D572" s="31"/>
      <c r="E572" s="51"/>
      <c r="F572" s="1479">
        <f>+F571/(F571+F557)</f>
        <v>0.893121476576478</v>
      </c>
      <c r="G572" s="1479">
        <f>+G571/(G571+G557)</f>
        <v>0.80885603586750277</v>
      </c>
      <c r="H572" s="275"/>
    </row>
    <row r="573" spans="2:8" hidden="1" x14ac:dyDescent="0.3">
      <c r="B573" s="135"/>
      <c r="C573" s="31"/>
      <c r="D573" s="31"/>
      <c r="E573" s="51"/>
      <c r="F573" s="151"/>
      <c r="G573" s="80"/>
      <c r="H573" s="1361"/>
    </row>
    <row r="574" spans="2:8" x14ac:dyDescent="0.3">
      <c r="B574" s="135" t="s">
        <v>1196</v>
      </c>
      <c r="C574" s="31"/>
      <c r="D574" s="31"/>
      <c r="E574" s="51"/>
      <c r="F574" s="151"/>
      <c r="G574" s="80"/>
      <c r="H574" s="209"/>
    </row>
    <row r="575" spans="2:8" x14ac:dyDescent="0.3">
      <c r="B575" s="135" t="s">
        <v>1189</v>
      </c>
      <c r="C575" s="31"/>
      <c r="D575" s="31"/>
      <c r="E575" s="51"/>
      <c r="F575" s="151"/>
      <c r="G575" s="80"/>
      <c r="H575" s="209"/>
    </row>
    <row r="576" spans="2:8" x14ac:dyDescent="0.3">
      <c r="B576" s="187" t="s">
        <v>1197</v>
      </c>
      <c r="C576" s="31"/>
      <c r="D576" s="31"/>
      <c r="E576" s="51"/>
      <c r="F576" s="151"/>
      <c r="G576" s="80"/>
      <c r="H576" s="209"/>
    </row>
    <row r="577" spans="1:55" x14ac:dyDescent="0.3">
      <c r="B577" s="73" t="s">
        <v>1189</v>
      </c>
      <c r="C577" s="31"/>
      <c r="D577" s="31"/>
      <c r="E577" s="51"/>
      <c r="F577" s="44">
        <f>+F430</f>
        <v>819759041.19999993</v>
      </c>
      <c r="G577" s="44">
        <f>+G430</f>
        <v>698726028.5999999</v>
      </c>
      <c r="H577" s="209"/>
    </row>
    <row r="578" spans="1:55" x14ac:dyDescent="0.3">
      <c r="B578" s="1539"/>
      <c r="C578" s="102"/>
      <c r="D578" s="102"/>
      <c r="E578" s="79"/>
      <c r="F578" s="157"/>
      <c r="G578" s="38"/>
      <c r="H578" s="275"/>
    </row>
    <row r="579" spans="1:55" x14ac:dyDescent="0.3">
      <c r="A579" s="214"/>
      <c r="B579" s="1744" t="s">
        <v>907</v>
      </c>
      <c r="C579" s="1745"/>
      <c r="D579" s="1745"/>
      <c r="E579" s="1745"/>
      <c r="F579" s="1745"/>
      <c r="G579" s="1746"/>
      <c r="H579" s="33"/>
    </row>
    <row r="580" spans="1:55" s="35" customFormat="1" x14ac:dyDescent="0.3">
      <c r="A580" s="74"/>
      <c r="B580" s="1811" t="s">
        <v>1328</v>
      </c>
      <c r="C580" s="1812"/>
      <c r="D580" s="1812"/>
      <c r="E580" s="1812"/>
      <c r="F580" s="1812"/>
      <c r="G580" s="1813"/>
      <c r="H580" s="1315"/>
      <c r="I580" s="266"/>
      <c r="J580" s="266"/>
      <c r="K580" s="266"/>
      <c r="L580" s="266"/>
      <c r="M580" s="266"/>
      <c r="N580" s="266"/>
      <c r="O580" s="266"/>
      <c r="P580" s="266"/>
      <c r="Q580" s="266"/>
      <c r="R580" s="266"/>
      <c r="S580" s="266"/>
      <c r="T580" s="266"/>
      <c r="U580" s="266"/>
      <c r="V580" s="266"/>
      <c r="W580" s="266"/>
      <c r="X580" s="266"/>
      <c r="Y580" s="266"/>
      <c r="Z580" s="266"/>
      <c r="AA580" s="266"/>
      <c r="AB580" s="266"/>
      <c r="AC580" s="266"/>
      <c r="AD580" s="266"/>
      <c r="AE580" s="266"/>
      <c r="AF580" s="266"/>
      <c r="AG580" s="266"/>
      <c r="AH580" s="266"/>
      <c r="AI580" s="266"/>
      <c r="AJ580" s="266"/>
      <c r="AK580" s="266"/>
      <c r="AL580" s="266"/>
      <c r="AM580" s="266"/>
      <c r="AN580" s="266"/>
      <c r="AO580" s="266"/>
      <c r="AP580" s="266"/>
      <c r="AQ580" s="266"/>
      <c r="AR580" s="266"/>
      <c r="AS580" s="266"/>
      <c r="AT580" s="266"/>
      <c r="AU580" s="266"/>
      <c r="AV580" s="266"/>
      <c r="AW580" s="266"/>
      <c r="AX580" s="266"/>
      <c r="AY580" s="266"/>
      <c r="AZ580" s="266"/>
      <c r="BA580" s="266"/>
      <c r="BB580" s="266"/>
      <c r="BC580" s="266"/>
    </row>
    <row r="581" spans="1:55" x14ac:dyDescent="0.3">
      <c r="B581" s="74"/>
      <c r="C581" s="31"/>
      <c r="D581" s="31"/>
      <c r="E581" s="158"/>
      <c r="F581" s="1324" t="s">
        <v>957</v>
      </c>
      <c r="G581" s="1324" t="s">
        <v>957</v>
      </c>
      <c r="H581" s="211"/>
    </row>
    <row r="582" spans="1:55" x14ac:dyDescent="0.3">
      <c r="B582" s="124" t="s">
        <v>1198</v>
      </c>
      <c r="C582" s="31"/>
      <c r="D582" s="31"/>
      <c r="E582" s="51"/>
      <c r="F582" s="38" t="str">
        <f>+F5</f>
        <v>March 31, 2021 (₹)</v>
      </c>
      <c r="G582" s="38" t="s">
        <v>911</v>
      </c>
      <c r="H582" s="279"/>
    </row>
    <row r="583" spans="1:55" x14ac:dyDescent="0.3">
      <c r="B583" s="73" t="s">
        <v>1199</v>
      </c>
      <c r="C583" s="31"/>
      <c r="D583" s="31"/>
      <c r="E583" s="51"/>
      <c r="F583" s="45">
        <f>+F477</f>
        <v>275000</v>
      </c>
      <c r="G583" s="45">
        <f>+G477</f>
        <v>275000</v>
      </c>
      <c r="H583" s="172"/>
    </row>
    <row r="584" spans="1:55" x14ac:dyDescent="0.3">
      <c r="B584" s="73" t="s">
        <v>1147</v>
      </c>
      <c r="C584" s="31"/>
      <c r="D584" s="31"/>
      <c r="E584" s="51"/>
      <c r="F584" s="147">
        <v>0</v>
      </c>
      <c r="G584" s="147">
        <f>+G479</f>
        <v>11546</v>
      </c>
      <c r="H584" s="33"/>
    </row>
    <row r="585" spans="1:55" x14ac:dyDescent="0.3">
      <c r="B585" s="73"/>
      <c r="C585" s="31"/>
      <c r="D585" s="31"/>
      <c r="E585" s="51"/>
      <c r="F585" s="147">
        <f>+F583+F584</f>
        <v>275000</v>
      </c>
      <c r="G585" s="147">
        <f>+G583+G584</f>
        <v>286546</v>
      </c>
      <c r="H585" s="33"/>
    </row>
    <row r="586" spans="1:55" hidden="1" x14ac:dyDescent="0.3">
      <c r="B586" s="73"/>
      <c r="C586" s="31"/>
      <c r="D586" s="31"/>
      <c r="E586" s="30"/>
      <c r="F586" s="1506"/>
      <c r="G586" s="1325"/>
      <c r="H586" s="33"/>
    </row>
    <row r="587" spans="1:55" x14ac:dyDescent="0.3">
      <c r="B587" s="169" t="s">
        <v>3499</v>
      </c>
      <c r="C587" s="31"/>
      <c r="D587" s="31"/>
      <c r="E587" s="30"/>
      <c r="F587" s="140"/>
      <c r="G587" s="147"/>
      <c r="H587" s="33"/>
    </row>
    <row r="588" spans="1:55" x14ac:dyDescent="0.3">
      <c r="B588" s="73" t="s">
        <v>3500</v>
      </c>
      <c r="C588" s="31"/>
      <c r="D588" s="31"/>
      <c r="E588" s="30"/>
      <c r="F588" s="1324" t="s">
        <v>957</v>
      </c>
      <c r="G588" s="1324" t="s">
        <v>957</v>
      </c>
      <c r="H588" s="33"/>
    </row>
    <row r="589" spans="1:55" x14ac:dyDescent="0.3">
      <c r="B589" s="1567" t="s">
        <v>9</v>
      </c>
      <c r="C589" s="1568"/>
      <c r="D589" s="1569"/>
      <c r="E589" s="1560" t="s">
        <v>3501</v>
      </c>
      <c r="F589" s="38" t="str">
        <f>+F582</f>
        <v>March 31, 2021 (₹)</v>
      </c>
      <c r="G589" s="38" t="str">
        <f>+G582</f>
        <v>March 31, 2020 (₹)</v>
      </c>
      <c r="H589" s="33"/>
    </row>
    <row r="590" spans="1:55" x14ac:dyDescent="0.3">
      <c r="B590" s="135" t="s">
        <v>916</v>
      </c>
      <c r="C590" s="31"/>
      <c r="D590" s="31"/>
      <c r="E590" s="1558"/>
      <c r="F590" s="80"/>
      <c r="G590" s="80"/>
      <c r="H590" s="33"/>
    </row>
    <row r="591" spans="1:55" x14ac:dyDescent="0.3">
      <c r="B591" s="73" t="s">
        <v>3502</v>
      </c>
      <c r="C591" s="31"/>
      <c r="D591" s="31"/>
      <c r="E591" s="1559">
        <v>6</v>
      </c>
      <c r="F591" s="44">
        <f t="shared" ref="F591:G594" si="0">+F17</f>
        <v>155760049.43000001</v>
      </c>
      <c r="G591" s="53">
        <f t="shared" si="0"/>
        <v>94854388</v>
      </c>
      <c r="H591" s="33"/>
    </row>
    <row r="592" spans="1:55" x14ac:dyDescent="0.3">
      <c r="B592" s="73" t="s">
        <v>3503</v>
      </c>
      <c r="C592" s="31"/>
      <c r="D592" s="31"/>
      <c r="E592" s="1559">
        <v>7</v>
      </c>
      <c r="F592" s="44">
        <f t="shared" si="0"/>
        <v>333868.40000000002</v>
      </c>
      <c r="G592" s="53">
        <f t="shared" si="0"/>
        <v>283263</v>
      </c>
      <c r="H592" s="33"/>
    </row>
    <row r="593" spans="2:8" x14ac:dyDescent="0.3">
      <c r="B593" s="73" t="s">
        <v>3504</v>
      </c>
      <c r="C593" s="31"/>
      <c r="D593" s="31"/>
      <c r="E593" s="43">
        <v>8</v>
      </c>
      <c r="F593" s="44">
        <f t="shared" si="0"/>
        <v>0</v>
      </c>
      <c r="G593" s="53">
        <f t="shared" si="0"/>
        <v>83453.5</v>
      </c>
      <c r="H593" s="33"/>
    </row>
    <row r="594" spans="2:8" x14ac:dyDescent="0.3">
      <c r="B594" s="73" t="s">
        <v>3505</v>
      </c>
      <c r="C594" s="31"/>
      <c r="D594" s="31"/>
      <c r="E594" s="1559">
        <v>9</v>
      </c>
      <c r="F594" s="133">
        <f t="shared" si="0"/>
        <v>7281000</v>
      </c>
      <c r="G594" s="151">
        <f t="shared" si="0"/>
        <v>8543299.9600000009</v>
      </c>
      <c r="H594" s="33"/>
    </row>
    <row r="595" spans="2:8" x14ac:dyDescent="0.3">
      <c r="B595" s="73"/>
      <c r="C595" s="31"/>
      <c r="D595" s="31"/>
      <c r="E595" s="1559"/>
      <c r="F595" s="1199">
        <f>+SUM(F591:F594)</f>
        <v>163374917.83000001</v>
      </c>
      <c r="G595" s="1557">
        <f>+SUM(G591:G594)</f>
        <v>103764404.46000001</v>
      </c>
      <c r="H595" s="33"/>
    </row>
    <row r="596" spans="2:8" x14ac:dyDescent="0.3">
      <c r="B596" s="135" t="s">
        <v>934</v>
      </c>
      <c r="C596" s="31"/>
      <c r="D596" s="31"/>
      <c r="E596" s="1559"/>
      <c r="F596" s="167"/>
      <c r="G596" s="168"/>
      <c r="H596" s="33"/>
    </row>
    <row r="597" spans="2:8" x14ac:dyDescent="0.3">
      <c r="B597" s="73" t="s">
        <v>3506</v>
      </c>
      <c r="C597" s="31"/>
      <c r="D597" s="31"/>
      <c r="E597" s="1559">
        <v>16</v>
      </c>
      <c r="F597" s="133">
        <f t="shared" ref="F597:G599" si="1">+F40</f>
        <v>43576042.979999997</v>
      </c>
      <c r="G597" s="151">
        <f t="shared" si="1"/>
        <v>61843530.590000004</v>
      </c>
      <c r="H597" s="33"/>
    </row>
    <row r="598" spans="2:8" x14ac:dyDescent="0.3">
      <c r="B598" s="73" t="s">
        <v>3507</v>
      </c>
      <c r="C598" s="31"/>
      <c r="D598" s="31"/>
      <c r="E598" s="1559">
        <v>17</v>
      </c>
      <c r="F598" s="133">
        <f t="shared" si="1"/>
        <v>79627699.75999999</v>
      </c>
      <c r="G598" s="151">
        <f t="shared" si="1"/>
        <v>59045466.559999995</v>
      </c>
      <c r="H598" s="33"/>
    </row>
    <row r="599" spans="2:8" x14ac:dyDescent="0.3">
      <c r="B599" s="73" t="s">
        <v>3509</v>
      </c>
      <c r="C599" s="31"/>
      <c r="D599" s="31"/>
      <c r="E599" s="1559">
        <v>18</v>
      </c>
      <c r="F599" s="133">
        <f t="shared" si="1"/>
        <v>11141021</v>
      </c>
      <c r="G599" s="151">
        <f t="shared" si="1"/>
        <v>8240996.9399999995</v>
      </c>
      <c r="H599" s="33"/>
    </row>
    <row r="600" spans="2:8" x14ac:dyDescent="0.3">
      <c r="B600" s="1814" t="s">
        <v>1079</v>
      </c>
      <c r="C600" s="1815"/>
      <c r="D600" s="1815"/>
      <c r="E600" s="1816"/>
      <c r="F600" s="1199">
        <f>+SUM(F597:F599)</f>
        <v>134344763.73999998</v>
      </c>
      <c r="G600" s="1557">
        <f>+SUM(G597:G599)</f>
        <v>129129994.09</v>
      </c>
      <c r="H600" s="33"/>
    </row>
    <row r="601" spans="2:8" x14ac:dyDescent="0.3">
      <c r="B601" s="135" t="s">
        <v>3510</v>
      </c>
      <c r="C601" s="31"/>
      <c r="D601" s="31"/>
      <c r="E601" s="1555"/>
      <c r="F601" s="290"/>
      <c r="G601" s="168"/>
      <c r="H601" s="33"/>
    </row>
    <row r="602" spans="2:8" ht="37.9" customHeight="1" x14ac:dyDescent="0.3">
      <c r="B602" s="1747" t="s">
        <v>3511</v>
      </c>
      <c r="C602" s="1748"/>
      <c r="D602" s="1748"/>
      <c r="E602" s="1748"/>
      <c r="F602" s="1748"/>
      <c r="G602" s="1749"/>
      <c r="H602" s="33"/>
    </row>
    <row r="603" spans="2:8" x14ac:dyDescent="0.3">
      <c r="B603" s="135" t="s">
        <v>3512</v>
      </c>
      <c r="C603" s="31"/>
      <c r="D603" s="31"/>
      <c r="E603" s="1555"/>
      <c r="F603" s="290"/>
      <c r="G603" s="168"/>
      <c r="H603" s="33"/>
    </row>
    <row r="604" spans="2:8" ht="89.45" customHeight="1" x14ac:dyDescent="0.3">
      <c r="B604" s="1747" t="s">
        <v>3513</v>
      </c>
      <c r="C604" s="1748"/>
      <c r="D604" s="1748"/>
      <c r="E604" s="1748"/>
      <c r="F604" s="1748"/>
      <c r="G604" s="1749"/>
      <c r="H604" s="33"/>
    </row>
    <row r="605" spans="2:8" x14ac:dyDescent="0.3">
      <c r="B605" s="135" t="s">
        <v>3514</v>
      </c>
      <c r="C605" s="31"/>
      <c r="D605" s="31"/>
      <c r="E605" s="1555"/>
      <c r="F605" s="290"/>
      <c r="G605" s="168"/>
      <c r="H605" s="33"/>
    </row>
    <row r="606" spans="2:8" x14ac:dyDescent="0.3">
      <c r="B606" s="73" t="s">
        <v>3515</v>
      </c>
      <c r="C606" s="31"/>
      <c r="D606" s="31"/>
      <c r="E606" s="1555"/>
      <c r="F606" s="290"/>
      <c r="G606" s="168"/>
      <c r="H606" s="33"/>
    </row>
    <row r="607" spans="2:8" ht="53.45" customHeight="1" x14ac:dyDescent="0.3">
      <c r="B607" s="1747" t="s">
        <v>3519</v>
      </c>
      <c r="C607" s="1748"/>
      <c r="D607" s="1748"/>
      <c r="E607" s="1748"/>
      <c r="F607" s="1748"/>
      <c r="G607" s="1749"/>
      <c r="H607" s="33"/>
    </row>
    <row r="608" spans="2:8" x14ac:dyDescent="0.3">
      <c r="B608" s="255" t="s">
        <v>3516</v>
      </c>
      <c r="C608" s="1553"/>
      <c r="D608" s="1553"/>
      <c r="E608" s="1553"/>
      <c r="F608" s="1553"/>
      <c r="G608" s="1554"/>
      <c r="H608" s="33"/>
    </row>
    <row r="609" spans="2:8" ht="57.6" customHeight="1" x14ac:dyDescent="0.3">
      <c r="B609" s="1808" t="s">
        <v>3517</v>
      </c>
      <c r="C609" s="1809"/>
      <c r="D609" s="1809"/>
      <c r="E609" s="1809"/>
      <c r="F609" s="1809"/>
      <c r="G609" s="1810"/>
      <c r="H609" s="33"/>
    </row>
    <row r="610" spans="2:8" ht="40.15" customHeight="1" x14ac:dyDescent="0.3">
      <c r="B610" s="1808" t="s">
        <v>3518</v>
      </c>
      <c r="C610" s="1809"/>
      <c r="D610" s="1809"/>
      <c r="E610" s="1809"/>
      <c r="F610" s="1809"/>
      <c r="G610" s="1810"/>
      <c r="H610" s="33"/>
    </row>
    <row r="611" spans="2:8" ht="76.900000000000006" customHeight="1" x14ac:dyDescent="0.3">
      <c r="B611" s="1747" t="s">
        <v>3520</v>
      </c>
      <c r="C611" s="1748"/>
      <c r="D611" s="1748"/>
      <c r="E611" s="1748"/>
      <c r="F611" s="1748"/>
      <c r="G611" s="1749"/>
      <c r="H611" s="33"/>
    </row>
    <row r="612" spans="2:8" ht="38.450000000000003" customHeight="1" x14ac:dyDescent="0.3">
      <c r="B612" s="1747" t="s">
        <v>3521</v>
      </c>
      <c r="C612" s="1748"/>
      <c r="D612" s="1748"/>
      <c r="E612" s="1748"/>
      <c r="F612" s="1748"/>
      <c r="G612" s="1749"/>
      <c r="H612" s="33"/>
    </row>
    <row r="613" spans="2:8" ht="53.45" customHeight="1" x14ac:dyDescent="0.3">
      <c r="B613" s="1747" t="s">
        <v>3522</v>
      </c>
      <c r="C613" s="1748"/>
      <c r="D613" s="1748"/>
      <c r="E613" s="1748"/>
      <c r="F613" s="1748"/>
      <c r="G613" s="1749"/>
      <c r="H613" s="33"/>
    </row>
    <row r="614" spans="2:8" ht="35.450000000000003" customHeight="1" x14ac:dyDescent="0.3">
      <c r="B614" s="1747" t="s">
        <v>3523</v>
      </c>
      <c r="C614" s="1748"/>
      <c r="D614" s="1748"/>
      <c r="E614" s="1748"/>
      <c r="F614" s="1748"/>
      <c r="G614" s="1749"/>
      <c r="H614" s="33"/>
    </row>
    <row r="615" spans="2:8" ht="57.6" customHeight="1" x14ac:dyDescent="0.3">
      <c r="B615" s="1747" t="s">
        <v>3524</v>
      </c>
      <c r="C615" s="1748"/>
      <c r="D615" s="1748"/>
      <c r="E615" s="1748"/>
      <c r="F615" s="1748"/>
      <c r="G615" s="1749"/>
      <c r="H615" s="33"/>
    </row>
    <row r="616" spans="2:8" x14ac:dyDescent="0.3">
      <c r="B616" s="1496" t="s">
        <v>3525</v>
      </c>
      <c r="C616" s="1553"/>
      <c r="D616" s="1553"/>
      <c r="E616" s="1553"/>
      <c r="F616" s="1553"/>
      <c r="G616" s="1554"/>
      <c r="H616" s="33"/>
    </row>
    <row r="617" spans="2:8" ht="57.6" customHeight="1" x14ac:dyDescent="0.3">
      <c r="B617" s="1747" t="s">
        <v>3526</v>
      </c>
      <c r="C617" s="1748"/>
      <c r="D617" s="1748"/>
      <c r="E617" s="1748"/>
      <c r="F617" s="1748"/>
      <c r="G617" s="1749"/>
      <c r="H617" s="33"/>
    </row>
    <row r="618" spans="2:8" ht="37.5" x14ac:dyDescent="0.3">
      <c r="B618" s="1562" t="s">
        <v>3527</v>
      </c>
      <c r="C618" s="1563"/>
      <c r="D618" s="1563"/>
      <c r="E618" s="1564"/>
      <c r="F618" s="1324" t="s">
        <v>957</v>
      </c>
      <c r="G618" s="1324" t="s">
        <v>957</v>
      </c>
      <c r="H618" s="33"/>
    </row>
    <row r="619" spans="2:8" x14ac:dyDescent="0.3">
      <c r="B619" s="101"/>
      <c r="C619" s="102"/>
      <c r="D619" s="102"/>
      <c r="E619" s="1565"/>
      <c r="F619" s="38" t="str">
        <f>+F589</f>
        <v>March 31, 2021 (₹)</v>
      </c>
      <c r="G619" s="38" t="str">
        <f>+G589</f>
        <v>March 31, 2020 (₹)</v>
      </c>
      <c r="H619" s="33"/>
    </row>
    <row r="620" spans="2:8" x14ac:dyDescent="0.3">
      <c r="B620" s="73" t="s">
        <v>3529</v>
      </c>
      <c r="C620" s="31"/>
      <c r="D620" s="31"/>
      <c r="E620" s="1566"/>
      <c r="F620" s="44">
        <f>+F333+F337</f>
        <v>11836631</v>
      </c>
      <c r="G620" s="53">
        <f>+G333+G337</f>
        <v>7052448</v>
      </c>
      <c r="H620" s="33"/>
    </row>
    <row r="621" spans="2:8" x14ac:dyDescent="0.3">
      <c r="B621" s="73" t="s">
        <v>3528</v>
      </c>
      <c r="C621" s="31"/>
      <c r="D621" s="31"/>
      <c r="E621" s="1566"/>
      <c r="F621" s="44">
        <f>+F375</f>
        <v>43576042.979999997</v>
      </c>
      <c r="G621" s="53">
        <f>+G375</f>
        <v>61843530.590000004</v>
      </c>
      <c r="H621" s="33"/>
    </row>
    <row r="622" spans="2:8" x14ac:dyDescent="0.3">
      <c r="B622" s="101" t="s">
        <v>3530</v>
      </c>
      <c r="C622" s="102"/>
      <c r="D622" s="102"/>
      <c r="E622" s="1565"/>
      <c r="F622" s="44">
        <f>+F399+F400+F401</f>
        <v>9755560</v>
      </c>
      <c r="G622" s="53">
        <f>+G399+G400+G401</f>
        <v>6778958</v>
      </c>
      <c r="H622" s="33"/>
    </row>
    <row r="623" spans="2:8" x14ac:dyDescent="0.3">
      <c r="B623" s="1814" t="s">
        <v>1079</v>
      </c>
      <c r="C623" s="1815"/>
      <c r="D623" s="1815"/>
      <c r="E623" s="1816"/>
      <c r="F623" s="166">
        <f>+SUM(F620:F622)</f>
        <v>65168233.979999997</v>
      </c>
      <c r="G623" s="1561">
        <f>+SUM(G620:G622)</f>
        <v>75674936.590000004</v>
      </c>
      <c r="H623" s="33"/>
    </row>
    <row r="624" spans="2:8" x14ac:dyDescent="0.3">
      <c r="B624" s="1570"/>
      <c r="C624" s="1571"/>
      <c r="D624" s="1571"/>
      <c r="E624" s="1571"/>
      <c r="F624" s="1572"/>
      <c r="G624" s="1512"/>
      <c r="H624" s="33"/>
    </row>
    <row r="625" spans="1:55" x14ac:dyDescent="0.3">
      <c r="B625" s="124" t="s">
        <v>3531</v>
      </c>
      <c r="C625" s="1556"/>
      <c r="D625" s="1556"/>
      <c r="E625" s="1556"/>
      <c r="F625" s="209"/>
      <c r="G625" s="99"/>
      <c r="H625" s="33"/>
    </row>
    <row r="626" spans="1:55" hidden="1" x14ac:dyDescent="0.3">
      <c r="B626" s="124"/>
      <c r="C626" s="1556"/>
      <c r="D626" s="1556"/>
      <c r="E626" s="1556"/>
      <c r="F626" s="209"/>
      <c r="G626" s="99"/>
      <c r="H626" s="33"/>
    </row>
    <row r="627" spans="1:55" hidden="1" x14ac:dyDescent="0.3">
      <c r="B627" s="124"/>
      <c r="C627" s="1556"/>
      <c r="D627" s="1556"/>
      <c r="E627" s="1556"/>
      <c r="F627" s="209"/>
      <c r="G627" s="99"/>
      <c r="H627" s="33"/>
    </row>
    <row r="628" spans="1:55" hidden="1" x14ac:dyDescent="0.3">
      <c r="B628" s="124"/>
      <c r="C628" s="1556"/>
      <c r="D628" s="1556"/>
      <c r="E628" s="1556"/>
      <c r="F628" s="209"/>
      <c r="G628" s="99"/>
      <c r="H628" s="33"/>
    </row>
    <row r="629" spans="1:55" ht="72.599999999999994" customHeight="1" x14ac:dyDescent="0.3">
      <c r="B629" s="1747" t="s">
        <v>3532</v>
      </c>
      <c r="C629" s="1748"/>
      <c r="D629" s="1748"/>
      <c r="E629" s="1748"/>
      <c r="F629" s="1748"/>
      <c r="G629" s="1749"/>
      <c r="H629" s="33"/>
    </row>
    <row r="630" spans="1:55" ht="33.6" customHeight="1" x14ac:dyDescent="0.3">
      <c r="B630" s="1747" t="s">
        <v>3533</v>
      </c>
      <c r="C630" s="1748"/>
      <c r="D630" s="1748"/>
      <c r="E630" s="1748"/>
      <c r="F630" s="1748"/>
      <c r="G630" s="1749"/>
      <c r="H630" s="33"/>
    </row>
    <row r="631" spans="1:55" ht="37.15" customHeight="1" x14ac:dyDescent="0.3">
      <c r="B631" s="1747" t="s">
        <v>3534</v>
      </c>
      <c r="C631" s="1748"/>
      <c r="D631" s="1748"/>
      <c r="E631" s="1748"/>
      <c r="F631" s="1748"/>
      <c r="G631" s="1749"/>
      <c r="H631" s="33"/>
    </row>
    <row r="632" spans="1:55" ht="36.6" customHeight="1" x14ac:dyDescent="0.3">
      <c r="B632" s="1750" t="s">
        <v>3535</v>
      </c>
      <c r="C632" s="1751"/>
      <c r="D632" s="1751"/>
      <c r="E632" s="1751"/>
      <c r="F632" s="1751"/>
      <c r="G632" s="1752"/>
      <c r="H632" s="33"/>
    </row>
    <row r="633" spans="1:55" hidden="1" x14ac:dyDescent="0.3">
      <c r="B633" s="1570"/>
      <c r="C633" s="1571"/>
      <c r="D633" s="1571"/>
      <c r="E633" s="1571"/>
      <c r="F633" s="1572"/>
      <c r="G633" s="1512"/>
      <c r="H633" s="33"/>
    </row>
    <row r="634" spans="1:55" x14ac:dyDescent="0.3">
      <c r="A634" s="214"/>
      <c r="B634" s="1744" t="s">
        <v>907</v>
      </c>
      <c r="C634" s="1745"/>
      <c r="D634" s="1745"/>
      <c r="E634" s="1745"/>
      <c r="F634" s="1745"/>
      <c r="G634" s="1746"/>
      <c r="H634" s="33"/>
    </row>
    <row r="635" spans="1:55" s="35" customFormat="1" x14ac:dyDescent="0.3">
      <c r="A635" s="74"/>
      <c r="B635" s="1811" t="s">
        <v>1328</v>
      </c>
      <c r="C635" s="1812"/>
      <c r="D635" s="1812"/>
      <c r="E635" s="1812"/>
      <c r="F635" s="1812"/>
      <c r="G635" s="1813"/>
      <c r="H635" s="1315"/>
      <c r="I635" s="266"/>
      <c r="J635" s="266"/>
      <c r="K635" s="266"/>
      <c r="L635" s="266"/>
      <c r="M635" s="266"/>
      <c r="N635" s="266"/>
      <c r="O635" s="266"/>
      <c r="P635" s="266"/>
      <c r="Q635" s="266"/>
      <c r="R635" s="266"/>
      <c r="S635" s="266"/>
      <c r="T635" s="266"/>
      <c r="U635" s="266"/>
      <c r="V635" s="266"/>
      <c r="W635" s="266"/>
      <c r="X635" s="266"/>
      <c r="Y635" s="266"/>
      <c r="Z635" s="266"/>
      <c r="AA635" s="266"/>
      <c r="AB635" s="266"/>
      <c r="AC635" s="266"/>
      <c r="AD635" s="266"/>
      <c r="AE635" s="266"/>
      <c r="AF635" s="266"/>
      <c r="AG635" s="266"/>
      <c r="AH635" s="266"/>
      <c r="AI635" s="266"/>
      <c r="AJ635" s="266"/>
      <c r="AK635" s="266"/>
      <c r="AL635" s="266"/>
      <c r="AM635" s="266"/>
      <c r="AN635" s="266"/>
      <c r="AO635" s="266"/>
      <c r="AP635" s="266"/>
      <c r="AQ635" s="266"/>
      <c r="AR635" s="266"/>
      <c r="AS635" s="266"/>
      <c r="AT635" s="266"/>
      <c r="AU635" s="266"/>
      <c r="AV635" s="266"/>
      <c r="AW635" s="266"/>
      <c r="AX635" s="266"/>
      <c r="AY635" s="266"/>
      <c r="AZ635" s="266"/>
      <c r="BA635" s="266"/>
      <c r="BB635" s="266"/>
      <c r="BC635" s="266"/>
    </row>
    <row r="636" spans="1:55" x14ac:dyDescent="0.3">
      <c r="B636" s="74"/>
      <c r="C636" s="31"/>
      <c r="D636" s="31"/>
      <c r="E636" s="158"/>
      <c r="F636" s="1324" t="s">
        <v>957</v>
      </c>
      <c r="G636" s="1324" t="s">
        <v>957</v>
      </c>
      <c r="H636" s="211"/>
    </row>
    <row r="637" spans="1:55" x14ac:dyDescent="0.3">
      <c r="B637" s="124"/>
      <c r="C637" s="31"/>
      <c r="D637" s="31"/>
      <c r="E637" s="51"/>
      <c r="F637" s="38" t="str">
        <f>+F619</f>
        <v>March 31, 2021 (₹)</v>
      </c>
      <c r="G637" s="38" t="s">
        <v>911</v>
      </c>
      <c r="H637" s="279"/>
    </row>
    <row r="638" spans="1:55" x14ac:dyDescent="0.3">
      <c r="B638" s="169" t="s">
        <v>3536</v>
      </c>
      <c r="C638" s="31"/>
      <c r="D638" s="31"/>
      <c r="E638" s="30"/>
      <c r="F638" s="80"/>
      <c r="G638" s="80"/>
      <c r="H638" s="279"/>
    </row>
    <row r="639" spans="1:55" x14ac:dyDescent="0.3">
      <c r="B639" s="135" t="s">
        <v>1200</v>
      </c>
      <c r="C639" s="31"/>
      <c r="D639" s="31"/>
      <c r="E639" s="209"/>
      <c r="F639" s="80"/>
      <c r="G639" s="80"/>
      <c r="H639" s="209"/>
    </row>
    <row r="640" spans="1:55" x14ac:dyDescent="0.3">
      <c r="B640" s="135" t="s">
        <v>1201</v>
      </c>
      <c r="C640" s="31"/>
      <c r="D640" s="31"/>
      <c r="E640" s="209"/>
      <c r="F640" s="166">
        <f>+F661</f>
        <v>4778694</v>
      </c>
      <c r="G640" s="166">
        <f>+G661</f>
        <v>4494616</v>
      </c>
      <c r="H640" s="209"/>
    </row>
    <row r="641" spans="2:8" ht="54.6" customHeight="1" x14ac:dyDescent="0.3">
      <c r="B641" s="1765" t="s">
        <v>1202</v>
      </c>
      <c r="C641" s="1766"/>
      <c r="D641" s="1766"/>
      <c r="E641" s="1766"/>
      <c r="F641" s="1345"/>
      <c r="G641" s="1346"/>
      <c r="H641" s="209"/>
    </row>
    <row r="642" spans="2:8" x14ac:dyDescent="0.3">
      <c r="B642" s="46"/>
      <c r="C642" s="194"/>
      <c r="D642" s="194"/>
      <c r="E642" s="194"/>
      <c r="F642" s="330"/>
      <c r="G642" s="330"/>
      <c r="H642" s="194"/>
    </row>
    <row r="643" spans="2:8" x14ac:dyDescent="0.3">
      <c r="B643" s="1541" t="s">
        <v>1203</v>
      </c>
      <c r="C643" s="1542"/>
      <c r="D643" s="1542"/>
      <c r="E643" s="1542"/>
      <c r="F643" s="1544"/>
      <c r="G643" s="1544"/>
      <c r="H643" s="194"/>
    </row>
    <row r="644" spans="2:8" hidden="1" x14ac:dyDescent="0.3">
      <c r="B644" s="100" t="s">
        <v>451</v>
      </c>
      <c r="C644" s="1323"/>
      <c r="D644" s="1347"/>
      <c r="E644" s="195"/>
      <c r="F644" s="1324" t="s">
        <v>957</v>
      </c>
      <c r="G644" s="1324" t="s">
        <v>957</v>
      </c>
      <c r="H644" s="294"/>
    </row>
    <row r="645" spans="2:8" hidden="1" x14ac:dyDescent="0.3">
      <c r="B645" s="196"/>
      <c r="C645" s="37"/>
      <c r="D645" s="103"/>
      <c r="E645" s="197"/>
      <c r="F645" s="38" t="str">
        <f>+F5</f>
        <v>March 31, 2021 (₹)</v>
      </c>
      <c r="G645" s="38" t="s">
        <v>911</v>
      </c>
      <c r="H645" s="279"/>
    </row>
    <row r="646" spans="2:8" x14ac:dyDescent="0.3">
      <c r="B646" s="405" t="s">
        <v>1204</v>
      </c>
      <c r="C646" s="1348"/>
      <c r="D646" s="1348"/>
      <c r="E646" s="198"/>
      <c r="F646" s="1543"/>
      <c r="G646" s="1325"/>
      <c r="H646" s="209"/>
    </row>
    <row r="647" spans="2:8" x14ac:dyDescent="0.3">
      <c r="B647" s="74" t="s">
        <v>1205</v>
      </c>
      <c r="C647" s="30"/>
      <c r="D647" s="139"/>
      <c r="E647" s="68"/>
      <c r="F647" s="45">
        <f>+G654</f>
        <v>7719067</v>
      </c>
      <c r="G647" s="45">
        <v>6781359</v>
      </c>
      <c r="H647" s="33"/>
    </row>
    <row r="648" spans="2:8" x14ac:dyDescent="0.3">
      <c r="B648" s="74" t="s">
        <v>1206</v>
      </c>
      <c r="C648" s="30"/>
      <c r="D648" s="139"/>
      <c r="E648" s="68"/>
      <c r="F648" s="45">
        <v>574606</v>
      </c>
      <c r="G648" s="45">
        <v>460436</v>
      </c>
      <c r="H648" s="33"/>
    </row>
    <row r="649" spans="2:8" x14ac:dyDescent="0.3">
      <c r="B649" s="74" t="s">
        <v>1207</v>
      </c>
      <c r="C649" s="30"/>
      <c r="D649" s="139"/>
      <c r="E649" s="160"/>
      <c r="F649" s="45">
        <v>0</v>
      </c>
      <c r="G649" s="45">
        <v>0</v>
      </c>
      <c r="H649" s="33"/>
    </row>
    <row r="650" spans="2:8" x14ac:dyDescent="0.3">
      <c r="B650" s="74" t="s">
        <v>1208</v>
      </c>
      <c r="C650" s="30"/>
      <c r="D650" s="139"/>
      <c r="E650" s="160"/>
      <c r="F650" s="45">
        <v>529528</v>
      </c>
      <c r="G650" s="45">
        <v>528268</v>
      </c>
      <c r="H650" s="33"/>
    </row>
    <row r="651" spans="2:8" x14ac:dyDescent="0.3">
      <c r="B651" s="74" t="s">
        <v>1209</v>
      </c>
      <c r="C651" s="30"/>
      <c r="D651" s="139"/>
      <c r="E651" s="160"/>
      <c r="F651" s="45">
        <v>-5832</v>
      </c>
      <c r="G651" s="45">
        <v>307910</v>
      </c>
      <c r="H651" s="33"/>
    </row>
    <row r="652" spans="2:8" x14ac:dyDescent="0.3">
      <c r="B652" s="74" t="s">
        <v>1210</v>
      </c>
      <c r="C652" s="30"/>
      <c r="D652" s="139"/>
      <c r="E652" s="160"/>
      <c r="F652" s="45">
        <v>-237842</v>
      </c>
      <c r="G652" s="45">
        <v>-203896</v>
      </c>
      <c r="H652" s="295"/>
    </row>
    <row r="653" spans="2:8" x14ac:dyDescent="0.3">
      <c r="B653" s="74" t="s">
        <v>1211</v>
      </c>
      <c r="C653" s="30"/>
      <c r="D653" s="139"/>
      <c r="E653" s="160"/>
      <c r="F653" s="45">
        <v>-1141770</v>
      </c>
      <c r="G653" s="45">
        <v>-155010</v>
      </c>
      <c r="H653" s="295"/>
    </row>
    <row r="654" spans="2:8" x14ac:dyDescent="0.3">
      <c r="B654" s="69" t="s">
        <v>1212</v>
      </c>
      <c r="C654" s="30"/>
      <c r="D654" s="139"/>
      <c r="E654" s="158"/>
      <c r="F654" s="49">
        <f>+SUM(F647:F653)</f>
        <v>7437757</v>
      </c>
      <c r="G654" s="49">
        <f>+SUM(G647:G653)</f>
        <v>7719067</v>
      </c>
      <c r="H654" s="33"/>
    </row>
    <row r="655" spans="2:8" x14ac:dyDescent="0.3">
      <c r="B655" s="74" t="s">
        <v>1213</v>
      </c>
      <c r="C655" s="30"/>
      <c r="D655" s="139"/>
      <c r="E655" s="160"/>
      <c r="F655" s="45"/>
      <c r="G655" s="45"/>
      <c r="H655" s="172"/>
    </row>
    <row r="656" spans="2:8" x14ac:dyDescent="0.3">
      <c r="B656" s="74" t="s">
        <v>1214</v>
      </c>
      <c r="C656" s="30"/>
      <c r="D656" s="139"/>
      <c r="E656" s="68"/>
      <c r="F656" s="45">
        <f>+G661</f>
        <v>4494616</v>
      </c>
      <c r="G656" s="45">
        <v>4161629</v>
      </c>
      <c r="H656" s="33"/>
    </row>
    <row r="657" spans="2:8" x14ac:dyDescent="0.3">
      <c r="B657" s="74" t="s">
        <v>1215</v>
      </c>
      <c r="C657" s="30"/>
      <c r="D657" s="139"/>
      <c r="E657" s="160"/>
      <c r="F657" s="45">
        <v>308331</v>
      </c>
      <c r="G657" s="45">
        <v>324191</v>
      </c>
      <c r="H657" s="33"/>
    </row>
    <row r="658" spans="2:8" x14ac:dyDescent="0.3">
      <c r="B658" s="74" t="s">
        <v>1216</v>
      </c>
      <c r="C658" s="30"/>
      <c r="D658" s="139"/>
      <c r="E658" s="160"/>
      <c r="F658" s="45">
        <v>-17880</v>
      </c>
      <c r="G658" s="45">
        <v>-33351</v>
      </c>
      <c r="H658" s="33"/>
    </row>
    <row r="659" spans="2:8" x14ac:dyDescent="0.3">
      <c r="B659" s="74" t="s">
        <v>1217</v>
      </c>
      <c r="C659" s="30"/>
      <c r="D659" s="139"/>
      <c r="E659" s="160"/>
      <c r="F659" s="45">
        <v>231469</v>
      </c>
      <c r="G659" s="45">
        <v>246043</v>
      </c>
      <c r="H659" s="295"/>
    </row>
    <row r="660" spans="2:8" x14ac:dyDescent="0.3">
      <c r="B660" s="74" t="s">
        <v>1210</v>
      </c>
      <c r="C660" s="30"/>
      <c r="D660" s="139"/>
      <c r="E660" s="160"/>
      <c r="F660" s="45">
        <v>-237842</v>
      </c>
      <c r="G660" s="45">
        <v>-203896</v>
      </c>
      <c r="H660" s="33"/>
    </row>
    <row r="661" spans="2:8" x14ac:dyDescent="0.3">
      <c r="B661" s="69" t="s">
        <v>1218</v>
      </c>
      <c r="C661" s="30"/>
      <c r="D661" s="139"/>
      <c r="E661" s="158"/>
      <c r="F661" s="49">
        <f>+SUM(F656:F660)</f>
        <v>4778694</v>
      </c>
      <c r="G661" s="49">
        <f>+SUM(G656:G660)</f>
        <v>4494616</v>
      </c>
      <c r="H661" s="282"/>
    </row>
    <row r="662" spans="2:8" x14ac:dyDescent="0.3">
      <c r="B662" s="69" t="s">
        <v>1203</v>
      </c>
      <c r="C662" s="199"/>
      <c r="D662" s="199"/>
      <c r="E662" s="198"/>
      <c r="F662" s="45"/>
      <c r="G662" s="45"/>
      <c r="H662" s="172"/>
    </row>
    <row r="663" spans="2:8" x14ac:dyDescent="0.3">
      <c r="B663" s="74" t="s">
        <v>1219</v>
      </c>
      <c r="C663" s="30"/>
      <c r="D663" s="139"/>
      <c r="E663" s="160"/>
      <c r="F663" s="45">
        <f>-F661</f>
        <v>-4778694</v>
      </c>
      <c r="G663" s="45">
        <f>-G661</f>
        <v>-4494616</v>
      </c>
      <c r="H663" s="33"/>
    </row>
    <row r="664" spans="2:8" x14ac:dyDescent="0.3">
      <c r="B664" s="200" t="s">
        <v>1220</v>
      </c>
      <c r="C664" s="30"/>
      <c r="D664" s="139"/>
      <c r="E664" s="160"/>
      <c r="F664" s="201">
        <f>+F654</f>
        <v>7437757</v>
      </c>
      <c r="G664" s="201">
        <f>+G654</f>
        <v>7719067</v>
      </c>
      <c r="H664" s="282"/>
    </row>
    <row r="665" spans="2:8" x14ac:dyDescent="0.3">
      <c r="B665" s="202" t="s">
        <v>1221</v>
      </c>
      <c r="C665" s="30"/>
      <c r="D665" s="139"/>
      <c r="E665" s="203"/>
      <c r="F665" s="204">
        <f>+SUM(F663:F664)</f>
        <v>2659063</v>
      </c>
      <c r="G665" s="204">
        <f>+SUM(G663:G664)</f>
        <v>3224451</v>
      </c>
      <c r="H665" s="230"/>
    </row>
    <row r="666" spans="2:8" x14ac:dyDescent="0.3">
      <c r="B666" s="74" t="s">
        <v>1222</v>
      </c>
      <c r="C666" s="30"/>
      <c r="D666" s="139"/>
      <c r="E666" s="160"/>
      <c r="F666" s="45"/>
      <c r="G666" s="45"/>
      <c r="H666" s="296"/>
    </row>
    <row r="667" spans="2:8" x14ac:dyDescent="0.3">
      <c r="B667" s="74" t="s">
        <v>1206</v>
      </c>
      <c r="C667" s="30"/>
      <c r="D667" s="139"/>
      <c r="E667" s="160"/>
      <c r="F667" s="45">
        <f t="shared" ref="F667:G669" si="2">+F648</f>
        <v>574606</v>
      </c>
      <c r="G667" s="45">
        <f t="shared" si="2"/>
        <v>460436</v>
      </c>
      <c r="H667" s="33"/>
    </row>
    <row r="668" spans="2:8" x14ac:dyDescent="0.3">
      <c r="B668" s="74" t="s">
        <v>1207</v>
      </c>
      <c r="C668" s="30"/>
      <c r="D668" s="139"/>
      <c r="E668" s="160"/>
      <c r="F668" s="45">
        <f t="shared" si="2"/>
        <v>0</v>
      </c>
      <c r="G668" s="45">
        <f t="shared" si="2"/>
        <v>0</v>
      </c>
      <c r="H668" s="33"/>
    </row>
    <row r="669" spans="2:8" x14ac:dyDescent="0.3">
      <c r="B669" s="74" t="s">
        <v>1208</v>
      </c>
      <c r="C669" s="30"/>
      <c r="D669" s="139"/>
      <c r="E669" s="160"/>
      <c r="F669" s="45">
        <f t="shared" si="2"/>
        <v>529528</v>
      </c>
      <c r="G669" s="45">
        <f t="shared" si="2"/>
        <v>528268</v>
      </c>
      <c r="H669" s="33"/>
    </row>
    <row r="670" spans="2:8" x14ac:dyDescent="0.3">
      <c r="B670" s="74" t="s">
        <v>1215</v>
      </c>
      <c r="C670" s="30"/>
      <c r="D670" s="139"/>
      <c r="E670" s="160"/>
      <c r="F670" s="45">
        <f>-F657</f>
        <v>-308331</v>
      </c>
      <c r="G670" s="45">
        <f>-G657</f>
        <v>-324191</v>
      </c>
      <c r="H670" s="33"/>
    </row>
    <row r="671" spans="2:8" x14ac:dyDescent="0.3">
      <c r="B671" s="74" t="s">
        <v>1209</v>
      </c>
      <c r="C671" s="30"/>
      <c r="D671" s="139"/>
      <c r="E671" s="160"/>
      <c r="F671" s="45">
        <f>+F653+F651-F658</f>
        <v>-1129722</v>
      </c>
      <c r="G671" s="45">
        <f>+G653+G651-G658</f>
        <v>186251</v>
      </c>
      <c r="H671" s="282"/>
    </row>
    <row r="672" spans="2:8" x14ac:dyDescent="0.3">
      <c r="B672" s="69" t="s">
        <v>1223</v>
      </c>
      <c r="C672" s="30"/>
      <c r="D672" s="139"/>
      <c r="E672" s="158"/>
      <c r="F672" s="49">
        <f>+SUM(F667:F671)</f>
        <v>-333919</v>
      </c>
      <c r="G672" s="49">
        <f>+SUM(G667:G671)</f>
        <v>850764</v>
      </c>
      <c r="H672" s="282"/>
    </row>
    <row r="673" spans="1:55" x14ac:dyDescent="0.3">
      <c r="B673" s="74" t="s">
        <v>1224</v>
      </c>
      <c r="C673" s="30"/>
      <c r="D673" s="139"/>
      <c r="E673" s="160"/>
      <c r="F673" s="45"/>
      <c r="G673" s="45"/>
      <c r="H673" s="172"/>
    </row>
    <row r="674" spans="1:55" x14ac:dyDescent="0.3">
      <c r="B674" s="74" t="s">
        <v>1225</v>
      </c>
      <c r="C674" s="30"/>
      <c r="D674" s="139"/>
      <c r="E674" s="160"/>
      <c r="F674" s="205">
        <v>6.8699999999999997E-2</v>
      </c>
      <c r="G674" s="205">
        <v>6.8599999999999994E-2</v>
      </c>
      <c r="H674" s="33"/>
    </row>
    <row r="675" spans="1:55" x14ac:dyDescent="0.3">
      <c r="B675" s="74" t="s">
        <v>1226</v>
      </c>
      <c r="C675" s="30"/>
      <c r="D675" s="139"/>
      <c r="E675" s="160"/>
      <c r="F675" s="205">
        <v>6.8699999999999997E-2</v>
      </c>
      <c r="G675" s="205">
        <v>6.8599999999999994E-2</v>
      </c>
      <c r="H675" s="297"/>
    </row>
    <row r="676" spans="1:55" x14ac:dyDescent="0.3">
      <c r="B676" s="76" t="s">
        <v>1227</v>
      </c>
      <c r="C676" s="37"/>
      <c r="D676" s="103"/>
      <c r="E676" s="197"/>
      <c r="F676" s="206">
        <v>0.06</v>
      </c>
      <c r="G676" s="206">
        <v>0.06</v>
      </c>
      <c r="H676" s="297"/>
    </row>
    <row r="677" spans="1:55" x14ac:dyDescent="0.3">
      <c r="B677" s="76" t="s">
        <v>1228</v>
      </c>
      <c r="C677" s="37"/>
      <c r="D677" s="103"/>
      <c r="E677" s="207"/>
      <c r="F677" s="206">
        <f>+SUM(F674:F676)</f>
        <v>0.19739999999999999</v>
      </c>
      <c r="G677" s="206">
        <f>+SUM(G674:G676)</f>
        <v>0.19719999999999999</v>
      </c>
      <c r="H677" s="297"/>
    </row>
    <row r="678" spans="1:55" x14ac:dyDescent="0.3">
      <c r="B678" s="196" t="s">
        <v>1229</v>
      </c>
      <c r="C678" s="37"/>
      <c r="D678" s="103"/>
      <c r="E678" s="208"/>
      <c r="F678" s="335">
        <f>F657+F658</f>
        <v>290451</v>
      </c>
      <c r="G678" s="335">
        <f>G657+G658</f>
        <v>290840</v>
      </c>
      <c r="H678" s="297"/>
    </row>
    <row r="679" spans="1:55" x14ac:dyDescent="0.3">
      <c r="B679" s="1493"/>
      <c r="C679" s="1499"/>
      <c r="D679" s="1499"/>
      <c r="E679" s="1499"/>
      <c r="F679" s="1511"/>
      <c r="G679" s="1512"/>
      <c r="H679" s="121"/>
    </row>
    <row r="680" spans="1:55" x14ac:dyDescent="0.3">
      <c r="B680" s="135" t="s">
        <v>1230</v>
      </c>
      <c r="C680" s="31"/>
      <c r="D680" s="32"/>
      <c r="F680" s="138"/>
      <c r="G680" s="99"/>
      <c r="H680" s="261"/>
    </row>
    <row r="681" spans="1:55" x14ac:dyDescent="0.3">
      <c r="B681" s="119" t="s">
        <v>1231</v>
      </c>
      <c r="C681" s="120"/>
      <c r="D681" s="120"/>
      <c r="E681" s="120"/>
      <c r="F681" s="210"/>
      <c r="G681" s="1475"/>
      <c r="H681" s="209"/>
    </row>
    <row r="682" spans="1:55" hidden="1" x14ac:dyDescent="0.3">
      <c r="A682" s="214"/>
      <c r="B682" s="1744" t="s">
        <v>907</v>
      </c>
      <c r="C682" s="1745"/>
      <c r="D682" s="1745"/>
      <c r="E682" s="1745"/>
      <c r="F682" s="1745"/>
      <c r="G682" s="1746"/>
      <c r="H682" s="212"/>
    </row>
    <row r="683" spans="1:55" s="35" customFormat="1" hidden="1" x14ac:dyDescent="0.3">
      <c r="A683" s="74"/>
      <c r="B683" s="1811" t="s">
        <v>1328</v>
      </c>
      <c r="C683" s="1812"/>
      <c r="D683" s="1812"/>
      <c r="E683" s="1812"/>
      <c r="F683" s="1812"/>
      <c r="G683" s="1813"/>
      <c r="H683" s="1315"/>
      <c r="I683" s="266"/>
      <c r="J683" s="266"/>
      <c r="K683" s="266"/>
      <c r="L683" s="266"/>
      <c r="M683" s="266"/>
      <c r="N683" s="266"/>
      <c r="O683" s="266"/>
      <c r="P683" s="266"/>
      <c r="Q683" s="266"/>
      <c r="R683" s="266"/>
      <c r="S683" s="266"/>
      <c r="T683" s="266"/>
      <c r="U683" s="266"/>
      <c r="V683" s="266"/>
      <c r="W683" s="266"/>
      <c r="X683" s="266"/>
      <c r="Y683" s="266"/>
      <c r="Z683" s="266"/>
      <c r="AA683" s="266"/>
      <c r="AB683" s="266"/>
      <c r="AC683" s="266"/>
      <c r="AD683" s="266"/>
      <c r="AE683" s="266"/>
      <c r="AF683" s="266"/>
      <c r="AG683" s="266"/>
      <c r="AH683" s="266"/>
      <c r="AI683" s="266"/>
      <c r="AJ683" s="266"/>
      <c r="AK683" s="266"/>
      <c r="AL683" s="266"/>
      <c r="AM683" s="266"/>
      <c r="AN683" s="266"/>
      <c r="AO683" s="266"/>
      <c r="AP683" s="266"/>
      <c r="AQ683" s="266"/>
      <c r="AR683" s="266"/>
      <c r="AS683" s="266"/>
      <c r="AT683" s="266"/>
      <c r="AU683" s="266"/>
      <c r="AV683" s="266"/>
      <c r="AW683" s="266"/>
      <c r="AX683" s="266"/>
      <c r="AY683" s="266"/>
      <c r="AZ683" s="266"/>
      <c r="BA683" s="266"/>
      <c r="BB683" s="266"/>
      <c r="BC683" s="266"/>
    </row>
    <row r="684" spans="1:55" x14ac:dyDescent="0.3">
      <c r="A684" s="74"/>
      <c r="B684" s="104" t="s">
        <v>3537</v>
      </c>
      <c r="C684" s="1351"/>
      <c r="D684" s="1351"/>
      <c r="E684" s="1351"/>
      <c r="F684" s="298"/>
      <c r="G684" s="1352"/>
      <c r="H684" s="211"/>
    </row>
    <row r="685" spans="1:55" x14ac:dyDescent="0.3">
      <c r="A685" s="74"/>
      <c r="B685" s="1730" t="s">
        <v>1232</v>
      </c>
      <c r="C685" s="1731"/>
      <c r="D685" s="1731"/>
      <c r="E685" s="1731"/>
      <c r="F685" s="1731"/>
      <c r="G685" s="1817"/>
      <c r="H685" s="298"/>
    </row>
    <row r="686" spans="1:55" x14ac:dyDescent="0.3">
      <c r="A686" s="74"/>
      <c r="B686" s="1730"/>
      <c r="C686" s="1731"/>
      <c r="D686" s="1731"/>
      <c r="E686" s="1731"/>
      <c r="F686" s="1731"/>
      <c r="G686" s="1817"/>
      <c r="H686" s="1305"/>
    </row>
    <row r="687" spans="1:55" x14ac:dyDescent="0.3">
      <c r="A687" s="74"/>
      <c r="B687" s="1730"/>
      <c r="C687" s="1731"/>
      <c r="D687" s="1731"/>
      <c r="E687" s="1731"/>
      <c r="F687" s="1731"/>
      <c r="G687" s="1817"/>
      <c r="H687" s="1305"/>
    </row>
    <row r="688" spans="1:55" ht="16.899999999999999" customHeight="1" x14ac:dyDescent="0.3">
      <c r="A688" s="74"/>
      <c r="B688" s="1730"/>
      <c r="C688" s="1731"/>
      <c r="D688" s="1731"/>
      <c r="E688" s="1731"/>
      <c r="F688" s="1731"/>
      <c r="G688" s="1817"/>
      <c r="H688" s="1305"/>
    </row>
    <row r="689" spans="1:8" hidden="1" x14ac:dyDescent="0.3">
      <c r="A689" s="74"/>
      <c r="B689" s="1730"/>
      <c r="C689" s="1731"/>
      <c r="D689" s="1731"/>
      <c r="E689" s="1731"/>
      <c r="F689" s="1731"/>
      <c r="G689" s="1817"/>
      <c r="H689" s="1305"/>
    </row>
    <row r="690" spans="1:8" x14ac:dyDescent="0.3">
      <c r="A690" s="74"/>
      <c r="B690" s="124" t="s">
        <v>3538</v>
      </c>
      <c r="C690" s="31"/>
      <c r="D690" s="52"/>
      <c r="E690" s="52"/>
      <c r="F690" s="209"/>
      <c r="G690" s="213"/>
      <c r="H690" s="1305"/>
    </row>
    <row r="691" spans="1:8" x14ac:dyDescent="0.3">
      <c r="A691" s="74"/>
      <c r="B691" s="1780" t="s">
        <v>1233</v>
      </c>
      <c r="C691" s="1781"/>
      <c r="D691" s="1781"/>
      <c r="E691" s="1781"/>
      <c r="F691" s="1781"/>
      <c r="G691" s="1818"/>
      <c r="H691" s="212"/>
    </row>
    <row r="692" spans="1:8" x14ac:dyDescent="0.3">
      <c r="A692" s="74"/>
      <c r="B692" s="1780"/>
      <c r="C692" s="1781"/>
      <c r="D692" s="1781"/>
      <c r="E692" s="1781"/>
      <c r="F692" s="1781"/>
      <c r="G692" s="1818"/>
      <c r="H692" s="1312"/>
    </row>
    <row r="693" spans="1:8" ht="3" customHeight="1" x14ac:dyDescent="0.3">
      <c r="A693" s="74"/>
      <c r="B693" s="1780"/>
      <c r="C693" s="1781"/>
      <c r="D693" s="1781"/>
      <c r="E693" s="1781"/>
      <c r="F693" s="1781"/>
      <c r="G693" s="1818"/>
      <c r="H693" s="1312"/>
    </row>
    <row r="694" spans="1:8" x14ac:dyDescent="0.3">
      <c r="A694" s="74"/>
      <c r="B694" s="1780"/>
      <c r="C694" s="1781"/>
      <c r="D694" s="1781"/>
      <c r="E694" s="1781"/>
      <c r="F694" s="1781"/>
      <c r="G694" s="1818"/>
      <c r="H694" s="1312"/>
    </row>
    <row r="695" spans="1:8" x14ac:dyDescent="0.3">
      <c r="A695" s="74"/>
      <c r="B695" s="1311"/>
      <c r="C695" s="1312"/>
      <c r="D695" s="1312"/>
      <c r="E695" s="1312"/>
      <c r="F695" s="1312"/>
      <c r="G695" s="1500"/>
      <c r="H695" s="1312"/>
    </row>
    <row r="696" spans="1:8" x14ac:dyDescent="0.3">
      <c r="A696" s="74"/>
      <c r="B696" s="1519" t="s">
        <v>3539</v>
      </c>
      <c r="C696" s="1312"/>
      <c r="D696" s="1312"/>
      <c r="E696" s="1312"/>
      <c r="F696" s="1312"/>
      <c r="G696" s="1500"/>
      <c r="H696" s="1312"/>
    </row>
    <row r="697" spans="1:8" x14ac:dyDescent="0.3">
      <c r="A697" s="74"/>
      <c r="B697" s="1526" t="s">
        <v>9</v>
      </c>
      <c r="C697" s="1527"/>
      <c r="D697" s="1527"/>
      <c r="E697" s="1527"/>
      <c r="F697" s="1531" t="str">
        <f>+F644</f>
        <v>Year Ended</v>
      </c>
      <c r="G697" s="1531" t="str">
        <f>+G644</f>
        <v>Year Ended</v>
      </c>
      <c r="H697" s="1312"/>
    </row>
    <row r="698" spans="1:8" ht="37.5" x14ac:dyDescent="0.3">
      <c r="A698" s="74"/>
      <c r="B698" s="1522"/>
      <c r="C698" s="1524"/>
      <c r="D698" s="1524"/>
      <c r="E698" s="1524"/>
      <c r="F698" s="1532" t="str">
        <f>+F645</f>
        <v>March 31, 2021 (₹)</v>
      </c>
      <c r="G698" s="1532" t="str">
        <f>+G645</f>
        <v>March 31, 2020 (₹)</v>
      </c>
      <c r="H698" s="1312"/>
    </row>
    <row r="699" spans="1:8" x14ac:dyDescent="0.3">
      <c r="A699" s="74"/>
      <c r="B699" s="1311" t="s">
        <v>3490</v>
      </c>
      <c r="C699" s="1312"/>
      <c r="D699" s="1312"/>
      <c r="E699" s="1312"/>
      <c r="F699" s="327">
        <v>85000</v>
      </c>
      <c r="G699" s="327">
        <v>0</v>
      </c>
      <c r="H699" s="1312"/>
    </row>
    <row r="700" spans="1:8" x14ac:dyDescent="0.3">
      <c r="A700" s="74"/>
      <c r="B700" s="1311" t="s">
        <v>3491</v>
      </c>
      <c r="C700" s="1312"/>
      <c r="D700" s="1312"/>
      <c r="E700" s="1312"/>
      <c r="F700" s="327">
        <v>544000</v>
      </c>
      <c r="G700" s="327">
        <v>180250</v>
      </c>
      <c r="H700" s="1312"/>
    </row>
    <row r="701" spans="1:8" x14ac:dyDescent="0.3">
      <c r="A701" s="74"/>
      <c r="B701" s="1311" t="s">
        <v>3492</v>
      </c>
      <c r="C701" s="1312"/>
      <c r="D701" s="1312"/>
      <c r="E701" s="1312"/>
      <c r="F701" s="1533"/>
      <c r="G701" s="1533">
        <v>200000</v>
      </c>
      <c r="H701" s="1312"/>
    </row>
    <row r="702" spans="1:8" x14ac:dyDescent="0.3">
      <c r="A702" s="74"/>
      <c r="B702" s="1520" t="s">
        <v>1079</v>
      </c>
      <c r="C702" s="1521"/>
      <c r="D702" s="1521"/>
      <c r="E702" s="1521"/>
      <c r="F702" s="1534">
        <f>+SUM(F699:F701)</f>
        <v>629000</v>
      </c>
      <c r="G702" s="1534">
        <f>+SUM(G699:G701)</f>
        <v>380250</v>
      </c>
      <c r="H702" s="1312"/>
    </row>
    <row r="703" spans="1:8" ht="22.15" customHeight="1" x14ac:dyDescent="0.3">
      <c r="A703" s="74"/>
      <c r="B703" s="144" t="s">
        <v>3493</v>
      </c>
      <c r="C703" s="30"/>
      <c r="D703" s="30"/>
      <c r="E703" s="1312"/>
      <c r="F703" s="1535" t="s">
        <v>1170</v>
      </c>
      <c r="G703" s="1535">
        <v>351972</v>
      </c>
      <c r="H703" s="1312"/>
    </row>
    <row r="704" spans="1:8" ht="18.600000000000001" customHeight="1" x14ac:dyDescent="0.3">
      <c r="A704" s="74"/>
      <c r="B704" s="162" t="s">
        <v>3494</v>
      </c>
      <c r="C704" s="30"/>
      <c r="D704" s="30"/>
      <c r="E704" s="1312"/>
      <c r="F704" s="1535">
        <v>-351972</v>
      </c>
      <c r="G704" s="1535"/>
      <c r="H704" s="1312"/>
    </row>
    <row r="705" spans="1:55" x14ac:dyDescent="0.3">
      <c r="A705" s="74"/>
      <c r="B705" s="1528" t="s">
        <v>1079</v>
      </c>
      <c r="C705" s="1529"/>
      <c r="D705" s="1529"/>
      <c r="E705" s="1530"/>
      <c r="F705" s="1536">
        <f>+SUM(F702:F704)</f>
        <v>277028</v>
      </c>
      <c r="G705" s="1536">
        <f>+SUM(G702:G704)</f>
        <v>732222</v>
      </c>
      <c r="H705" s="1312"/>
    </row>
    <row r="706" spans="1:55" x14ac:dyDescent="0.3">
      <c r="A706" s="74"/>
      <c r="B706" s="144" t="s">
        <v>3495</v>
      </c>
      <c r="C706" s="30"/>
      <c r="D706" s="30"/>
      <c r="E706" s="1312"/>
      <c r="F706" s="1535">
        <v>909877</v>
      </c>
      <c r="G706" s="1535">
        <v>732222</v>
      </c>
      <c r="H706" s="1312"/>
    </row>
    <row r="707" spans="1:55" x14ac:dyDescent="0.3">
      <c r="A707" s="74"/>
      <c r="B707" s="1522" t="s">
        <v>3496</v>
      </c>
      <c r="C707" s="1523"/>
      <c r="D707" s="1523"/>
      <c r="E707" s="1524"/>
      <c r="F707" s="1537">
        <f>+F706-F705</f>
        <v>632849</v>
      </c>
      <c r="G707" s="1537">
        <f>+G706-G705</f>
        <v>0</v>
      </c>
      <c r="H707" s="1312"/>
    </row>
    <row r="708" spans="1:55" x14ac:dyDescent="0.3">
      <c r="A708" s="74"/>
      <c r="B708" s="1522"/>
      <c r="C708" s="1523"/>
      <c r="D708" s="1523"/>
      <c r="E708" s="1524"/>
      <c r="F708" s="1525"/>
      <c r="G708" s="1540"/>
      <c r="H708" s="1312"/>
    </row>
    <row r="709" spans="1:55" hidden="1" x14ac:dyDescent="0.3">
      <c r="A709" s="74"/>
      <c r="B709" s="1311"/>
      <c r="C709" s="1312"/>
      <c r="D709" s="1312"/>
      <c r="E709" s="1312"/>
      <c r="F709" s="287"/>
      <c r="G709" s="250"/>
      <c r="H709" s="1312"/>
    </row>
    <row r="710" spans="1:55" x14ac:dyDescent="0.3">
      <c r="A710" s="193"/>
      <c r="B710" s="1744" t="s">
        <v>907</v>
      </c>
      <c r="C710" s="1745"/>
      <c r="D710" s="1745"/>
      <c r="E710" s="1745"/>
      <c r="F710" s="1745"/>
      <c r="G710" s="1746"/>
      <c r="H710" s="33"/>
    </row>
    <row r="711" spans="1:55" s="35" customFormat="1" x14ac:dyDescent="0.3">
      <c r="A711" s="74"/>
      <c r="B711" s="1811" t="s">
        <v>1328</v>
      </c>
      <c r="C711" s="1812"/>
      <c r="D711" s="1812"/>
      <c r="E711" s="1812"/>
      <c r="F711" s="1812"/>
      <c r="G711" s="1813"/>
      <c r="H711" s="1315"/>
      <c r="I711" s="266"/>
      <c r="J711" s="266"/>
      <c r="K711" s="266"/>
      <c r="L711" s="266"/>
      <c r="M711" s="266"/>
      <c r="N711" s="266"/>
      <c r="O711" s="266"/>
      <c r="P711" s="266"/>
      <c r="Q711" s="266"/>
      <c r="R711" s="266"/>
      <c r="S711" s="266"/>
      <c r="T711" s="266"/>
      <c r="U711" s="266"/>
      <c r="V711" s="266"/>
      <c r="W711" s="266"/>
      <c r="X711" s="266"/>
      <c r="Y711" s="266"/>
      <c r="Z711" s="266"/>
      <c r="AA711" s="266"/>
      <c r="AB711" s="266"/>
      <c r="AC711" s="266"/>
      <c r="AD711" s="266"/>
      <c r="AE711" s="266"/>
      <c r="AF711" s="266"/>
      <c r="AG711" s="266"/>
      <c r="AH711" s="266"/>
      <c r="AI711" s="266"/>
      <c r="AJ711" s="266"/>
      <c r="AK711" s="266"/>
      <c r="AL711" s="266"/>
      <c r="AM711" s="266"/>
      <c r="AN711" s="266"/>
      <c r="AO711" s="266"/>
      <c r="AP711" s="266"/>
      <c r="AQ711" s="266"/>
      <c r="AR711" s="266"/>
      <c r="AS711" s="266"/>
      <c r="AT711" s="266"/>
      <c r="AU711" s="266"/>
      <c r="AV711" s="266"/>
      <c r="AW711" s="266"/>
      <c r="AX711" s="266"/>
      <c r="AY711" s="266"/>
      <c r="AZ711" s="266"/>
      <c r="BA711" s="266"/>
      <c r="BB711" s="266"/>
      <c r="BC711" s="266"/>
    </row>
    <row r="712" spans="1:55" x14ac:dyDescent="0.3">
      <c r="A712" s="74"/>
      <c r="B712" s="124" t="s">
        <v>3540</v>
      </c>
      <c r="C712" s="125"/>
      <c r="D712" s="139"/>
      <c r="E712" s="139"/>
      <c r="F712" s="290"/>
      <c r="G712" s="158"/>
      <c r="H712" s="1312"/>
    </row>
    <row r="713" spans="1:55" ht="4.1500000000000004" customHeight="1" x14ac:dyDescent="0.3">
      <c r="A713" s="74"/>
      <c r="B713" s="135"/>
      <c r="C713" s="72"/>
      <c r="D713" s="139"/>
      <c r="E713" s="139"/>
      <c r="F713" s="290"/>
      <c r="G713" s="158"/>
      <c r="H713" s="172"/>
    </row>
    <row r="714" spans="1:55" x14ac:dyDescent="0.3">
      <c r="A714" s="74"/>
      <c r="B714" s="104" t="s">
        <v>1234</v>
      </c>
      <c r="C714" s="106"/>
      <c r="D714" s="139"/>
      <c r="E714" s="139"/>
      <c r="F714" s="290"/>
      <c r="G714" s="158"/>
      <c r="H714" s="172"/>
    </row>
    <row r="715" spans="1:55" x14ac:dyDescent="0.3">
      <c r="A715" s="74"/>
      <c r="B715" s="107" t="s">
        <v>1235</v>
      </c>
      <c r="C715" s="106"/>
      <c r="D715" s="139"/>
      <c r="E715" s="139"/>
      <c r="F715" s="290"/>
      <c r="G715" s="158"/>
      <c r="H715" s="172"/>
    </row>
    <row r="716" spans="1:55" x14ac:dyDescent="0.3">
      <c r="A716" s="74"/>
      <c r="B716" s="107" t="s">
        <v>1236</v>
      </c>
      <c r="C716" s="106"/>
      <c r="D716" s="139"/>
      <c r="E716" s="139"/>
      <c r="F716" s="290"/>
      <c r="G716" s="158"/>
      <c r="H716" s="172"/>
    </row>
    <row r="717" spans="1:55" x14ac:dyDescent="0.3">
      <c r="A717" s="74"/>
      <c r="B717" s="107" t="s">
        <v>1237</v>
      </c>
      <c r="C717" s="106"/>
      <c r="D717" s="139"/>
      <c r="E717" s="139"/>
      <c r="F717" s="290"/>
      <c r="G717" s="158"/>
      <c r="H717" s="172"/>
    </row>
    <row r="718" spans="1:55" x14ac:dyDescent="0.3">
      <c r="A718" s="74"/>
      <c r="B718" s="107" t="s">
        <v>1238</v>
      </c>
      <c r="C718" s="106"/>
      <c r="D718" s="139"/>
      <c r="E718" s="139"/>
      <c r="F718" s="290"/>
      <c r="G718" s="158"/>
      <c r="H718" s="172"/>
    </row>
    <row r="719" spans="1:55" x14ac:dyDescent="0.3">
      <c r="A719" s="74"/>
      <c r="B719" s="104" t="s">
        <v>1239</v>
      </c>
      <c r="C719" s="106"/>
      <c r="D719" s="139"/>
      <c r="E719" s="139"/>
      <c r="F719" s="290"/>
      <c r="G719" s="158"/>
      <c r="H719" s="172"/>
    </row>
    <row r="720" spans="1:55" x14ac:dyDescent="0.3">
      <c r="A720" s="74"/>
      <c r="B720" s="107" t="s">
        <v>1240</v>
      </c>
      <c r="C720" s="106"/>
      <c r="D720" s="139"/>
      <c r="E720" s="139"/>
      <c r="F720" s="290"/>
      <c r="G720" s="158"/>
      <c r="H720" s="172"/>
    </row>
    <row r="721" spans="1:8" x14ac:dyDescent="0.3">
      <c r="A721" s="74"/>
      <c r="B721" s="107" t="s">
        <v>1241</v>
      </c>
      <c r="C721" s="106"/>
      <c r="D721" s="139"/>
      <c r="E721" s="139"/>
      <c r="F721" s="290"/>
      <c r="G721" s="158"/>
      <c r="H721" s="172"/>
    </row>
    <row r="722" spans="1:8" x14ac:dyDescent="0.3">
      <c r="A722" s="74"/>
      <c r="B722" s="107" t="s">
        <v>1242</v>
      </c>
      <c r="C722" s="106"/>
      <c r="D722" s="139"/>
      <c r="E722" s="139"/>
      <c r="F722" s="290"/>
      <c r="G722" s="158"/>
      <c r="H722" s="172"/>
    </row>
    <row r="723" spans="1:8" x14ac:dyDescent="0.3">
      <c r="A723" s="74"/>
      <c r="B723" s="107" t="s">
        <v>1243</v>
      </c>
      <c r="C723" s="106"/>
      <c r="D723" s="139"/>
      <c r="E723" s="139"/>
      <c r="F723" s="290"/>
      <c r="G723" s="158"/>
      <c r="H723" s="172"/>
    </row>
    <row r="724" spans="1:8" hidden="1" x14ac:dyDescent="0.3">
      <c r="A724" s="74"/>
      <c r="B724" s="107"/>
      <c r="C724" s="106"/>
      <c r="D724" s="139"/>
      <c r="E724" s="139"/>
      <c r="F724" s="290"/>
      <c r="G724" s="158"/>
      <c r="H724" s="172"/>
    </row>
    <row r="725" spans="1:8" x14ac:dyDescent="0.3">
      <c r="A725" s="74"/>
      <c r="B725" s="135" t="s">
        <v>1244</v>
      </c>
      <c r="C725" s="31"/>
      <c r="D725" s="139"/>
      <c r="E725" s="139"/>
      <c r="F725" s="290"/>
      <c r="G725" s="158"/>
      <c r="H725" s="172"/>
    </row>
    <row r="726" spans="1:8" x14ac:dyDescent="0.3">
      <c r="A726" s="74"/>
      <c r="B726" s="104" t="s">
        <v>1245</v>
      </c>
      <c r="C726" s="106"/>
      <c r="D726" s="139"/>
      <c r="E726" s="139"/>
      <c r="F726" s="290"/>
      <c r="G726" s="158"/>
      <c r="H726" s="172"/>
    </row>
    <row r="727" spans="1:8" x14ac:dyDescent="0.3">
      <c r="A727" s="74"/>
      <c r="B727" s="107" t="s">
        <v>1246</v>
      </c>
      <c r="C727" s="106"/>
      <c r="D727" s="106" t="s">
        <v>1247</v>
      </c>
      <c r="E727" s="139"/>
      <c r="F727" s="290"/>
      <c r="G727" s="158"/>
      <c r="H727" s="172"/>
    </row>
    <row r="728" spans="1:8" x14ac:dyDescent="0.3">
      <c r="A728" s="74"/>
      <c r="B728" s="107" t="s">
        <v>1248</v>
      </c>
      <c r="C728" s="106"/>
      <c r="D728" s="106" t="s">
        <v>1249</v>
      </c>
      <c r="E728" s="139"/>
      <c r="F728" s="290"/>
      <c r="G728" s="158"/>
      <c r="H728" s="172"/>
    </row>
    <row r="729" spans="1:8" x14ac:dyDescent="0.3">
      <c r="A729" s="74"/>
      <c r="B729" s="107" t="s">
        <v>1250</v>
      </c>
      <c r="C729" s="106"/>
      <c r="D729" s="106" t="s">
        <v>1251</v>
      </c>
      <c r="E729" s="139"/>
      <c r="F729" s="290"/>
      <c r="G729" s="158"/>
      <c r="H729" s="172"/>
    </row>
    <row r="730" spans="1:8" x14ac:dyDescent="0.3">
      <c r="A730" s="74"/>
      <c r="B730" s="107" t="s">
        <v>1252</v>
      </c>
      <c r="C730" s="106"/>
      <c r="D730" s="106" t="s">
        <v>1253</v>
      </c>
      <c r="E730" s="139"/>
      <c r="F730" s="290"/>
      <c r="G730" s="158"/>
      <c r="H730" s="172"/>
    </row>
    <row r="731" spans="1:8" x14ac:dyDescent="0.3">
      <c r="A731" s="74"/>
      <c r="B731" s="107" t="s">
        <v>1254</v>
      </c>
      <c r="C731" s="106"/>
      <c r="D731" s="106" t="s">
        <v>1255</v>
      </c>
      <c r="E731" s="139"/>
      <c r="F731" s="290"/>
      <c r="G731" s="158"/>
      <c r="H731" s="172"/>
    </row>
    <row r="732" spans="1:8" x14ac:dyDescent="0.3">
      <c r="A732" s="74"/>
      <c r="B732" s="107" t="s">
        <v>1256</v>
      </c>
      <c r="C732" s="106"/>
      <c r="D732" s="106" t="s">
        <v>1257</v>
      </c>
      <c r="E732" s="139"/>
      <c r="F732" s="290"/>
      <c r="G732" s="158"/>
      <c r="H732" s="172"/>
    </row>
    <row r="733" spans="1:8" x14ac:dyDescent="0.3">
      <c r="A733" s="74"/>
      <c r="B733" s="107" t="s">
        <v>1258</v>
      </c>
      <c r="C733" s="31"/>
      <c r="D733" s="31" t="s">
        <v>1259</v>
      </c>
      <c r="E733" s="139"/>
      <c r="F733" s="290"/>
      <c r="G733" s="158"/>
      <c r="H733" s="172"/>
    </row>
    <row r="734" spans="1:8" x14ac:dyDescent="0.3">
      <c r="A734" s="74"/>
      <c r="B734" s="73" t="s">
        <v>1260</v>
      </c>
      <c r="C734" s="31"/>
      <c r="D734" s="31" t="s">
        <v>1261</v>
      </c>
      <c r="E734" s="139"/>
      <c r="F734" s="290"/>
      <c r="G734" s="158"/>
      <c r="H734" s="172"/>
    </row>
    <row r="735" spans="1:8" x14ac:dyDescent="0.3">
      <c r="A735" s="74"/>
      <c r="B735" s="73" t="s">
        <v>1262</v>
      </c>
      <c r="C735" s="31"/>
      <c r="D735" s="31" t="s">
        <v>1253</v>
      </c>
      <c r="E735" s="139"/>
      <c r="F735" s="290"/>
      <c r="G735" s="158"/>
      <c r="H735" s="172"/>
    </row>
    <row r="736" spans="1:8" x14ac:dyDescent="0.3">
      <c r="A736" s="74"/>
      <c r="B736" s="73" t="s">
        <v>1263</v>
      </c>
      <c r="C736" s="31"/>
      <c r="D736" s="31" t="s">
        <v>1264</v>
      </c>
      <c r="E736" s="139"/>
      <c r="F736" s="290"/>
      <c r="G736" s="158"/>
      <c r="H736" s="172"/>
    </row>
    <row r="737" spans="1:55" x14ac:dyDescent="0.3">
      <c r="A737" s="74"/>
      <c r="B737" s="101"/>
      <c r="C737" s="102"/>
      <c r="D737" s="102" t="s">
        <v>1265</v>
      </c>
      <c r="E737" s="103"/>
      <c r="F737" s="336"/>
      <c r="G737" s="1350"/>
      <c r="H737" s="172"/>
    </row>
    <row r="738" spans="1:55" hidden="1" x14ac:dyDescent="0.3">
      <c r="A738" s="214"/>
      <c r="B738" s="1744" t="s">
        <v>907</v>
      </c>
      <c r="C738" s="1745"/>
      <c r="D738" s="1745"/>
      <c r="E738" s="1745"/>
      <c r="F738" s="1745"/>
      <c r="G738" s="1746"/>
      <c r="H738" s="172"/>
    </row>
    <row r="739" spans="1:55" s="35" customFormat="1" hidden="1" x14ac:dyDescent="0.3">
      <c r="A739" s="30"/>
      <c r="B739" s="1811" t="s">
        <v>1328</v>
      </c>
      <c r="C739" s="1812"/>
      <c r="D739" s="1812"/>
      <c r="E739" s="1812"/>
      <c r="F739" s="1812"/>
      <c r="G739" s="1813"/>
      <c r="H739" s="1315"/>
      <c r="I739" s="266"/>
      <c r="J739" s="266"/>
      <c r="K739" s="266"/>
      <c r="L739" s="266"/>
      <c r="M739" s="266"/>
      <c r="N739" s="266"/>
      <c r="O739" s="266"/>
      <c r="P739" s="266"/>
      <c r="Q739" s="266"/>
      <c r="R739" s="266"/>
      <c r="S739" s="266"/>
      <c r="T739" s="266"/>
      <c r="U739" s="266"/>
      <c r="V739" s="266"/>
      <c r="W739" s="266"/>
      <c r="X739" s="266"/>
      <c r="Y739" s="266"/>
      <c r="Z739" s="266"/>
      <c r="AA739" s="266"/>
      <c r="AB739" s="266"/>
      <c r="AC739" s="266"/>
      <c r="AD739" s="266"/>
      <c r="AE739" s="266"/>
      <c r="AF739" s="266"/>
      <c r="AG739" s="266"/>
      <c r="AH739" s="266"/>
      <c r="AI739" s="266"/>
      <c r="AJ739" s="266"/>
      <c r="AK739" s="266"/>
      <c r="AL739" s="266"/>
      <c r="AM739" s="266"/>
      <c r="AN739" s="266"/>
      <c r="AO739" s="266"/>
      <c r="AP739" s="266"/>
      <c r="AQ739" s="266"/>
      <c r="AR739" s="266"/>
      <c r="AS739" s="266"/>
      <c r="AT739" s="266"/>
      <c r="AU739" s="266"/>
      <c r="AV739" s="266"/>
      <c r="AW739" s="266"/>
      <c r="AX739" s="266"/>
      <c r="AY739" s="266"/>
      <c r="AZ739" s="266"/>
      <c r="BA739" s="266"/>
      <c r="BB739" s="266"/>
      <c r="BC739" s="266"/>
    </row>
    <row r="740" spans="1:55" x14ac:dyDescent="0.3">
      <c r="A740" s="74"/>
      <c r="B740" s="100" t="s">
        <v>451</v>
      </c>
      <c r="C740" s="1328"/>
      <c r="D740" s="1329"/>
      <c r="E740" s="215"/>
      <c r="F740" s="1324" t="s">
        <v>957</v>
      </c>
      <c r="G740" s="1324" t="s">
        <v>957</v>
      </c>
      <c r="H740" s="211"/>
    </row>
    <row r="741" spans="1:55" x14ac:dyDescent="0.3">
      <c r="A741" s="74"/>
      <c r="B741" s="101"/>
      <c r="C741" s="102"/>
      <c r="D741" s="77"/>
      <c r="E741" s="141"/>
      <c r="F741" s="38" t="s">
        <v>1325</v>
      </c>
      <c r="G741" s="38" t="s">
        <v>911</v>
      </c>
      <c r="H741" s="279"/>
    </row>
    <row r="742" spans="1:55" x14ac:dyDescent="0.3">
      <c r="A742" s="74"/>
      <c r="B742" s="115" t="s">
        <v>1266</v>
      </c>
      <c r="C742" s="1317"/>
      <c r="D742" s="1318"/>
      <c r="E742" s="1362"/>
      <c r="F742" s="1319"/>
      <c r="G742" s="1330"/>
      <c r="H742" s="209"/>
    </row>
    <row r="743" spans="1:55" x14ac:dyDescent="0.3">
      <c r="A743" s="74"/>
      <c r="B743" s="169" t="s">
        <v>1267</v>
      </c>
      <c r="C743" s="31"/>
      <c r="D743" s="32"/>
      <c r="E743" s="1340"/>
      <c r="F743" s="151"/>
      <c r="G743" s="110"/>
      <c r="H743" s="212"/>
    </row>
    <row r="744" spans="1:55" x14ac:dyDescent="0.3">
      <c r="A744" s="74"/>
      <c r="B744" s="169" t="s">
        <v>1268</v>
      </c>
      <c r="C744" s="31"/>
      <c r="D744" s="32"/>
      <c r="E744" s="1340"/>
      <c r="F744" s="151"/>
      <c r="G744" s="110"/>
      <c r="H744" s="212"/>
    </row>
    <row r="745" spans="1:55" x14ac:dyDescent="0.3">
      <c r="A745" s="74"/>
      <c r="B745" s="135" t="s">
        <v>1269</v>
      </c>
      <c r="C745" s="31"/>
      <c r="D745" s="32"/>
      <c r="E745" s="1340"/>
      <c r="F745" s="151"/>
      <c r="G745" s="110"/>
      <c r="H745" s="212"/>
    </row>
    <row r="746" spans="1:55" x14ac:dyDescent="0.3">
      <c r="A746" s="74"/>
      <c r="B746" s="73" t="s">
        <v>1240</v>
      </c>
      <c r="C746" s="31"/>
      <c r="D746" s="32"/>
      <c r="E746" s="1340"/>
      <c r="F746" s="151">
        <v>0</v>
      </c>
      <c r="G746" s="45">
        <v>1717324</v>
      </c>
      <c r="H746" s="212"/>
    </row>
    <row r="747" spans="1:55" hidden="1" x14ac:dyDescent="0.3">
      <c r="A747" s="74"/>
      <c r="B747" s="73"/>
      <c r="C747" s="31"/>
      <c r="D747" s="32"/>
      <c r="E747" s="1340"/>
      <c r="F747" s="151"/>
      <c r="G747" s="110"/>
      <c r="H747" s="33"/>
    </row>
    <row r="748" spans="1:55" x14ac:dyDescent="0.3">
      <c r="A748" s="74"/>
      <c r="B748" s="135" t="s">
        <v>1270</v>
      </c>
      <c r="C748" s="31"/>
      <c r="D748" s="32"/>
      <c r="E748" s="1340"/>
      <c r="F748" s="151"/>
      <c r="G748" s="110"/>
      <c r="H748" s="212"/>
    </row>
    <row r="749" spans="1:55" x14ac:dyDescent="0.3">
      <c r="A749" s="74"/>
      <c r="B749" s="73" t="s">
        <v>1241</v>
      </c>
      <c r="C749" s="31"/>
      <c r="D749" s="32"/>
      <c r="E749" s="1340"/>
      <c r="F749" s="151">
        <v>6379935</v>
      </c>
      <c r="G749" s="133">
        <v>6084086</v>
      </c>
      <c r="H749" s="212"/>
    </row>
    <row r="750" spans="1:55" hidden="1" x14ac:dyDescent="0.3">
      <c r="A750" s="74"/>
      <c r="B750" s="73"/>
      <c r="C750" s="31"/>
      <c r="D750" s="32"/>
      <c r="E750" s="1340"/>
      <c r="F750" s="151"/>
      <c r="G750" s="110"/>
      <c r="H750" s="138"/>
    </row>
    <row r="751" spans="1:55" x14ac:dyDescent="0.3">
      <c r="A751" s="74"/>
      <c r="B751" s="135" t="s">
        <v>1271</v>
      </c>
      <c r="C751" s="31"/>
      <c r="D751" s="32"/>
      <c r="E751" s="1340"/>
      <c r="F751" s="151"/>
      <c r="G751" s="110"/>
      <c r="H751" s="212"/>
    </row>
    <row r="752" spans="1:55" x14ac:dyDescent="0.3">
      <c r="A752" s="74"/>
      <c r="B752" s="73" t="s">
        <v>1236</v>
      </c>
      <c r="C752" s="31"/>
      <c r="D752" s="32"/>
      <c r="E752" s="1340"/>
      <c r="F752" s="151">
        <v>179850</v>
      </c>
      <c r="G752" s="110">
        <v>207437</v>
      </c>
      <c r="H752" s="212"/>
    </row>
    <row r="753" spans="1:8" hidden="1" x14ac:dyDescent="0.3">
      <c r="A753" s="74"/>
      <c r="B753" s="73" t="s">
        <v>1272</v>
      </c>
      <c r="C753" s="31"/>
      <c r="D753" s="32"/>
      <c r="E753" s="1340"/>
      <c r="F753" s="151">
        <v>0</v>
      </c>
      <c r="G753" s="110">
        <v>0</v>
      </c>
      <c r="H753" s="212"/>
    </row>
    <row r="754" spans="1:8" x14ac:dyDescent="0.3">
      <c r="A754" s="74"/>
      <c r="B754" s="73" t="s">
        <v>1237</v>
      </c>
      <c r="C754" s="31"/>
      <c r="D754" s="32"/>
      <c r="E754" s="1340"/>
      <c r="F754" s="151">
        <v>525548</v>
      </c>
      <c r="G754" s="110">
        <v>664825</v>
      </c>
      <c r="H754" s="212"/>
    </row>
    <row r="755" spans="1:8" x14ac:dyDescent="0.3">
      <c r="A755" s="74"/>
      <c r="B755" s="73" t="s">
        <v>1246</v>
      </c>
      <c r="C755" s="31"/>
      <c r="D755" s="32"/>
      <c r="E755" s="1340"/>
      <c r="F755" s="151">
        <v>134887</v>
      </c>
      <c r="G755" s="110">
        <v>155578</v>
      </c>
      <c r="H755" s="212"/>
    </row>
    <row r="756" spans="1:8" x14ac:dyDescent="0.3">
      <c r="A756" s="74"/>
      <c r="B756" s="73" t="s">
        <v>1273</v>
      </c>
      <c r="C756" s="31"/>
      <c r="D756" s="32"/>
      <c r="E756" s="1340"/>
      <c r="F756" s="151">
        <v>89924</v>
      </c>
      <c r="G756" s="110">
        <v>103720</v>
      </c>
      <c r="H756" s="212"/>
    </row>
    <row r="757" spans="1:8" x14ac:dyDescent="0.3">
      <c r="A757" s="74"/>
      <c r="B757" s="73" t="s">
        <v>1247</v>
      </c>
      <c r="C757" s="31"/>
      <c r="D757" s="32"/>
      <c r="E757" s="1340"/>
      <c r="F757" s="151">
        <v>71941</v>
      </c>
      <c r="G757" s="110">
        <v>82975</v>
      </c>
      <c r="H757" s="212"/>
    </row>
    <row r="758" spans="1:8" x14ac:dyDescent="0.3">
      <c r="A758" s="74"/>
      <c r="B758" s="73" t="s">
        <v>1274</v>
      </c>
      <c r="C758" s="31"/>
      <c r="D758" s="32"/>
      <c r="E758" s="1340"/>
      <c r="F758" s="151">
        <v>269775</v>
      </c>
      <c r="G758" s="110">
        <v>311157</v>
      </c>
      <c r="H758" s="212"/>
    </row>
    <row r="759" spans="1:8" x14ac:dyDescent="0.3">
      <c r="A759" s="74"/>
      <c r="B759" s="73" t="s">
        <v>1255</v>
      </c>
      <c r="C759" s="31"/>
      <c r="D759" s="32"/>
      <c r="E759" s="1340"/>
      <c r="F759" s="151">
        <v>89924</v>
      </c>
      <c r="G759" s="110">
        <v>103720</v>
      </c>
      <c r="H759" s="212"/>
    </row>
    <row r="760" spans="1:8" x14ac:dyDescent="0.3">
      <c r="A760" s="74"/>
      <c r="B760" s="73" t="s">
        <v>1275</v>
      </c>
      <c r="C760" s="31"/>
      <c r="D760" s="32"/>
      <c r="E760" s="1340"/>
      <c r="F760" s="151">
        <v>71941</v>
      </c>
      <c r="G760" s="110">
        <v>82975</v>
      </c>
      <c r="H760" s="212"/>
    </row>
    <row r="761" spans="1:8" x14ac:dyDescent="0.3">
      <c r="A761" s="74"/>
      <c r="B761" s="73" t="s">
        <v>1253</v>
      </c>
      <c r="C761" s="31"/>
      <c r="D761" s="32"/>
      <c r="E761" s="1340"/>
      <c r="F761" s="151">
        <v>143880</v>
      </c>
      <c r="G761" s="110">
        <v>165950</v>
      </c>
      <c r="H761" s="212"/>
    </row>
    <row r="762" spans="1:8" hidden="1" x14ac:dyDescent="0.3">
      <c r="A762" s="74"/>
      <c r="B762" s="73"/>
      <c r="C762" s="31"/>
      <c r="D762" s="32"/>
      <c r="E762" s="1340"/>
      <c r="F762" s="151"/>
      <c r="G762" s="110"/>
      <c r="H762" s="212"/>
    </row>
    <row r="763" spans="1:8" x14ac:dyDescent="0.3">
      <c r="A763" s="74"/>
      <c r="B763" s="135" t="s">
        <v>1277</v>
      </c>
      <c r="C763" s="31"/>
      <c r="D763" s="32"/>
      <c r="E763" s="1340"/>
      <c r="F763" s="151"/>
      <c r="G763" s="110"/>
      <c r="H763" s="212"/>
    </row>
    <row r="764" spans="1:8" x14ac:dyDescent="0.3">
      <c r="A764" s="74"/>
      <c r="B764" s="73" t="s">
        <v>1235</v>
      </c>
      <c r="C764" s="31"/>
      <c r="D764" s="32"/>
      <c r="E764" s="1340" t="s">
        <v>1278</v>
      </c>
      <c r="F764" s="151">
        <v>1780000</v>
      </c>
      <c r="G764" s="110">
        <v>1780000</v>
      </c>
      <c r="H764" s="212"/>
    </row>
    <row r="765" spans="1:8" x14ac:dyDescent="0.3">
      <c r="A765" s="74"/>
      <c r="B765" s="73" t="s">
        <v>1236</v>
      </c>
      <c r="C765" s="31"/>
      <c r="D765" s="32"/>
      <c r="E765" s="1340" t="s">
        <v>1278</v>
      </c>
      <c r="F765" s="151">
        <v>1780000</v>
      </c>
      <c r="G765" s="110">
        <v>1780000</v>
      </c>
      <c r="H765" s="212"/>
    </row>
    <row r="766" spans="1:8" x14ac:dyDescent="0.3">
      <c r="A766" s="74"/>
      <c r="B766" s="73" t="s">
        <v>1237</v>
      </c>
      <c r="C766" s="31"/>
      <c r="D766" s="32"/>
      <c r="E766" s="1340" t="s">
        <v>1278</v>
      </c>
      <c r="F766" s="151">
        <v>760000</v>
      </c>
      <c r="G766" s="110">
        <v>760000</v>
      </c>
      <c r="H766" s="212"/>
    </row>
    <row r="767" spans="1:8" x14ac:dyDescent="0.3">
      <c r="A767" s="76"/>
      <c r="B767" s="73" t="s">
        <v>1238</v>
      </c>
      <c r="C767" s="31"/>
      <c r="D767" s="32"/>
      <c r="E767" s="1340" t="s">
        <v>1278</v>
      </c>
      <c r="F767" s="151">
        <v>760000</v>
      </c>
      <c r="G767" s="110">
        <v>760000</v>
      </c>
      <c r="H767" s="212"/>
    </row>
    <row r="768" spans="1:8" hidden="1" x14ac:dyDescent="0.3">
      <c r="B768" s="73"/>
      <c r="C768" s="31"/>
      <c r="D768" s="32"/>
      <c r="F768" s="133"/>
      <c r="G768" s="213"/>
      <c r="H768" s="212"/>
    </row>
    <row r="769" spans="1:55" x14ac:dyDescent="0.3">
      <c r="B769" s="135" t="s">
        <v>3293</v>
      </c>
      <c r="C769" s="31"/>
      <c r="D769" s="32"/>
      <c r="F769" s="133"/>
      <c r="G769" s="213"/>
      <c r="H769" s="212"/>
    </row>
    <row r="770" spans="1:55" x14ac:dyDescent="0.3">
      <c r="B770" s="101" t="s">
        <v>1276</v>
      </c>
      <c r="C770" s="102"/>
      <c r="D770" s="77"/>
      <c r="E770" s="77"/>
      <c r="F770" s="140">
        <v>435000</v>
      </c>
      <c r="G770" s="1475">
        <v>0</v>
      </c>
      <c r="H770" s="212"/>
    </row>
    <row r="771" spans="1:55" hidden="1" x14ac:dyDescent="0.3">
      <c r="B771" s="73"/>
      <c r="C771" s="31"/>
      <c r="D771" s="32"/>
      <c r="F771" s="138"/>
      <c r="G771" s="213"/>
      <c r="H771" s="212"/>
    </row>
    <row r="772" spans="1:55" hidden="1" x14ac:dyDescent="0.3">
      <c r="B772" s="73"/>
      <c r="C772" s="31"/>
      <c r="D772" s="32"/>
      <c r="F772" s="138"/>
      <c r="G772" s="213"/>
      <c r="H772" s="212"/>
    </row>
    <row r="773" spans="1:55" hidden="1" x14ac:dyDescent="0.3">
      <c r="B773" s="1805" t="s">
        <v>907</v>
      </c>
      <c r="C773" s="1806"/>
      <c r="D773" s="1806"/>
      <c r="E773" s="1806"/>
      <c r="F773" s="1806"/>
      <c r="G773" s="1807"/>
      <c r="H773" s="212"/>
    </row>
    <row r="774" spans="1:55" s="35" customFormat="1" hidden="1" x14ac:dyDescent="0.3">
      <c r="A774" s="30"/>
      <c r="B774" s="1758" t="s">
        <v>1328</v>
      </c>
      <c r="C774" s="1759"/>
      <c r="D774" s="1759"/>
      <c r="E774" s="1759"/>
      <c r="F774" s="1759"/>
      <c r="G774" s="1760"/>
      <c r="H774" s="261"/>
      <c r="I774" s="266"/>
      <c r="J774" s="266"/>
      <c r="K774" s="266"/>
      <c r="L774" s="266"/>
      <c r="M774" s="266"/>
      <c r="N774" s="266"/>
      <c r="O774" s="266"/>
      <c r="P774" s="266"/>
      <c r="Q774" s="266"/>
      <c r="R774" s="266"/>
      <c r="S774" s="266"/>
      <c r="T774" s="266"/>
      <c r="U774" s="266"/>
      <c r="V774" s="266"/>
      <c r="W774" s="266"/>
      <c r="X774" s="266"/>
      <c r="Y774" s="266"/>
      <c r="Z774" s="266"/>
      <c r="AA774" s="266"/>
      <c r="AB774" s="266"/>
      <c r="AC774" s="266"/>
      <c r="AD774" s="266"/>
      <c r="AE774" s="266"/>
      <c r="AF774" s="266"/>
      <c r="AG774" s="266"/>
      <c r="AH774" s="266"/>
      <c r="AI774" s="266"/>
      <c r="AJ774" s="266"/>
      <c r="AK774" s="266"/>
      <c r="AL774" s="266"/>
      <c r="AM774" s="266"/>
      <c r="AN774" s="266"/>
      <c r="AO774" s="266"/>
      <c r="AP774" s="266"/>
      <c r="AQ774" s="266"/>
      <c r="AR774" s="266"/>
      <c r="AS774" s="266"/>
      <c r="AT774" s="266"/>
      <c r="AU774" s="266"/>
      <c r="AV774" s="266"/>
      <c r="AW774" s="266"/>
      <c r="AX774" s="266"/>
      <c r="AY774" s="266"/>
      <c r="AZ774" s="266"/>
      <c r="BA774" s="266"/>
      <c r="BB774" s="266"/>
      <c r="BC774" s="266"/>
    </row>
    <row r="775" spans="1:55" hidden="1" x14ac:dyDescent="0.3">
      <c r="B775" s="100" t="s">
        <v>451</v>
      </c>
      <c r="C775" s="1328"/>
      <c r="D775" s="1329"/>
      <c r="E775" s="215"/>
      <c r="F775" s="337" t="s">
        <v>1122</v>
      </c>
      <c r="G775" s="1324" t="s">
        <v>1089</v>
      </c>
      <c r="H775" s="261"/>
    </row>
    <row r="776" spans="1:55" hidden="1" x14ac:dyDescent="0.3">
      <c r="B776" s="101"/>
      <c r="C776" s="102"/>
      <c r="D776" s="77"/>
      <c r="E776" s="141"/>
      <c r="F776" s="38" t="s">
        <v>1279</v>
      </c>
      <c r="G776" s="38" t="s">
        <v>1279</v>
      </c>
      <c r="H776" s="279"/>
    </row>
    <row r="777" spans="1:55" hidden="1" x14ac:dyDescent="0.3">
      <c r="A777" s="74"/>
      <c r="B777" s="73"/>
      <c r="C777" s="31"/>
      <c r="D777" s="32"/>
      <c r="E777" s="1340"/>
      <c r="F777" s="151"/>
      <c r="G777" s="110"/>
      <c r="H777" s="212"/>
    </row>
    <row r="778" spans="1:55" x14ac:dyDescent="0.3">
      <c r="A778" s="74"/>
      <c r="B778" s="1363" t="s">
        <v>1280</v>
      </c>
      <c r="C778" s="31"/>
      <c r="D778" s="32"/>
      <c r="E778" s="1340"/>
      <c r="F778" s="151"/>
      <c r="G778" s="45"/>
      <c r="H778" s="212"/>
    </row>
    <row r="779" spans="1:55" x14ac:dyDescent="0.3">
      <c r="A779" s="74"/>
      <c r="B779" s="1364" t="s">
        <v>3292</v>
      </c>
      <c r="C779" s="31"/>
      <c r="D779" s="32"/>
      <c r="E779" s="1340"/>
      <c r="F779" s="151">
        <v>70006</v>
      </c>
      <c r="G779" s="45">
        <v>1043247</v>
      </c>
      <c r="H779" s="33"/>
    </row>
    <row r="780" spans="1:55" hidden="1" x14ac:dyDescent="0.3">
      <c r="A780" s="74"/>
      <c r="B780" s="1364"/>
      <c r="C780" s="31"/>
      <c r="D780" s="32"/>
      <c r="E780" s="1340"/>
      <c r="F780" s="151"/>
      <c r="G780" s="45"/>
      <c r="H780" s="33"/>
    </row>
    <row r="781" spans="1:55" x14ac:dyDescent="0.3">
      <c r="A781" s="74"/>
      <c r="B781" s="1363" t="s">
        <v>1281</v>
      </c>
      <c r="C781" s="31"/>
      <c r="D781" s="32"/>
      <c r="E781" s="1340"/>
      <c r="F781" s="151"/>
      <c r="G781" s="45"/>
      <c r="H781" s="33"/>
    </row>
    <row r="782" spans="1:55" x14ac:dyDescent="0.3">
      <c r="A782" s="74"/>
      <c r="B782" s="1364" t="s">
        <v>1242</v>
      </c>
      <c r="C782" s="31"/>
      <c r="D782" s="32"/>
      <c r="E782" s="1340"/>
      <c r="F782" s="151">
        <v>3765910</v>
      </c>
      <c r="G782" s="45">
        <v>632928</v>
      </c>
      <c r="H782" s="33"/>
    </row>
    <row r="783" spans="1:55" x14ac:dyDescent="0.3">
      <c r="A783" s="74"/>
      <c r="B783" s="1364" t="s">
        <v>1240</v>
      </c>
      <c r="C783" s="31"/>
      <c r="D783" s="32"/>
      <c r="E783" s="1340"/>
      <c r="F783" s="151">
        <v>0</v>
      </c>
      <c r="G783" s="45">
        <v>341586</v>
      </c>
      <c r="H783" s="33"/>
    </row>
    <row r="784" spans="1:55" hidden="1" x14ac:dyDescent="0.3">
      <c r="A784" s="74"/>
      <c r="B784" s="1364"/>
      <c r="C784" s="31"/>
      <c r="D784" s="32"/>
      <c r="E784" s="1340"/>
      <c r="F784" s="151"/>
      <c r="G784" s="45"/>
      <c r="H784" s="33"/>
    </row>
    <row r="785" spans="1:8" x14ac:dyDescent="0.3">
      <c r="A785" s="74"/>
      <c r="B785" s="1363" t="s">
        <v>1282</v>
      </c>
      <c r="C785" s="31"/>
      <c r="D785" s="32"/>
      <c r="E785" s="1340"/>
      <c r="F785" s="151"/>
      <c r="G785" s="45"/>
      <c r="H785" s="33"/>
    </row>
    <row r="786" spans="1:8" x14ac:dyDescent="0.3">
      <c r="A786" s="74"/>
      <c r="B786" s="1364" t="s">
        <v>1242</v>
      </c>
      <c r="C786" s="31"/>
      <c r="D786" s="32"/>
      <c r="E786" s="1340"/>
      <c r="F786" s="151">
        <v>17204557</v>
      </c>
      <c r="G786" s="45">
        <v>60241594</v>
      </c>
      <c r="H786" s="33"/>
    </row>
    <row r="787" spans="1:8" x14ac:dyDescent="0.3">
      <c r="A787" s="74"/>
      <c r="B787" s="1364" t="s">
        <v>1243</v>
      </c>
      <c r="C787" s="31"/>
      <c r="D787" s="32"/>
      <c r="E787" s="1340"/>
      <c r="F787" s="151">
        <v>83345563</v>
      </c>
      <c r="G787" s="45">
        <v>28196538</v>
      </c>
      <c r="H787" s="33"/>
    </row>
    <row r="788" spans="1:8" hidden="1" x14ac:dyDescent="0.3">
      <c r="A788" s="74"/>
      <c r="B788" s="1365"/>
      <c r="C788" s="102"/>
      <c r="D788" s="77"/>
      <c r="E788" s="216"/>
      <c r="F788" s="157"/>
      <c r="G788" s="147"/>
      <c r="H788" s="33"/>
    </row>
    <row r="789" spans="1:8" x14ac:dyDescent="0.3">
      <c r="A789" s="74"/>
      <c r="B789" s="1366" t="s">
        <v>1283</v>
      </c>
      <c r="C789" s="1317"/>
      <c r="D789" s="1318"/>
      <c r="E789" s="1362"/>
      <c r="F789" s="1319"/>
      <c r="G789" s="1325"/>
      <c r="H789" s="33"/>
    </row>
    <row r="790" spans="1:8" x14ac:dyDescent="0.3">
      <c r="A790" s="74"/>
      <c r="B790" s="115" t="s">
        <v>1284</v>
      </c>
      <c r="C790" s="31"/>
      <c r="D790" s="32"/>
      <c r="E790" s="1340"/>
      <c r="F790" s="151"/>
      <c r="G790" s="110"/>
      <c r="H790" s="33"/>
    </row>
    <row r="791" spans="1:8" x14ac:dyDescent="0.3">
      <c r="A791" s="74"/>
      <c r="B791" s="73" t="s">
        <v>1285</v>
      </c>
      <c r="C791" s="31"/>
      <c r="D791" s="32"/>
      <c r="E791" s="1340"/>
      <c r="F791" s="151">
        <v>166361</v>
      </c>
      <c r="G791" s="110">
        <v>186694</v>
      </c>
      <c r="H791" s="212"/>
    </row>
    <row r="792" spans="1:8" x14ac:dyDescent="0.3">
      <c r="A792" s="74"/>
      <c r="B792" s="73" t="s">
        <v>1247</v>
      </c>
      <c r="C792" s="31"/>
      <c r="D792" s="32"/>
      <c r="E792" s="1340"/>
      <c r="F792" s="151">
        <v>66546</v>
      </c>
      <c r="G792" s="110">
        <v>74676</v>
      </c>
      <c r="H792" s="212"/>
    </row>
    <row r="793" spans="1:8" x14ac:dyDescent="0.3">
      <c r="A793" s="74"/>
      <c r="B793" s="73" t="s">
        <v>1255</v>
      </c>
      <c r="C793" s="31"/>
      <c r="D793" s="32"/>
      <c r="E793" s="1340"/>
      <c r="F793" s="151">
        <v>83180</v>
      </c>
      <c r="G793" s="110">
        <v>93348</v>
      </c>
      <c r="H793" s="212"/>
    </row>
    <row r="794" spans="1:8" x14ac:dyDescent="0.3">
      <c r="A794" s="74"/>
      <c r="B794" s="73" t="s">
        <v>1246</v>
      </c>
      <c r="C794" s="31"/>
      <c r="D794" s="32"/>
      <c r="E794" s="1340"/>
      <c r="F794" s="151">
        <v>124771</v>
      </c>
      <c r="G794" s="110">
        <v>140020</v>
      </c>
      <c r="H794" s="212"/>
    </row>
    <row r="795" spans="1:8" x14ac:dyDescent="0.3">
      <c r="A795" s="74"/>
      <c r="B795" s="73" t="s">
        <v>1286</v>
      </c>
      <c r="C795" s="31"/>
      <c r="D795" s="32"/>
      <c r="E795" s="1340"/>
      <c r="F795" s="151">
        <v>66546</v>
      </c>
      <c r="G795" s="110">
        <v>74676</v>
      </c>
      <c r="H795" s="212"/>
    </row>
    <row r="796" spans="1:8" x14ac:dyDescent="0.3">
      <c r="A796" s="74"/>
      <c r="B796" s="73" t="s">
        <v>1274</v>
      </c>
      <c r="C796" s="31"/>
      <c r="D796" s="32"/>
      <c r="E796" s="1340"/>
      <c r="F796" s="151">
        <v>249542</v>
      </c>
      <c r="G796" s="110">
        <v>280041</v>
      </c>
      <c r="H796" s="212"/>
    </row>
    <row r="797" spans="1:8" x14ac:dyDescent="0.3">
      <c r="A797" s="74"/>
      <c r="B797" s="73" t="s">
        <v>3475</v>
      </c>
      <c r="C797" s="31"/>
      <c r="D797" s="32"/>
      <c r="E797" s="1340"/>
      <c r="F797" s="151">
        <v>83180</v>
      </c>
      <c r="G797" s="110">
        <v>93348</v>
      </c>
      <c r="H797" s="212"/>
    </row>
    <row r="798" spans="1:8" x14ac:dyDescent="0.3">
      <c r="A798" s="74"/>
      <c r="B798" s="73" t="s">
        <v>1253</v>
      </c>
      <c r="C798" s="31"/>
      <c r="D798" s="32"/>
      <c r="E798" s="1340"/>
      <c r="F798" s="151">
        <v>133089</v>
      </c>
      <c r="G798" s="110">
        <v>149356</v>
      </c>
      <c r="H798" s="212"/>
    </row>
    <row r="799" spans="1:8" x14ac:dyDescent="0.3">
      <c r="A799" s="74"/>
      <c r="B799" s="73" t="s">
        <v>1287</v>
      </c>
      <c r="C799" s="31"/>
      <c r="D799" s="32"/>
      <c r="E799" s="1340"/>
      <c r="F799" s="151">
        <v>486131</v>
      </c>
      <c r="G799" s="110">
        <v>598343</v>
      </c>
      <c r="H799" s="212"/>
    </row>
    <row r="800" spans="1:8" x14ac:dyDescent="0.3">
      <c r="A800" s="74"/>
      <c r="B800" s="73"/>
      <c r="C800" s="31"/>
      <c r="D800" s="32"/>
      <c r="E800" s="1340"/>
      <c r="F800" s="151"/>
      <c r="G800" s="110" t="s">
        <v>906</v>
      </c>
      <c r="H800" s="212"/>
    </row>
    <row r="801" spans="1:55" x14ac:dyDescent="0.3">
      <c r="A801" s="74"/>
      <c r="B801" s="104" t="s">
        <v>1288</v>
      </c>
      <c r="C801" s="31"/>
      <c r="D801" s="32"/>
      <c r="E801" s="1340"/>
      <c r="F801" s="151"/>
      <c r="G801" s="110" t="s">
        <v>906</v>
      </c>
      <c r="H801" s="212"/>
    </row>
    <row r="802" spans="1:55" x14ac:dyDescent="0.3">
      <c r="A802" s="74"/>
      <c r="B802" s="73" t="s">
        <v>1287</v>
      </c>
      <c r="C802" s="31"/>
      <c r="D802" s="32"/>
      <c r="E802" s="1340"/>
      <c r="F802" s="151">
        <v>600000</v>
      </c>
      <c r="G802" s="110">
        <v>600000</v>
      </c>
      <c r="H802" s="212"/>
    </row>
    <row r="803" spans="1:55" x14ac:dyDescent="0.3">
      <c r="A803" s="76"/>
      <c r="B803" s="101"/>
      <c r="C803" s="120"/>
      <c r="D803" s="77"/>
      <c r="E803" s="216"/>
      <c r="F803" s="157"/>
      <c r="G803" s="114"/>
      <c r="H803" s="212"/>
    </row>
    <row r="804" spans="1:55" x14ac:dyDescent="0.3">
      <c r="B804" s="1792" t="s">
        <v>907</v>
      </c>
      <c r="C804" s="1793"/>
      <c r="D804" s="1793"/>
      <c r="E804" s="1793"/>
      <c r="F804" s="1793"/>
      <c r="G804" s="1794"/>
      <c r="H804" s="212"/>
    </row>
    <row r="805" spans="1:55" s="35" customFormat="1" x14ac:dyDescent="0.3">
      <c r="A805" s="30"/>
      <c r="B805" s="1758" t="s">
        <v>1328</v>
      </c>
      <c r="C805" s="1759"/>
      <c r="D805" s="1759"/>
      <c r="E805" s="1759"/>
      <c r="F805" s="1759"/>
      <c r="G805" s="1760"/>
      <c r="H805" s="1306"/>
      <c r="I805" s="266"/>
      <c r="J805" s="266"/>
      <c r="K805" s="266"/>
      <c r="L805" s="266"/>
      <c r="M805" s="266"/>
      <c r="N805" s="266"/>
      <c r="O805" s="266"/>
      <c r="P805" s="266"/>
      <c r="Q805" s="266"/>
      <c r="R805" s="266"/>
      <c r="S805" s="266"/>
      <c r="T805" s="266"/>
      <c r="U805" s="266"/>
      <c r="V805" s="266"/>
      <c r="W805" s="266"/>
      <c r="X805" s="266"/>
      <c r="Y805" s="266"/>
      <c r="Z805" s="266"/>
      <c r="AA805" s="266"/>
      <c r="AB805" s="266"/>
      <c r="AC805" s="266"/>
      <c r="AD805" s="266"/>
      <c r="AE805" s="266"/>
      <c r="AF805" s="266"/>
      <c r="AG805" s="266"/>
      <c r="AH805" s="266"/>
      <c r="AI805" s="266"/>
      <c r="AJ805" s="266"/>
      <c r="AK805" s="266"/>
      <c r="AL805" s="266"/>
      <c r="AM805" s="266"/>
      <c r="AN805" s="266"/>
      <c r="AO805" s="266"/>
      <c r="AP805" s="266"/>
      <c r="AQ805" s="266"/>
      <c r="AR805" s="266"/>
      <c r="AS805" s="266"/>
      <c r="AT805" s="266"/>
      <c r="AU805" s="266"/>
      <c r="AV805" s="266"/>
      <c r="AW805" s="266"/>
      <c r="AX805" s="266"/>
      <c r="AY805" s="266"/>
      <c r="AZ805" s="266"/>
      <c r="BA805" s="266"/>
      <c r="BB805" s="266"/>
      <c r="BC805" s="266"/>
    </row>
    <row r="806" spans="1:55" x14ac:dyDescent="0.3">
      <c r="B806" s="100" t="s">
        <v>451</v>
      </c>
      <c r="C806" s="1328"/>
      <c r="D806" s="1329"/>
      <c r="E806" s="1329"/>
      <c r="F806" s="1324" t="s">
        <v>957</v>
      </c>
      <c r="G806" s="337" t="s">
        <v>957</v>
      </c>
      <c r="H806" s="261"/>
    </row>
    <row r="807" spans="1:55" x14ac:dyDescent="0.3">
      <c r="B807" s="101"/>
      <c r="C807" s="102"/>
      <c r="D807" s="77"/>
      <c r="E807" s="77"/>
      <c r="F807" s="38" t="s">
        <v>1325</v>
      </c>
      <c r="G807" s="141" t="s">
        <v>911</v>
      </c>
      <c r="H807" s="279"/>
    </row>
    <row r="808" spans="1:55" x14ac:dyDescent="0.3">
      <c r="B808" s="1367" t="s">
        <v>1289</v>
      </c>
      <c r="C808" s="87" t="s">
        <v>1290</v>
      </c>
      <c r="D808" s="87"/>
      <c r="E808" s="87"/>
      <c r="F808" s="1517"/>
      <c r="G808" s="213"/>
      <c r="H808" s="209"/>
    </row>
    <row r="809" spans="1:55" x14ac:dyDescent="0.3">
      <c r="B809" s="73"/>
      <c r="C809" s="1368" t="s">
        <v>2266</v>
      </c>
      <c r="D809" s="1368" t="s">
        <v>1045</v>
      </c>
      <c r="E809" s="1368"/>
      <c r="F809" s="47"/>
      <c r="G809" s="213"/>
      <c r="H809" s="212"/>
    </row>
    <row r="810" spans="1:55" x14ac:dyDescent="0.3">
      <c r="B810" s="135" t="s">
        <v>1291</v>
      </c>
      <c r="C810" s="1370"/>
      <c r="D810" s="1370"/>
      <c r="E810" s="1370"/>
      <c r="F810" s="45"/>
      <c r="G810" s="213"/>
      <c r="H810" s="212"/>
    </row>
    <row r="811" spans="1:55" x14ac:dyDescent="0.3">
      <c r="B811" s="73" t="s">
        <v>1285</v>
      </c>
      <c r="C811" s="138">
        <v>2353055</v>
      </c>
      <c r="D811" s="138">
        <v>2186694</v>
      </c>
      <c r="E811" s="33"/>
      <c r="F811" s="133">
        <v>2353055</v>
      </c>
      <c r="G811" s="68">
        <v>2186694</v>
      </c>
      <c r="H811" s="212"/>
    </row>
    <row r="812" spans="1:55" x14ac:dyDescent="0.3">
      <c r="B812" s="73" t="s">
        <v>1246</v>
      </c>
      <c r="C812" s="138">
        <v>1764791</v>
      </c>
      <c r="D812" s="138">
        <v>1640020</v>
      </c>
      <c r="E812" s="33"/>
      <c r="F812" s="133">
        <v>1764791</v>
      </c>
      <c r="G812" s="68">
        <v>1640020</v>
      </c>
      <c r="H812" s="33"/>
    </row>
    <row r="813" spans="1:55" x14ac:dyDescent="0.3">
      <c r="B813" s="73" t="s">
        <v>3476</v>
      </c>
      <c r="C813" s="138">
        <v>1176528</v>
      </c>
      <c r="D813" s="138">
        <v>1093348</v>
      </c>
      <c r="E813" s="33"/>
      <c r="F813" s="133">
        <v>1176528</v>
      </c>
      <c r="G813" s="68">
        <v>1093348</v>
      </c>
      <c r="H813" s="33"/>
    </row>
    <row r="814" spans="1:55" x14ac:dyDescent="0.3">
      <c r="B814" s="73" t="s">
        <v>1247</v>
      </c>
      <c r="C814" s="138">
        <v>941222</v>
      </c>
      <c r="D814" s="138">
        <v>874676</v>
      </c>
      <c r="E814" s="33"/>
      <c r="F814" s="133">
        <v>941222</v>
      </c>
      <c r="G814" s="68">
        <v>874676</v>
      </c>
      <c r="H814" s="33"/>
    </row>
    <row r="815" spans="1:55" x14ac:dyDescent="0.3">
      <c r="B815" s="73" t="s">
        <v>1274</v>
      </c>
      <c r="C815" s="138">
        <v>3529583</v>
      </c>
      <c r="D815" s="138">
        <v>3280041</v>
      </c>
      <c r="E815" s="33"/>
      <c r="F815" s="133">
        <v>3529583</v>
      </c>
      <c r="G815" s="68">
        <v>3280041</v>
      </c>
      <c r="H815" s="33"/>
    </row>
    <row r="816" spans="1:55" x14ac:dyDescent="0.3">
      <c r="B816" s="73" t="s">
        <v>1237</v>
      </c>
      <c r="C816" s="138">
        <v>6893877</v>
      </c>
      <c r="D816" s="138">
        <v>7000494</v>
      </c>
      <c r="E816" s="33"/>
      <c r="F816" s="133">
        <v>6384474</v>
      </c>
      <c r="G816" s="68">
        <v>6498343</v>
      </c>
      <c r="H816" s="33"/>
    </row>
    <row r="817" spans="2:8" x14ac:dyDescent="0.3">
      <c r="B817" s="73" t="s">
        <v>1255</v>
      </c>
      <c r="C817" s="138">
        <v>1176528</v>
      </c>
      <c r="D817" s="138">
        <v>1093348</v>
      </c>
      <c r="E817" s="33"/>
      <c r="F817" s="133">
        <v>1176528</v>
      </c>
      <c r="G817" s="68">
        <v>1093348</v>
      </c>
      <c r="H817" s="33"/>
    </row>
    <row r="818" spans="2:8" x14ac:dyDescent="0.3">
      <c r="B818" s="73" t="s">
        <v>1286</v>
      </c>
      <c r="C818" s="138">
        <v>941222</v>
      </c>
      <c r="D818" s="138">
        <v>874676</v>
      </c>
      <c r="E818" s="33"/>
      <c r="F818" s="133">
        <v>941222</v>
      </c>
      <c r="G818" s="68">
        <v>874676</v>
      </c>
      <c r="H818" s="33"/>
    </row>
    <row r="819" spans="2:8" x14ac:dyDescent="0.3">
      <c r="B819" s="73" t="s">
        <v>1253</v>
      </c>
      <c r="C819" s="138">
        <v>1882446</v>
      </c>
      <c r="D819" s="138">
        <v>1749357</v>
      </c>
      <c r="E819" s="33"/>
      <c r="F819" s="133">
        <v>1882446</v>
      </c>
      <c r="G819" s="68">
        <v>1749357</v>
      </c>
      <c r="H819" s="33"/>
    </row>
    <row r="820" spans="2:8" x14ac:dyDescent="0.3">
      <c r="B820" s="73"/>
      <c r="C820" s="33"/>
      <c r="D820" s="1371"/>
      <c r="E820" s="1371"/>
      <c r="F820" s="1518"/>
      <c r="G820" s="68"/>
      <c r="H820" s="33"/>
    </row>
    <row r="821" spans="2:8" x14ac:dyDescent="0.3">
      <c r="B821" s="135" t="s">
        <v>1292</v>
      </c>
      <c r="C821" s="33"/>
      <c r="D821" s="1371"/>
      <c r="E821" s="1371"/>
      <c r="F821" s="1518"/>
      <c r="G821" s="68"/>
      <c r="H821" s="33"/>
    </row>
    <row r="822" spans="2:8" x14ac:dyDescent="0.3">
      <c r="B822" s="1364" t="s">
        <v>1293</v>
      </c>
      <c r="C822" s="33"/>
      <c r="D822" s="1371"/>
      <c r="E822" s="1371"/>
      <c r="F822" s="1518">
        <f>+GETPIVOTDATA("Sum of Cr. Final HYR",Pivot!$A$3,"PARTICULARS","CHANDRA COAL PVT.LTD.","Note",7,"BS Main Head","Trade Payables","BS Sub Head","Trade Payables")</f>
        <v>0</v>
      </c>
      <c r="G822" s="68">
        <v>173652</v>
      </c>
      <c r="H822" s="33"/>
    </row>
    <row r="823" spans="2:8" x14ac:dyDescent="0.3">
      <c r="B823" s="1364" t="s">
        <v>1242</v>
      </c>
      <c r="C823" s="212"/>
      <c r="D823" s="106"/>
      <c r="E823" s="106"/>
      <c r="F823" s="110">
        <f>+GETPIVOTDATA("Sum of Cr. Final HYR",Pivot!$A$3,"PARTICULARS","CHANDRA SALES CORPORATION [ WP]","Note",7,"BS Main Head","Trade Payables","BS Sub Head","Trade Payables")</f>
        <v>638291</v>
      </c>
      <c r="G823" s="213">
        <v>0</v>
      </c>
      <c r="H823" s="33"/>
    </row>
    <row r="824" spans="2:8" x14ac:dyDescent="0.3">
      <c r="B824" s="1364" t="s">
        <v>1294</v>
      </c>
      <c r="C824" s="212"/>
      <c r="D824" s="106"/>
      <c r="E824" s="106"/>
      <c r="F824" s="110">
        <f>+GETPIVOTDATA("Sum of Cr. Final HYR",Pivot!$A$3,"PARTICULARS","Saini Transport Co.","Note",7,"BS Main Head","Trade Payables","BS Sub Head","Trade Payables")</f>
        <v>331346</v>
      </c>
      <c r="G824" s="213">
        <v>879467</v>
      </c>
      <c r="H824" s="212"/>
    </row>
    <row r="825" spans="2:8" x14ac:dyDescent="0.3">
      <c r="B825" s="1363" t="s">
        <v>469</v>
      </c>
      <c r="C825" s="212"/>
      <c r="D825" s="106"/>
      <c r="E825" s="106"/>
      <c r="F825" s="110"/>
      <c r="G825" s="213"/>
      <c r="H825" s="212"/>
    </row>
    <row r="826" spans="2:8" x14ac:dyDescent="0.3">
      <c r="B826" s="1364" t="s">
        <v>1242</v>
      </c>
      <c r="C826" s="33"/>
      <c r="D826" s="1371"/>
      <c r="E826" s="1371"/>
      <c r="F826" s="1518">
        <v>396306</v>
      </c>
      <c r="G826" s="68">
        <v>4304700</v>
      </c>
      <c r="H826" s="212"/>
    </row>
    <row r="827" spans="2:8" x14ac:dyDescent="0.3">
      <c r="B827" s="1364" t="s">
        <v>1293</v>
      </c>
      <c r="C827" s="33"/>
      <c r="D827" s="1371"/>
      <c r="E827" s="1371"/>
      <c r="F827" s="1518">
        <f>+GETPIVOTDATA("Sum of Dr. Final HYR",Pivot!$A$3,"PARTICULARS","CHANDRA COAL PVT. LTD. (SALE)","Note",15,"BS Main Head","Trade Receivables","BS Sub Head","Other Debts")</f>
        <v>19377618</v>
      </c>
      <c r="G827" s="68">
        <v>2655823</v>
      </c>
      <c r="H827" s="33"/>
    </row>
    <row r="828" spans="2:8" x14ac:dyDescent="0.3">
      <c r="B828" s="101"/>
      <c r="C828" s="217"/>
      <c r="D828" s="77"/>
      <c r="E828" s="77"/>
      <c r="F828" s="140"/>
      <c r="G828" s="1475"/>
      <c r="H828" s="33"/>
    </row>
    <row r="829" spans="2:8" x14ac:dyDescent="0.3">
      <c r="B829" s="218"/>
      <c r="C829" s="1317"/>
      <c r="D829" s="1333"/>
      <c r="E829" s="1333"/>
      <c r="F829" s="1330"/>
      <c r="G829" s="1353"/>
      <c r="H829" s="212"/>
    </row>
    <row r="830" spans="2:8" x14ac:dyDescent="0.3">
      <c r="B830" s="124" t="s">
        <v>3541</v>
      </c>
      <c r="C830" s="125"/>
      <c r="D830" s="139"/>
      <c r="E830" s="139"/>
      <c r="F830" s="167"/>
      <c r="G830" s="219"/>
      <c r="H830" s="284"/>
    </row>
    <row r="831" spans="2:8" x14ac:dyDescent="0.3">
      <c r="B831" s="73"/>
      <c r="C831" s="31"/>
      <c r="D831" s="139"/>
      <c r="E831" s="139"/>
      <c r="F831" s="167"/>
      <c r="G831" s="80"/>
      <c r="H831" s="299"/>
    </row>
    <row r="832" spans="2:8" x14ac:dyDescent="0.3">
      <c r="B832" s="126" t="s">
        <v>1295</v>
      </c>
      <c r="C832" s="106"/>
      <c r="D832" s="139"/>
      <c r="E832" s="139"/>
      <c r="F832" s="167"/>
      <c r="G832" s="110"/>
      <c r="H832" s="209"/>
    </row>
    <row r="833" spans="2:8" x14ac:dyDescent="0.3">
      <c r="B833" s="107" t="s">
        <v>1296</v>
      </c>
      <c r="C833" s="106"/>
      <c r="D833" s="139"/>
      <c r="E833" s="212"/>
      <c r="F833" s="110">
        <v>5000000</v>
      </c>
      <c r="G833" s="110">
        <v>5000000</v>
      </c>
      <c r="H833" s="212"/>
    </row>
    <row r="834" spans="2:8" x14ac:dyDescent="0.3">
      <c r="B834" s="107" t="s">
        <v>1297</v>
      </c>
      <c r="C834" s="31"/>
      <c r="D834" s="139"/>
      <c r="E834" s="212"/>
      <c r="F834" s="45">
        <v>0</v>
      </c>
      <c r="G834" s="45">
        <v>350000</v>
      </c>
      <c r="H834" s="212"/>
    </row>
    <row r="835" spans="2:8" x14ac:dyDescent="0.3">
      <c r="B835" s="107" t="s">
        <v>3477</v>
      </c>
      <c r="C835" s="31"/>
      <c r="D835" s="139"/>
      <c r="E835" s="212"/>
      <c r="F835" s="45">
        <v>825000</v>
      </c>
      <c r="G835" s="45">
        <v>0</v>
      </c>
      <c r="H835" s="212"/>
    </row>
    <row r="836" spans="2:8" x14ac:dyDescent="0.3">
      <c r="B836" s="107" t="s">
        <v>1298</v>
      </c>
      <c r="C836" s="31"/>
      <c r="D836" s="139"/>
      <c r="E836" s="212"/>
      <c r="F836" s="45">
        <v>500000</v>
      </c>
      <c r="G836" s="45">
        <v>500000</v>
      </c>
      <c r="H836" s="33"/>
    </row>
    <row r="837" spans="2:8" x14ac:dyDescent="0.3">
      <c r="B837" s="107"/>
      <c r="C837" s="31"/>
      <c r="D837" s="139"/>
      <c r="E837" s="212"/>
      <c r="F837" s="45"/>
      <c r="G837" s="45"/>
      <c r="H837" s="33"/>
    </row>
    <row r="838" spans="2:8" x14ac:dyDescent="0.3">
      <c r="B838" s="115" t="s">
        <v>1299</v>
      </c>
      <c r="C838" s="31"/>
      <c r="D838" s="139"/>
      <c r="E838" s="139"/>
      <c r="F838" s="1476">
        <v>0</v>
      </c>
      <c r="G838" s="45">
        <v>10963</v>
      </c>
      <c r="H838" s="33"/>
    </row>
    <row r="839" spans="2:8" x14ac:dyDescent="0.3">
      <c r="B839" s="74" t="s">
        <v>906</v>
      </c>
      <c r="C839" s="106"/>
      <c r="D839" s="139"/>
      <c r="E839" s="139"/>
      <c r="F839" s="45" t="s">
        <v>906</v>
      </c>
      <c r="G839" s="45" t="s">
        <v>906</v>
      </c>
      <c r="H839" s="33"/>
    </row>
    <row r="840" spans="2:8" x14ac:dyDescent="0.3">
      <c r="B840" s="115" t="s">
        <v>3300</v>
      </c>
      <c r="C840" s="106"/>
      <c r="D840" s="139"/>
      <c r="E840" s="139"/>
      <c r="F840" s="45">
        <v>47300</v>
      </c>
      <c r="G840" s="45">
        <v>46000</v>
      </c>
      <c r="H840" s="33"/>
    </row>
    <row r="841" spans="2:8" x14ac:dyDescent="0.3">
      <c r="B841" s="74"/>
      <c r="C841" s="106"/>
      <c r="D841" s="139"/>
      <c r="E841" s="139"/>
      <c r="F841" s="45"/>
      <c r="G841" s="45"/>
      <c r="H841" s="33"/>
    </row>
    <row r="842" spans="2:8" x14ac:dyDescent="0.3">
      <c r="B842" s="115" t="s">
        <v>1300</v>
      </c>
      <c r="C842" s="106"/>
      <c r="D842" s="139"/>
      <c r="E842" s="139"/>
      <c r="F842" s="45"/>
      <c r="G842" s="45"/>
      <c r="H842" s="33"/>
    </row>
    <row r="843" spans="2:8" x14ac:dyDescent="0.3">
      <c r="B843" s="107" t="s">
        <v>1301</v>
      </c>
      <c r="C843" s="106"/>
      <c r="D843" s="139"/>
      <c r="E843" s="139"/>
      <c r="F843" s="45">
        <v>17225881</v>
      </c>
      <c r="G843" s="45">
        <v>17225881</v>
      </c>
      <c r="H843" s="33"/>
    </row>
    <row r="844" spans="2:8" x14ac:dyDescent="0.3">
      <c r="B844" s="107" t="s">
        <v>1302</v>
      </c>
      <c r="C844" s="106"/>
      <c r="D844" s="139"/>
      <c r="E844" s="139"/>
      <c r="F844" s="45">
        <v>10080910</v>
      </c>
      <c r="G844" s="45">
        <v>10080910</v>
      </c>
      <c r="H844" s="33"/>
    </row>
    <row r="845" spans="2:8" ht="93" customHeight="1" x14ac:dyDescent="0.3">
      <c r="B845" s="1730" t="s">
        <v>1303</v>
      </c>
      <c r="C845" s="1731"/>
      <c r="D845" s="1731"/>
      <c r="E845" s="1731"/>
      <c r="F845" s="45"/>
      <c r="G845" s="45"/>
      <c r="H845" s="33"/>
    </row>
    <row r="846" spans="2:8" x14ac:dyDescent="0.3">
      <c r="B846" s="46"/>
      <c r="C846" s="194"/>
      <c r="D846" s="194"/>
      <c r="E846" s="220"/>
      <c r="F846" s="45"/>
      <c r="G846" s="45"/>
      <c r="H846" s="33"/>
    </row>
    <row r="847" spans="2:8" x14ac:dyDescent="0.3">
      <c r="B847" s="115" t="s">
        <v>1304</v>
      </c>
      <c r="C847" s="220"/>
      <c r="D847" s="220"/>
      <c r="E847" s="220"/>
      <c r="F847" s="45"/>
      <c r="G847" s="45"/>
      <c r="H847" s="33"/>
    </row>
    <row r="848" spans="2:8" x14ac:dyDescent="0.3">
      <c r="B848" s="107" t="s">
        <v>1301</v>
      </c>
      <c r="C848" s="220"/>
      <c r="D848" s="220"/>
      <c r="E848" s="220"/>
      <c r="F848" s="45">
        <v>0</v>
      </c>
      <c r="G848" s="45">
        <v>0</v>
      </c>
      <c r="H848" s="33"/>
    </row>
    <row r="849" spans="2:8" x14ac:dyDescent="0.3">
      <c r="B849" s="107" t="s">
        <v>1302</v>
      </c>
      <c r="C849" s="220"/>
      <c r="D849" s="220"/>
      <c r="E849" s="220"/>
      <c r="F849" s="45">
        <v>667226</v>
      </c>
      <c r="G849" s="45">
        <v>667226</v>
      </c>
      <c r="H849" s="33"/>
    </row>
    <row r="850" spans="2:8" x14ac:dyDescent="0.3">
      <c r="B850" s="115" t="s">
        <v>1305</v>
      </c>
      <c r="C850" s="220"/>
      <c r="D850" s="220"/>
      <c r="E850" s="220"/>
      <c r="F850" s="45"/>
      <c r="G850" s="45"/>
      <c r="H850" s="33"/>
    </row>
    <row r="851" spans="2:8" x14ac:dyDescent="0.3">
      <c r="B851" s="107" t="s">
        <v>1301</v>
      </c>
      <c r="C851" s="220"/>
      <c r="D851" s="220"/>
      <c r="E851" s="220"/>
      <c r="F851" s="45">
        <v>0</v>
      </c>
      <c r="G851" s="45">
        <v>0</v>
      </c>
      <c r="H851" s="33"/>
    </row>
    <row r="852" spans="2:8" x14ac:dyDescent="0.3">
      <c r="B852" s="107" t="s">
        <v>1302</v>
      </c>
      <c r="C852" s="220"/>
      <c r="D852" s="220"/>
      <c r="E852" s="220"/>
      <c r="F852" s="45">
        <v>627223</v>
      </c>
      <c r="G852" s="45">
        <v>627223</v>
      </c>
      <c r="H852" s="33"/>
    </row>
    <row r="853" spans="2:8" ht="123.6" customHeight="1" x14ac:dyDescent="0.3">
      <c r="B853" s="1822" t="s">
        <v>1306</v>
      </c>
      <c r="C853" s="1823"/>
      <c r="D853" s="1823"/>
      <c r="E853" s="1823"/>
      <c r="F853" s="327"/>
      <c r="G853" s="45"/>
      <c r="H853" s="33"/>
    </row>
    <row r="854" spans="2:8" x14ac:dyDescent="0.3">
      <c r="B854" s="1513"/>
      <c r="C854" s="1514"/>
      <c r="D854" s="1514"/>
      <c r="E854" s="1514"/>
      <c r="F854" s="327"/>
      <c r="G854" s="45"/>
      <c r="H854" s="33"/>
    </row>
    <row r="855" spans="2:8" x14ac:dyDescent="0.3">
      <c r="B855" s="1515" t="s">
        <v>3489</v>
      </c>
      <c r="C855" s="1514"/>
      <c r="D855" s="1514"/>
      <c r="E855" s="1514"/>
      <c r="F855" s="327"/>
      <c r="G855" s="45"/>
      <c r="H855" s="33"/>
    </row>
    <row r="856" spans="2:8" x14ac:dyDescent="0.3">
      <c r="B856" s="1516" t="s">
        <v>3488</v>
      </c>
      <c r="C856" s="1501"/>
      <c r="D856" s="1501"/>
      <c r="E856" s="1501"/>
      <c r="F856" s="1377">
        <f>+'Advance for Capital Goods'!G8</f>
        <v>24705000</v>
      </c>
      <c r="G856" s="147">
        <v>0</v>
      </c>
      <c r="H856" s="33"/>
    </row>
    <row r="857" spans="2:8" x14ac:dyDescent="0.3">
      <c r="B857" s="221"/>
      <c r="C857" s="63"/>
      <c r="D857" s="63"/>
      <c r="E857" s="63"/>
      <c r="F857" s="317"/>
      <c r="G857" s="1354"/>
      <c r="H857" s="33"/>
    </row>
    <row r="858" spans="2:8" x14ac:dyDescent="0.3">
      <c r="B858" s="124" t="s">
        <v>3497</v>
      </c>
      <c r="C858" s="106"/>
      <c r="D858" s="139"/>
      <c r="E858" s="139"/>
      <c r="F858" s="290"/>
      <c r="G858" s="213"/>
      <c r="H858" s="222"/>
    </row>
    <row r="859" spans="2:8" x14ac:dyDescent="0.3">
      <c r="B859" s="1827" t="s">
        <v>1307</v>
      </c>
      <c r="C859" s="1828"/>
      <c r="D859" s="1828"/>
      <c r="E859" s="1828"/>
      <c r="F859" s="1828"/>
      <c r="G859" s="1829"/>
      <c r="H859" s="212"/>
    </row>
    <row r="860" spans="2:8" x14ac:dyDescent="0.3">
      <c r="B860" s="1494"/>
      <c r="C860" s="261"/>
      <c r="D860" s="261"/>
      <c r="E860" s="261"/>
      <c r="F860" s="209"/>
      <c r="G860" s="99"/>
      <c r="H860" s="261"/>
    </row>
    <row r="861" spans="2:8" x14ac:dyDescent="0.3">
      <c r="B861" s="124" t="s">
        <v>3542</v>
      </c>
      <c r="C861" s="106"/>
      <c r="D861" s="139"/>
      <c r="E861" s="139"/>
      <c r="F861" s="290"/>
      <c r="G861" s="213"/>
      <c r="H861" s="261"/>
    </row>
    <row r="862" spans="2:8" ht="42" customHeight="1" x14ac:dyDescent="0.3">
      <c r="B862" s="1730" t="s">
        <v>1308</v>
      </c>
      <c r="C862" s="1731"/>
      <c r="D862" s="1731"/>
      <c r="E862" s="1731"/>
      <c r="F862" s="1731"/>
      <c r="G862" s="1817"/>
      <c r="H862" s="212"/>
    </row>
    <row r="863" spans="2:8" x14ac:dyDescent="0.3">
      <c r="B863" s="1545"/>
      <c r="C863" s="1546"/>
      <c r="D863" s="1546"/>
      <c r="E863" s="1546"/>
      <c r="F863" s="1547"/>
      <c r="G863" s="1548"/>
      <c r="H863" s="1305"/>
    </row>
    <row r="864" spans="2:8" x14ac:dyDescent="0.3">
      <c r="B864" s="1830" t="s">
        <v>907</v>
      </c>
      <c r="C864" s="1831"/>
      <c r="D864" s="1831"/>
      <c r="E864" s="1831"/>
      <c r="F864" s="1831"/>
      <c r="G864" s="1832"/>
      <c r="H864" s="1305"/>
    </row>
    <row r="865" spans="1:55" s="35" customFormat="1" x14ac:dyDescent="0.3">
      <c r="A865" s="30"/>
      <c r="B865" s="1830" t="s">
        <v>1328</v>
      </c>
      <c r="C865" s="1831"/>
      <c r="D865" s="1831"/>
      <c r="E865" s="1831"/>
      <c r="F865" s="1831"/>
      <c r="G865" s="1832"/>
      <c r="H865" s="1306"/>
      <c r="I865" s="266"/>
      <c r="J865" s="266"/>
      <c r="K865" s="266"/>
      <c r="L865" s="266"/>
      <c r="M865" s="266"/>
      <c r="N865" s="266"/>
      <c r="O865" s="266"/>
      <c r="P865" s="266"/>
      <c r="Q865" s="266"/>
      <c r="R865" s="266"/>
      <c r="S865" s="266"/>
      <c r="T865" s="266"/>
      <c r="U865" s="266"/>
      <c r="V865" s="266"/>
      <c r="W865" s="266"/>
      <c r="X865" s="266"/>
      <c r="Y865" s="266"/>
      <c r="Z865" s="266"/>
      <c r="AA865" s="266"/>
      <c r="AB865" s="266"/>
      <c r="AC865" s="266"/>
      <c r="AD865" s="266"/>
      <c r="AE865" s="266"/>
      <c r="AF865" s="266"/>
      <c r="AG865" s="266"/>
      <c r="AH865" s="266"/>
      <c r="AI865" s="266"/>
      <c r="AJ865" s="266"/>
      <c r="AK865" s="266"/>
      <c r="AL865" s="266"/>
      <c r="AM865" s="266"/>
      <c r="AN865" s="266"/>
      <c r="AO865" s="266"/>
      <c r="AP865" s="266"/>
      <c r="AQ865" s="266"/>
      <c r="AR865" s="266"/>
      <c r="AS865" s="266"/>
      <c r="AT865" s="266"/>
      <c r="AU865" s="266"/>
      <c r="AV865" s="266"/>
      <c r="AW865" s="266"/>
      <c r="AX865" s="266"/>
      <c r="AY865" s="266"/>
      <c r="AZ865" s="266"/>
      <c r="BA865" s="266"/>
      <c r="BB865" s="266"/>
      <c r="BC865" s="266"/>
    </row>
    <row r="866" spans="1:55" x14ac:dyDescent="0.3">
      <c r="B866" s="124" t="s">
        <v>3498</v>
      </c>
      <c r="C866" s="220"/>
      <c r="D866" s="220"/>
      <c r="E866" s="220"/>
      <c r="F866" s="223"/>
      <c r="G866" s="176"/>
      <c r="H866" s="223"/>
    </row>
    <row r="867" spans="1:55" x14ac:dyDescent="0.3">
      <c r="B867" s="1730" t="s">
        <v>1309</v>
      </c>
      <c r="C867" s="1731"/>
      <c r="D867" s="1731"/>
      <c r="E867" s="1731"/>
      <c r="F867" s="1731"/>
      <c r="G867" s="1817"/>
      <c r="H867" s="223"/>
    </row>
    <row r="868" spans="1:55" x14ac:dyDescent="0.3">
      <c r="B868" s="1730"/>
      <c r="C868" s="1731"/>
      <c r="D868" s="1731"/>
      <c r="E868" s="1731"/>
      <c r="F868" s="1731"/>
      <c r="G868" s="1817"/>
      <c r="H868" s="1305"/>
    </row>
    <row r="869" spans="1:55" hidden="1" x14ac:dyDescent="0.3">
      <c r="B869" s="1730"/>
      <c r="C869" s="1731"/>
      <c r="D869" s="1731"/>
      <c r="E869" s="1731"/>
      <c r="F869" s="1731"/>
      <c r="G869" s="1817"/>
      <c r="H869" s="1305"/>
    </row>
    <row r="870" spans="1:55" hidden="1" x14ac:dyDescent="0.3">
      <c r="B870" s="1730"/>
      <c r="C870" s="1731"/>
      <c r="D870" s="1731"/>
      <c r="E870" s="1731"/>
      <c r="F870" s="1731"/>
      <c r="G870" s="1817"/>
      <c r="H870" s="1305"/>
    </row>
    <row r="871" spans="1:55" x14ac:dyDescent="0.3">
      <c r="B871" s="1489"/>
      <c r="C871" s="1305"/>
      <c r="D871" s="1305"/>
      <c r="E871" s="1305"/>
      <c r="F871" s="1305"/>
      <c r="G871" s="1490"/>
      <c r="H871" s="1305"/>
    </row>
    <row r="872" spans="1:55" x14ac:dyDescent="0.3">
      <c r="B872" s="124" t="s">
        <v>3543</v>
      </c>
      <c r="C872" s="1305"/>
      <c r="D872" s="1305"/>
      <c r="E872" s="1305"/>
      <c r="F872" s="334"/>
      <c r="G872" s="1549"/>
      <c r="H872" s="1305"/>
    </row>
    <row r="873" spans="1:55" x14ac:dyDescent="0.3">
      <c r="B873" s="1730" t="s">
        <v>3478</v>
      </c>
      <c r="C873" s="1731"/>
      <c r="D873" s="1731"/>
      <c r="E873" s="1731"/>
      <c r="F873" s="1731"/>
      <c r="G873" s="1817"/>
      <c r="H873" s="1305"/>
    </row>
    <row r="874" spans="1:55" x14ac:dyDescent="0.3">
      <c r="B874" s="1730"/>
      <c r="C874" s="1731"/>
      <c r="D874" s="1731"/>
      <c r="E874" s="1731"/>
      <c r="F874" s="1731"/>
      <c r="G874" s="1817"/>
      <c r="H874" s="1305"/>
    </row>
    <row r="875" spans="1:55" x14ac:dyDescent="0.3">
      <c r="B875" s="1489"/>
      <c r="C875" s="1305"/>
      <c r="D875" s="1305"/>
      <c r="E875" s="1305"/>
      <c r="F875" s="334"/>
      <c r="G875" s="1549"/>
      <c r="H875" s="1305"/>
    </row>
    <row r="876" spans="1:55" s="307" customFormat="1" hidden="1" x14ac:dyDescent="0.3">
      <c r="B876" s="124" t="s">
        <v>3544</v>
      </c>
      <c r="C876" s="30"/>
      <c r="D876" s="139"/>
      <c r="E876" s="139" t="s">
        <v>906</v>
      </c>
      <c r="F876" s="290"/>
      <c r="G876" s="68"/>
      <c r="H876" s="1374"/>
      <c r="I876" s="306"/>
      <c r="J876" s="306"/>
      <c r="K876" s="306"/>
      <c r="L876" s="306"/>
      <c r="M876" s="306"/>
      <c r="N876" s="306"/>
      <c r="O876" s="306"/>
      <c r="P876" s="306"/>
      <c r="Q876" s="306"/>
      <c r="R876" s="306"/>
      <c r="S876" s="306"/>
      <c r="T876" s="306"/>
      <c r="U876" s="306"/>
      <c r="V876" s="306"/>
      <c r="W876" s="306"/>
      <c r="X876" s="306"/>
      <c r="Y876" s="306"/>
      <c r="Z876" s="306"/>
      <c r="AA876" s="306"/>
      <c r="AB876" s="306"/>
      <c r="AC876" s="306"/>
      <c r="AD876" s="306"/>
      <c r="AE876" s="306"/>
      <c r="AF876" s="306"/>
      <c r="AG876" s="306"/>
      <c r="AH876" s="306"/>
      <c r="AI876" s="306"/>
      <c r="AJ876" s="306"/>
      <c r="AK876" s="306"/>
      <c r="AL876" s="306"/>
      <c r="AM876" s="306"/>
      <c r="AN876" s="306"/>
      <c r="AO876" s="306"/>
      <c r="AP876" s="306"/>
      <c r="AQ876" s="306"/>
      <c r="AR876" s="306"/>
      <c r="AS876" s="306"/>
      <c r="AT876" s="306"/>
      <c r="AU876" s="306"/>
      <c r="AV876" s="306"/>
      <c r="AW876" s="306"/>
      <c r="AX876" s="306"/>
      <c r="AY876" s="306"/>
      <c r="AZ876" s="306"/>
      <c r="BA876" s="306"/>
      <c r="BB876" s="306"/>
      <c r="BC876" s="306"/>
    </row>
    <row r="877" spans="1:55" s="307" customFormat="1" hidden="1" x14ac:dyDescent="0.3">
      <c r="B877" s="1480" t="s">
        <v>1310</v>
      </c>
      <c r="C877" s="30"/>
      <c r="D877" s="139"/>
      <c r="E877" s="139"/>
      <c r="F877" s="290"/>
      <c r="G877" s="68"/>
      <c r="H877" s="311"/>
      <c r="I877" s="306"/>
      <c r="J877" s="306"/>
      <c r="K877" s="306"/>
      <c r="L877" s="306"/>
      <c r="M877" s="306"/>
      <c r="N877" s="306"/>
      <c r="O877" s="306"/>
      <c r="P877" s="306"/>
      <c r="Q877" s="306"/>
      <c r="R877" s="306"/>
      <c r="S877" s="306"/>
      <c r="T877" s="306"/>
      <c r="U877" s="306"/>
      <c r="V877" s="306"/>
      <c r="W877" s="306"/>
      <c r="X877" s="306"/>
      <c r="Y877" s="306"/>
      <c r="Z877" s="306"/>
      <c r="AA877" s="306"/>
      <c r="AB877" s="306"/>
      <c r="AC877" s="306"/>
      <c r="AD877" s="306"/>
      <c r="AE877" s="306"/>
      <c r="AF877" s="306"/>
      <c r="AG877" s="306"/>
      <c r="AH877" s="306"/>
      <c r="AI877" s="306"/>
      <c r="AJ877" s="306"/>
      <c r="AK877" s="306"/>
      <c r="AL877" s="306"/>
      <c r="AM877" s="306"/>
      <c r="AN877" s="306"/>
      <c r="AO877" s="306"/>
      <c r="AP877" s="306"/>
      <c r="AQ877" s="306"/>
      <c r="AR877" s="306"/>
      <c r="AS877" s="306"/>
      <c r="AT877" s="306"/>
      <c r="AU877" s="306"/>
      <c r="AV877" s="306"/>
      <c r="AW877" s="306"/>
      <c r="AX877" s="306"/>
      <c r="AY877" s="306"/>
      <c r="AZ877" s="306"/>
      <c r="BA877" s="306"/>
      <c r="BB877" s="306"/>
      <c r="BC877" s="306"/>
    </row>
    <row r="878" spans="1:55" s="307" customFormat="1" ht="37.5" hidden="1" x14ac:dyDescent="0.3">
      <c r="B878" s="1481"/>
      <c r="C878" s="1482"/>
      <c r="D878" s="1483" t="s">
        <v>1311</v>
      </c>
      <c r="E878" s="1550" t="s">
        <v>1312</v>
      </c>
      <c r="F878" s="1483" t="s">
        <v>1311</v>
      </c>
      <c r="G878" s="1550" t="s">
        <v>1312</v>
      </c>
      <c r="H878" s="311"/>
      <c r="I878" s="306"/>
      <c r="J878" s="306"/>
      <c r="K878" s="306"/>
      <c r="L878" s="306"/>
      <c r="M878" s="306"/>
      <c r="N878" s="306"/>
      <c r="O878" s="306"/>
      <c r="P878" s="306"/>
      <c r="Q878" s="306"/>
      <c r="R878" s="306"/>
      <c r="S878" s="306"/>
      <c r="T878" s="306"/>
      <c r="U878" s="306"/>
      <c r="V878" s="306"/>
      <c r="W878" s="306"/>
      <c r="X878" s="306"/>
      <c r="Y878" s="306"/>
      <c r="Z878" s="306"/>
      <c r="AA878" s="306"/>
      <c r="AB878" s="306"/>
      <c r="AC878" s="306"/>
      <c r="AD878" s="306"/>
      <c r="AE878" s="306"/>
      <c r="AF878" s="306"/>
      <c r="AG878" s="306"/>
      <c r="AH878" s="306"/>
      <c r="AI878" s="306"/>
      <c r="AJ878" s="306"/>
      <c r="AK878" s="306"/>
      <c r="AL878" s="306"/>
      <c r="AM878" s="306"/>
      <c r="AN878" s="306"/>
      <c r="AO878" s="306"/>
      <c r="AP878" s="306"/>
      <c r="AQ878" s="306"/>
      <c r="AR878" s="306"/>
      <c r="AS878" s="306"/>
      <c r="AT878" s="306"/>
      <c r="AU878" s="306"/>
      <c r="AV878" s="306"/>
      <c r="AW878" s="306"/>
      <c r="AX878" s="306"/>
      <c r="AY878" s="306"/>
      <c r="AZ878" s="306"/>
      <c r="BA878" s="306"/>
      <c r="BB878" s="306"/>
      <c r="BC878" s="306"/>
    </row>
    <row r="879" spans="1:55" s="307" customFormat="1" hidden="1" x14ac:dyDescent="0.3">
      <c r="B879" s="1481"/>
      <c r="C879" s="1482"/>
      <c r="D879" s="1484" t="s">
        <v>1313</v>
      </c>
      <c r="E879" s="1485" t="s">
        <v>1122</v>
      </c>
      <c r="F879" s="1484" t="s">
        <v>1313</v>
      </c>
      <c r="G879" s="1485" t="s">
        <v>1089</v>
      </c>
      <c r="H879" s="1375"/>
      <c r="I879" s="306"/>
      <c r="J879" s="306"/>
      <c r="K879" s="306"/>
      <c r="L879" s="306"/>
      <c r="M879" s="306"/>
      <c r="N879" s="306"/>
      <c r="O879" s="306"/>
      <c r="P879" s="306"/>
      <c r="Q879" s="306"/>
      <c r="R879" s="306"/>
      <c r="S879" s="306"/>
      <c r="T879" s="306"/>
      <c r="U879" s="306"/>
      <c r="V879" s="306"/>
      <c r="W879" s="306"/>
      <c r="X879" s="306"/>
      <c r="Y879" s="306"/>
      <c r="Z879" s="306"/>
      <c r="AA879" s="306"/>
      <c r="AB879" s="306"/>
      <c r="AC879" s="306"/>
      <c r="AD879" s="306"/>
      <c r="AE879" s="306"/>
      <c r="AF879" s="306"/>
      <c r="AG879" s="306"/>
      <c r="AH879" s="306"/>
      <c r="AI879" s="306"/>
      <c r="AJ879" s="306"/>
      <c r="AK879" s="306"/>
      <c r="AL879" s="306"/>
      <c r="AM879" s="306"/>
      <c r="AN879" s="306"/>
      <c r="AO879" s="306"/>
      <c r="AP879" s="306"/>
      <c r="AQ879" s="306"/>
      <c r="AR879" s="306"/>
      <c r="AS879" s="306"/>
      <c r="AT879" s="306"/>
      <c r="AU879" s="306"/>
      <c r="AV879" s="306"/>
      <c r="AW879" s="306"/>
      <c r="AX879" s="306"/>
      <c r="AY879" s="306"/>
      <c r="AZ879" s="306"/>
      <c r="BA879" s="306"/>
      <c r="BB879" s="306"/>
      <c r="BC879" s="306"/>
    </row>
    <row r="880" spans="1:55" s="307" customFormat="1" hidden="1" x14ac:dyDescent="0.3">
      <c r="B880" s="74" t="s">
        <v>1314</v>
      </c>
      <c r="C880" s="51"/>
      <c r="D880" s="1486">
        <v>0</v>
      </c>
      <c r="E880" s="45">
        <v>0</v>
      </c>
      <c r="F880" s="1486">
        <v>0</v>
      </c>
      <c r="G880" s="45">
        <v>0</v>
      </c>
      <c r="H880" s="1376"/>
      <c r="I880" s="306"/>
      <c r="J880" s="306"/>
      <c r="K880" s="306"/>
      <c r="L880" s="306"/>
      <c r="M880" s="306"/>
      <c r="N880" s="306"/>
      <c r="O880" s="306"/>
      <c r="P880" s="306"/>
      <c r="Q880" s="306"/>
      <c r="R880" s="306"/>
      <c r="S880" s="306"/>
      <c r="T880" s="306"/>
      <c r="U880" s="306"/>
      <c r="V880" s="306"/>
      <c r="W880" s="306"/>
      <c r="X880" s="306"/>
      <c r="Y880" s="306"/>
      <c r="Z880" s="306"/>
      <c r="AA880" s="306"/>
      <c r="AB880" s="306"/>
      <c r="AC880" s="306"/>
      <c r="AD880" s="306"/>
      <c r="AE880" s="306"/>
      <c r="AF880" s="306"/>
      <c r="AG880" s="306"/>
      <c r="AH880" s="306"/>
      <c r="AI880" s="306"/>
      <c r="AJ880" s="306"/>
      <c r="AK880" s="306"/>
      <c r="AL880" s="306"/>
      <c r="AM880" s="306"/>
      <c r="AN880" s="306"/>
      <c r="AO880" s="306"/>
      <c r="AP880" s="306"/>
      <c r="AQ880" s="306"/>
      <c r="AR880" s="306"/>
      <c r="AS880" s="306"/>
      <c r="AT880" s="306"/>
      <c r="AU880" s="306"/>
      <c r="AV880" s="306"/>
      <c r="AW880" s="306"/>
      <c r="AX880" s="306"/>
      <c r="AY880" s="306"/>
      <c r="AZ880" s="306"/>
      <c r="BA880" s="306"/>
      <c r="BB880" s="306"/>
      <c r="BC880" s="306"/>
    </row>
    <row r="881" spans="2:55" s="307" customFormat="1" hidden="1" x14ac:dyDescent="0.3">
      <c r="B881" s="74"/>
      <c r="C881" s="51"/>
      <c r="D881" s="1486" t="s">
        <v>1315</v>
      </c>
      <c r="E881" s="45" t="s">
        <v>1315</v>
      </c>
      <c r="F881" s="1486" t="s">
        <v>1315</v>
      </c>
      <c r="G881" s="45" t="s">
        <v>1315</v>
      </c>
      <c r="H881" s="311"/>
      <c r="I881" s="306"/>
      <c r="J881" s="306"/>
      <c r="K881" s="306"/>
      <c r="L881" s="306"/>
      <c r="M881" s="306"/>
      <c r="N881" s="306"/>
      <c r="O881" s="306"/>
      <c r="P881" s="306"/>
      <c r="Q881" s="306"/>
      <c r="R881" s="306"/>
      <c r="S881" s="306"/>
      <c r="T881" s="306"/>
      <c r="U881" s="306"/>
      <c r="V881" s="306"/>
      <c r="W881" s="306"/>
      <c r="X881" s="306"/>
      <c r="Y881" s="306"/>
      <c r="Z881" s="306"/>
      <c r="AA881" s="306"/>
      <c r="AB881" s="306"/>
      <c r="AC881" s="306"/>
      <c r="AD881" s="306"/>
      <c r="AE881" s="306"/>
      <c r="AF881" s="306"/>
      <c r="AG881" s="306"/>
      <c r="AH881" s="306"/>
      <c r="AI881" s="306"/>
      <c r="AJ881" s="306"/>
      <c r="AK881" s="306"/>
      <c r="AL881" s="306"/>
      <c r="AM881" s="306"/>
      <c r="AN881" s="306"/>
      <c r="AO881" s="306"/>
      <c r="AP881" s="306"/>
      <c r="AQ881" s="306"/>
      <c r="AR881" s="306"/>
      <c r="AS881" s="306"/>
      <c r="AT881" s="306"/>
      <c r="AU881" s="306"/>
      <c r="AV881" s="306"/>
      <c r="AW881" s="306"/>
      <c r="AX881" s="306"/>
      <c r="AY881" s="306"/>
      <c r="AZ881" s="306"/>
      <c r="BA881" s="306"/>
      <c r="BB881" s="306"/>
      <c r="BC881" s="306"/>
    </row>
    <row r="882" spans="2:55" s="307" customFormat="1" hidden="1" x14ac:dyDescent="0.3">
      <c r="B882" s="74" t="s">
        <v>1316</v>
      </c>
      <c r="C882" s="51"/>
      <c r="D882" s="1486">
        <v>0</v>
      </c>
      <c r="E882" s="45">
        <v>0</v>
      </c>
      <c r="F882" s="1486">
        <v>0</v>
      </c>
      <c r="G882" s="45">
        <v>0</v>
      </c>
      <c r="H882" s="311"/>
      <c r="I882" s="306"/>
      <c r="J882" s="306"/>
      <c r="K882" s="306"/>
      <c r="L882" s="306"/>
      <c r="M882" s="306"/>
      <c r="N882" s="306"/>
      <c r="O882" s="306"/>
      <c r="P882" s="306"/>
      <c r="Q882" s="306"/>
      <c r="R882" s="306"/>
      <c r="S882" s="306"/>
      <c r="T882" s="306"/>
      <c r="U882" s="306"/>
      <c r="V882" s="306"/>
      <c r="W882" s="306"/>
      <c r="X882" s="306"/>
      <c r="Y882" s="306"/>
      <c r="Z882" s="306"/>
      <c r="AA882" s="306"/>
      <c r="AB882" s="306"/>
      <c r="AC882" s="306"/>
      <c r="AD882" s="306"/>
      <c r="AE882" s="306"/>
      <c r="AF882" s="306"/>
      <c r="AG882" s="306"/>
      <c r="AH882" s="306"/>
      <c r="AI882" s="306"/>
      <c r="AJ882" s="306"/>
      <c r="AK882" s="306"/>
      <c r="AL882" s="306"/>
      <c r="AM882" s="306"/>
      <c r="AN882" s="306"/>
      <c r="AO882" s="306"/>
      <c r="AP882" s="306"/>
      <c r="AQ882" s="306"/>
      <c r="AR882" s="306"/>
      <c r="AS882" s="306"/>
      <c r="AT882" s="306"/>
      <c r="AU882" s="306"/>
      <c r="AV882" s="306"/>
      <c r="AW882" s="306"/>
      <c r="AX882" s="306"/>
      <c r="AY882" s="306"/>
      <c r="AZ882" s="306"/>
      <c r="BA882" s="306"/>
      <c r="BB882" s="306"/>
      <c r="BC882" s="306"/>
    </row>
    <row r="883" spans="2:55" s="307" customFormat="1" hidden="1" x14ac:dyDescent="0.3">
      <c r="B883" s="1481"/>
      <c r="C883" s="1482"/>
      <c r="D883" s="1487" t="s">
        <v>1315</v>
      </c>
      <c r="E883" s="147" t="s">
        <v>1315</v>
      </c>
      <c r="F883" s="1487" t="s">
        <v>1315</v>
      </c>
      <c r="G883" s="147" t="s">
        <v>1315</v>
      </c>
      <c r="H883" s="311"/>
      <c r="I883" s="306"/>
      <c r="J883" s="306"/>
      <c r="K883" s="306"/>
      <c r="L883" s="306"/>
      <c r="M883" s="306"/>
      <c r="N883" s="306"/>
      <c r="O883" s="306"/>
      <c r="P883" s="306"/>
      <c r="Q883" s="306"/>
      <c r="R883" s="306"/>
      <c r="S883" s="306"/>
      <c r="T883" s="306"/>
      <c r="U883" s="306"/>
      <c r="V883" s="306"/>
      <c r="W883" s="306"/>
      <c r="X883" s="306"/>
      <c r="Y883" s="306"/>
      <c r="Z883" s="306"/>
      <c r="AA883" s="306"/>
      <c r="AB883" s="306"/>
      <c r="AC883" s="306"/>
      <c r="AD883" s="306"/>
      <c r="AE883" s="306"/>
      <c r="AF883" s="306"/>
      <c r="AG883" s="306"/>
      <c r="AH883" s="306"/>
      <c r="AI883" s="306"/>
      <c r="AJ883" s="306"/>
      <c r="AK883" s="306"/>
      <c r="AL883" s="306"/>
      <c r="AM883" s="306"/>
      <c r="AN883" s="306"/>
      <c r="AO883" s="306"/>
      <c r="AP883" s="306"/>
      <c r="AQ883" s="306"/>
      <c r="AR883" s="306"/>
      <c r="AS883" s="306"/>
      <c r="AT883" s="306"/>
      <c r="AU883" s="306"/>
      <c r="AV883" s="306"/>
      <c r="AW883" s="306"/>
      <c r="AX883" s="306"/>
      <c r="AY883" s="306"/>
      <c r="AZ883" s="306"/>
      <c r="BA883" s="306"/>
      <c r="BB883" s="306"/>
      <c r="BC883" s="306"/>
    </row>
    <row r="884" spans="2:55" hidden="1" x14ac:dyDescent="0.3">
      <c r="B884" s="224"/>
      <c r="C884" s="225"/>
      <c r="D884" s="225"/>
      <c r="E884" s="225"/>
      <c r="F884" s="338"/>
      <c r="G884" s="1551"/>
      <c r="H884" s="225"/>
    </row>
    <row r="885" spans="2:55" x14ac:dyDescent="0.3">
      <c r="B885" s="124" t="s">
        <v>3544</v>
      </c>
      <c r="C885" s="30"/>
      <c r="D885" s="139"/>
      <c r="E885" s="139"/>
      <c r="F885" s="290"/>
      <c r="G885" s="68"/>
      <c r="H885" s="225"/>
    </row>
    <row r="886" spans="2:55" x14ac:dyDescent="0.3">
      <c r="B886" s="200" t="s">
        <v>1317</v>
      </c>
      <c r="C886" s="226"/>
      <c r="D886" s="226"/>
      <c r="E886" s="226"/>
      <c r="F886" s="230"/>
      <c r="G886" s="1552"/>
      <c r="H886" s="33"/>
    </row>
    <row r="887" spans="2:55" x14ac:dyDescent="0.3">
      <c r="B887" s="56"/>
      <c r="C887" s="30"/>
      <c r="D887" s="65"/>
      <c r="E887" s="65"/>
      <c r="F887" s="227"/>
      <c r="G887" s="1354"/>
      <c r="H887" s="226"/>
    </row>
    <row r="888" spans="2:55" x14ac:dyDescent="0.3">
      <c r="B888" s="66" t="s">
        <v>946</v>
      </c>
      <c r="C888" s="67"/>
      <c r="D888" s="32" t="s">
        <v>947</v>
      </c>
      <c r="F888" s="138"/>
      <c r="G888" s="68"/>
      <c r="H888" s="227"/>
    </row>
    <row r="889" spans="2:55" x14ac:dyDescent="0.3">
      <c r="B889" s="66"/>
      <c r="C889" s="67"/>
      <c r="D889" s="32"/>
      <c r="F889" s="138"/>
      <c r="G889" s="68"/>
      <c r="H889" s="227"/>
    </row>
    <row r="890" spans="2:55" x14ac:dyDescent="0.3">
      <c r="B890" s="69" t="s">
        <v>3287</v>
      </c>
      <c r="C890" s="30"/>
      <c r="D890" s="139" t="str">
        <f>+E52</f>
        <v>ANIL KUMAR LAKHOTIYA - MANAGING  DIRECTOR</v>
      </c>
      <c r="F890" s="138"/>
      <c r="G890" s="68"/>
      <c r="H890" s="33"/>
    </row>
    <row r="891" spans="2:55" x14ac:dyDescent="0.3">
      <c r="B891" s="69" t="s">
        <v>1319</v>
      </c>
      <c r="C891" s="70"/>
      <c r="D891" s="32" t="str">
        <f>+E53</f>
        <v>(DIN:00367361)</v>
      </c>
      <c r="F891" s="138"/>
      <c r="G891" s="68"/>
      <c r="H891" s="33"/>
    </row>
    <row r="892" spans="2:55" x14ac:dyDescent="0.3">
      <c r="B892" s="69" t="s">
        <v>3289</v>
      </c>
      <c r="C892" s="70"/>
      <c r="D892" s="32"/>
      <c r="F892" s="138"/>
      <c r="G892" s="68"/>
      <c r="H892" s="33"/>
    </row>
    <row r="893" spans="2:55" x14ac:dyDescent="0.3">
      <c r="B893" s="69"/>
      <c r="C893" s="30"/>
      <c r="D893" s="71"/>
      <c r="E893" s="71"/>
      <c r="F893" s="318"/>
      <c r="G893" s="68"/>
      <c r="H893" s="33"/>
    </row>
    <row r="894" spans="2:55" x14ac:dyDescent="0.3">
      <c r="B894" s="69" t="s">
        <v>3288</v>
      </c>
      <c r="C894" s="70"/>
      <c r="D894" s="32"/>
      <c r="E894" s="30"/>
      <c r="F894" s="138"/>
      <c r="G894" s="68"/>
      <c r="H894" s="33"/>
    </row>
    <row r="895" spans="2:55" x14ac:dyDescent="0.3">
      <c r="B895" s="69" t="s">
        <v>1322</v>
      </c>
      <c r="C895" s="70"/>
      <c r="D895" s="139" t="str">
        <f>+E57</f>
        <v>KAILASH AGARWAL - WHOLE TIME DIRECTOR</v>
      </c>
      <c r="E895" s="30"/>
      <c r="F895" s="138"/>
      <c r="G895" s="68"/>
      <c r="H895" s="33"/>
    </row>
    <row r="896" spans="2:55" x14ac:dyDescent="0.3">
      <c r="B896" s="69" t="s">
        <v>3290</v>
      </c>
      <c r="C896" s="70"/>
      <c r="D896" s="32" t="str">
        <f>+E58</f>
        <v>(DIN:00367292)</v>
      </c>
      <c r="E896" s="30"/>
      <c r="F896" s="138"/>
      <c r="G896" s="68"/>
      <c r="H896" s="33"/>
    </row>
    <row r="897" spans="2:8" x14ac:dyDescent="0.3">
      <c r="B897" s="69"/>
      <c r="C897" s="70"/>
      <c r="D897" s="71"/>
      <c r="E897" s="71"/>
      <c r="F897" s="318"/>
      <c r="G897" s="68"/>
      <c r="H897" s="33"/>
    </row>
    <row r="898" spans="2:8" x14ac:dyDescent="0.3">
      <c r="B898" s="74" t="s">
        <v>955</v>
      </c>
      <c r="C898" s="31"/>
      <c r="D898" s="71"/>
      <c r="E898" s="30"/>
      <c r="F898" s="138"/>
      <c r="G898" s="68"/>
      <c r="H898" s="33"/>
    </row>
    <row r="899" spans="2:8" x14ac:dyDescent="0.3">
      <c r="B899" s="74" t="str">
        <f>+B61</f>
        <v>Date: 25-06-2021</v>
      </c>
      <c r="C899" s="72"/>
      <c r="D899" s="71"/>
      <c r="F899" s="138"/>
      <c r="G899" s="68"/>
      <c r="H899" s="33"/>
    </row>
    <row r="900" spans="2:8" x14ac:dyDescent="0.3">
      <c r="B900" s="74" t="str">
        <f>+B62</f>
        <v>UDIN:</v>
      </c>
      <c r="C900" s="72"/>
      <c r="D900" s="139" t="str">
        <f>+E61</f>
        <v>JARNAIL SINGH SAINI - CHIEF FINANCIAL OFFICER &amp; EXECUTIVE DIRECTOR</v>
      </c>
      <c r="F900" s="138"/>
      <c r="G900" s="68"/>
      <c r="H900" s="33"/>
    </row>
    <row r="901" spans="2:8" x14ac:dyDescent="0.3">
      <c r="B901" s="69"/>
      <c r="C901" s="72"/>
      <c r="D901" s="32" t="str">
        <f>+E62</f>
        <v>(DIN:00367656)</v>
      </c>
      <c r="E901" s="71"/>
      <c r="F901" s="318"/>
      <c r="G901" s="68"/>
      <c r="H901" s="33"/>
    </row>
    <row r="902" spans="2:8" x14ac:dyDescent="0.3">
      <c r="B902" s="69"/>
      <c r="C902" s="72"/>
      <c r="D902" s="71"/>
      <c r="E902" s="30"/>
      <c r="F902" s="138"/>
      <c r="G902" s="68"/>
      <c r="H902" s="1304"/>
    </row>
    <row r="903" spans="2:8" x14ac:dyDescent="0.3">
      <c r="B903" s="69"/>
      <c r="C903" s="72"/>
      <c r="D903" s="71"/>
      <c r="E903" s="30"/>
      <c r="F903" s="138"/>
      <c r="G903" s="68"/>
      <c r="H903" s="33"/>
    </row>
    <row r="904" spans="2:8" x14ac:dyDescent="0.3">
      <c r="B904" s="69"/>
      <c r="C904" s="72"/>
      <c r="D904" s="71"/>
      <c r="E904" s="30"/>
      <c r="F904" s="138"/>
      <c r="G904" s="68"/>
      <c r="H904" s="33"/>
    </row>
    <row r="905" spans="2:8" x14ac:dyDescent="0.3">
      <c r="B905" s="69"/>
      <c r="C905" s="72"/>
      <c r="D905" s="139" t="str">
        <f>+E66</f>
        <v>OMPRAKASH RATHI - EXECUTIVE DIRECTOR</v>
      </c>
      <c r="E905" s="71"/>
      <c r="F905" s="318"/>
      <c r="G905" s="68"/>
      <c r="H905" s="33"/>
    </row>
    <row r="906" spans="2:8" x14ac:dyDescent="0.3">
      <c r="B906" s="69"/>
      <c r="C906" s="72"/>
      <c r="D906" s="32" t="str">
        <f>+E67</f>
        <v>(DIN:00895316)</v>
      </c>
      <c r="E906" s="75"/>
      <c r="F906" s="309"/>
      <c r="G906" s="68"/>
      <c r="H906" s="33"/>
    </row>
    <row r="907" spans="2:8" x14ac:dyDescent="0.3">
      <c r="B907" s="69"/>
      <c r="C907" s="72"/>
      <c r="D907" s="71"/>
      <c r="E907" s="75"/>
      <c r="F907" s="309"/>
      <c r="G907" s="68"/>
      <c r="H907" s="33"/>
    </row>
    <row r="908" spans="2:8" x14ac:dyDescent="0.3">
      <c r="B908" s="69"/>
      <c r="C908" s="72"/>
      <c r="D908" s="71"/>
      <c r="E908" s="75"/>
      <c r="F908" s="309"/>
      <c r="G908" s="68"/>
      <c r="H908" s="33"/>
    </row>
    <row r="909" spans="2:8" x14ac:dyDescent="0.3">
      <c r="B909" s="69"/>
      <c r="C909" s="72"/>
      <c r="D909" s="71"/>
      <c r="E909" s="75"/>
      <c r="F909" s="309"/>
      <c r="G909" s="68"/>
      <c r="H909" s="33"/>
    </row>
    <row r="910" spans="2:8" x14ac:dyDescent="0.3">
      <c r="B910" s="69"/>
      <c r="C910" s="72"/>
      <c r="D910" s="139" t="str">
        <f>+E71</f>
        <v>MAYANK LUNIYA - COMPANY SECRETARY</v>
      </c>
      <c r="E910" s="71"/>
      <c r="F910" s="318"/>
      <c r="G910" s="68"/>
      <c r="H910" s="33"/>
    </row>
    <row r="911" spans="2:8" x14ac:dyDescent="0.3">
      <c r="B911" s="69"/>
      <c r="C911" s="72"/>
      <c r="D911" s="32"/>
      <c r="E911" s="75"/>
      <c r="F911" s="309"/>
      <c r="G911" s="68"/>
      <c r="H911" s="33"/>
    </row>
    <row r="912" spans="2:8" x14ac:dyDescent="0.3">
      <c r="B912" s="69"/>
      <c r="C912" s="72"/>
      <c r="D912" s="32" t="str">
        <f>+E72</f>
        <v>Place: Nagpur</v>
      </c>
      <c r="E912" s="75"/>
      <c r="F912" s="309"/>
      <c r="G912" s="68"/>
      <c r="H912" s="33"/>
    </row>
    <row r="913" spans="2:8" x14ac:dyDescent="0.3">
      <c r="B913" s="196"/>
      <c r="C913" s="228"/>
      <c r="D913" s="77" t="str">
        <f>+B899</f>
        <v>Date: 25-06-2021</v>
      </c>
      <c r="E913" s="123"/>
      <c r="F913" s="324"/>
      <c r="G913" s="1349"/>
      <c r="H913" s="33"/>
    </row>
    <row r="914" spans="2:8" x14ac:dyDescent="0.3">
      <c r="B914" s="200"/>
      <c r="C914" s="226"/>
      <c r="D914" s="229"/>
      <c r="E914" s="226"/>
      <c r="F914" s="230"/>
      <c r="G914" s="230"/>
      <c r="H914" s="33"/>
    </row>
    <row r="915" spans="2:8" x14ac:dyDescent="0.3">
      <c r="H915" s="230"/>
    </row>
  </sheetData>
  <customSheetViews>
    <customSheetView guid="{334DC1DD-AD60-4D12-A532-9CEE6201A253}" scale="73" showPageBreaks="1" printArea="1" view="pageBreakPreview">
      <pane ySplit="1" topLeftCell="A101" activePane="bottomLeft" state="frozen"/>
      <selection pane="bottomLeft" activeCell="F8" sqref="F8"/>
      <rowBreaks count="1" manualBreakCount="1">
        <brk id="147" max="6" man="1"/>
      </rowBreaks>
      <pageMargins left="0.7" right="0.7" top="0.75" bottom="0.75" header="0.3" footer="0.3"/>
      <pageSetup scale="25" orientation="portrait" r:id="rId1"/>
    </customSheetView>
    <customSheetView guid="{BD5AA3B3-719E-4481-B722-8DE3E8101662}" scale="73" showPageBreaks="1" printArea="1" view="pageBreakPreview">
      <pane ySplit="1" topLeftCell="A2" activePane="bottomLeft" state="frozen"/>
      <selection pane="bottomLeft" activeCell="E37" sqref="E37"/>
      <rowBreaks count="1" manualBreakCount="1">
        <brk id="147" max="6" man="1"/>
      </rowBreaks>
      <pageMargins left="0.7" right="0.7" top="0.75" bottom="0.75" header="0.3" footer="0.3"/>
      <pageSetup scale="25" orientation="portrait" r:id="rId2"/>
    </customSheetView>
  </customSheetViews>
  <mergeCells count="99">
    <mergeCell ref="B859:G859"/>
    <mergeCell ref="B864:G864"/>
    <mergeCell ref="B865:G865"/>
    <mergeCell ref="B862:G862"/>
    <mergeCell ref="B774:G774"/>
    <mergeCell ref="B804:G804"/>
    <mergeCell ref="B845:E845"/>
    <mergeCell ref="B339:E339"/>
    <mergeCell ref="B873:G874"/>
    <mergeCell ref="B641:E641"/>
    <mergeCell ref="B682:G682"/>
    <mergeCell ref="B683:G683"/>
    <mergeCell ref="B685:G689"/>
    <mergeCell ref="B691:G694"/>
    <mergeCell ref="B805:G805"/>
    <mergeCell ref="B580:G580"/>
    <mergeCell ref="B394:E394"/>
    <mergeCell ref="B395:E395"/>
    <mergeCell ref="B417:G417"/>
    <mergeCell ref="B867:G870"/>
    <mergeCell ref="B853:E853"/>
    <mergeCell ref="B418:G418"/>
    <mergeCell ref="B458:G458"/>
    <mergeCell ref="B773:G773"/>
    <mergeCell ref="B393:E393"/>
    <mergeCell ref="B549:E549"/>
    <mergeCell ref="B579:G579"/>
    <mergeCell ref="B738:G738"/>
    <mergeCell ref="B739:G739"/>
    <mergeCell ref="B710:G710"/>
    <mergeCell ref="B711:G711"/>
    <mergeCell ref="B607:G607"/>
    <mergeCell ref="B609:G609"/>
    <mergeCell ref="B610:G610"/>
    <mergeCell ref="B611:G611"/>
    <mergeCell ref="B612:G612"/>
    <mergeCell ref="B635:G635"/>
    <mergeCell ref="B623:E623"/>
    <mergeCell ref="B600:E600"/>
    <mergeCell ref="B347:G347"/>
    <mergeCell ref="B348:G348"/>
    <mergeCell ref="B356:D356"/>
    <mergeCell ref="B376:E377"/>
    <mergeCell ref="B384:G386"/>
    <mergeCell ref="B388:E388"/>
    <mergeCell ref="B389:E389"/>
    <mergeCell ref="B390:E390"/>
    <mergeCell ref="B392:E392"/>
    <mergeCell ref="B529:E529"/>
    <mergeCell ref="B459:G459"/>
    <mergeCell ref="B493:G493"/>
    <mergeCell ref="B494:G494"/>
    <mergeCell ref="B319:E319"/>
    <mergeCell ref="B253:E255"/>
    <mergeCell ref="B269:C269"/>
    <mergeCell ref="B270:E270"/>
    <mergeCell ref="B285:G285"/>
    <mergeCell ref="B252:E252"/>
    <mergeCell ref="B286:G286"/>
    <mergeCell ref="B296:E297"/>
    <mergeCell ref="B310:E310"/>
    <mergeCell ref="B316:E317"/>
    <mergeCell ref="B2:G2"/>
    <mergeCell ref="B3:G3"/>
    <mergeCell ref="E4:E5"/>
    <mergeCell ref="B74:G74"/>
    <mergeCell ref="B75:G75"/>
    <mergeCell ref="E8:E9"/>
    <mergeCell ref="E76:E77"/>
    <mergeCell ref="B87:C87"/>
    <mergeCell ref="B91:C91"/>
    <mergeCell ref="B101:C101"/>
    <mergeCell ref="B102:C102"/>
    <mergeCell ref="B108:D108"/>
    <mergeCell ref="E128:G128"/>
    <mergeCell ref="B139:G139"/>
    <mergeCell ref="B140:G140"/>
    <mergeCell ref="E207:G207"/>
    <mergeCell ref="B613:G613"/>
    <mergeCell ref="B614:G614"/>
    <mergeCell ref="B615:G615"/>
    <mergeCell ref="B617:G617"/>
    <mergeCell ref="B110:C110"/>
    <mergeCell ref="B111:C111"/>
    <mergeCell ref="B602:G602"/>
    <mergeCell ref="B604:G604"/>
    <mergeCell ref="B321:E326"/>
    <mergeCell ref="B218:G218"/>
    <mergeCell ref="B219:G219"/>
    <mergeCell ref="B225:E225"/>
    <mergeCell ref="B226:E226"/>
    <mergeCell ref="B334:E334"/>
    <mergeCell ref="B338:E338"/>
    <mergeCell ref="B335:E335"/>
    <mergeCell ref="B634:G634"/>
    <mergeCell ref="B629:G629"/>
    <mergeCell ref="B630:G630"/>
    <mergeCell ref="B631:G631"/>
    <mergeCell ref="B632:G632"/>
  </mergeCells>
  <printOptions horizontalCentered="1"/>
  <pageMargins left="0.23622047244094491" right="0.23622047244094491" top="0.55118110236220474" bottom="0.35433070866141736" header="0.31496062992125984" footer="0.31496062992125984"/>
  <pageSetup paperSize="9" scale="51" fitToHeight="12" orientation="portrait" r:id="rId3"/>
  <rowBreaks count="12" manualBreakCount="12">
    <brk id="73" max="16383" man="1"/>
    <brk id="138" max="16383" man="1"/>
    <brk id="217" max="16383" man="1"/>
    <brk id="284" max="16383" man="1"/>
    <brk id="346" max="16383" man="1"/>
    <brk id="416" max="16383" man="1"/>
    <brk id="492" max="16383" man="1"/>
    <brk id="578" max="16383" man="1"/>
    <brk id="633" min="1" max="6" man="1"/>
    <brk id="709" max="16383" man="1"/>
    <brk id="803" min="1" max="6" man="1"/>
    <brk id="8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G863"/>
  <sheetViews>
    <sheetView topLeftCell="A563" zoomScale="68" zoomScaleNormal="68" workbookViewId="0">
      <selection activeCell="E245" sqref="E245"/>
    </sheetView>
  </sheetViews>
  <sheetFormatPr defaultColWidth="8.85546875" defaultRowHeight="15" x14ac:dyDescent="0.25"/>
  <cols>
    <col min="1" max="1" width="14.28515625" bestFit="1" customWidth="1"/>
    <col min="2" max="2" width="33.140625" bestFit="1" customWidth="1"/>
    <col min="3" max="3" width="58.85546875" bestFit="1" customWidth="1"/>
    <col min="4" max="4" width="19.28515625" bestFit="1" customWidth="1"/>
    <col min="5" max="5" width="19.140625" bestFit="1" customWidth="1"/>
    <col min="6" max="6" width="23.28515625" bestFit="1" customWidth="1"/>
    <col min="7" max="7" width="23.140625" bestFit="1" customWidth="1"/>
  </cols>
  <sheetData>
    <row r="3" spans="1:7" x14ac:dyDescent="0.25">
      <c r="D3" t="s">
        <v>1367</v>
      </c>
    </row>
    <row r="4" spans="1:7" x14ac:dyDescent="0.25">
      <c r="A4" t="s">
        <v>1329</v>
      </c>
      <c r="B4" t="s">
        <v>453</v>
      </c>
      <c r="C4" t="s">
        <v>454</v>
      </c>
      <c r="D4" t="s">
        <v>1331</v>
      </c>
      <c r="E4" t="s">
        <v>1332</v>
      </c>
      <c r="F4" t="s">
        <v>1383</v>
      </c>
      <c r="G4" t="s">
        <v>1384</v>
      </c>
    </row>
    <row r="5" spans="1:7" x14ac:dyDescent="0.25">
      <c r="A5" s="16">
        <v>2</v>
      </c>
      <c r="B5" s="16" t="s">
        <v>611</v>
      </c>
      <c r="C5" s="16" t="s">
        <v>612</v>
      </c>
      <c r="D5">
        <v>0</v>
      </c>
      <c r="E5">
        <v>26922650</v>
      </c>
      <c r="F5">
        <v>0</v>
      </c>
      <c r="G5">
        <v>26922650</v>
      </c>
    </row>
    <row r="6" spans="1:7" x14ac:dyDescent="0.25">
      <c r="C6" s="308" t="s">
        <v>126</v>
      </c>
      <c r="D6">
        <v>0</v>
      </c>
      <c r="E6">
        <v>26922650</v>
      </c>
      <c r="F6">
        <v>0</v>
      </c>
      <c r="G6">
        <v>26922650</v>
      </c>
    </row>
    <row r="7" spans="1:7" x14ac:dyDescent="0.25">
      <c r="B7" s="16" t="s">
        <v>1333</v>
      </c>
      <c r="D7">
        <v>0</v>
      </c>
      <c r="E7">
        <v>26922650</v>
      </c>
      <c r="F7">
        <v>0</v>
      </c>
      <c r="G7">
        <v>26922650</v>
      </c>
    </row>
    <row r="8" spans="1:7" x14ac:dyDescent="0.25">
      <c r="A8" s="16" t="s">
        <v>1390</v>
      </c>
      <c r="D8">
        <v>0</v>
      </c>
      <c r="E8">
        <v>26922650</v>
      </c>
      <c r="F8">
        <v>0</v>
      </c>
      <c r="G8">
        <v>26922650</v>
      </c>
    </row>
    <row r="9" spans="1:7" x14ac:dyDescent="0.25">
      <c r="A9" s="16">
        <v>3</v>
      </c>
      <c r="B9" s="16" t="s">
        <v>538</v>
      </c>
      <c r="C9" s="16" t="s">
        <v>539</v>
      </c>
      <c r="D9">
        <v>0</v>
      </c>
      <c r="E9">
        <v>71318993</v>
      </c>
      <c r="F9">
        <v>0</v>
      </c>
      <c r="G9">
        <v>71318993</v>
      </c>
    </row>
    <row r="10" spans="1:7" x14ac:dyDescent="0.25">
      <c r="C10" s="308" t="s">
        <v>45</v>
      </c>
      <c r="D10">
        <v>0</v>
      </c>
      <c r="E10">
        <v>20413989</v>
      </c>
      <c r="F10">
        <v>0</v>
      </c>
      <c r="G10">
        <v>20413989</v>
      </c>
    </row>
    <row r="11" spans="1:7" x14ac:dyDescent="0.25">
      <c r="C11" s="308" t="s">
        <v>322</v>
      </c>
      <c r="D11">
        <v>0</v>
      </c>
      <c r="E11">
        <v>50905004</v>
      </c>
      <c r="F11">
        <v>0</v>
      </c>
      <c r="G11">
        <v>50905004</v>
      </c>
    </row>
    <row r="12" spans="1:7" x14ac:dyDescent="0.25">
      <c r="C12" s="16" t="s">
        <v>628</v>
      </c>
      <c r="D12">
        <v>0</v>
      </c>
      <c r="E12">
        <v>1800000</v>
      </c>
      <c r="F12">
        <v>0</v>
      </c>
      <c r="G12">
        <v>1800000</v>
      </c>
    </row>
    <row r="13" spans="1:7" x14ac:dyDescent="0.25">
      <c r="C13" s="308" t="s">
        <v>147</v>
      </c>
      <c r="D13">
        <v>0</v>
      </c>
      <c r="E13">
        <v>1800000</v>
      </c>
      <c r="F13">
        <v>0</v>
      </c>
      <c r="G13">
        <v>1800000</v>
      </c>
    </row>
    <row r="14" spans="1:7" x14ac:dyDescent="0.25">
      <c r="C14" s="16" t="s">
        <v>809</v>
      </c>
      <c r="D14">
        <v>0</v>
      </c>
      <c r="E14">
        <v>8664946</v>
      </c>
      <c r="F14">
        <v>0</v>
      </c>
      <c r="G14">
        <v>8664946</v>
      </c>
    </row>
    <row r="15" spans="1:7" x14ac:dyDescent="0.25">
      <c r="C15" s="308" t="s">
        <v>346</v>
      </c>
      <c r="D15">
        <v>0</v>
      </c>
      <c r="E15">
        <v>8664946</v>
      </c>
      <c r="F15">
        <v>0</v>
      </c>
      <c r="G15">
        <v>8664946</v>
      </c>
    </row>
    <row r="16" spans="1:7" x14ac:dyDescent="0.25">
      <c r="C16" s="16" t="s">
        <v>751</v>
      </c>
      <c r="D16">
        <v>0</v>
      </c>
      <c r="E16">
        <v>124185196.38</v>
      </c>
      <c r="F16">
        <v>0</v>
      </c>
      <c r="G16">
        <v>112979368.51000001</v>
      </c>
    </row>
    <row r="17" spans="1:7" x14ac:dyDescent="0.25">
      <c r="C17" s="308" t="s">
        <v>750</v>
      </c>
      <c r="D17">
        <v>0</v>
      </c>
      <c r="E17">
        <v>124185196.38</v>
      </c>
      <c r="F17">
        <v>0</v>
      </c>
      <c r="G17">
        <v>112979368.51000001</v>
      </c>
    </row>
    <row r="18" spans="1:7" x14ac:dyDescent="0.25">
      <c r="B18" s="16" t="s">
        <v>1334</v>
      </c>
      <c r="D18">
        <v>0</v>
      </c>
      <c r="E18">
        <v>205969135.38</v>
      </c>
      <c r="F18">
        <v>0</v>
      </c>
      <c r="G18">
        <v>194763307.50999999</v>
      </c>
    </row>
    <row r="19" spans="1:7" x14ac:dyDescent="0.25">
      <c r="A19" s="16" t="s">
        <v>1391</v>
      </c>
      <c r="D19">
        <v>0</v>
      </c>
      <c r="E19">
        <v>205969135.38</v>
      </c>
      <c r="F19">
        <v>0</v>
      </c>
      <c r="G19">
        <v>194763307.50999999</v>
      </c>
    </row>
    <row r="20" spans="1:7" x14ac:dyDescent="0.25">
      <c r="A20" s="16">
        <v>4</v>
      </c>
      <c r="B20" s="16" t="s">
        <v>489</v>
      </c>
      <c r="C20" s="16" t="s">
        <v>789</v>
      </c>
      <c r="D20">
        <v>0</v>
      </c>
      <c r="E20">
        <v>21592191</v>
      </c>
      <c r="F20">
        <v>0</v>
      </c>
      <c r="G20">
        <v>13701009</v>
      </c>
    </row>
    <row r="21" spans="1:7" x14ac:dyDescent="0.25">
      <c r="C21" s="308" t="s">
        <v>340</v>
      </c>
      <c r="D21">
        <v>0</v>
      </c>
      <c r="E21">
        <v>14600000</v>
      </c>
      <c r="F21">
        <v>0</v>
      </c>
      <c r="G21">
        <v>0</v>
      </c>
    </row>
    <row r="22" spans="1:7" x14ac:dyDescent="0.25">
      <c r="C22" s="308" t="s">
        <v>342</v>
      </c>
      <c r="D22">
        <v>0</v>
      </c>
      <c r="E22">
        <v>3874175</v>
      </c>
      <c r="F22">
        <v>0</v>
      </c>
      <c r="G22">
        <v>7150762</v>
      </c>
    </row>
    <row r="23" spans="1:7" x14ac:dyDescent="0.25">
      <c r="C23" s="308" t="s">
        <v>790</v>
      </c>
      <c r="D23">
        <v>0</v>
      </c>
      <c r="E23">
        <v>0</v>
      </c>
      <c r="F23">
        <v>0</v>
      </c>
      <c r="G23">
        <v>695244</v>
      </c>
    </row>
    <row r="24" spans="1:7" x14ac:dyDescent="0.25">
      <c r="C24" s="308" t="s">
        <v>343</v>
      </c>
      <c r="D24">
        <v>0</v>
      </c>
      <c r="E24">
        <v>3118016</v>
      </c>
      <c r="F24">
        <v>0</v>
      </c>
      <c r="G24">
        <v>5601686</v>
      </c>
    </row>
    <row r="25" spans="1:7" x14ac:dyDescent="0.25">
      <c r="C25" s="308" t="s">
        <v>791</v>
      </c>
      <c r="D25">
        <v>0</v>
      </c>
      <c r="E25">
        <v>0</v>
      </c>
      <c r="F25">
        <v>0</v>
      </c>
      <c r="G25">
        <v>253317</v>
      </c>
    </row>
    <row r="26" spans="1:7" x14ac:dyDescent="0.25">
      <c r="C26" s="16" t="s">
        <v>836</v>
      </c>
      <c r="D26">
        <v>0</v>
      </c>
      <c r="E26">
        <v>0</v>
      </c>
      <c r="F26">
        <v>0</v>
      </c>
      <c r="G26">
        <v>130397</v>
      </c>
    </row>
    <row r="27" spans="1:7" x14ac:dyDescent="0.25">
      <c r="C27" s="308" t="s">
        <v>835</v>
      </c>
      <c r="D27">
        <v>0</v>
      </c>
      <c r="E27">
        <v>0</v>
      </c>
      <c r="F27">
        <v>0</v>
      </c>
      <c r="G27">
        <v>0</v>
      </c>
    </row>
    <row r="28" spans="1:7" x14ac:dyDescent="0.25">
      <c r="C28" s="308" t="s">
        <v>837</v>
      </c>
      <c r="D28">
        <v>0</v>
      </c>
      <c r="E28">
        <v>0</v>
      </c>
      <c r="F28">
        <v>0</v>
      </c>
      <c r="G28">
        <v>32212</v>
      </c>
    </row>
    <row r="29" spans="1:7" x14ac:dyDescent="0.25">
      <c r="C29" s="308" t="s">
        <v>838</v>
      </c>
      <c r="D29">
        <v>0</v>
      </c>
      <c r="E29">
        <v>0</v>
      </c>
      <c r="F29">
        <v>0</v>
      </c>
      <c r="G29">
        <v>98185</v>
      </c>
    </row>
    <row r="30" spans="1:7" x14ac:dyDescent="0.25">
      <c r="C30" s="16" t="s">
        <v>490</v>
      </c>
      <c r="D30">
        <v>0</v>
      </c>
      <c r="E30">
        <v>20149849</v>
      </c>
      <c r="F30">
        <v>0</v>
      </c>
      <c r="G30">
        <v>19290503</v>
      </c>
    </row>
    <row r="31" spans="1:7" x14ac:dyDescent="0.25">
      <c r="C31" s="308" t="s">
        <v>488</v>
      </c>
      <c r="D31">
        <v>0</v>
      </c>
      <c r="E31">
        <v>2353055</v>
      </c>
      <c r="F31">
        <v>0</v>
      </c>
      <c r="G31">
        <v>2186694</v>
      </c>
    </row>
    <row r="32" spans="1:7" x14ac:dyDescent="0.25">
      <c r="C32" s="308" t="s">
        <v>26</v>
      </c>
      <c r="D32">
        <v>0</v>
      </c>
      <c r="E32">
        <v>941222</v>
      </c>
      <c r="F32">
        <v>0</v>
      </c>
      <c r="G32">
        <v>874676</v>
      </c>
    </row>
    <row r="33" spans="1:7" x14ac:dyDescent="0.25">
      <c r="C33" s="308" t="s">
        <v>32</v>
      </c>
      <c r="D33">
        <v>0</v>
      </c>
      <c r="E33">
        <v>1176528</v>
      </c>
      <c r="F33">
        <v>0</v>
      </c>
      <c r="G33">
        <v>1093348</v>
      </c>
    </row>
    <row r="34" spans="1:7" x14ac:dyDescent="0.25">
      <c r="C34" s="308" t="s">
        <v>154</v>
      </c>
      <c r="D34">
        <v>0</v>
      </c>
      <c r="E34">
        <v>1176528</v>
      </c>
      <c r="F34">
        <v>0</v>
      </c>
      <c r="G34">
        <v>1093348</v>
      </c>
    </row>
    <row r="35" spans="1:7" x14ac:dyDescent="0.25">
      <c r="C35" s="308" t="s">
        <v>204</v>
      </c>
      <c r="D35">
        <v>0</v>
      </c>
      <c r="E35">
        <v>6384474</v>
      </c>
      <c r="F35">
        <v>0</v>
      </c>
      <c r="G35">
        <v>6498343</v>
      </c>
    </row>
    <row r="36" spans="1:7" x14ac:dyDescent="0.25">
      <c r="C36" s="308" t="s">
        <v>210</v>
      </c>
      <c r="D36">
        <v>0</v>
      </c>
      <c r="E36">
        <v>3529583</v>
      </c>
      <c r="F36">
        <v>0</v>
      </c>
      <c r="G36">
        <v>3280041</v>
      </c>
    </row>
    <row r="37" spans="1:7" x14ac:dyDescent="0.25">
      <c r="C37" s="308" t="s">
        <v>337</v>
      </c>
      <c r="D37">
        <v>0</v>
      </c>
      <c r="E37">
        <v>941222</v>
      </c>
      <c r="F37">
        <v>0</v>
      </c>
      <c r="G37">
        <v>874676</v>
      </c>
    </row>
    <row r="38" spans="1:7" x14ac:dyDescent="0.25">
      <c r="C38" s="308" t="s">
        <v>807</v>
      </c>
      <c r="D38">
        <v>0</v>
      </c>
      <c r="E38">
        <v>1764791</v>
      </c>
      <c r="F38">
        <v>0</v>
      </c>
      <c r="G38">
        <v>1640020</v>
      </c>
    </row>
    <row r="39" spans="1:7" x14ac:dyDescent="0.25">
      <c r="C39" s="308" t="s">
        <v>384</v>
      </c>
      <c r="D39">
        <v>0</v>
      </c>
      <c r="E39">
        <v>1882446</v>
      </c>
      <c r="F39">
        <v>0</v>
      </c>
      <c r="G39">
        <v>1749357</v>
      </c>
    </row>
    <row r="40" spans="1:7" x14ac:dyDescent="0.25">
      <c r="B40" s="16" t="s">
        <v>1335</v>
      </c>
      <c r="D40">
        <v>0</v>
      </c>
      <c r="E40">
        <v>41742040</v>
      </c>
      <c r="F40">
        <v>0</v>
      </c>
      <c r="G40">
        <v>33121909</v>
      </c>
    </row>
    <row r="41" spans="1:7" x14ac:dyDescent="0.25">
      <c r="A41" s="16" t="s">
        <v>1392</v>
      </c>
      <c r="D41">
        <v>0</v>
      </c>
      <c r="E41">
        <v>41742040</v>
      </c>
      <c r="F41">
        <v>0</v>
      </c>
      <c r="G41">
        <v>33121909</v>
      </c>
    </row>
    <row r="42" spans="1:7" x14ac:dyDescent="0.25">
      <c r="A42" s="16">
        <v>5</v>
      </c>
      <c r="B42" s="16" t="s">
        <v>579</v>
      </c>
      <c r="C42" s="16" t="s">
        <v>580</v>
      </c>
      <c r="D42">
        <v>0</v>
      </c>
      <c r="E42">
        <v>20264926</v>
      </c>
      <c r="F42">
        <v>0</v>
      </c>
      <c r="G42">
        <v>20113961</v>
      </c>
    </row>
    <row r="43" spans="1:7" x14ac:dyDescent="0.25">
      <c r="C43" s="308" t="s">
        <v>99</v>
      </c>
      <c r="D43">
        <v>0</v>
      </c>
      <c r="E43">
        <v>20264926</v>
      </c>
      <c r="F43">
        <v>0</v>
      </c>
      <c r="G43">
        <v>20113961</v>
      </c>
    </row>
    <row r="44" spans="1:7" x14ac:dyDescent="0.25">
      <c r="B44" s="16" t="s">
        <v>1336</v>
      </c>
      <c r="D44">
        <v>0</v>
      </c>
      <c r="E44">
        <v>20264926</v>
      </c>
      <c r="F44">
        <v>0</v>
      </c>
      <c r="G44">
        <v>20113961</v>
      </c>
    </row>
    <row r="45" spans="1:7" x14ac:dyDescent="0.25">
      <c r="A45" s="16" t="s">
        <v>1393</v>
      </c>
      <c r="D45">
        <v>0</v>
      </c>
      <c r="E45">
        <v>20264926</v>
      </c>
      <c r="F45">
        <v>0</v>
      </c>
      <c r="G45">
        <v>20113961</v>
      </c>
    </row>
    <row r="46" spans="1:7" x14ac:dyDescent="0.25">
      <c r="A46" s="16">
        <v>6</v>
      </c>
      <c r="B46" s="16" t="s">
        <v>828</v>
      </c>
      <c r="C46" s="16" t="s">
        <v>829</v>
      </c>
      <c r="D46">
        <v>0</v>
      </c>
      <c r="E46">
        <v>43576042.979999997</v>
      </c>
      <c r="F46">
        <v>0</v>
      </c>
      <c r="G46">
        <v>61843530.590000004</v>
      </c>
    </row>
    <row r="47" spans="1:7" x14ac:dyDescent="0.25">
      <c r="C47" s="308" t="s">
        <v>827</v>
      </c>
      <c r="D47">
        <v>0</v>
      </c>
      <c r="E47">
        <v>43576042.979999997</v>
      </c>
      <c r="F47">
        <v>0</v>
      </c>
      <c r="G47">
        <v>61843530.590000004</v>
      </c>
    </row>
    <row r="48" spans="1:7" x14ac:dyDescent="0.25">
      <c r="B48" s="16" t="s">
        <v>1337</v>
      </c>
      <c r="D48">
        <v>0</v>
      </c>
      <c r="E48">
        <v>43576042.979999997</v>
      </c>
      <c r="F48">
        <v>0</v>
      </c>
      <c r="G48">
        <v>61843530.590000004</v>
      </c>
    </row>
    <row r="49" spans="1:7" x14ac:dyDescent="0.25">
      <c r="A49" s="16" t="s">
        <v>1394</v>
      </c>
      <c r="D49">
        <v>0</v>
      </c>
      <c r="E49">
        <v>43576042.979999997</v>
      </c>
      <c r="F49">
        <v>0</v>
      </c>
      <c r="G49">
        <v>61843530.590000004</v>
      </c>
    </row>
    <row r="50" spans="1:7" x14ac:dyDescent="0.25">
      <c r="A50" s="16">
        <v>7</v>
      </c>
      <c r="B50" s="16" t="s">
        <v>460</v>
      </c>
      <c r="C50" s="16" t="s">
        <v>460</v>
      </c>
      <c r="D50">
        <v>6461</v>
      </c>
      <c r="E50">
        <v>71020233.599999994</v>
      </c>
      <c r="F50">
        <v>0</v>
      </c>
      <c r="G50">
        <v>50171484.799999997</v>
      </c>
    </row>
    <row r="51" spans="1:7" x14ac:dyDescent="0.25">
      <c r="C51" s="308" t="s">
        <v>477</v>
      </c>
      <c r="D51">
        <v>0</v>
      </c>
      <c r="E51">
        <v>0</v>
      </c>
      <c r="F51">
        <v>0</v>
      </c>
      <c r="G51">
        <v>54318</v>
      </c>
    </row>
    <row r="52" spans="1:7" x14ac:dyDescent="0.25">
      <c r="C52" s="308" t="s">
        <v>481</v>
      </c>
      <c r="D52">
        <v>0</v>
      </c>
      <c r="E52">
        <v>68388</v>
      </c>
      <c r="F52">
        <v>0</v>
      </c>
      <c r="G52">
        <v>136776</v>
      </c>
    </row>
    <row r="53" spans="1:7" x14ac:dyDescent="0.25">
      <c r="C53" s="308" t="s">
        <v>23</v>
      </c>
      <c r="D53">
        <v>6461</v>
      </c>
      <c r="E53">
        <v>0</v>
      </c>
      <c r="F53">
        <v>0</v>
      </c>
      <c r="G53">
        <v>222332</v>
      </c>
    </row>
    <row r="54" spans="1:7" x14ac:dyDescent="0.25">
      <c r="C54" s="308" t="s">
        <v>492</v>
      </c>
      <c r="D54">
        <v>0</v>
      </c>
      <c r="E54">
        <v>0</v>
      </c>
      <c r="F54">
        <v>0</v>
      </c>
      <c r="G54">
        <v>30012</v>
      </c>
    </row>
    <row r="55" spans="1:7" x14ac:dyDescent="0.25">
      <c r="C55" s="308" t="s">
        <v>502</v>
      </c>
      <c r="D55">
        <v>0</v>
      </c>
      <c r="E55">
        <v>0</v>
      </c>
      <c r="F55">
        <v>0</v>
      </c>
      <c r="G55">
        <v>0</v>
      </c>
    </row>
    <row r="56" spans="1:7" x14ac:dyDescent="0.25">
      <c r="C56" s="308" t="s">
        <v>505</v>
      </c>
      <c r="D56">
        <v>0</v>
      </c>
      <c r="E56">
        <v>0</v>
      </c>
      <c r="F56">
        <v>0</v>
      </c>
      <c r="G56">
        <v>0</v>
      </c>
    </row>
    <row r="57" spans="1:7" x14ac:dyDescent="0.25">
      <c r="C57" s="308" t="s">
        <v>31</v>
      </c>
      <c r="D57">
        <v>0</v>
      </c>
      <c r="E57">
        <v>61249</v>
      </c>
      <c r="F57">
        <v>0</v>
      </c>
      <c r="G57">
        <v>72103</v>
      </c>
    </row>
    <row r="58" spans="1:7" x14ac:dyDescent="0.25">
      <c r="C58" s="308" t="s">
        <v>38</v>
      </c>
      <c r="D58">
        <v>0</v>
      </c>
      <c r="E58">
        <v>262245</v>
      </c>
      <c r="F58">
        <v>0</v>
      </c>
      <c r="G58">
        <v>0</v>
      </c>
    </row>
    <row r="59" spans="1:7" x14ac:dyDescent="0.25">
      <c r="C59" s="308" t="s">
        <v>39</v>
      </c>
      <c r="D59">
        <v>0</v>
      </c>
      <c r="E59">
        <v>209878</v>
      </c>
      <c r="F59">
        <v>0</v>
      </c>
      <c r="G59">
        <v>53563</v>
      </c>
    </row>
    <row r="60" spans="1:7" x14ac:dyDescent="0.25">
      <c r="C60" s="308" t="s">
        <v>523</v>
      </c>
      <c r="D60">
        <v>0</v>
      </c>
      <c r="E60">
        <v>0</v>
      </c>
      <c r="F60">
        <v>0</v>
      </c>
      <c r="G60">
        <v>0</v>
      </c>
    </row>
    <row r="61" spans="1:7" x14ac:dyDescent="0.25">
      <c r="C61" s="308" t="s">
        <v>868</v>
      </c>
      <c r="D61">
        <v>0</v>
      </c>
      <c r="E61">
        <v>0</v>
      </c>
      <c r="F61">
        <v>0</v>
      </c>
      <c r="G61">
        <v>0</v>
      </c>
    </row>
    <row r="62" spans="1:7" x14ac:dyDescent="0.25">
      <c r="C62" s="308" t="s">
        <v>44</v>
      </c>
      <c r="D62">
        <v>0</v>
      </c>
      <c r="E62">
        <v>0</v>
      </c>
      <c r="F62">
        <v>0</v>
      </c>
      <c r="G62">
        <v>0</v>
      </c>
    </row>
    <row r="63" spans="1:7" x14ac:dyDescent="0.25">
      <c r="C63" s="308" t="s">
        <v>51</v>
      </c>
      <c r="D63">
        <v>0</v>
      </c>
      <c r="E63">
        <v>0</v>
      </c>
      <c r="F63">
        <v>0</v>
      </c>
      <c r="G63">
        <v>0</v>
      </c>
    </row>
    <row r="64" spans="1:7" x14ac:dyDescent="0.25">
      <c r="C64" s="308" t="s">
        <v>556</v>
      </c>
      <c r="D64">
        <v>0</v>
      </c>
      <c r="E64">
        <v>0</v>
      </c>
      <c r="F64">
        <v>0</v>
      </c>
      <c r="G64">
        <v>173652</v>
      </c>
    </row>
    <row r="65" spans="3:7" x14ac:dyDescent="0.25">
      <c r="C65" s="308" t="s">
        <v>75</v>
      </c>
      <c r="D65">
        <v>0</v>
      </c>
      <c r="E65">
        <v>638291</v>
      </c>
      <c r="F65">
        <v>0</v>
      </c>
      <c r="G65">
        <v>0</v>
      </c>
    </row>
    <row r="66" spans="3:7" x14ac:dyDescent="0.25">
      <c r="C66" s="308" t="s">
        <v>560</v>
      </c>
      <c r="D66">
        <v>0</v>
      </c>
      <c r="E66">
        <v>0</v>
      </c>
      <c r="F66">
        <v>0</v>
      </c>
      <c r="G66">
        <v>0</v>
      </c>
    </row>
    <row r="67" spans="3:7" x14ac:dyDescent="0.25">
      <c r="C67" s="308" t="s">
        <v>98</v>
      </c>
      <c r="D67">
        <v>0</v>
      </c>
      <c r="E67">
        <v>2151570</v>
      </c>
      <c r="F67">
        <v>0</v>
      </c>
      <c r="G67">
        <v>2430503</v>
      </c>
    </row>
    <row r="68" spans="3:7" x14ac:dyDescent="0.25">
      <c r="C68" s="308" t="s">
        <v>598</v>
      </c>
      <c r="D68">
        <v>0</v>
      </c>
      <c r="E68">
        <v>24300</v>
      </c>
      <c r="F68">
        <v>0</v>
      </c>
      <c r="G68">
        <v>29160</v>
      </c>
    </row>
    <row r="69" spans="3:7" x14ac:dyDescent="0.25">
      <c r="C69" s="308" t="s">
        <v>116</v>
      </c>
      <c r="D69">
        <v>0</v>
      </c>
      <c r="E69">
        <v>334448</v>
      </c>
      <c r="F69">
        <v>0</v>
      </c>
      <c r="G69">
        <v>0</v>
      </c>
    </row>
    <row r="70" spans="3:7" x14ac:dyDescent="0.25">
      <c r="C70" s="308" t="s">
        <v>608</v>
      </c>
      <c r="D70">
        <v>0</v>
      </c>
      <c r="E70">
        <v>0</v>
      </c>
      <c r="F70">
        <v>0</v>
      </c>
      <c r="G70">
        <v>56640</v>
      </c>
    </row>
    <row r="71" spans="3:7" x14ac:dyDescent="0.25">
      <c r="C71" s="308" t="s">
        <v>124</v>
      </c>
      <c r="D71">
        <v>0</v>
      </c>
      <c r="E71">
        <v>4423234</v>
      </c>
      <c r="F71">
        <v>0</v>
      </c>
      <c r="G71">
        <v>5099431</v>
      </c>
    </row>
    <row r="72" spans="3:7" x14ac:dyDescent="0.25">
      <c r="C72" s="308" t="s">
        <v>609</v>
      </c>
      <c r="D72">
        <v>0</v>
      </c>
      <c r="E72">
        <v>0</v>
      </c>
      <c r="F72">
        <v>0</v>
      </c>
      <c r="G72">
        <v>0</v>
      </c>
    </row>
    <row r="73" spans="3:7" x14ac:dyDescent="0.25">
      <c r="C73" s="308" t="s">
        <v>621</v>
      </c>
      <c r="D73">
        <v>0</v>
      </c>
      <c r="E73">
        <v>0</v>
      </c>
      <c r="F73">
        <v>0</v>
      </c>
      <c r="G73">
        <v>0</v>
      </c>
    </row>
    <row r="74" spans="3:7" x14ac:dyDescent="0.25">
      <c r="C74" s="308" t="s">
        <v>622</v>
      </c>
      <c r="D74">
        <v>0</v>
      </c>
      <c r="E74">
        <v>0</v>
      </c>
      <c r="F74">
        <v>0</v>
      </c>
      <c r="G74">
        <v>0</v>
      </c>
    </row>
    <row r="75" spans="3:7" x14ac:dyDescent="0.25">
      <c r="C75" s="308" t="s">
        <v>146</v>
      </c>
      <c r="D75">
        <v>0</v>
      </c>
      <c r="E75">
        <v>57671</v>
      </c>
      <c r="F75">
        <v>0</v>
      </c>
      <c r="G75">
        <v>136007</v>
      </c>
    </row>
    <row r="76" spans="3:7" x14ac:dyDescent="0.25">
      <c r="C76" s="308" t="s">
        <v>627</v>
      </c>
      <c r="D76">
        <v>0</v>
      </c>
      <c r="E76">
        <v>0</v>
      </c>
      <c r="F76">
        <v>0</v>
      </c>
      <c r="G76">
        <v>0</v>
      </c>
    </row>
    <row r="77" spans="3:7" x14ac:dyDescent="0.25">
      <c r="C77" s="308" t="s">
        <v>629</v>
      </c>
      <c r="D77">
        <v>0</v>
      </c>
      <c r="E77">
        <v>0</v>
      </c>
      <c r="F77">
        <v>0</v>
      </c>
      <c r="G77">
        <v>0</v>
      </c>
    </row>
    <row r="78" spans="3:7" x14ac:dyDescent="0.25">
      <c r="C78" s="308" t="s">
        <v>637</v>
      </c>
      <c r="D78">
        <v>0</v>
      </c>
      <c r="E78">
        <v>0</v>
      </c>
      <c r="F78">
        <v>0</v>
      </c>
      <c r="G78">
        <v>2016000</v>
      </c>
    </row>
    <row r="79" spans="3:7" x14ac:dyDescent="0.25">
      <c r="C79" s="308" t="s">
        <v>156</v>
      </c>
      <c r="D79">
        <v>0</v>
      </c>
      <c r="E79">
        <v>67381.600000000006</v>
      </c>
      <c r="F79">
        <v>0</v>
      </c>
      <c r="G79">
        <v>67845.8</v>
      </c>
    </row>
    <row r="80" spans="3:7" x14ac:dyDescent="0.25">
      <c r="C80" s="308" t="s">
        <v>645</v>
      </c>
      <c r="D80">
        <v>0</v>
      </c>
      <c r="E80">
        <v>0</v>
      </c>
      <c r="F80">
        <v>0</v>
      </c>
      <c r="G80">
        <v>1762042</v>
      </c>
    </row>
    <row r="81" spans="3:7" x14ac:dyDescent="0.25">
      <c r="C81" s="308" t="s">
        <v>647</v>
      </c>
      <c r="D81">
        <v>0</v>
      </c>
      <c r="E81">
        <v>0</v>
      </c>
      <c r="F81">
        <v>0</v>
      </c>
      <c r="G81">
        <v>0</v>
      </c>
    </row>
    <row r="82" spans="3:7" x14ac:dyDescent="0.25">
      <c r="C82" s="308" t="s">
        <v>172</v>
      </c>
      <c r="D82">
        <v>0</v>
      </c>
      <c r="E82">
        <v>11630</v>
      </c>
      <c r="F82">
        <v>0</v>
      </c>
      <c r="G82">
        <v>102556</v>
      </c>
    </row>
    <row r="83" spans="3:7" x14ac:dyDescent="0.25">
      <c r="C83" s="308" t="s">
        <v>672</v>
      </c>
      <c r="D83">
        <v>0</v>
      </c>
      <c r="E83">
        <v>0</v>
      </c>
      <c r="F83">
        <v>0</v>
      </c>
      <c r="G83">
        <v>0</v>
      </c>
    </row>
    <row r="84" spans="3:7" x14ac:dyDescent="0.25">
      <c r="C84" s="308" t="s">
        <v>673</v>
      </c>
      <c r="D84">
        <v>0</v>
      </c>
      <c r="E84">
        <v>537677</v>
      </c>
      <c r="F84">
        <v>0</v>
      </c>
      <c r="G84">
        <v>366473</v>
      </c>
    </row>
    <row r="85" spans="3:7" x14ac:dyDescent="0.25">
      <c r="C85" s="308" t="s">
        <v>201</v>
      </c>
      <c r="D85">
        <v>0</v>
      </c>
      <c r="E85">
        <v>71036</v>
      </c>
      <c r="F85">
        <v>0</v>
      </c>
      <c r="G85">
        <v>0</v>
      </c>
    </row>
    <row r="86" spans="3:7" x14ac:dyDescent="0.25">
      <c r="C86" s="308" t="s">
        <v>676</v>
      </c>
      <c r="D86">
        <v>0</v>
      </c>
      <c r="E86">
        <v>0</v>
      </c>
      <c r="F86">
        <v>0</v>
      </c>
      <c r="G86">
        <v>54442</v>
      </c>
    </row>
    <row r="87" spans="3:7" x14ac:dyDescent="0.25">
      <c r="C87" s="308" t="s">
        <v>681</v>
      </c>
      <c r="D87">
        <v>0</v>
      </c>
      <c r="E87">
        <v>0</v>
      </c>
      <c r="F87">
        <v>0</v>
      </c>
      <c r="G87">
        <v>6710</v>
      </c>
    </row>
    <row r="88" spans="3:7" x14ac:dyDescent="0.25">
      <c r="C88" s="308" t="s">
        <v>211</v>
      </c>
      <c r="D88">
        <v>0</v>
      </c>
      <c r="E88">
        <v>12238807.5</v>
      </c>
      <c r="F88">
        <v>0</v>
      </c>
      <c r="G88">
        <v>6148401</v>
      </c>
    </row>
    <row r="89" spans="3:7" x14ac:dyDescent="0.25">
      <c r="C89" s="308" t="s">
        <v>687</v>
      </c>
      <c r="D89">
        <v>0</v>
      </c>
      <c r="E89">
        <v>0</v>
      </c>
      <c r="F89">
        <v>0</v>
      </c>
      <c r="G89">
        <v>0</v>
      </c>
    </row>
    <row r="90" spans="3:7" x14ac:dyDescent="0.25">
      <c r="C90" s="308" t="s">
        <v>217</v>
      </c>
      <c r="D90">
        <v>0</v>
      </c>
      <c r="E90">
        <v>5721513</v>
      </c>
      <c r="F90">
        <v>0</v>
      </c>
      <c r="G90">
        <v>2096163</v>
      </c>
    </row>
    <row r="91" spans="3:7" x14ac:dyDescent="0.25">
      <c r="C91" s="308" t="s">
        <v>219</v>
      </c>
      <c r="D91">
        <v>0</v>
      </c>
      <c r="E91">
        <v>0</v>
      </c>
      <c r="F91">
        <v>0</v>
      </c>
      <c r="G91">
        <v>635040</v>
      </c>
    </row>
    <row r="92" spans="3:7" x14ac:dyDescent="0.25">
      <c r="C92" s="308" t="s">
        <v>223</v>
      </c>
      <c r="D92">
        <v>0</v>
      </c>
      <c r="E92">
        <v>11871807.5</v>
      </c>
      <c r="F92">
        <v>0</v>
      </c>
      <c r="G92">
        <v>9718147</v>
      </c>
    </row>
    <row r="93" spans="3:7" x14ac:dyDescent="0.25">
      <c r="C93" s="308" t="s">
        <v>695</v>
      </c>
      <c r="D93">
        <v>0</v>
      </c>
      <c r="E93">
        <v>0</v>
      </c>
      <c r="F93">
        <v>0</v>
      </c>
      <c r="G93">
        <v>55663</v>
      </c>
    </row>
    <row r="94" spans="3:7" x14ac:dyDescent="0.25">
      <c r="C94" s="308" t="s">
        <v>231</v>
      </c>
      <c r="D94">
        <v>0</v>
      </c>
      <c r="E94">
        <v>2568965</v>
      </c>
      <c r="F94">
        <v>0</v>
      </c>
      <c r="G94">
        <v>0</v>
      </c>
    </row>
    <row r="95" spans="3:7" x14ac:dyDescent="0.25">
      <c r="C95" s="308" t="s">
        <v>702</v>
      </c>
      <c r="D95">
        <v>0</v>
      </c>
      <c r="E95">
        <v>0</v>
      </c>
      <c r="F95">
        <v>0</v>
      </c>
      <c r="G95">
        <v>30472</v>
      </c>
    </row>
    <row r="96" spans="3:7" x14ac:dyDescent="0.25">
      <c r="C96" s="308" t="s">
        <v>240</v>
      </c>
      <c r="D96">
        <v>0</v>
      </c>
      <c r="E96">
        <v>0</v>
      </c>
      <c r="F96">
        <v>0</v>
      </c>
      <c r="G96">
        <v>0</v>
      </c>
    </row>
    <row r="97" spans="3:7" x14ac:dyDescent="0.25">
      <c r="C97" s="308" t="s">
        <v>712</v>
      </c>
      <c r="D97">
        <v>0</v>
      </c>
      <c r="E97">
        <v>0</v>
      </c>
      <c r="F97">
        <v>0</v>
      </c>
      <c r="G97">
        <v>0</v>
      </c>
    </row>
    <row r="98" spans="3:7" x14ac:dyDescent="0.25">
      <c r="C98" s="308" t="s">
        <v>248</v>
      </c>
      <c r="D98">
        <v>0</v>
      </c>
      <c r="E98">
        <v>379282</v>
      </c>
      <c r="F98">
        <v>0</v>
      </c>
      <c r="G98">
        <v>0</v>
      </c>
    </row>
    <row r="99" spans="3:7" x14ac:dyDescent="0.25">
      <c r="C99" s="308" t="s">
        <v>270</v>
      </c>
      <c r="D99">
        <v>0</v>
      </c>
      <c r="E99">
        <v>700</v>
      </c>
      <c r="F99">
        <v>0</v>
      </c>
      <c r="G99">
        <v>3172</v>
      </c>
    </row>
    <row r="100" spans="3:7" x14ac:dyDescent="0.25">
      <c r="C100" s="308" t="s">
        <v>743</v>
      </c>
      <c r="D100">
        <v>0</v>
      </c>
      <c r="E100">
        <v>0</v>
      </c>
      <c r="F100">
        <v>0</v>
      </c>
      <c r="G100">
        <v>0</v>
      </c>
    </row>
    <row r="101" spans="3:7" x14ac:dyDescent="0.25">
      <c r="C101" s="308" t="s">
        <v>281</v>
      </c>
      <c r="D101">
        <v>0</v>
      </c>
      <c r="E101">
        <v>1343333</v>
      </c>
      <c r="F101">
        <v>0</v>
      </c>
      <c r="G101">
        <v>0</v>
      </c>
    </row>
    <row r="102" spans="3:7" x14ac:dyDescent="0.25">
      <c r="C102" s="308" t="s">
        <v>746</v>
      </c>
      <c r="D102">
        <v>0</v>
      </c>
      <c r="E102">
        <v>0</v>
      </c>
      <c r="F102">
        <v>0</v>
      </c>
      <c r="G102">
        <v>36128</v>
      </c>
    </row>
    <row r="103" spans="3:7" x14ac:dyDescent="0.25">
      <c r="C103" s="308" t="s">
        <v>302</v>
      </c>
      <c r="D103">
        <v>0</v>
      </c>
      <c r="E103">
        <v>12385</v>
      </c>
      <c r="F103">
        <v>0</v>
      </c>
      <c r="G103">
        <v>0</v>
      </c>
    </row>
    <row r="104" spans="3:7" x14ac:dyDescent="0.25">
      <c r="C104" s="308" t="s">
        <v>764</v>
      </c>
      <c r="D104">
        <v>0</v>
      </c>
      <c r="E104">
        <v>9346</v>
      </c>
      <c r="F104">
        <v>0</v>
      </c>
      <c r="G104">
        <v>26432</v>
      </c>
    </row>
    <row r="105" spans="3:7" x14ac:dyDescent="0.25">
      <c r="C105" s="308" t="s">
        <v>308</v>
      </c>
      <c r="D105">
        <v>0</v>
      </c>
      <c r="E105">
        <v>13051000</v>
      </c>
      <c r="F105">
        <v>0</v>
      </c>
      <c r="G105">
        <v>8142548</v>
      </c>
    </row>
    <row r="106" spans="3:7" x14ac:dyDescent="0.25">
      <c r="C106" s="308" t="s">
        <v>775</v>
      </c>
      <c r="D106">
        <v>0</v>
      </c>
      <c r="E106">
        <v>2563</v>
      </c>
      <c r="F106">
        <v>0</v>
      </c>
      <c r="G106">
        <v>1495</v>
      </c>
    </row>
    <row r="107" spans="3:7" x14ac:dyDescent="0.25">
      <c r="C107" s="308" t="s">
        <v>776</v>
      </c>
      <c r="D107">
        <v>0</v>
      </c>
      <c r="E107">
        <v>0</v>
      </c>
      <c r="F107">
        <v>0</v>
      </c>
      <c r="G107">
        <v>0</v>
      </c>
    </row>
    <row r="108" spans="3:7" x14ac:dyDescent="0.25">
      <c r="C108" s="308" t="s">
        <v>778</v>
      </c>
      <c r="D108">
        <v>0</v>
      </c>
      <c r="E108">
        <v>0</v>
      </c>
      <c r="F108">
        <v>0</v>
      </c>
      <c r="G108">
        <v>0</v>
      </c>
    </row>
    <row r="109" spans="3:7" x14ac:dyDescent="0.25">
      <c r="C109" s="308" t="s">
        <v>324</v>
      </c>
      <c r="D109">
        <v>0</v>
      </c>
      <c r="E109">
        <v>1692622</v>
      </c>
      <c r="F109">
        <v>0</v>
      </c>
      <c r="G109">
        <v>1127420</v>
      </c>
    </row>
    <row r="110" spans="3:7" x14ac:dyDescent="0.25">
      <c r="C110" s="308" t="s">
        <v>327</v>
      </c>
      <c r="D110">
        <v>0</v>
      </c>
      <c r="E110">
        <v>19934</v>
      </c>
      <c r="F110">
        <v>0</v>
      </c>
      <c r="G110">
        <v>0</v>
      </c>
    </row>
    <row r="111" spans="3:7" x14ac:dyDescent="0.25">
      <c r="C111" s="308" t="s">
        <v>792</v>
      </c>
      <c r="D111">
        <v>0</v>
      </c>
      <c r="E111">
        <v>0</v>
      </c>
      <c r="F111">
        <v>0</v>
      </c>
      <c r="G111">
        <v>0</v>
      </c>
    </row>
    <row r="112" spans="3:7" x14ac:dyDescent="0.25">
      <c r="C112" s="308" t="s">
        <v>795</v>
      </c>
      <c r="D112">
        <v>0</v>
      </c>
      <c r="E112">
        <v>0</v>
      </c>
      <c r="F112">
        <v>0</v>
      </c>
      <c r="G112">
        <v>0</v>
      </c>
    </row>
    <row r="113" spans="3:7" x14ac:dyDescent="0.25">
      <c r="C113" s="308" t="s">
        <v>329</v>
      </c>
      <c r="D113">
        <v>0</v>
      </c>
      <c r="E113">
        <v>331346</v>
      </c>
      <c r="F113">
        <v>0</v>
      </c>
      <c r="G113">
        <v>879467</v>
      </c>
    </row>
    <row r="114" spans="3:7" x14ac:dyDescent="0.25">
      <c r="C114" s="308" t="s">
        <v>806</v>
      </c>
      <c r="D114">
        <v>0</v>
      </c>
      <c r="E114">
        <v>0</v>
      </c>
      <c r="F114">
        <v>0</v>
      </c>
      <c r="G114">
        <v>85602</v>
      </c>
    </row>
    <row r="115" spans="3:7" x14ac:dyDescent="0.25">
      <c r="C115" s="308" t="s">
        <v>808</v>
      </c>
      <c r="D115">
        <v>0</v>
      </c>
      <c r="E115">
        <v>0</v>
      </c>
      <c r="F115">
        <v>0</v>
      </c>
      <c r="G115">
        <v>0</v>
      </c>
    </row>
    <row r="116" spans="3:7" x14ac:dyDescent="0.25">
      <c r="C116" s="308" t="s">
        <v>348</v>
      </c>
      <c r="D116">
        <v>0</v>
      </c>
      <c r="E116">
        <v>204940</v>
      </c>
      <c r="F116">
        <v>0</v>
      </c>
      <c r="G116">
        <v>0</v>
      </c>
    </row>
    <row r="117" spans="3:7" x14ac:dyDescent="0.25">
      <c r="C117" s="308" t="s">
        <v>814</v>
      </c>
      <c r="D117">
        <v>0</v>
      </c>
      <c r="E117">
        <v>0</v>
      </c>
      <c r="F117">
        <v>0</v>
      </c>
      <c r="G117">
        <v>0</v>
      </c>
    </row>
    <row r="118" spans="3:7" x14ac:dyDescent="0.25">
      <c r="C118" s="308" t="s">
        <v>816</v>
      </c>
      <c r="D118">
        <v>0</v>
      </c>
      <c r="E118">
        <v>0</v>
      </c>
      <c r="F118">
        <v>0</v>
      </c>
      <c r="G118">
        <v>0</v>
      </c>
    </row>
    <row r="119" spans="3:7" x14ac:dyDescent="0.25">
      <c r="C119" s="308" t="s">
        <v>821</v>
      </c>
      <c r="D119">
        <v>0</v>
      </c>
      <c r="E119">
        <v>0</v>
      </c>
      <c r="F119">
        <v>0</v>
      </c>
      <c r="G119">
        <v>0</v>
      </c>
    </row>
    <row r="120" spans="3:7" x14ac:dyDescent="0.25">
      <c r="C120" s="308" t="s">
        <v>822</v>
      </c>
      <c r="D120">
        <v>0</v>
      </c>
      <c r="E120">
        <v>0</v>
      </c>
      <c r="F120">
        <v>0</v>
      </c>
      <c r="G120">
        <v>137081</v>
      </c>
    </row>
    <row r="121" spans="3:7" x14ac:dyDescent="0.25">
      <c r="C121" s="308" t="s">
        <v>674</v>
      </c>
      <c r="D121">
        <v>0</v>
      </c>
      <c r="E121">
        <v>0</v>
      </c>
      <c r="F121">
        <v>0</v>
      </c>
      <c r="G121">
        <v>0</v>
      </c>
    </row>
    <row r="122" spans="3:7" x14ac:dyDescent="0.25">
      <c r="C122" s="308" t="s">
        <v>372</v>
      </c>
      <c r="D122">
        <v>0</v>
      </c>
      <c r="E122">
        <v>2456715</v>
      </c>
      <c r="F122">
        <v>0</v>
      </c>
      <c r="G122">
        <v>0</v>
      </c>
    </row>
    <row r="123" spans="3:7" x14ac:dyDescent="0.25">
      <c r="C123" s="308" t="s">
        <v>376</v>
      </c>
      <c r="D123">
        <v>0</v>
      </c>
      <c r="E123">
        <v>19308</v>
      </c>
      <c r="F123">
        <v>0</v>
      </c>
      <c r="G123">
        <v>9167</v>
      </c>
    </row>
    <row r="124" spans="3:7" x14ac:dyDescent="0.25">
      <c r="C124" s="308" t="s">
        <v>377</v>
      </c>
      <c r="D124">
        <v>0</v>
      </c>
      <c r="E124">
        <v>586169</v>
      </c>
      <c r="F124">
        <v>0</v>
      </c>
      <c r="G124">
        <v>3584869</v>
      </c>
    </row>
    <row r="125" spans="3:7" x14ac:dyDescent="0.25">
      <c r="C125" s="308" t="s">
        <v>379</v>
      </c>
      <c r="D125">
        <v>0</v>
      </c>
      <c r="E125">
        <v>134747</v>
      </c>
      <c r="F125">
        <v>0</v>
      </c>
      <c r="G125">
        <v>145449</v>
      </c>
    </row>
    <row r="126" spans="3:7" x14ac:dyDescent="0.25">
      <c r="C126" s="308" t="s">
        <v>385</v>
      </c>
      <c r="D126">
        <v>0</v>
      </c>
      <c r="E126">
        <v>31436</v>
      </c>
      <c r="F126">
        <v>0</v>
      </c>
      <c r="G126">
        <v>16225</v>
      </c>
    </row>
    <row r="127" spans="3:7" x14ac:dyDescent="0.25">
      <c r="C127" s="308" t="s">
        <v>896</v>
      </c>
      <c r="D127">
        <v>0</v>
      </c>
      <c r="E127">
        <v>0</v>
      </c>
      <c r="F127">
        <v>0</v>
      </c>
      <c r="G127">
        <v>142942</v>
      </c>
    </row>
    <row r="128" spans="3:7" x14ac:dyDescent="0.25">
      <c r="C128" s="308" t="s">
        <v>394</v>
      </c>
      <c r="D128">
        <v>0</v>
      </c>
      <c r="E128">
        <v>92070</v>
      </c>
      <c r="F128">
        <v>0</v>
      </c>
      <c r="G128">
        <v>64723</v>
      </c>
    </row>
    <row r="129" spans="3:7" x14ac:dyDescent="0.25">
      <c r="C129" s="308" t="s">
        <v>397</v>
      </c>
      <c r="D129">
        <v>0</v>
      </c>
      <c r="E129">
        <v>455952</v>
      </c>
      <c r="F129">
        <v>0</v>
      </c>
      <c r="G129">
        <v>351168</v>
      </c>
    </row>
    <row r="130" spans="3:7" x14ac:dyDescent="0.25">
      <c r="C130" s="308" t="s">
        <v>417</v>
      </c>
      <c r="D130">
        <v>0</v>
      </c>
      <c r="E130">
        <v>41312</v>
      </c>
      <c r="F130">
        <v>0</v>
      </c>
      <c r="G130">
        <v>553184</v>
      </c>
    </row>
    <row r="131" spans="3:7" x14ac:dyDescent="0.25">
      <c r="C131" s="308" t="s">
        <v>857</v>
      </c>
      <c r="D131">
        <v>0</v>
      </c>
      <c r="E131">
        <v>109340</v>
      </c>
      <c r="F131">
        <v>0</v>
      </c>
      <c r="G131">
        <v>88755</v>
      </c>
    </row>
    <row r="132" spans="3:7" x14ac:dyDescent="0.25">
      <c r="C132" s="308" t="s">
        <v>426</v>
      </c>
      <c r="D132">
        <v>0</v>
      </c>
      <c r="E132">
        <v>377600</v>
      </c>
      <c r="F132">
        <v>0</v>
      </c>
      <c r="G132">
        <v>0</v>
      </c>
    </row>
    <row r="133" spans="3:7" x14ac:dyDescent="0.25">
      <c r="C133" s="308" t="s">
        <v>427</v>
      </c>
      <c r="D133">
        <v>0</v>
      </c>
      <c r="E133">
        <v>1871806</v>
      </c>
      <c r="F133">
        <v>0</v>
      </c>
      <c r="G133">
        <v>2274218</v>
      </c>
    </row>
    <row r="134" spans="3:7" x14ac:dyDescent="0.25">
      <c r="C134" s="308" t="s">
        <v>862</v>
      </c>
      <c r="D134">
        <v>0</v>
      </c>
      <c r="E134">
        <v>0</v>
      </c>
      <c r="F134">
        <v>0</v>
      </c>
      <c r="G134">
        <v>0</v>
      </c>
    </row>
    <row r="135" spans="3:7" x14ac:dyDescent="0.25">
      <c r="C135" s="308" t="s">
        <v>886</v>
      </c>
      <c r="D135">
        <v>0</v>
      </c>
      <c r="E135">
        <v>0</v>
      </c>
      <c r="F135">
        <v>0</v>
      </c>
      <c r="G135">
        <v>8130</v>
      </c>
    </row>
    <row r="136" spans="3:7" x14ac:dyDescent="0.25">
      <c r="C136" s="308" t="s">
        <v>433</v>
      </c>
      <c r="D136">
        <v>0</v>
      </c>
      <c r="E136">
        <v>29906</v>
      </c>
      <c r="F136">
        <v>0</v>
      </c>
      <c r="G136">
        <v>4434</v>
      </c>
    </row>
    <row r="137" spans="3:7" x14ac:dyDescent="0.25">
      <c r="C137" s="308" t="s">
        <v>434</v>
      </c>
      <c r="D137">
        <v>0</v>
      </c>
      <c r="E137">
        <v>1429369</v>
      </c>
      <c r="F137">
        <v>0</v>
      </c>
      <c r="G137">
        <v>699844</v>
      </c>
    </row>
    <row r="138" spans="3:7" x14ac:dyDescent="0.25">
      <c r="C138" s="308" t="s">
        <v>435</v>
      </c>
      <c r="D138">
        <v>0</v>
      </c>
      <c r="E138">
        <v>12900</v>
      </c>
      <c r="F138">
        <v>0</v>
      </c>
      <c r="G138">
        <v>7780</v>
      </c>
    </row>
    <row r="139" spans="3:7" x14ac:dyDescent="0.25">
      <c r="C139" s="308" t="s">
        <v>887</v>
      </c>
      <c r="D139">
        <v>0</v>
      </c>
      <c r="E139">
        <v>0</v>
      </c>
      <c r="F139">
        <v>0</v>
      </c>
      <c r="G139">
        <v>0</v>
      </c>
    </row>
    <row r="140" spans="3:7" x14ac:dyDescent="0.25">
      <c r="C140" s="308" t="s">
        <v>437</v>
      </c>
      <c r="D140">
        <v>0</v>
      </c>
      <c r="E140">
        <v>0</v>
      </c>
      <c r="F140">
        <v>0</v>
      </c>
      <c r="G140">
        <v>0</v>
      </c>
    </row>
    <row r="141" spans="3:7" x14ac:dyDescent="0.25">
      <c r="C141" s="308" t="s">
        <v>888</v>
      </c>
      <c r="D141">
        <v>0</v>
      </c>
      <c r="E141">
        <v>0</v>
      </c>
      <c r="F141">
        <v>0</v>
      </c>
      <c r="G141">
        <v>0</v>
      </c>
    </row>
    <row r="142" spans="3:7" x14ac:dyDescent="0.25">
      <c r="C142" s="308" t="s">
        <v>890</v>
      </c>
      <c r="D142">
        <v>0</v>
      </c>
      <c r="E142">
        <v>232050</v>
      </c>
      <c r="F142">
        <v>0</v>
      </c>
      <c r="G142">
        <v>226800</v>
      </c>
    </row>
    <row r="143" spans="3:7" x14ac:dyDescent="0.25">
      <c r="C143" s="308" t="s">
        <v>446</v>
      </c>
      <c r="D143">
        <v>0</v>
      </c>
      <c r="E143">
        <v>0</v>
      </c>
      <c r="F143">
        <v>0</v>
      </c>
      <c r="G143">
        <v>0</v>
      </c>
    </row>
    <row r="144" spans="3:7" x14ac:dyDescent="0.25">
      <c r="C144" s="308" t="s">
        <v>1365</v>
      </c>
      <c r="D144">
        <v>0</v>
      </c>
      <c r="E144">
        <v>401154</v>
      </c>
      <c r="F144">
        <v>0</v>
      </c>
      <c r="G144">
        <v>0</v>
      </c>
    </row>
    <row r="145" spans="3:7" x14ac:dyDescent="0.25">
      <c r="C145" s="308" t="s">
        <v>1438</v>
      </c>
      <c r="D145">
        <v>0</v>
      </c>
      <c r="E145">
        <v>4370857</v>
      </c>
      <c r="F145">
        <v>0</v>
      </c>
      <c r="G145">
        <v>0</v>
      </c>
    </row>
    <row r="146" spans="3:7" x14ac:dyDescent="0.25">
      <c r="C146" s="16" t="s">
        <v>462</v>
      </c>
      <c r="D146">
        <v>888375.84</v>
      </c>
      <c r="E146">
        <v>9502303</v>
      </c>
      <c r="F146">
        <v>31494</v>
      </c>
      <c r="G146">
        <v>8905475.7599999998</v>
      </c>
    </row>
    <row r="147" spans="3:7" x14ac:dyDescent="0.25">
      <c r="C147" s="308" t="s">
        <v>18</v>
      </c>
      <c r="D147">
        <v>0</v>
      </c>
      <c r="E147">
        <v>156125</v>
      </c>
      <c r="F147">
        <v>0</v>
      </c>
      <c r="G147">
        <v>135000</v>
      </c>
    </row>
    <row r="148" spans="3:7" x14ac:dyDescent="0.25">
      <c r="C148" s="308" t="s">
        <v>463</v>
      </c>
      <c r="D148">
        <v>0</v>
      </c>
      <c r="E148">
        <v>0</v>
      </c>
      <c r="F148">
        <v>0</v>
      </c>
      <c r="G148">
        <v>0</v>
      </c>
    </row>
    <row r="149" spans="3:7" x14ac:dyDescent="0.25">
      <c r="C149" s="308" t="s">
        <v>461</v>
      </c>
      <c r="D149">
        <v>0</v>
      </c>
      <c r="E149">
        <v>0</v>
      </c>
      <c r="F149">
        <v>0</v>
      </c>
      <c r="G149">
        <v>892701</v>
      </c>
    </row>
    <row r="150" spans="3:7" x14ac:dyDescent="0.25">
      <c r="C150" s="308" t="s">
        <v>484</v>
      </c>
      <c r="D150">
        <v>0</v>
      </c>
      <c r="E150">
        <v>0</v>
      </c>
      <c r="F150">
        <v>0</v>
      </c>
      <c r="G150">
        <v>0</v>
      </c>
    </row>
    <row r="151" spans="3:7" x14ac:dyDescent="0.25">
      <c r="C151" s="308" t="s">
        <v>867</v>
      </c>
      <c r="D151">
        <v>0</v>
      </c>
      <c r="E151">
        <v>0</v>
      </c>
      <c r="F151">
        <v>0</v>
      </c>
      <c r="G151">
        <v>0</v>
      </c>
    </row>
    <row r="152" spans="3:7" x14ac:dyDescent="0.25">
      <c r="C152" s="308" t="s">
        <v>471</v>
      </c>
      <c r="D152">
        <v>0</v>
      </c>
      <c r="E152">
        <v>0</v>
      </c>
      <c r="F152">
        <v>0</v>
      </c>
      <c r="G152">
        <v>6800</v>
      </c>
    </row>
    <row r="153" spans="3:7" x14ac:dyDescent="0.25">
      <c r="C153" s="308" t="s">
        <v>491</v>
      </c>
      <c r="D153">
        <v>0</v>
      </c>
      <c r="E153">
        <v>0</v>
      </c>
      <c r="F153">
        <v>0</v>
      </c>
      <c r="G153">
        <v>0</v>
      </c>
    </row>
    <row r="154" spans="3:7" x14ac:dyDescent="0.25">
      <c r="C154" s="308" t="s">
        <v>29</v>
      </c>
      <c r="D154">
        <v>0</v>
      </c>
      <c r="E154">
        <v>50553</v>
      </c>
      <c r="F154">
        <v>0</v>
      </c>
      <c r="G154">
        <v>0</v>
      </c>
    </row>
    <row r="155" spans="3:7" x14ac:dyDescent="0.25">
      <c r="C155" s="308" t="s">
        <v>503</v>
      </c>
      <c r="D155">
        <v>0</v>
      </c>
      <c r="E155">
        <v>0</v>
      </c>
      <c r="F155">
        <v>0</v>
      </c>
      <c r="G155">
        <v>46846</v>
      </c>
    </row>
    <row r="156" spans="3:7" x14ac:dyDescent="0.25">
      <c r="C156" s="308" t="s">
        <v>510</v>
      </c>
      <c r="D156">
        <v>0</v>
      </c>
      <c r="E156">
        <v>0</v>
      </c>
      <c r="F156">
        <v>0</v>
      </c>
      <c r="G156">
        <v>243500</v>
      </c>
    </row>
    <row r="157" spans="3:7" x14ac:dyDescent="0.25">
      <c r="C157" s="308" t="s">
        <v>42</v>
      </c>
      <c r="D157">
        <v>0</v>
      </c>
      <c r="E157">
        <v>82125</v>
      </c>
      <c r="F157">
        <v>0</v>
      </c>
      <c r="G157">
        <v>0</v>
      </c>
    </row>
    <row r="158" spans="3:7" x14ac:dyDescent="0.25">
      <c r="C158" s="308" t="s">
        <v>511</v>
      </c>
      <c r="D158">
        <v>0</v>
      </c>
      <c r="E158">
        <v>0</v>
      </c>
      <c r="F158">
        <v>0</v>
      </c>
      <c r="G158">
        <v>0</v>
      </c>
    </row>
    <row r="159" spans="3:7" x14ac:dyDescent="0.25">
      <c r="C159" s="308" t="s">
        <v>869</v>
      </c>
      <c r="D159">
        <v>0</v>
      </c>
      <c r="E159">
        <v>0</v>
      </c>
      <c r="F159">
        <v>0</v>
      </c>
      <c r="G159">
        <v>0</v>
      </c>
    </row>
    <row r="160" spans="3:7" x14ac:dyDescent="0.25">
      <c r="C160" s="308" t="s">
        <v>46</v>
      </c>
      <c r="D160">
        <v>0</v>
      </c>
      <c r="E160">
        <v>32332</v>
      </c>
      <c r="F160">
        <v>0</v>
      </c>
      <c r="G160">
        <v>0</v>
      </c>
    </row>
    <row r="161" spans="3:7" x14ac:dyDescent="0.25">
      <c r="C161" s="308" t="s">
        <v>52</v>
      </c>
      <c r="D161">
        <v>0</v>
      </c>
      <c r="E161">
        <v>4520</v>
      </c>
      <c r="F161">
        <v>0</v>
      </c>
      <c r="G161">
        <v>0</v>
      </c>
    </row>
    <row r="162" spans="3:7" x14ac:dyDescent="0.25">
      <c r="C162" s="308" t="s">
        <v>554</v>
      </c>
      <c r="D162">
        <v>0</v>
      </c>
      <c r="E162">
        <v>0</v>
      </c>
      <c r="F162">
        <v>0</v>
      </c>
      <c r="G162">
        <v>0</v>
      </c>
    </row>
    <row r="163" spans="3:7" x14ac:dyDescent="0.25">
      <c r="C163" s="308" t="s">
        <v>555</v>
      </c>
      <c r="D163">
        <v>0</v>
      </c>
      <c r="E163">
        <v>0</v>
      </c>
      <c r="F163">
        <v>0</v>
      </c>
      <c r="G163">
        <v>7300</v>
      </c>
    </row>
    <row r="164" spans="3:7" x14ac:dyDescent="0.25">
      <c r="C164" s="308" t="s">
        <v>870</v>
      </c>
      <c r="D164">
        <v>0</v>
      </c>
      <c r="E164">
        <v>0</v>
      </c>
      <c r="F164">
        <v>0</v>
      </c>
      <c r="G164">
        <v>0</v>
      </c>
    </row>
    <row r="165" spans="3:7" x14ac:dyDescent="0.25">
      <c r="C165" s="308" t="s">
        <v>97</v>
      </c>
      <c r="D165">
        <v>0</v>
      </c>
      <c r="E165">
        <v>0</v>
      </c>
      <c r="F165">
        <v>0</v>
      </c>
      <c r="G165">
        <v>0</v>
      </c>
    </row>
    <row r="166" spans="3:7" x14ac:dyDescent="0.25">
      <c r="C166" s="308" t="s">
        <v>121</v>
      </c>
      <c r="D166">
        <v>811474.84</v>
      </c>
      <c r="E166">
        <v>0</v>
      </c>
      <c r="F166">
        <v>0</v>
      </c>
      <c r="G166">
        <v>49644.76</v>
      </c>
    </row>
    <row r="167" spans="3:7" x14ac:dyDescent="0.25">
      <c r="C167" s="308" t="s">
        <v>482</v>
      </c>
      <c r="D167">
        <v>0</v>
      </c>
      <c r="E167">
        <v>0</v>
      </c>
      <c r="F167">
        <v>2384</v>
      </c>
      <c r="G167">
        <v>0</v>
      </c>
    </row>
    <row r="168" spans="3:7" x14ac:dyDescent="0.25">
      <c r="C168" s="308" t="s">
        <v>620</v>
      </c>
      <c r="D168">
        <v>0</v>
      </c>
      <c r="E168">
        <v>279076</v>
      </c>
      <c r="F168">
        <v>0</v>
      </c>
      <c r="G168">
        <v>303501</v>
      </c>
    </row>
    <row r="169" spans="3:7" x14ac:dyDescent="0.25">
      <c r="C169" s="308" t="s">
        <v>626</v>
      </c>
      <c r="D169">
        <v>0</v>
      </c>
      <c r="E169">
        <v>0</v>
      </c>
      <c r="F169">
        <v>0</v>
      </c>
      <c r="G169">
        <v>83450</v>
      </c>
    </row>
    <row r="170" spans="3:7" x14ac:dyDescent="0.25">
      <c r="C170" s="308" t="s">
        <v>871</v>
      </c>
      <c r="D170">
        <v>0</v>
      </c>
      <c r="E170">
        <v>0</v>
      </c>
      <c r="F170">
        <v>0</v>
      </c>
      <c r="G170">
        <v>0</v>
      </c>
    </row>
    <row r="171" spans="3:7" x14ac:dyDescent="0.25">
      <c r="C171" s="308" t="s">
        <v>631</v>
      </c>
      <c r="D171">
        <v>0</v>
      </c>
      <c r="E171">
        <v>0</v>
      </c>
      <c r="F171">
        <v>0</v>
      </c>
      <c r="G171">
        <v>175820</v>
      </c>
    </row>
    <row r="172" spans="3:7" x14ac:dyDescent="0.25">
      <c r="C172" s="308" t="s">
        <v>150</v>
      </c>
      <c r="D172">
        <v>0</v>
      </c>
      <c r="E172">
        <v>0</v>
      </c>
      <c r="F172">
        <v>0</v>
      </c>
      <c r="G172">
        <v>76500</v>
      </c>
    </row>
    <row r="173" spans="3:7" x14ac:dyDescent="0.25">
      <c r="C173" s="308" t="s">
        <v>152</v>
      </c>
      <c r="D173">
        <v>0</v>
      </c>
      <c r="E173">
        <v>8459</v>
      </c>
      <c r="F173">
        <v>0</v>
      </c>
      <c r="G173">
        <v>7608</v>
      </c>
    </row>
    <row r="174" spans="3:7" x14ac:dyDescent="0.25">
      <c r="C174" s="308" t="s">
        <v>153</v>
      </c>
      <c r="D174">
        <v>0</v>
      </c>
      <c r="E174">
        <v>116424</v>
      </c>
      <c r="F174">
        <v>0</v>
      </c>
      <c r="G174">
        <v>0</v>
      </c>
    </row>
    <row r="175" spans="3:7" x14ac:dyDescent="0.25">
      <c r="C175" s="308" t="s">
        <v>512</v>
      </c>
      <c r="D175">
        <v>0</v>
      </c>
      <c r="E175">
        <v>0</v>
      </c>
      <c r="F175">
        <v>0</v>
      </c>
      <c r="G175">
        <v>0</v>
      </c>
    </row>
    <row r="176" spans="3:7" x14ac:dyDescent="0.25">
      <c r="C176" s="308" t="s">
        <v>202</v>
      </c>
      <c r="D176">
        <v>36037</v>
      </c>
      <c r="E176">
        <v>0</v>
      </c>
      <c r="F176">
        <v>0</v>
      </c>
      <c r="G176">
        <v>0</v>
      </c>
    </row>
    <row r="177" spans="3:7" x14ac:dyDescent="0.25">
      <c r="C177" s="308" t="s">
        <v>513</v>
      </c>
      <c r="D177">
        <v>0</v>
      </c>
      <c r="E177">
        <v>0</v>
      </c>
      <c r="F177">
        <v>0</v>
      </c>
      <c r="G177">
        <v>0</v>
      </c>
    </row>
    <row r="178" spans="3:7" x14ac:dyDescent="0.25">
      <c r="C178" s="308" t="s">
        <v>677</v>
      </c>
      <c r="D178">
        <v>0</v>
      </c>
      <c r="E178">
        <v>0</v>
      </c>
      <c r="F178">
        <v>0</v>
      </c>
      <c r="G178">
        <v>2950</v>
      </c>
    </row>
    <row r="179" spans="3:7" x14ac:dyDescent="0.25">
      <c r="C179" s="308" t="s">
        <v>678</v>
      </c>
      <c r="D179">
        <v>0</v>
      </c>
      <c r="E179">
        <v>0</v>
      </c>
      <c r="F179">
        <v>0</v>
      </c>
      <c r="G179">
        <v>23502</v>
      </c>
    </row>
    <row r="180" spans="3:7" x14ac:dyDescent="0.25">
      <c r="C180" s="308" t="s">
        <v>684</v>
      </c>
      <c r="D180">
        <v>0</v>
      </c>
      <c r="E180">
        <v>0</v>
      </c>
      <c r="F180">
        <v>0</v>
      </c>
      <c r="G180">
        <v>6434</v>
      </c>
    </row>
    <row r="181" spans="3:7" x14ac:dyDescent="0.25">
      <c r="C181" s="308" t="s">
        <v>685</v>
      </c>
      <c r="D181">
        <v>0</v>
      </c>
      <c r="E181">
        <v>0</v>
      </c>
      <c r="F181">
        <v>0</v>
      </c>
      <c r="G181">
        <v>21679</v>
      </c>
    </row>
    <row r="182" spans="3:7" x14ac:dyDescent="0.25">
      <c r="C182" s="308" t="s">
        <v>686</v>
      </c>
      <c r="D182">
        <v>0</v>
      </c>
      <c r="E182">
        <v>0</v>
      </c>
      <c r="F182">
        <v>0</v>
      </c>
      <c r="G182">
        <v>2463</v>
      </c>
    </row>
    <row r="183" spans="3:7" x14ac:dyDescent="0.25">
      <c r="C183" s="308" t="s">
        <v>214</v>
      </c>
      <c r="D183">
        <v>0</v>
      </c>
      <c r="E183">
        <v>3244</v>
      </c>
      <c r="F183">
        <v>0</v>
      </c>
      <c r="G183">
        <v>0</v>
      </c>
    </row>
    <row r="184" spans="3:7" x14ac:dyDescent="0.25">
      <c r="C184" s="308" t="s">
        <v>515</v>
      </c>
      <c r="D184">
        <v>0</v>
      </c>
      <c r="E184">
        <v>0</v>
      </c>
      <c r="F184">
        <v>0</v>
      </c>
      <c r="G184">
        <v>0</v>
      </c>
    </row>
    <row r="185" spans="3:7" x14ac:dyDescent="0.25">
      <c r="C185" s="308" t="s">
        <v>221</v>
      </c>
      <c r="D185">
        <v>0</v>
      </c>
      <c r="E185">
        <v>47229</v>
      </c>
      <c r="F185">
        <v>0</v>
      </c>
      <c r="G185">
        <v>49045</v>
      </c>
    </row>
    <row r="186" spans="3:7" x14ac:dyDescent="0.25">
      <c r="C186" s="308" t="s">
        <v>872</v>
      </c>
      <c r="D186">
        <v>0</v>
      </c>
      <c r="E186">
        <v>0</v>
      </c>
      <c r="F186">
        <v>0</v>
      </c>
      <c r="G186">
        <v>0</v>
      </c>
    </row>
    <row r="187" spans="3:7" x14ac:dyDescent="0.25">
      <c r="C187" s="308" t="s">
        <v>241</v>
      </c>
      <c r="D187">
        <v>0</v>
      </c>
      <c r="E187">
        <v>0</v>
      </c>
      <c r="F187">
        <v>0</v>
      </c>
      <c r="G187">
        <v>0</v>
      </c>
    </row>
    <row r="188" spans="3:7" x14ac:dyDescent="0.25">
      <c r="C188" s="308" t="s">
        <v>873</v>
      </c>
      <c r="D188">
        <v>0</v>
      </c>
      <c r="E188">
        <v>0</v>
      </c>
      <c r="F188">
        <v>0</v>
      </c>
      <c r="G188">
        <v>0</v>
      </c>
    </row>
    <row r="189" spans="3:7" x14ac:dyDescent="0.25">
      <c r="C189" s="308" t="s">
        <v>229</v>
      </c>
      <c r="D189">
        <v>0</v>
      </c>
      <c r="E189">
        <v>58240</v>
      </c>
      <c r="F189">
        <v>0</v>
      </c>
      <c r="G189">
        <v>0</v>
      </c>
    </row>
    <row r="190" spans="3:7" x14ac:dyDescent="0.25">
      <c r="C190" s="308" t="s">
        <v>696</v>
      </c>
      <c r="D190">
        <v>0</v>
      </c>
      <c r="E190">
        <v>0</v>
      </c>
      <c r="F190">
        <v>18479</v>
      </c>
      <c r="G190">
        <v>0</v>
      </c>
    </row>
    <row r="191" spans="3:7" x14ac:dyDescent="0.25">
      <c r="C191" s="308" t="s">
        <v>697</v>
      </c>
      <c r="D191">
        <v>0</v>
      </c>
      <c r="E191">
        <v>0</v>
      </c>
      <c r="F191">
        <v>0</v>
      </c>
      <c r="G191">
        <v>15790</v>
      </c>
    </row>
    <row r="192" spans="3:7" x14ac:dyDescent="0.25">
      <c r="C192" s="308" t="s">
        <v>238</v>
      </c>
      <c r="D192">
        <v>0</v>
      </c>
      <c r="E192">
        <v>0</v>
      </c>
      <c r="F192">
        <v>0</v>
      </c>
      <c r="G192">
        <v>0</v>
      </c>
    </row>
    <row r="193" spans="3:7" x14ac:dyDescent="0.25">
      <c r="C193" s="308" t="s">
        <v>514</v>
      </c>
      <c r="D193">
        <v>0</v>
      </c>
      <c r="E193">
        <v>0</v>
      </c>
      <c r="F193">
        <v>0</v>
      </c>
      <c r="G193">
        <v>0</v>
      </c>
    </row>
    <row r="194" spans="3:7" x14ac:dyDescent="0.25">
      <c r="C194" s="308" t="s">
        <v>706</v>
      </c>
      <c r="D194">
        <v>0</v>
      </c>
      <c r="E194">
        <v>0</v>
      </c>
      <c r="F194">
        <v>0</v>
      </c>
      <c r="G194">
        <v>0</v>
      </c>
    </row>
    <row r="195" spans="3:7" x14ac:dyDescent="0.25">
      <c r="C195" s="308" t="s">
        <v>709</v>
      </c>
      <c r="D195">
        <v>0</v>
      </c>
      <c r="E195">
        <v>0</v>
      </c>
      <c r="F195">
        <v>0</v>
      </c>
      <c r="G195">
        <v>0</v>
      </c>
    </row>
    <row r="196" spans="3:7" x14ac:dyDescent="0.25">
      <c r="C196" s="308" t="s">
        <v>875</v>
      </c>
      <c r="D196">
        <v>0</v>
      </c>
      <c r="E196">
        <v>0</v>
      </c>
      <c r="F196">
        <v>0</v>
      </c>
      <c r="G196">
        <v>0</v>
      </c>
    </row>
    <row r="197" spans="3:7" x14ac:dyDescent="0.25">
      <c r="C197" s="308" t="s">
        <v>710</v>
      </c>
      <c r="D197">
        <v>0</v>
      </c>
      <c r="E197">
        <v>0</v>
      </c>
      <c r="F197">
        <v>0</v>
      </c>
      <c r="G197">
        <v>0</v>
      </c>
    </row>
    <row r="198" spans="3:7" x14ac:dyDescent="0.25">
      <c r="C198" s="308" t="s">
        <v>245</v>
      </c>
      <c r="D198">
        <v>0</v>
      </c>
      <c r="E198">
        <v>20037</v>
      </c>
      <c r="F198">
        <v>0</v>
      </c>
      <c r="G198">
        <v>14593</v>
      </c>
    </row>
    <row r="199" spans="3:7" x14ac:dyDescent="0.25">
      <c r="C199" s="308" t="s">
        <v>247</v>
      </c>
      <c r="D199">
        <v>0</v>
      </c>
      <c r="E199">
        <v>0</v>
      </c>
      <c r="F199">
        <v>0</v>
      </c>
      <c r="G199">
        <v>0</v>
      </c>
    </row>
    <row r="200" spans="3:7" x14ac:dyDescent="0.25">
      <c r="C200" s="308" t="s">
        <v>716</v>
      </c>
      <c r="D200">
        <v>0</v>
      </c>
      <c r="E200">
        <v>0</v>
      </c>
      <c r="F200">
        <v>0</v>
      </c>
      <c r="G200">
        <v>236422</v>
      </c>
    </row>
    <row r="201" spans="3:7" x14ac:dyDescent="0.25">
      <c r="C201" s="308" t="s">
        <v>717</v>
      </c>
      <c r="D201">
        <v>0</v>
      </c>
      <c r="E201">
        <v>0</v>
      </c>
      <c r="F201">
        <v>0</v>
      </c>
      <c r="G201">
        <v>22370</v>
      </c>
    </row>
    <row r="202" spans="3:7" x14ac:dyDescent="0.25">
      <c r="C202" s="308" t="s">
        <v>253</v>
      </c>
      <c r="D202">
        <v>0</v>
      </c>
      <c r="E202">
        <v>5880</v>
      </c>
      <c r="F202">
        <v>0</v>
      </c>
      <c r="G202">
        <v>4490</v>
      </c>
    </row>
    <row r="203" spans="3:7" x14ac:dyDescent="0.25">
      <c r="C203" s="308" t="s">
        <v>518</v>
      </c>
      <c r="D203">
        <v>0</v>
      </c>
      <c r="E203">
        <v>0</v>
      </c>
      <c r="F203">
        <v>0</v>
      </c>
      <c r="G203">
        <v>0</v>
      </c>
    </row>
    <row r="204" spans="3:7" x14ac:dyDescent="0.25">
      <c r="C204" s="308" t="s">
        <v>271</v>
      </c>
      <c r="D204">
        <v>0</v>
      </c>
      <c r="E204">
        <v>269890</v>
      </c>
      <c r="F204">
        <v>0</v>
      </c>
      <c r="G204">
        <v>274949</v>
      </c>
    </row>
    <row r="205" spans="3:7" x14ac:dyDescent="0.25">
      <c r="C205" s="308" t="s">
        <v>736</v>
      </c>
      <c r="D205">
        <v>0</v>
      </c>
      <c r="E205">
        <v>386769</v>
      </c>
      <c r="F205">
        <v>0</v>
      </c>
      <c r="G205">
        <v>423402</v>
      </c>
    </row>
    <row r="206" spans="3:7" x14ac:dyDescent="0.25">
      <c r="C206" s="308" t="s">
        <v>273</v>
      </c>
      <c r="D206">
        <v>0</v>
      </c>
      <c r="E206">
        <v>538166</v>
      </c>
      <c r="F206">
        <v>0</v>
      </c>
      <c r="G206">
        <v>523713</v>
      </c>
    </row>
    <row r="207" spans="3:7" x14ac:dyDescent="0.25">
      <c r="C207" s="308" t="s">
        <v>739</v>
      </c>
      <c r="D207">
        <v>0</v>
      </c>
      <c r="E207">
        <v>0</v>
      </c>
      <c r="F207">
        <v>0</v>
      </c>
      <c r="G207">
        <v>81000</v>
      </c>
    </row>
    <row r="208" spans="3:7" x14ac:dyDescent="0.25">
      <c r="C208" s="308" t="s">
        <v>279</v>
      </c>
      <c r="D208">
        <v>0</v>
      </c>
      <c r="E208">
        <v>6994370</v>
      </c>
      <c r="F208">
        <v>0</v>
      </c>
      <c r="G208">
        <v>4956590</v>
      </c>
    </row>
    <row r="209" spans="3:7" x14ac:dyDescent="0.25">
      <c r="C209" s="308" t="s">
        <v>517</v>
      </c>
      <c r="D209">
        <v>0</v>
      </c>
      <c r="E209">
        <v>0</v>
      </c>
      <c r="F209">
        <v>0</v>
      </c>
      <c r="G209">
        <v>0</v>
      </c>
    </row>
    <row r="210" spans="3:7" x14ac:dyDescent="0.25">
      <c r="C210" s="308" t="s">
        <v>770</v>
      </c>
      <c r="D210">
        <v>0</v>
      </c>
      <c r="E210">
        <v>0</v>
      </c>
      <c r="F210">
        <v>5079</v>
      </c>
      <c r="G210">
        <v>0</v>
      </c>
    </row>
    <row r="211" spans="3:7" x14ac:dyDescent="0.25">
      <c r="C211" s="308" t="s">
        <v>486</v>
      </c>
      <c r="D211">
        <v>0</v>
      </c>
      <c r="E211">
        <v>0</v>
      </c>
      <c r="F211">
        <v>0</v>
      </c>
      <c r="G211">
        <v>0</v>
      </c>
    </row>
    <row r="212" spans="3:7" x14ac:dyDescent="0.25">
      <c r="C212" s="308" t="s">
        <v>310</v>
      </c>
      <c r="D212">
        <v>10000</v>
      </c>
      <c r="E212">
        <v>0</v>
      </c>
      <c r="F212">
        <v>0</v>
      </c>
      <c r="G212">
        <v>0</v>
      </c>
    </row>
    <row r="213" spans="3:7" x14ac:dyDescent="0.25">
      <c r="C213" s="308" t="s">
        <v>782</v>
      </c>
      <c r="D213">
        <v>0</v>
      </c>
      <c r="E213">
        <v>0</v>
      </c>
      <c r="F213">
        <v>0</v>
      </c>
      <c r="G213">
        <v>51508</v>
      </c>
    </row>
    <row r="214" spans="3:7" x14ac:dyDescent="0.25">
      <c r="C214" s="308" t="s">
        <v>387</v>
      </c>
      <c r="D214">
        <v>0</v>
      </c>
      <c r="E214">
        <v>2195</v>
      </c>
      <c r="F214">
        <v>0</v>
      </c>
      <c r="G214">
        <v>0</v>
      </c>
    </row>
    <row r="215" spans="3:7" x14ac:dyDescent="0.25">
      <c r="C215" s="308" t="s">
        <v>487</v>
      </c>
      <c r="D215">
        <v>0</v>
      </c>
      <c r="E215">
        <v>0</v>
      </c>
      <c r="F215">
        <v>0</v>
      </c>
      <c r="G215">
        <v>0</v>
      </c>
    </row>
    <row r="216" spans="3:7" x14ac:dyDescent="0.25">
      <c r="C216" s="308" t="s">
        <v>804</v>
      </c>
      <c r="D216">
        <v>0</v>
      </c>
      <c r="E216">
        <v>0</v>
      </c>
      <c r="F216">
        <v>0</v>
      </c>
      <c r="G216">
        <v>2600</v>
      </c>
    </row>
    <row r="217" spans="3:7" x14ac:dyDescent="0.25">
      <c r="C217" s="308" t="s">
        <v>344</v>
      </c>
      <c r="D217">
        <v>0</v>
      </c>
      <c r="E217">
        <v>117270</v>
      </c>
      <c r="F217">
        <v>0</v>
      </c>
      <c r="G217">
        <v>0</v>
      </c>
    </row>
    <row r="218" spans="3:7" x14ac:dyDescent="0.25">
      <c r="C218" s="308" t="s">
        <v>345</v>
      </c>
      <c r="D218">
        <v>0</v>
      </c>
      <c r="E218">
        <v>25470</v>
      </c>
      <c r="F218">
        <v>0</v>
      </c>
      <c r="G218">
        <v>0</v>
      </c>
    </row>
    <row r="219" spans="3:7" x14ac:dyDescent="0.25">
      <c r="C219" s="308" t="s">
        <v>819</v>
      </c>
      <c r="D219">
        <v>0</v>
      </c>
      <c r="E219">
        <v>0</v>
      </c>
      <c r="F219">
        <v>0</v>
      </c>
      <c r="G219">
        <v>0</v>
      </c>
    </row>
    <row r="220" spans="3:7" x14ac:dyDescent="0.25">
      <c r="C220" s="308" t="s">
        <v>820</v>
      </c>
      <c r="D220">
        <v>0</v>
      </c>
      <c r="E220">
        <v>0</v>
      </c>
      <c r="F220">
        <v>5552</v>
      </c>
      <c r="G220">
        <v>0</v>
      </c>
    </row>
    <row r="221" spans="3:7" x14ac:dyDescent="0.25">
      <c r="C221" s="308" t="s">
        <v>371</v>
      </c>
      <c r="D221">
        <v>20183</v>
      </c>
      <c r="E221">
        <v>0</v>
      </c>
      <c r="F221">
        <v>0</v>
      </c>
      <c r="G221">
        <v>0</v>
      </c>
    </row>
    <row r="222" spans="3:7" x14ac:dyDescent="0.25">
      <c r="C222" s="308" t="s">
        <v>679</v>
      </c>
      <c r="D222">
        <v>0</v>
      </c>
      <c r="E222">
        <v>0</v>
      </c>
      <c r="F222">
        <v>0</v>
      </c>
      <c r="G222">
        <v>0</v>
      </c>
    </row>
    <row r="223" spans="3:7" x14ac:dyDescent="0.25">
      <c r="C223" s="308" t="s">
        <v>483</v>
      </c>
      <c r="D223">
        <v>0</v>
      </c>
      <c r="E223">
        <v>0</v>
      </c>
      <c r="F223">
        <v>0</v>
      </c>
      <c r="G223">
        <v>16500</v>
      </c>
    </row>
    <row r="224" spans="3:7" x14ac:dyDescent="0.25">
      <c r="C224" s="308" t="s">
        <v>386</v>
      </c>
      <c r="D224">
        <v>0</v>
      </c>
      <c r="E224">
        <v>33750</v>
      </c>
      <c r="F224">
        <v>0</v>
      </c>
      <c r="G224">
        <v>0</v>
      </c>
    </row>
    <row r="225" spans="1:7" x14ac:dyDescent="0.25">
      <c r="C225" s="308" t="s">
        <v>680</v>
      </c>
      <c r="D225">
        <v>0</v>
      </c>
      <c r="E225">
        <v>0</v>
      </c>
      <c r="F225">
        <v>0</v>
      </c>
      <c r="G225">
        <v>0</v>
      </c>
    </row>
    <row r="226" spans="1:7" x14ac:dyDescent="0.25">
      <c r="C226" s="308" t="s">
        <v>415</v>
      </c>
      <c r="D226">
        <v>0</v>
      </c>
      <c r="E226">
        <v>3662</v>
      </c>
      <c r="F226">
        <v>0</v>
      </c>
      <c r="G226">
        <v>1579</v>
      </c>
    </row>
    <row r="227" spans="1:7" x14ac:dyDescent="0.25">
      <c r="C227" s="308" t="s">
        <v>425</v>
      </c>
      <c r="D227">
        <v>0</v>
      </c>
      <c r="E227">
        <v>0</v>
      </c>
      <c r="F227">
        <v>0</v>
      </c>
      <c r="G227">
        <v>92820</v>
      </c>
    </row>
    <row r="228" spans="1:7" x14ac:dyDescent="0.25">
      <c r="C228" s="308" t="s">
        <v>894</v>
      </c>
      <c r="D228">
        <v>0</v>
      </c>
      <c r="E228">
        <v>0</v>
      </c>
      <c r="F228">
        <v>0</v>
      </c>
      <c r="G228">
        <v>52406</v>
      </c>
    </row>
    <row r="229" spans="1:7" x14ac:dyDescent="0.25">
      <c r="C229" s="308" t="s">
        <v>448</v>
      </c>
      <c r="D229">
        <v>0</v>
      </c>
      <c r="E229">
        <v>19017</v>
      </c>
      <c r="F229">
        <v>0</v>
      </c>
      <c r="G229">
        <v>0</v>
      </c>
    </row>
    <row r="230" spans="1:7" x14ac:dyDescent="0.25">
      <c r="C230" s="308" t="s">
        <v>1362</v>
      </c>
      <c r="D230">
        <v>0</v>
      </c>
      <c r="E230">
        <v>247500</v>
      </c>
      <c r="F230">
        <v>0</v>
      </c>
      <c r="G230">
        <v>0</v>
      </c>
    </row>
    <row r="231" spans="1:7" x14ac:dyDescent="0.25">
      <c r="C231" s="308" t="s">
        <v>1439</v>
      </c>
      <c r="D231">
        <v>10681</v>
      </c>
      <c r="E231">
        <v>0</v>
      </c>
      <c r="F231">
        <v>0</v>
      </c>
      <c r="G231">
        <v>0</v>
      </c>
    </row>
    <row r="232" spans="1:7" x14ac:dyDescent="0.25">
      <c r="B232" s="16" t="s">
        <v>1338</v>
      </c>
      <c r="D232">
        <v>894836.84</v>
      </c>
      <c r="E232">
        <v>80522536.599999994</v>
      </c>
      <c r="F232">
        <v>31494</v>
      </c>
      <c r="G232">
        <v>59076960.559999995</v>
      </c>
    </row>
    <row r="233" spans="1:7" x14ac:dyDescent="0.25">
      <c r="A233" s="16" t="s">
        <v>1395</v>
      </c>
      <c r="D233">
        <v>894836.84</v>
      </c>
      <c r="E233">
        <v>80522536.599999994</v>
      </c>
      <c r="F233">
        <v>31494</v>
      </c>
      <c r="G233">
        <v>59076960.559999995</v>
      </c>
    </row>
    <row r="234" spans="1:7" x14ac:dyDescent="0.25">
      <c r="A234" s="16">
        <v>8</v>
      </c>
      <c r="B234" s="16" t="s">
        <v>465</v>
      </c>
      <c r="C234" s="16" t="s">
        <v>898</v>
      </c>
      <c r="D234">
        <v>2745000</v>
      </c>
      <c r="E234">
        <v>0</v>
      </c>
      <c r="F234">
        <v>0</v>
      </c>
      <c r="G234">
        <v>0</v>
      </c>
    </row>
    <row r="235" spans="1:7" x14ac:dyDescent="0.25">
      <c r="C235" s="308" t="s">
        <v>213</v>
      </c>
      <c r="D235">
        <v>2745000</v>
      </c>
      <c r="E235">
        <v>0</v>
      </c>
      <c r="F235">
        <v>0</v>
      </c>
      <c r="G235">
        <v>0</v>
      </c>
    </row>
    <row r="236" spans="1:7" x14ac:dyDescent="0.25">
      <c r="C236" s="308" t="s">
        <v>897</v>
      </c>
      <c r="D236">
        <v>0</v>
      </c>
      <c r="E236">
        <v>0</v>
      </c>
      <c r="F236">
        <v>0</v>
      </c>
      <c r="G236">
        <v>0</v>
      </c>
    </row>
    <row r="237" spans="1:7" x14ac:dyDescent="0.25">
      <c r="B237" s="16" t="s">
        <v>1339</v>
      </c>
      <c r="D237">
        <v>2745000</v>
      </c>
      <c r="E237">
        <v>0</v>
      </c>
      <c r="F237">
        <v>0</v>
      </c>
      <c r="G237">
        <v>0</v>
      </c>
    </row>
    <row r="238" spans="1:7" x14ac:dyDescent="0.25">
      <c r="B238" s="16" t="s">
        <v>497</v>
      </c>
      <c r="C238" s="16" t="s">
        <v>604</v>
      </c>
      <c r="D238">
        <v>0</v>
      </c>
      <c r="E238">
        <v>0</v>
      </c>
      <c r="F238">
        <v>0</v>
      </c>
      <c r="G238">
        <v>84300</v>
      </c>
    </row>
    <row r="239" spans="1:7" x14ac:dyDescent="0.25">
      <c r="C239" s="308" t="s">
        <v>604</v>
      </c>
      <c r="D239">
        <v>0</v>
      </c>
      <c r="E239">
        <v>0</v>
      </c>
      <c r="F239">
        <v>0</v>
      </c>
      <c r="G239">
        <v>0</v>
      </c>
    </row>
    <row r="240" spans="1:7" x14ac:dyDescent="0.25">
      <c r="C240" s="308" t="s">
        <v>605</v>
      </c>
      <c r="D240">
        <v>0</v>
      </c>
      <c r="E240">
        <v>0</v>
      </c>
      <c r="F240">
        <v>0</v>
      </c>
      <c r="G240">
        <v>84300</v>
      </c>
    </row>
    <row r="241" spans="3:7" x14ac:dyDescent="0.25">
      <c r="C241" s="16" t="s">
        <v>796</v>
      </c>
      <c r="D241">
        <v>0</v>
      </c>
      <c r="E241">
        <v>1029792</v>
      </c>
      <c r="F241">
        <v>0</v>
      </c>
      <c r="G241">
        <v>803704</v>
      </c>
    </row>
    <row r="242" spans="3:7" x14ac:dyDescent="0.25">
      <c r="C242" s="308" t="s">
        <v>330</v>
      </c>
      <c r="D242">
        <v>0</v>
      </c>
      <c r="E242">
        <v>1029792</v>
      </c>
      <c r="F242">
        <v>0</v>
      </c>
      <c r="G242">
        <v>803704</v>
      </c>
    </row>
    <row r="243" spans="3:7" ht="12" customHeight="1" x14ac:dyDescent="0.25">
      <c r="C243" s="16" t="s">
        <v>497</v>
      </c>
      <c r="D243">
        <v>0</v>
      </c>
      <c r="E243">
        <v>139269</v>
      </c>
      <c r="F243">
        <v>0</v>
      </c>
      <c r="G243">
        <v>574034.93999999994</v>
      </c>
    </row>
    <row r="244" spans="3:7" x14ac:dyDescent="0.25">
      <c r="C244" s="308" t="s">
        <v>669</v>
      </c>
      <c r="D244">
        <v>0</v>
      </c>
      <c r="E244">
        <v>139269</v>
      </c>
      <c r="F244">
        <v>0</v>
      </c>
      <c r="G244">
        <v>574034.93999999994</v>
      </c>
    </row>
    <row r="245" spans="3:7" x14ac:dyDescent="0.25">
      <c r="C245" s="16" t="s">
        <v>567</v>
      </c>
      <c r="D245">
        <v>0</v>
      </c>
      <c r="E245">
        <v>606395.57000000007</v>
      </c>
      <c r="F245">
        <v>0</v>
      </c>
      <c r="G245">
        <v>537842.43999999994</v>
      </c>
    </row>
    <row r="246" spans="3:7" x14ac:dyDescent="0.25">
      <c r="C246" s="308" t="s">
        <v>89</v>
      </c>
      <c r="D246">
        <v>0</v>
      </c>
      <c r="E246">
        <v>23574</v>
      </c>
      <c r="F246">
        <v>0</v>
      </c>
      <c r="G246">
        <v>21838</v>
      </c>
    </row>
    <row r="247" spans="3:7" x14ac:dyDescent="0.25">
      <c r="C247" s="308" t="s">
        <v>568</v>
      </c>
      <c r="D247">
        <v>0</v>
      </c>
      <c r="E247">
        <v>206714</v>
      </c>
      <c r="F247">
        <v>0</v>
      </c>
      <c r="G247">
        <v>184366</v>
      </c>
    </row>
    <row r="248" spans="3:7" x14ac:dyDescent="0.25">
      <c r="C248" s="308" t="s">
        <v>388</v>
      </c>
      <c r="D248">
        <v>0</v>
      </c>
      <c r="E248">
        <v>12150</v>
      </c>
      <c r="F248">
        <v>0</v>
      </c>
      <c r="G248">
        <v>10225</v>
      </c>
    </row>
    <row r="249" spans="3:7" x14ac:dyDescent="0.25">
      <c r="C249" s="308" t="s">
        <v>402</v>
      </c>
      <c r="D249">
        <v>0</v>
      </c>
      <c r="E249">
        <v>85088.53</v>
      </c>
      <c r="F249">
        <v>0</v>
      </c>
      <c r="G249">
        <v>0</v>
      </c>
    </row>
    <row r="250" spans="3:7" x14ac:dyDescent="0.25">
      <c r="C250" s="308" t="s">
        <v>845</v>
      </c>
      <c r="D250">
        <v>0</v>
      </c>
      <c r="E250">
        <v>80773</v>
      </c>
      <c r="F250">
        <v>0</v>
      </c>
      <c r="G250">
        <v>101044</v>
      </c>
    </row>
    <row r="251" spans="3:7" x14ac:dyDescent="0.25">
      <c r="C251" s="308" t="s">
        <v>848</v>
      </c>
      <c r="D251">
        <v>0</v>
      </c>
      <c r="E251">
        <v>2925</v>
      </c>
      <c r="F251">
        <v>0</v>
      </c>
      <c r="G251">
        <v>3900</v>
      </c>
    </row>
    <row r="252" spans="3:7" x14ac:dyDescent="0.25">
      <c r="C252" s="308" t="s">
        <v>405</v>
      </c>
      <c r="D252">
        <v>0</v>
      </c>
      <c r="E252">
        <v>3756</v>
      </c>
      <c r="F252">
        <v>0</v>
      </c>
      <c r="G252">
        <v>5038</v>
      </c>
    </row>
    <row r="253" spans="3:7" x14ac:dyDescent="0.25">
      <c r="C253" s="308" t="s">
        <v>406</v>
      </c>
      <c r="D253">
        <v>0</v>
      </c>
      <c r="E253">
        <v>12373</v>
      </c>
      <c r="F253">
        <v>0</v>
      </c>
      <c r="G253">
        <v>1902</v>
      </c>
    </row>
    <row r="254" spans="3:7" x14ac:dyDescent="0.25">
      <c r="C254" s="308" t="s">
        <v>849</v>
      </c>
      <c r="D254">
        <v>0</v>
      </c>
      <c r="E254">
        <v>10862.04</v>
      </c>
      <c r="F254">
        <v>0</v>
      </c>
      <c r="G254">
        <v>16393.04</v>
      </c>
    </row>
    <row r="255" spans="3:7" x14ac:dyDescent="0.25">
      <c r="C255" s="308" t="s">
        <v>850</v>
      </c>
      <c r="D255">
        <v>0</v>
      </c>
      <c r="E255">
        <v>29491</v>
      </c>
      <c r="F255">
        <v>0</v>
      </c>
      <c r="G255">
        <v>47856</v>
      </c>
    </row>
    <row r="256" spans="3:7" x14ac:dyDescent="0.25">
      <c r="C256" s="308" t="s">
        <v>851</v>
      </c>
      <c r="D256">
        <v>0</v>
      </c>
      <c r="E256">
        <v>10850</v>
      </c>
      <c r="F256">
        <v>0</v>
      </c>
      <c r="G256">
        <v>1977</v>
      </c>
    </row>
    <row r="257" spans="1:7" x14ac:dyDescent="0.25">
      <c r="C257" s="308" t="s">
        <v>413</v>
      </c>
      <c r="D257">
        <v>0</v>
      </c>
      <c r="E257">
        <v>5839</v>
      </c>
      <c r="F257">
        <v>0</v>
      </c>
      <c r="G257">
        <v>51303.4</v>
      </c>
    </row>
    <row r="258" spans="1:7" x14ac:dyDescent="0.25">
      <c r="C258" s="308" t="s">
        <v>411</v>
      </c>
      <c r="D258">
        <v>0</v>
      </c>
      <c r="E258">
        <v>122000</v>
      </c>
      <c r="F258">
        <v>0</v>
      </c>
      <c r="G258">
        <v>92000</v>
      </c>
    </row>
    <row r="259" spans="1:7" x14ac:dyDescent="0.25">
      <c r="C259" s="16" t="s">
        <v>498</v>
      </c>
      <c r="D259">
        <v>0</v>
      </c>
      <c r="E259">
        <v>0</v>
      </c>
      <c r="F259">
        <v>0</v>
      </c>
      <c r="G259">
        <v>0</v>
      </c>
    </row>
    <row r="260" spans="1:7" x14ac:dyDescent="0.25">
      <c r="C260" s="308" t="s">
        <v>496</v>
      </c>
      <c r="D260">
        <v>0</v>
      </c>
      <c r="E260">
        <v>0</v>
      </c>
      <c r="F260">
        <v>0</v>
      </c>
      <c r="G260">
        <v>0</v>
      </c>
    </row>
    <row r="261" spans="1:7" x14ac:dyDescent="0.25">
      <c r="C261" s="308" t="s">
        <v>174</v>
      </c>
      <c r="D261">
        <v>0</v>
      </c>
      <c r="E261">
        <v>0</v>
      </c>
      <c r="F261">
        <v>0</v>
      </c>
      <c r="G261">
        <v>0</v>
      </c>
    </row>
    <row r="262" spans="1:7" x14ac:dyDescent="0.25">
      <c r="C262" s="308" t="s">
        <v>243</v>
      </c>
      <c r="D262">
        <v>0</v>
      </c>
      <c r="E262">
        <v>0</v>
      </c>
      <c r="F262">
        <v>0</v>
      </c>
      <c r="G262">
        <v>0</v>
      </c>
    </row>
    <row r="263" spans="1:7" x14ac:dyDescent="0.25">
      <c r="C263" s="308" t="s">
        <v>745</v>
      </c>
      <c r="D263">
        <v>0</v>
      </c>
      <c r="E263">
        <v>0</v>
      </c>
      <c r="F263">
        <v>0</v>
      </c>
      <c r="G263">
        <v>0</v>
      </c>
    </row>
    <row r="264" spans="1:7" x14ac:dyDescent="0.25">
      <c r="C264" s="308" t="s">
        <v>771</v>
      </c>
      <c r="D264">
        <v>0</v>
      </c>
      <c r="E264">
        <v>0</v>
      </c>
      <c r="F264">
        <v>0</v>
      </c>
      <c r="G264">
        <v>0</v>
      </c>
    </row>
    <row r="265" spans="1:7" x14ac:dyDescent="0.25">
      <c r="C265" s="308" t="s">
        <v>854</v>
      </c>
      <c r="D265">
        <v>0</v>
      </c>
      <c r="E265">
        <v>0</v>
      </c>
      <c r="F265">
        <v>0</v>
      </c>
      <c r="G265">
        <v>0</v>
      </c>
    </row>
    <row r="266" spans="1:7" x14ac:dyDescent="0.25">
      <c r="B266" s="16" t="s">
        <v>1340</v>
      </c>
      <c r="D266">
        <v>0</v>
      </c>
      <c r="E266">
        <v>1775456.57</v>
      </c>
      <c r="F266">
        <v>0</v>
      </c>
      <c r="G266">
        <v>1999881.38</v>
      </c>
    </row>
    <row r="267" spans="1:7" x14ac:dyDescent="0.25">
      <c r="A267" s="16" t="s">
        <v>1396</v>
      </c>
      <c r="D267">
        <v>2745000</v>
      </c>
      <c r="E267">
        <v>1775456.57</v>
      </c>
      <c r="F267">
        <v>0</v>
      </c>
      <c r="G267">
        <v>1999881.38</v>
      </c>
    </row>
    <row r="268" spans="1:7" x14ac:dyDescent="0.25">
      <c r="A268" s="16">
        <v>9</v>
      </c>
      <c r="B268" s="16" t="s">
        <v>587</v>
      </c>
      <c r="C268" s="16" t="s">
        <v>588</v>
      </c>
      <c r="D268">
        <v>4778693</v>
      </c>
      <c r="E268">
        <v>9814078.6999999993</v>
      </c>
      <c r="F268">
        <v>4494616</v>
      </c>
      <c r="G268">
        <v>9803119.6999999993</v>
      </c>
    </row>
    <row r="269" spans="1:7" x14ac:dyDescent="0.25">
      <c r="C269" s="308" t="s">
        <v>104</v>
      </c>
      <c r="D269">
        <v>4778693</v>
      </c>
      <c r="E269">
        <v>0</v>
      </c>
      <c r="F269">
        <v>4494616</v>
      </c>
      <c r="G269">
        <v>0</v>
      </c>
    </row>
    <row r="270" spans="1:7" x14ac:dyDescent="0.25">
      <c r="C270" s="308" t="s">
        <v>170</v>
      </c>
      <c r="D270">
        <v>0</v>
      </c>
      <c r="E270">
        <v>1301094</v>
      </c>
      <c r="F270">
        <v>0</v>
      </c>
      <c r="G270">
        <v>1259230</v>
      </c>
    </row>
    <row r="271" spans="1:7" x14ac:dyDescent="0.25">
      <c r="C271" s="308" t="s">
        <v>209</v>
      </c>
      <c r="D271">
        <v>0</v>
      </c>
      <c r="E271">
        <v>0</v>
      </c>
      <c r="F271">
        <v>0</v>
      </c>
      <c r="G271">
        <v>0</v>
      </c>
    </row>
    <row r="272" spans="1:7" ht="17.25" customHeight="1" x14ac:dyDescent="0.25">
      <c r="C272" s="308" t="s">
        <v>692</v>
      </c>
      <c r="D272">
        <v>0</v>
      </c>
      <c r="E272">
        <v>198086</v>
      </c>
      <c r="F272">
        <v>0</v>
      </c>
      <c r="G272">
        <v>195649</v>
      </c>
    </row>
    <row r="273" spans="1:7" x14ac:dyDescent="0.25">
      <c r="C273" s="308" t="s">
        <v>286</v>
      </c>
      <c r="D273">
        <v>0</v>
      </c>
      <c r="E273">
        <v>4802294</v>
      </c>
      <c r="F273">
        <v>0</v>
      </c>
      <c r="G273">
        <v>5136213</v>
      </c>
    </row>
    <row r="274" spans="1:7" x14ac:dyDescent="0.25">
      <c r="C274" s="308" t="s">
        <v>763</v>
      </c>
      <c r="D274">
        <v>0</v>
      </c>
      <c r="E274">
        <v>3296204.7</v>
      </c>
      <c r="F274">
        <v>0</v>
      </c>
      <c r="G274">
        <v>3212027.7</v>
      </c>
    </row>
    <row r="275" spans="1:7" x14ac:dyDescent="0.25">
      <c r="C275" s="308" t="s">
        <v>2305</v>
      </c>
      <c r="D275">
        <v>0</v>
      </c>
      <c r="E275">
        <v>216400</v>
      </c>
      <c r="F275">
        <v>0</v>
      </c>
      <c r="G275">
        <v>0</v>
      </c>
    </row>
    <row r="276" spans="1:7" x14ac:dyDescent="0.25">
      <c r="C276" s="16" t="s">
        <v>3557</v>
      </c>
      <c r="D276">
        <v>0</v>
      </c>
      <c r="E276">
        <v>280877</v>
      </c>
      <c r="F276">
        <v>0</v>
      </c>
      <c r="G276">
        <v>0</v>
      </c>
    </row>
    <row r="277" spans="1:7" x14ac:dyDescent="0.25">
      <c r="C277" s="308" t="s">
        <v>3556</v>
      </c>
      <c r="D277">
        <v>0</v>
      </c>
      <c r="E277">
        <v>280877</v>
      </c>
      <c r="F277">
        <v>0</v>
      </c>
      <c r="G277">
        <v>0</v>
      </c>
    </row>
    <row r="278" spans="1:7" x14ac:dyDescent="0.25">
      <c r="B278" s="16" t="s">
        <v>1341</v>
      </c>
      <c r="D278">
        <v>4778693</v>
      </c>
      <c r="E278">
        <v>10094955.699999999</v>
      </c>
      <c r="F278">
        <v>4494616</v>
      </c>
      <c r="G278">
        <v>9803119.6999999993</v>
      </c>
    </row>
    <row r="279" spans="1:7" x14ac:dyDescent="0.25">
      <c r="A279" s="16" t="s">
        <v>1397</v>
      </c>
      <c r="D279">
        <v>4778693</v>
      </c>
      <c r="E279">
        <v>10094955.699999999</v>
      </c>
      <c r="F279">
        <v>4494616</v>
      </c>
      <c r="G279">
        <v>9803119.6999999993</v>
      </c>
    </row>
    <row r="280" spans="1:7" x14ac:dyDescent="0.25">
      <c r="A280" s="16">
        <v>10</v>
      </c>
      <c r="B280" s="16" t="s">
        <v>590</v>
      </c>
      <c r="C280" s="16" t="s">
        <v>591</v>
      </c>
      <c r="D280">
        <v>17727982</v>
      </c>
      <c r="E280">
        <v>0</v>
      </c>
      <c r="F280">
        <v>17192939</v>
      </c>
      <c r="G280">
        <v>0</v>
      </c>
    </row>
    <row r="281" spans="1:7" x14ac:dyDescent="0.25">
      <c r="C281" s="308" t="s">
        <v>109</v>
      </c>
      <c r="D281">
        <v>1861537</v>
      </c>
      <c r="E281">
        <v>0</v>
      </c>
      <c r="F281">
        <v>1885458</v>
      </c>
      <c r="G281">
        <v>0</v>
      </c>
    </row>
    <row r="282" spans="1:7" x14ac:dyDescent="0.25">
      <c r="C282" s="308" t="s">
        <v>592</v>
      </c>
      <c r="D282">
        <v>1834185</v>
      </c>
      <c r="E282">
        <v>0</v>
      </c>
      <c r="F282">
        <v>1743151</v>
      </c>
      <c r="G282">
        <v>0</v>
      </c>
    </row>
    <row r="283" spans="1:7" x14ac:dyDescent="0.25">
      <c r="C283" s="308" t="s">
        <v>593</v>
      </c>
      <c r="D283">
        <v>46790</v>
      </c>
      <c r="E283">
        <v>0</v>
      </c>
      <c r="F283">
        <v>92736</v>
      </c>
      <c r="G283">
        <v>0</v>
      </c>
    </row>
    <row r="284" spans="1:7" x14ac:dyDescent="0.25">
      <c r="C284" s="308" t="s">
        <v>112</v>
      </c>
      <c r="D284">
        <v>46907</v>
      </c>
      <c r="E284">
        <v>0</v>
      </c>
      <c r="F284">
        <v>57979</v>
      </c>
      <c r="G284">
        <v>0</v>
      </c>
    </row>
    <row r="285" spans="1:7" x14ac:dyDescent="0.25">
      <c r="C285" s="308" t="s">
        <v>113</v>
      </c>
      <c r="D285">
        <v>103253</v>
      </c>
      <c r="E285">
        <v>0</v>
      </c>
      <c r="F285">
        <v>24077</v>
      </c>
      <c r="G285">
        <v>0</v>
      </c>
    </row>
    <row r="286" spans="1:7" x14ac:dyDescent="0.25">
      <c r="C286" s="308" t="s">
        <v>594</v>
      </c>
      <c r="D286">
        <v>13466161</v>
      </c>
      <c r="E286">
        <v>0</v>
      </c>
      <c r="F286">
        <v>13101740</v>
      </c>
      <c r="G286">
        <v>0</v>
      </c>
    </row>
    <row r="287" spans="1:7" x14ac:dyDescent="0.25">
      <c r="C287" s="308" t="s">
        <v>115</v>
      </c>
      <c r="D287">
        <v>369149</v>
      </c>
      <c r="E287">
        <v>0</v>
      </c>
      <c r="F287">
        <v>287798</v>
      </c>
      <c r="G287">
        <v>0</v>
      </c>
    </row>
    <row r="288" spans="1:7" x14ac:dyDescent="0.25">
      <c r="B288" s="16" t="s">
        <v>1342</v>
      </c>
      <c r="D288">
        <v>17727982</v>
      </c>
      <c r="E288">
        <v>0</v>
      </c>
      <c r="F288">
        <v>17192939</v>
      </c>
      <c r="G288">
        <v>0</v>
      </c>
    </row>
    <row r="289" spans="2:7" x14ac:dyDescent="0.25">
      <c r="B289" s="16" t="s">
        <v>534</v>
      </c>
      <c r="C289" s="16" t="s">
        <v>893</v>
      </c>
      <c r="D289">
        <v>313008</v>
      </c>
      <c r="E289">
        <v>0</v>
      </c>
      <c r="F289">
        <v>402479.2</v>
      </c>
      <c r="G289">
        <v>0</v>
      </c>
    </row>
    <row r="290" spans="2:7" x14ac:dyDescent="0.25">
      <c r="C290" s="308" t="s">
        <v>443</v>
      </c>
      <c r="D290">
        <v>133008</v>
      </c>
      <c r="E290">
        <v>0</v>
      </c>
      <c r="F290">
        <v>172560</v>
      </c>
      <c r="G290">
        <v>0</v>
      </c>
    </row>
    <row r="291" spans="2:7" x14ac:dyDescent="0.25">
      <c r="C291" s="308" t="s">
        <v>444</v>
      </c>
      <c r="D291">
        <v>180000</v>
      </c>
      <c r="E291">
        <v>0</v>
      </c>
      <c r="F291">
        <v>229919.2</v>
      </c>
      <c r="G291">
        <v>0</v>
      </c>
    </row>
    <row r="292" spans="2:7" x14ac:dyDescent="0.25">
      <c r="C292" s="16" t="s">
        <v>535</v>
      </c>
      <c r="D292">
        <v>340466589.12</v>
      </c>
      <c r="E292">
        <v>0</v>
      </c>
      <c r="F292">
        <v>342535114.64999998</v>
      </c>
      <c r="G292">
        <v>0</v>
      </c>
    </row>
    <row r="293" spans="2:7" x14ac:dyDescent="0.25">
      <c r="C293" s="308" t="s">
        <v>533</v>
      </c>
      <c r="D293">
        <v>58923230.630000003</v>
      </c>
      <c r="E293">
        <v>0</v>
      </c>
      <c r="F293">
        <v>56016203.549999997</v>
      </c>
      <c r="G293">
        <v>0</v>
      </c>
    </row>
    <row r="294" spans="2:7" x14ac:dyDescent="0.25">
      <c r="C294" s="308" t="s">
        <v>537</v>
      </c>
      <c r="D294">
        <v>0</v>
      </c>
      <c r="E294">
        <v>0</v>
      </c>
      <c r="F294">
        <v>0</v>
      </c>
      <c r="G294">
        <v>0</v>
      </c>
    </row>
    <row r="295" spans="2:7" x14ac:dyDescent="0.25">
      <c r="C295" s="308" t="s">
        <v>86</v>
      </c>
      <c r="D295">
        <v>744525.7</v>
      </c>
      <c r="E295">
        <v>0</v>
      </c>
      <c r="F295">
        <v>1057200.7</v>
      </c>
      <c r="G295">
        <v>0</v>
      </c>
    </row>
    <row r="296" spans="2:7" x14ac:dyDescent="0.25">
      <c r="C296" s="308" t="s">
        <v>125</v>
      </c>
      <c r="D296">
        <v>26188107.010000002</v>
      </c>
      <c r="E296">
        <v>0</v>
      </c>
      <c r="F296">
        <v>28473033.399999999</v>
      </c>
      <c r="G296">
        <v>0</v>
      </c>
    </row>
    <row r="297" spans="2:7" x14ac:dyDescent="0.25">
      <c r="C297" s="308" t="s">
        <v>536</v>
      </c>
      <c r="D297">
        <v>0</v>
      </c>
      <c r="E297">
        <v>0</v>
      </c>
      <c r="F297">
        <v>0</v>
      </c>
      <c r="G297">
        <v>0</v>
      </c>
    </row>
    <row r="298" spans="2:7" x14ac:dyDescent="0.25">
      <c r="C298" s="308" t="s">
        <v>143</v>
      </c>
      <c r="D298">
        <v>33965000</v>
      </c>
      <c r="E298">
        <v>0</v>
      </c>
      <c r="F298">
        <v>33965000</v>
      </c>
      <c r="G298">
        <v>0</v>
      </c>
    </row>
    <row r="299" spans="2:7" x14ac:dyDescent="0.25">
      <c r="C299" s="308" t="s">
        <v>145</v>
      </c>
      <c r="D299">
        <v>1330213.03</v>
      </c>
      <c r="E299">
        <v>0</v>
      </c>
      <c r="F299">
        <v>1820294</v>
      </c>
      <c r="G299">
        <v>0</v>
      </c>
    </row>
    <row r="300" spans="2:7" x14ac:dyDescent="0.25">
      <c r="C300" s="308" t="s">
        <v>254</v>
      </c>
      <c r="D300">
        <v>1024059.47</v>
      </c>
      <c r="E300">
        <v>0</v>
      </c>
      <c r="F300">
        <v>918177.38</v>
      </c>
      <c r="G300">
        <v>0</v>
      </c>
    </row>
    <row r="301" spans="2:7" x14ac:dyDescent="0.25">
      <c r="C301" s="308" t="s">
        <v>277</v>
      </c>
      <c r="D301">
        <v>215300342.28</v>
      </c>
      <c r="E301">
        <v>0</v>
      </c>
      <c r="F301">
        <v>217294094.62</v>
      </c>
      <c r="G301">
        <v>0</v>
      </c>
    </row>
    <row r="302" spans="2:7" x14ac:dyDescent="0.25">
      <c r="C302" s="308" t="s">
        <v>430</v>
      </c>
      <c r="D302">
        <v>2991111</v>
      </c>
      <c r="E302">
        <v>0</v>
      </c>
      <c r="F302">
        <v>2991111</v>
      </c>
      <c r="G302">
        <v>0</v>
      </c>
    </row>
    <row r="303" spans="2:7" x14ac:dyDescent="0.25">
      <c r="C303" s="16" t="s">
        <v>754</v>
      </c>
      <c r="D303">
        <v>0</v>
      </c>
      <c r="E303">
        <v>124236792</v>
      </c>
      <c r="F303">
        <v>0</v>
      </c>
      <c r="G303">
        <v>116139949</v>
      </c>
    </row>
    <row r="304" spans="2:7" x14ac:dyDescent="0.25">
      <c r="C304" s="308" t="s">
        <v>287</v>
      </c>
      <c r="D304">
        <v>0</v>
      </c>
      <c r="E304">
        <v>5155701</v>
      </c>
      <c r="F304">
        <v>0</v>
      </c>
      <c r="G304">
        <v>3321516</v>
      </c>
    </row>
    <row r="305" spans="1:7" x14ac:dyDescent="0.25">
      <c r="C305" s="308" t="s">
        <v>755</v>
      </c>
      <c r="D305">
        <v>0</v>
      </c>
      <c r="E305">
        <v>688913</v>
      </c>
      <c r="F305">
        <v>0</v>
      </c>
      <c r="G305">
        <v>939164</v>
      </c>
    </row>
    <row r="306" spans="1:7" x14ac:dyDescent="0.25">
      <c r="C306" s="308" t="s">
        <v>756</v>
      </c>
      <c r="D306">
        <v>0</v>
      </c>
      <c r="E306">
        <v>16345551</v>
      </c>
      <c r="F306">
        <v>0</v>
      </c>
      <c r="G306">
        <v>16647093</v>
      </c>
    </row>
    <row r="307" spans="1:7" x14ac:dyDescent="0.25">
      <c r="C307" s="308" t="s">
        <v>290</v>
      </c>
      <c r="D307">
        <v>0</v>
      </c>
      <c r="E307">
        <v>379192</v>
      </c>
      <c r="F307">
        <v>0</v>
      </c>
      <c r="G307">
        <v>379192</v>
      </c>
    </row>
    <row r="308" spans="1:7" x14ac:dyDescent="0.25">
      <c r="C308" s="308" t="s">
        <v>757</v>
      </c>
      <c r="D308">
        <v>0</v>
      </c>
      <c r="E308">
        <v>1014019</v>
      </c>
      <c r="F308">
        <v>0</v>
      </c>
      <c r="G308">
        <v>1478167</v>
      </c>
    </row>
    <row r="309" spans="1:7" x14ac:dyDescent="0.25">
      <c r="C309" s="308" t="s">
        <v>758</v>
      </c>
      <c r="D309">
        <v>0</v>
      </c>
      <c r="E309">
        <v>598548</v>
      </c>
      <c r="F309">
        <v>0</v>
      </c>
      <c r="G309">
        <v>753819</v>
      </c>
    </row>
    <row r="310" spans="1:7" x14ac:dyDescent="0.25">
      <c r="C310" s="308" t="s">
        <v>759</v>
      </c>
      <c r="D310">
        <v>0</v>
      </c>
      <c r="E310">
        <v>99496148</v>
      </c>
      <c r="F310">
        <v>0</v>
      </c>
      <c r="G310">
        <v>92431427</v>
      </c>
    </row>
    <row r="311" spans="1:7" x14ac:dyDescent="0.25">
      <c r="C311" s="308" t="s">
        <v>760</v>
      </c>
      <c r="D311">
        <v>0</v>
      </c>
      <c r="E311">
        <v>558720</v>
      </c>
      <c r="F311">
        <v>0</v>
      </c>
      <c r="G311">
        <v>189571</v>
      </c>
    </row>
    <row r="312" spans="1:7" x14ac:dyDescent="0.25">
      <c r="B312" s="16" t="s">
        <v>1343</v>
      </c>
      <c r="D312">
        <v>340779597.12</v>
      </c>
      <c r="E312">
        <v>124236792</v>
      </c>
      <c r="F312">
        <v>342937593.85000002</v>
      </c>
      <c r="G312">
        <v>116139949</v>
      </c>
    </row>
    <row r="313" spans="1:7" x14ac:dyDescent="0.25">
      <c r="A313" s="16" t="s">
        <v>1398</v>
      </c>
      <c r="D313">
        <v>358507579.12</v>
      </c>
      <c r="E313">
        <v>124236792</v>
      </c>
      <c r="F313">
        <v>360130532.85000002</v>
      </c>
      <c r="G313">
        <v>116139949</v>
      </c>
    </row>
    <row r="314" spans="1:7" x14ac:dyDescent="0.25">
      <c r="A314" s="16">
        <v>12</v>
      </c>
      <c r="B314" s="16" t="s">
        <v>465</v>
      </c>
      <c r="C314" s="16" t="s">
        <v>466</v>
      </c>
      <c r="D314">
        <v>13754434.24</v>
      </c>
      <c r="E314">
        <v>0</v>
      </c>
      <c r="F314">
        <v>4444388</v>
      </c>
      <c r="G314">
        <v>0</v>
      </c>
    </row>
    <row r="315" spans="1:7" x14ac:dyDescent="0.25">
      <c r="C315" s="308" t="s">
        <v>464</v>
      </c>
      <c r="D315">
        <v>0</v>
      </c>
      <c r="E315">
        <v>0</v>
      </c>
      <c r="F315">
        <v>0</v>
      </c>
      <c r="G315">
        <v>0</v>
      </c>
    </row>
    <row r="316" spans="1:7" x14ac:dyDescent="0.25">
      <c r="C316" s="308" t="s">
        <v>14</v>
      </c>
      <c r="D316">
        <v>0</v>
      </c>
      <c r="E316">
        <v>0</v>
      </c>
      <c r="F316">
        <v>3800000</v>
      </c>
      <c r="G316">
        <v>0</v>
      </c>
    </row>
    <row r="317" spans="1:7" x14ac:dyDescent="0.25">
      <c r="C317" s="308" t="s">
        <v>15</v>
      </c>
      <c r="D317">
        <v>13000000</v>
      </c>
      <c r="E317">
        <v>0</v>
      </c>
      <c r="F317">
        <v>0</v>
      </c>
      <c r="G317">
        <v>0</v>
      </c>
    </row>
    <row r="318" spans="1:7" x14ac:dyDescent="0.25">
      <c r="C318" s="308" t="s">
        <v>171</v>
      </c>
      <c r="D318">
        <v>17190</v>
      </c>
      <c r="E318">
        <v>0</v>
      </c>
      <c r="F318">
        <v>17190</v>
      </c>
      <c r="G318">
        <v>0</v>
      </c>
    </row>
    <row r="319" spans="1:7" x14ac:dyDescent="0.25">
      <c r="C319" s="308" t="s">
        <v>299</v>
      </c>
      <c r="D319">
        <v>34285</v>
      </c>
      <c r="E319">
        <v>0</v>
      </c>
      <c r="F319">
        <v>34285</v>
      </c>
      <c r="G319">
        <v>0</v>
      </c>
    </row>
    <row r="320" spans="1:7" x14ac:dyDescent="0.25">
      <c r="C320" s="308" t="s">
        <v>296</v>
      </c>
      <c r="D320">
        <v>122153</v>
      </c>
      <c r="E320">
        <v>0</v>
      </c>
      <c r="F320">
        <v>122153</v>
      </c>
      <c r="G320">
        <v>0</v>
      </c>
    </row>
    <row r="321" spans="3:7" x14ac:dyDescent="0.25">
      <c r="C321" s="308" t="s">
        <v>298</v>
      </c>
      <c r="D321">
        <v>139678</v>
      </c>
      <c r="E321">
        <v>0</v>
      </c>
      <c r="F321">
        <v>139678</v>
      </c>
      <c r="G321">
        <v>0</v>
      </c>
    </row>
    <row r="322" spans="3:7" x14ac:dyDescent="0.25">
      <c r="C322" s="308" t="s">
        <v>297</v>
      </c>
      <c r="D322">
        <v>271788</v>
      </c>
      <c r="E322">
        <v>0</v>
      </c>
      <c r="F322">
        <v>271788</v>
      </c>
      <c r="G322">
        <v>0</v>
      </c>
    </row>
    <row r="323" spans="3:7" x14ac:dyDescent="0.25">
      <c r="C323" s="308" t="s">
        <v>295</v>
      </c>
      <c r="D323">
        <v>0</v>
      </c>
      <c r="E323">
        <v>0</v>
      </c>
      <c r="F323">
        <v>0</v>
      </c>
      <c r="G323">
        <v>0</v>
      </c>
    </row>
    <row r="324" spans="3:7" x14ac:dyDescent="0.25">
      <c r="C324" s="308" t="s">
        <v>762</v>
      </c>
      <c r="D324">
        <v>0</v>
      </c>
      <c r="E324">
        <v>0</v>
      </c>
      <c r="F324">
        <v>0</v>
      </c>
      <c r="G324">
        <v>0</v>
      </c>
    </row>
    <row r="325" spans="3:7" x14ac:dyDescent="0.25">
      <c r="C325" s="308" t="s">
        <v>399</v>
      </c>
      <c r="D325">
        <v>68778.240000000005</v>
      </c>
      <c r="E325">
        <v>0</v>
      </c>
      <c r="F325">
        <v>0</v>
      </c>
      <c r="G325">
        <v>0</v>
      </c>
    </row>
    <row r="326" spans="3:7" x14ac:dyDescent="0.25">
      <c r="C326" s="308" t="s">
        <v>398</v>
      </c>
      <c r="D326">
        <v>0</v>
      </c>
      <c r="E326">
        <v>0</v>
      </c>
      <c r="F326">
        <v>44002</v>
      </c>
      <c r="G326">
        <v>0</v>
      </c>
    </row>
    <row r="327" spans="3:7" x14ac:dyDescent="0.25">
      <c r="C327" s="308" t="s">
        <v>400</v>
      </c>
      <c r="D327">
        <v>0</v>
      </c>
      <c r="E327">
        <v>0</v>
      </c>
      <c r="F327">
        <v>0</v>
      </c>
      <c r="G327">
        <v>0</v>
      </c>
    </row>
    <row r="328" spans="3:7" x14ac:dyDescent="0.25">
      <c r="C328" s="308" t="s">
        <v>401</v>
      </c>
      <c r="D328">
        <v>0</v>
      </c>
      <c r="E328">
        <v>0</v>
      </c>
      <c r="F328">
        <v>0</v>
      </c>
      <c r="G328">
        <v>0</v>
      </c>
    </row>
    <row r="329" spans="3:7" x14ac:dyDescent="0.25">
      <c r="C329" s="308" t="s">
        <v>844</v>
      </c>
      <c r="D329">
        <v>0</v>
      </c>
      <c r="E329">
        <v>0</v>
      </c>
      <c r="F329">
        <v>0</v>
      </c>
      <c r="G329">
        <v>0</v>
      </c>
    </row>
    <row r="330" spans="3:7" x14ac:dyDescent="0.25">
      <c r="C330" s="308" t="s">
        <v>404</v>
      </c>
      <c r="D330">
        <v>12349</v>
      </c>
      <c r="E330">
        <v>0</v>
      </c>
      <c r="F330">
        <v>0</v>
      </c>
      <c r="G330">
        <v>0</v>
      </c>
    </row>
    <row r="331" spans="3:7" x14ac:dyDescent="0.25">
      <c r="C331" s="308" t="s">
        <v>403</v>
      </c>
      <c r="D331">
        <v>0</v>
      </c>
      <c r="E331">
        <v>0</v>
      </c>
      <c r="F331">
        <v>15292</v>
      </c>
      <c r="G331">
        <v>0</v>
      </c>
    </row>
    <row r="332" spans="3:7" x14ac:dyDescent="0.25">
      <c r="C332" s="308" t="s">
        <v>847</v>
      </c>
      <c r="D332">
        <v>0</v>
      </c>
      <c r="E332">
        <v>0</v>
      </c>
      <c r="F332">
        <v>0</v>
      </c>
      <c r="G332">
        <v>0</v>
      </c>
    </row>
    <row r="333" spans="3:7" x14ac:dyDescent="0.25">
      <c r="C333" s="308" t="s">
        <v>2481</v>
      </c>
      <c r="D333">
        <v>0</v>
      </c>
      <c r="E333">
        <v>0</v>
      </c>
      <c r="F333">
        <v>0</v>
      </c>
      <c r="G333">
        <v>0</v>
      </c>
    </row>
    <row r="334" spans="3:7" x14ac:dyDescent="0.25">
      <c r="C334" s="308" t="s">
        <v>3205</v>
      </c>
      <c r="D334">
        <v>0</v>
      </c>
      <c r="E334">
        <v>0</v>
      </c>
      <c r="F334">
        <v>0</v>
      </c>
      <c r="G334">
        <v>0</v>
      </c>
    </row>
    <row r="335" spans="3:7" x14ac:dyDescent="0.25">
      <c r="C335" s="308" t="s">
        <v>3482</v>
      </c>
      <c r="D335">
        <v>88213</v>
      </c>
      <c r="E335">
        <v>0</v>
      </c>
      <c r="F335">
        <v>0</v>
      </c>
      <c r="G335">
        <v>0</v>
      </c>
    </row>
    <row r="336" spans="3:7" x14ac:dyDescent="0.25">
      <c r="C336" s="16" t="s">
        <v>546</v>
      </c>
      <c r="D336">
        <v>15450441</v>
      </c>
      <c r="E336">
        <v>0</v>
      </c>
      <c r="F336">
        <v>12216191</v>
      </c>
      <c r="G336">
        <v>0</v>
      </c>
    </row>
    <row r="337" spans="3:7" x14ac:dyDescent="0.25">
      <c r="C337" s="308" t="s">
        <v>575</v>
      </c>
      <c r="D337">
        <v>0</v>
      </c>
      <c r="E337">
        <v>0</v>
      </c>
      <c r="F337">
        <v>0</v>
      </c>
      <c r="G337">
        <v>0</v>
      </c>
    </row>
    <row r="338" spans="3:7" x14ac:dyDescent="0.25">
      <c r="C338" s="308" t="s">
        <v>301</v>
      </c>
      <c r="D338">
        <v>15450441</v>
      </c>
      <c r="E338">
        <v>0</v>
      </c>
      <c r="F338">
        <v>12216191</v>
      </c>
      <c r="G338">
        <v>0</v>
      </c>
    </row>
    <row r="339" spans="3:7" x14ac:dyDescent="0.25">
      <c r="C339" s="308" t="s">
        <v>881</v>
      </c>
      <c r="D339">
        <v>0</v>
      </c>
      <c r="E339">
        <v>0</v>
      </c>
      <c r="F339">
        <v>0</v>
      </c>
      <c r="G339">
        <v>0</v>
      </c>
    </row>
    <row r="340" spans="3:7" x14ac:dyDescent="0.25">
      <c r="C340" s="308" t="s">
        <v>882</v>
      </c>
      <c r="D340">
        <v>0</v>
      </c>
      <c r="E340">
        <v>0</v>
      </c>
      <c r="F340">
        <v>0</v>
      </c>
      <c r="G340">
        <v>0</v>
      </c>
    </row>
    <row r="341" spans="3:7" x14ac:dyDescent="0.25">
      <c r="C341" s="308" t="s">
        <v>883</v>
      </c>
      <c r="D341">
        <v>0</v>
      </c>
      <c r="E341">
        <v>0</v>
      </c>
      <c r="F341">
        <v>0</v>
      </c>
      <c r="G341">
        <v>0</v>
      </c>
    </row>
    <row r="342" spans="3:7" x14ac:dyDescent="0.25">
      <c r="C342" s="16" t="s">
        <v>550</v>
      </c>
      <c r="D342">
        <v>189131.25999999998</v>
      </c>
      <c r="E342">
        <v>6268567</v>
      </c>
      <c r="F342">
        <v>1594596.52</v>
      </c>
      <c r="G342">
        <v>839846.56</v>
      </c>
    </row>
    <row r="343" spans="3:7" x14ac:dyDescent="0.25">
      <c r="C343" s="308" t="s">
        <v>54</v>
      </c>
      <c r="D343">
        <v>0</v>
      </c>
      <c r="E343">
        <v>0</v>
      </c>
      <c r="F343">
        <v>0</v>
      </c>
      <c r="G343">
        <v>0</v>
      </c>
    </row>
    <row r="344" spans="3:7" x14ac:dyDescent="0.25">
      <c r="C344" s="308" t="s">
        <v>53</v>
      </c>
      <c r="D344">
        <v>0</v>
      </c>
      <c r="E344">
        <v>0</v>
      </c>
      <c r="F344">
        <v>0</v>
      </c>
      <c r="G344">
        <v>0</v>
      </c>
    </row>
    <row r="345" spans="3:7" x14ac:dyDescent="0.25">
      <c r="C345" s="308" t="s">
        <v>55</v>
      </c>
      <c r="D345">
        <v>0</v>
      </c>
      <c r="E345">
        <v>0</v>
      </c>
      <c r="F345">
        <v>0</v>
      </c>
      <c r="G345">
        <v>0</v>
      </c>
    </row>
    <row r="346" spans="3:7" x14ac:dyDescent="0.25">
      <c r="C346" s="308" t="s">
        <v>56</v>
      </c>
      <c r="D346">
        <v>0</v>
      </c>
      <c r="E346">
        <v>0</v>
      </c>
      <c r="F346">
        <v>0</v>
      </c>
      <c r="G346">
        <v>0</v>
      </c>
    </row>
    <row r="347" spans="3:7" x14ac:dyDescent="0.25">
      <c r="C347" s="308" t="s">
        <v>57</v>
      </c>
      <c r="D347">
        <v>0</v>
      </c>
      <c r="E347">
        <v>0</v>
      </c>
      <c r="F347">
        <v>0</v>
      </c>
      <c r="G347">
        <v>0</v>
      </c>
    </row>
    <row r="348" spans="3:7" x14ac:dyDescent="0.25">
      <c r="C348" s="308" t="s">
        <v>58</v>
      </c>
      <c r="D348">
        <v>0</v>
      </c>
      <c r="E348">
        <v>0</v>
      </c>
      <c r="F348">
        <v>0</v>
      </c>
      <c r="G348">
        <v>0</v>
      </c>
    </row>
    <row r="349" spans="3:7" x14ac:dyDescent="0.25">
      <c r="C349" s="308" t="s">
        <v>59</v>
      </c>
      <c r="D349">
        <v>0</v>
      </c>
      <c r="E349">
        <v>0</v>
      </c>
      <c r="F349">
        <v>0</v>
      </c>
      <c r="G349">
        <v>0</v>
      </c>
    </row>
    <row r="350" spans="3:7" x14ac:dyDescent="0.25">
      <c r="C350" s="308" t="s">
        <v>60</v>
      </c>
      <c r="D350">
        <v>0</v>
      </c>
      <c r="E350">
        <v>0</v>
      </c>
      <c r="F350">
        <v>0</v>
      </c>
      <c r="G350">
        <v>0</v>
      </c>
    </row>
    <row r="351" spans="3:7" x14ac:dyDescent="0.25">
      <c r="C351" s="308" t="s">
        <v>63</v>
      </c>
      <c r="D351">
        <v>0</v>
      </c>
      <c r="E351">
        <v>0</v>
      </c>
      <c r="F351">
        <v>0</v>
      </c>
      <c r="G351">
        <v>0</v>
      </c>
    </row>
    <row r="352" spans="3:7" x14ac:dyDescent="0.25">
      <c r="C352" s="308" t="s">
        <v>62</v>
      </c>
      <c r="D352">
        <v>0</v>
      </c>
      <c r="E352">
        <v>0</v>
      </c>
      <c r="F352">
        <v>0</v>
      </c>
      <c r="G352">
        <v>0</v>
      </c>
    </row>
    <row r="353" spans="3:7" x14ac:dyDescent="0.25">
      <c r="C353" s="308" t="s">
        <v>65</v>
      </c>
      <c r="D353">
        <v>0</v>
      </c>
      <c r="E353">
        <v>0</v>
      </c>
      <c r="F353">
        <v>0</v>
      </c>
      <c r="G353">
        <v>0</v>
      </c>
    </row>
    <row r="354" spans="3:7" x14ac:dyDescent="0.25">
      <c r="C354" s="308" t="s">
        <v>66</v>
      </c>
      <c r="D354">
        <v>0</v>
      </c>
      <c r="E354">
        <v>0</v>
      </c>
      <c r="F354">
        <v>0</v>
      </c>
      <c r="G354">
        <v>0</v>
      </c>
    </row>
    <row r="355" spans="3:7" x14ac:dyDescent="0.25">
      <c r="C355" s="308" t="s">
        <v>67</v>
      </c>
      <c r="D355">
        <v>0</v>
      </c>
      <c r="E355">
        <v>0</v>
      </c>
      <c r="F355">
        <v>0</v>
      </c>
      <c r="G355">
        <v>0</v>
      </c>
    </row>
    <row r="356" spans="3:7" x14ac:dyDescent="0.25">
      <c r="C356" s="308" t="s">
        <v>68</v>
      </c>
      <c r="D356">
        <v>0</v>
      </c>
      <c r="E356">
        <v>0</v>
      </c>
      <c r="F356">
        <v>0</v>
      </c>
      <c r="G356">
        <v>0</v>
      </c>
    </row>
    <row r="357" spans="3:7" x14ac:dyDescent="0.25">
      <c r="C357" s="308" t="s">
        <v>69</v>
      </c>
      <c r="D357">
        <v>0</v>
      </c>
      <c r="E357">
        <v>0</v>
      </c>
      <c r="F357">
        <v>0</v>
      </c>
      <c r="G357">
        <v>0</v>
      </c>
    </row>
    <row r="358" spans="3:7" x14ac:dyDescent="0.25">
      <c r="C358" s="308" t="s">
        <v>70</v>
      </c>
      <c r="D358">
        <v>0</v>
      </c>
      <c r="E358">
        <v>0</v>
      </c>
      <c r="F358">
        <v>0</v>
      </c>
      <c r="G358">
        <v>0</v>
      </c>
    </row>
    <row r="359" spans="3:7" x14ac:dyDescent="0.25">
      <c r="C359" s="308" t="s">
        <v>61</v>
      </c>
      <c r="D359">
        <v>0</v>
      </c>
      <c r="E359">
        <v>0</v>
      </c>
      <c r="F359">
        <v>0</v>
      </c>
      <c r="G359">
        <v>0</v>
      </c>
    </row>
    <row r="360" spans="3:7" x14ac:dyDescent="0.25">
      <c r="C360" s="308" t="s">
        <v>64</v>
      </c>
      <c r="D360">
        <v>0</v>
      </c>
      <c r="E360">
        <v>0</v>
      </c>
      <c r="F360">
        <v>0</v>
      </c>
      <c r="G360">
        <v>0</v>
      </c>
    </row>
    <row r="361" spans="3:7" x14ac:dyDescent="0.25">
      <c r="C361" s="308" t="s">
        <v>547</v>
      </c>
      <c r="D361">
        <v>0</v>
      </c>
      <c r="E361">
        <v>0</v>
      </c>
      <c r="F361">
        <v>0</v>
      </c>
      <c r="G361">
        <v>0</v>
      </c>
    </row>
    <row r="362" spans="3:7" x14ac:dyDescent="0.25">
      <c r="C362" s="308" t="s">
        <v>549</v>
      </c>
      <c r="D362">
        <v>0</v>
      </c>
      <c r="E362">
        <v>0</v>
      </c>
      <c r="F362">
        <v>0</v>
      </c>
      <c r="G362">
        <v>0</v>
      </c>
    </row>
    <row r="363" spans="3:7" x14ac:dyDescent="0.25">
      <c r="C363" s="308" t="s">
        <v>551</v>
      </c>
      <c r="D363">
        <v>0</v>
      </c>
      <c r="E363">
        <v>0</v>
      </c>
      <c r="F363">
        <v>0</v>
      </c>
      <c r="G363">
        <v>0</v>
      </c>
    </row>
    <row r="364" spans="3:7" x14ac:dyDescent="0.25">
      <c r="C364" s="308" t="s">
        <v>553</v>
      </c>
      <c r="D364">
        <v>0</v>
      </c>
      <c r="E364">
        <v>0</v>
      </c>
      <c r="F364">
        <v>1108272.6399999999</v>
      </c>
      <c r="G364">
        <v>0</v>
      </c>
    </row>
    <row r="365" spans="3:7" x14ac:dyDescent="0.25">
      <c r="C365" s="308" t="s">
        <v>552</v>
      </c>
      <c r="D365">
        <v>0</v>
      </c>
      <c r="E365">
        <v>0</v>
      </c>
      <c r="F365">
        <v>0</v>
      </c>
      <c r="G365">
        <v>0</v>
      </c>
    </row>
    <row r="366" spans="3:7" x14ac:dyDescent="0.25">
      <c r="C366" s="308" t="s">
        <v>71</v>
      </c>
      <c r="D366">
        <v>0</v>
      </c>
      <c r="E366">
        <v>2852087</v>
      </c>
      <c r="F366">
        <v>0</v>
      </c>
      <c r="G366">
        <v>0</v>
      </c>
    </row>
    <row r="367" spans="3:7" x14ac:dyDescent="0.25">
      <c r="C367" s="308" t="s">
        <v>72</v>
      </c>
      <c r="D367">
        <v>61274.11</v>
      </c>
      <c r="E367">
        <v>0</v>
      </c>
      <c r="F367">
        <v>0</v>
      </c>
      <c r="G367">
        <v>0</v>
      </c>
    </row>
    <row r="368" spans="3:7" x14ac:dyDescent="0.25">
      <c r="C368" s="308" t="s">
        <v>573</v>
      </c>
      <c r="D368">
        <v>0</v>
      </c>
      <c r="E368">
        <v>0</v>
      </c>
      <c r="F368">
        <v>0</v>
      </c>
      <c r="G368">
        <v>0</v>
      </c>
    </row>
    <row r="369" spans="3:7" x14ac:dyDescent="0.25">
      <c r="C369" s="308" t="s">
        <v>161</v>
      </c>
      <c r="D369">
        <v>0</v>
      </c>
      <c r="E369">
        <v>0</v>
      </c>
      <c r="F369">
        <v>0</v>
      </c>
      <c r="G369">
        <v>0</v>
      </c>
    </row>
    <row r="370" spans="3:7" x14ac:dyDescent="0.25">
      <c r="C370" s="308" t="s">
        <v>164</v>
      </c>
      <c r="D370">
        <v>0</v>
      </c>
      <c r="E370">
        <v>0</v>
      </c>
      <c r="F370">
        <v>0</v>
      </c>
      <c r="G370">
        <v>0</v>
      </c>
    </row>
    <row r="371" spans="3:7" x14ac:dyDescent="0.25">
      <c r="C371" s="308" t="s">
        <v>163</v>
      </c>
      <c r="D371">
        <v>0</v>
      </c>
      <c r="E371">
        <v>0</v>
      </c>
      <c r="F371">
        <v>0</v>
      </c>
      <c r="G371">
        <v>0</v>
      </c>
    </row>
    <row r="372" spans="3:7" x14ac:dyDescent="0.25">
      <c r="C372" s="308" t="s">
        <v>162</v>
      </c>
      <c r="D372">
        <v>0</v>
      </c>
      <c r="E372">
        <v>0</v>
      </c>
      <c r="F372">
        <v>0</v>
      </c>
      <c r="G372">
        <v>0</v>
      </c>
    </row>
    <row r="373" spans="3:7" x14ac:dyDescent="0.25">
      <c r="C373" s="308" t="s">
        <v>166</v>
      </c>
      <c r="D373">
        <v>0</v>
      </c>
      <c r="E373">
        <v>0</v>
      </c>
      <c r="F373">
        <v>0</v>
      </c>
      <c r="G373">
        <v>0</v>
      </c>
    </row>
    <row r="374" spans="3:7" x14ac:dyDescent="0.25">
      <c r="C374" s="308" t="s">
        <v>159</v>
      </c>
      <c r="D374">
        <v>0</v>
      </c>
      <c r="E374">
        <v>0</v>
      </c>
      <c r="F374">
        <v>0</v>
      </c>
      <c r="G374">
        <v>0</v>
      </c>
    </row>
    <row r="375" spans="3:7" x14ac:dyDescent="0.25">
      <c r="C375" s="308" t="s">
        <v>160</v>
      </c>
      <c r="D375">
        <v>0</v>
      </c>
      <c r="E375">
        <v>0</v>
      </c>
      <c r="F375">
        <v>0</v>
      </c>
      <c r="G375">
        <v>0</v>
      </c>
    </row>
    <row r="376" spans="3:7" x14ac:dyDescent="0.25">
      <c r="C376" s="308" t="s">
        <v>165</v>
      </c>
      <c r="D376">
        <v>0</v>
      </c>
      <c r="E376">
        <v>0</v>
      </c>
      <c r="F376">
        <v>0</v>
      </c>
      <c r="G376">
        <v>0</v>
      </c>
    </row>
    <row r="377" spans="3:7" x14ac:dyDescent="0.25">
      <c r="C377" s="308" t="s">
        <v>642</v>
      </c>
      <c r="D377">
        <v>0</v>
      </c>
      <c r="E377">
        <v>0</v>
      </c>
      <c r="F377">
        <v>0</v>
      </c>
      <c r="G377">
        <v>0</v>
      </c>
    </row>
    <row r="378" spans="3:7" x14ac:dyDescent="0.25">
      <c r="C378" s="308" t="s">
        <v>643</v>
      </c>
      <c r="D378">
        <v>0</v>
      </c>
      <c r="E378">
        <v>0</v>
      </c>
      <c r="F378">
        <v>0</v>
      </c>
      <c r="G378">
        <v>208713.56</v>
      </c>
    </row>
    <row r="379" spans="3:7" x14ac:dyDescent="0.25">
      <c r="C379" s="308" t="s">
        <v>644</v>
      </c>
      <c r="D379">
        <v>0</v>
      </c>
      <c r="E379">
        <v>0</v>
      </c>
      <c r="F379">
        <v>0</v>
      </c>
      <c r="G379">
        <v>0</v>
      </c>
    </row>
    <row r="380" spans="3:7" x14ac:dyDescent="0.25">
      <c r="C380" s="308" t="s">
        <v>167</v>
      </c>
      <c r="D380">
        <v>0</v>
      </c>
      <c r="E380">
        <v>446301</v>
      </c>
      <c r="F380">
        <v>0</v>
      </c>
      <c r="G380">
        <v>0</v>
      </c>
    </row>
    <row r="381" spans="3:7" x14ac:dyDescent="0.25">
      <c r="C381" s="308" t="s">
        <v>168</v>
      </c>
      <c r="D381">
        <v>74562</v>
      </c>
      <c r="E381">
        <v>0</v>
      </c>
      <c r="F381">
        <v>0</v>
      </c>
      <c r="G381">
        <v>0</v>
      </c>
    </row>
    <row r="382" spans="3:7" x14ac:dyDescent="0.25">
      <c r="C382" s="308" t="s">
        <v>175</v>
      </c>
      <c r="D382">
        <v>0</v>
      </c>
      <c r="E382">
        <v>0</v>
      </c>
      <c r="F382">
        <v>0</v>
      </c>
      <c r="G382">
        <v>0</v>
      </c>
    </row>
    <row r="383" spans="3:7" x14ac:dyDescent="0.25">
      <c r="C383" s="308" t="s">
        <v>176</v>
      </c>
      <c r="D383">
        <v>0</v>
      </c>
      <c r="E383">
        <v>0</v>
      </c>
      <c r="F383">
        <v>0</v>
      </c>
      <c r="G383">
        <v>0</v>
      </c>
    </row>
    <row r="384" spans="3:7" x14ac:dyDescent="0.25">
      <c r="C384" s="308" t="s">
        <v>177</v>
      </c>
      <c r="D384">
        <v>0</v>
      </c>
      <c r="E384">
        <v>0</v>
      </c>
      <c r="F384">
        <v>0</v>
      </c>
      <c r="G384">
        <v>0</v>
      </c>
    </row>
    <row r="385" spans="3:7" x14ac:dyDescent="0.25">
      <c r="C385" s="308" t="s">
        <v>315</v>
      </c>
      <c r="D385">
        <v>0</v>
      </c>
      <c r="E385">
        <v>20899</v>
      </c>
      <c r="F385">
        <v>0</v>
      </c>
      <c r="G385">
        <v>100502.93</v>
      </c>
    </row>
    <row r="386" spans="3:7" x14ac:dyDescent="0.25">
      <c r="C386" s="308" t="s">
        <v>316</v>
      </c>
      <c r="D386">
        <v>0</v>
      </c>
      <c r="E386">
        <v>75747</v>
      </c>
      <c r="F386">
        <v>486323.88</v>
      </c>
      <c r="G386">
        <v>0</v>
      </c>
    </row>
    <row r="387" spans="3:7" x14ac:dyDescent="0.25">
      <c r="C387" s="308" t="s">
        <v>781</v>
      </c>
      <c r="D387">
        <v>0</v>
      </c>
      <c r="E387">
        <v>0</v>
      </c>
      <c r="F387">
        <v>0</v>
      </c>
      <c r="G387">
        <v>0</v>
      </c>
    </row>
    <row r="388" spans="3:7" x14ac:dyDescent="0.25">
      <c r="C388" s="308" t="s">
        <v>317</v>
      </c>
      <c r="D388">
        <v>0</v>
      </c>
      <c r="E388">
        <v>20899</v>
      </c>
      <c r="F388">
        <v>0</v>
      </c>
      <c r="G388">
        <v>80872.929999999993</v>
      </c>
    </row>
    <row r="389" spans="3:7" x14ac:dyDescent="0.25">
      <c r="C389" s="308" t="s">
        <v>351</v>
      </c>
      <c r="D389">
        <v>0</v>
      </c>
      <c r="E389">
        <v>0</v>
      </c>
      <c r="F389">
        <v>0</v>
      </c>
      <c r="G389">
        <v>0</v>
      </c>
    </row>
    <row r="390" spans="3:7" x14ac:dyDescent="0.25">
      <c r="C390" s="308" t="s">
        <v>357</v>
      </c>
      <c r="D390">
        <v>0</v>
      </c>
      <c r="E390">
        <v>0</v>
      </c>
      <c r="F390">
        <v>0</v>
      </c>
      <c r="G390">
        <v>0</v>
      </c>
    </row>
    <row r="391" spans="3:7" x14ac:dyDescent="0.25">
      <c r="C391" s="308" t="s">
        <v>353</v>
      </c>
      <c r="D391">
        <v>0</v>
      </c>
      <c r="E391">
        <v>0</v>
      </c>
      <c r="F391">
        <v>0</v>
      </c>
      <c r="G391">
        <v>0</v>
      </c>
    </row>
    <row r="392" spans="3:7" x14ac:dyDescent="0.25">
      <c r="C392" s="308" t="s">
        <v>352</v>
      </c>
      <c r="D392">
        <v>0</v>
      </c>
      <c r="E392">
        <v>0</v>
      </c>
      <c r="F392">
        <v>0</v>
      </c>
      <c r="G392">
        <v>0</v>
      </c>
    </row>
    <row r="393" spans="3:7" x14ac:dyDescent="0.25">
      <c r="C393" s="308" t="s">
        <v>354</v>
      </c>
      <c r="D393">
        <v>0</v>
      </c>
      <c r="E393">
        <v>0</v>
      </c>
      <c r="F393">
        <v>0</v>
      </c>
      <c r="G393">
        <v>0</v>
      </c>
    </row>
    <row r="394" spans="3:7" x14ac:dyDescent="0.25">
      <c r="C394" s="308" t="s">
        <v>355</v>
      </c>
      <c r="D394">
        <v>0</v>
      </c>
      <c r="E394">
        <v>0</v>
      </c>
      <c r="F394">
        <v>0</v>
      </c>
      <c r="G394">
        <v>0</v>
      </c>
    </row>
    <row r="395" spans="3:7" x14ac:dyDescent="0.25">
      <c r="C395" s="308" t="s">
        <v>356</v>
      </c>
      <c r="D395">
        <v>0</v>
      </c>
      <c r="E395">
        <v>0</v>
      </c>
      <c r="F395">
        <v>0</v>
      </c>
      <c r="G395">
        <v>0</v>
      </c>
    </row>
    <row r="396" spans="3:7" x14ac:dyDescent="0.25">
      <c r="C396" s="308" t="s">
        <v>362</v>
      </c>
      <c r="D396">
        <v>0</v>
      </c>
      <c r="E396">
        <v>0</v>
      </c>
      <c r="F396">
        <v>0</v>
      </c>
      <c r="G396">
        <v>0</v>
      </c>
    </row>
    <row r="397" spans="3:7" x14ac:dyDescent="0.25">
      <c r="C397" s="308" t="s">
        <v>359</v>
      </c>
      <c r="D397">
        <v>0</v>
      </c>
      <c r="E397">
        <v>0</v>
      </c>
      <c r="F397">
        <v>0</v>
      </c>
      <c r="G397">
        <v>0</v>
      </c>
    </row>
    <row r="398" spans="3:7" x14ac:dyDescent="0.25">
      <c r="C398" s="308" t="s">
        <v>360</v>
      </c>
      <c r="D398">
        <v>0</v>
      </c>
      <c r="E398">
        <v>0</v>
      </c>
      <c r="F398">
        <v>0</v>
      </c>
      <c r="G398">
        <v>0</v>
      </c>
    </row>
    <row r="399" spans="3:7" x14ac:dyDescent="0.25">
      <c r="C399" s="308" t="s">
        <v>363</v>
      </c>
      <c r="D399">
        <v>0</v>
      </c>
      <c r="E399">
        <v>0</v>
      </c>
      <c r="F399">
        <v>0</v>
      </c>
      <c r="G399">
        <v>0</v>
      </c>
    </row>
    <row r="400" spans="3:7" x14ac:dyDescent="0.25">
      <c r="C400" s="308" t="s">
        <v>364</v>
      </c>
      <c r="D400">
        <v>0</v>
      </c>
      <c r="E400">
        <v>0</v>
      </c>
      <c r="F400">
        <v>0</v>
      </c>
      <c r="G400">
        <v>0</v>
      </c>
    </row>
    <row r="401" spans="3:7" x14ac:dyDescent="0.25">
      <c r="C401" s="308" t="s">
        <v>365</v>
      </c>
      <c r="D401">
        <v>0</v>
      </c>
      <c r="E401">
        <v>0</v>
      </c>
      <c r="F401">
        <v>0</v>
      </c>
      <c r="G401">
        <v>0</v>
      </c>
    </row>
    <row r="402" spans="3:7" x14ac:dyDescent="0.25">
      <c r="C402" s="308" t="s">
        <v>366</v>
      </c>
      <c r="D402">
        <v>0</v>
      </c>
      <c r="E402">
        <v>0</v>
      </c>
      <c r="F402">
        <v>0</v>
      </c>
      <c r="G402">
        <v>0</v>
      </c>
    </row>
    <row r="403" spans="3:7" x14ac:dyDescent="0.25">
      <c r="C403" s="308" t="s">
        <v>367</v>
      </c>
      <c r="D403">
        <v>0</v>
      </c>
      <c r="E403">
        <v>0</v>
      </c>
      <c r="F403">
        <v>0</v>
      </c>
      <c r="G403">
        <v>0</v>
      </c>
    </row>
    <row r="404" spans="3:7" x14ac:dyDescent="0.25">
      <c r="C404" s="308" t="s">
        <v>350</v>
      </c>
      <c r="D404">
        <v>0</v>
      </c>
      <c r="E404">
        <v>0</v>
      </c>
      <c r="F404">
        <v>0</v>
      </c>
      <c r="G404">
        <v>0</v>
      </c>
    </row>
    <row r="405" spans="3:7" x14ac:dyDescent="0.25">
      <c r="C405" s="308" t="s">
        <v>358</v>
      </c>
      <c r="D405">
        <v>0</v>
      </c>
      <c r="E405">
        <v>0</v>
      </c>
      <c r="F405">
        <v>0</v>
      </c>
      <c r="G405">
        <v>0</v>
      </c>
    </row>
    <row r="406" spans="3:7" x14ac:dyDescent="0.25">
      <c r="C406" s="308" t="s">
        <v>361</v>
      </c>
      <c r="D406">
        <v>0</v>
      </c>
      <c r="E406">
        <v>0</v>
      </c>
      <c r="F406">
        <v>0</v>
      </c>
      <c r="G406">
        <v>0</v>
      </c>
    </row>
    <row r="407" spans="3:7" x14ac:dyDescent="0.25">
      <c r="C407" s="308" t="s">
        <v>548</v>
      </c>
      <c r="D407">
        <v>0</v>
      </c>
      <c r="E407">
        <v>0</v>
      </c>
      <c r="F407">
        <v>0</v>
      </c>
      <c r="G407">
        <v>0</v>
      </c>
    </row>
    <row r="408" spans="3:7" x14ac:dyDescent="0.25">
      <c r="C408" s="308" t="s">
        <v>811</v>
      </c>
      <c r="D408">
        <v>0</v>
      </c>
      <c r="E408">
        <v>0</v>
      </c>
      <c r="F408">
        <v>0</v>
      </c>
      <c r="G408">
        <v>0</v>
      </c>
    </row>
    <row r="409" spans="3:7" x14ac:dyDescent="0.25">
      <c r="C409" s="308" t="s">
        <v>812</v>
      </c>
      <c r="D409">
        <v>0</v>
      </c>
      <c r="E409">
        <v>0</v>
      </c>
      <c r="F409">
        <v>0</v>
      </c>
      <c r="G409">
        <v>449757.14</v>
      </c>
    </row>
    <row r="410" spans="3:7" x14ac:dyDescent="0.25">
      <c r="C410" s="308" t="s">
        <v>878</v>
      </c>
      <c r="D410">
        <v>0</v>
      </c>
      <c r="E410">
        <v>0</v>
      </c>
      <c r="F410">
        <v>0</v>
      </c>
      <c r="G410">
        <v>0</v>
      </c>
    </row>
    <row r="411" spans="3:7" x14ac:dyDescent="0.25">
      <c r="C411" s="308" t="s">
        <v>813</v>
      </c>
      <c r="D411">
        <v>0</v>
      </c>
      <c r="E411">
        <v>0</v>
      </c>
      <c r="F411">
        <v>0</v>
      </c>
      <c r="G411">
        <v>0</v>
      </c>
    </row>
    <row r="412" spans="3:7" x14ac:dyDescent="0.25">
      <c r="C412" s="308" t="s">
        <v>368</v>
      </c>
      <c r="D412">
        <v>0</v>
      </c>
      <c r="E412">
        <v>2852634</v>
      </c>
      <c r="F412">
        <v>0</v>
      </c>
      <c r="G412">
        <v>0</v>
      </c>
    </row>
    <row r="413" spans="3:7" x14ac:dyDescent="0.25">
      <c r="C413" s="308" t="s">
        <v>369</v>
      </c>
      <c r="D413">
        <v>53295.15</v>
      </c>
      <c r="E413">
        <v>0</v>
      </c>
      <c r="F413">
        <v>0</v>
      </c>
      <c r="G413">
        <v>0</v>
      </c>
    </row>
    <row r="414" spans="3:7" x14ac:dyDescent="0.25">
      <c r="C414" s="308" t="s">
        <v>1366</v>
      </c>
      <c r="D414">
        <v>0</v>
      </c>
      <c r="E414">
        <v>0</v>
      </c>
      <c r="F414">
        <v>0</v>
      </c>
      <c r="G414">
        <v>0</v>
      </c>
    </row>
    <row r="415" spans="3:7" x14ac:dyDescent="0.25">
      <c r="C415" s="308" t="s">
        <v>1360</v>
      </c>
      <c r="D415">
        <v>0</v>
      </c>
      <c r="E415">
        <v>0</v>
      </c>
      <c r="F415">
        <v>0</v>
      </c>
      <c r="G415">
        <v>0</v>
      </c>
    </row>
    <row r="416" spans="3:7" x14ac:dyDescent="0.25">
      <c r="C416" s="16" t="s">
        <v>478</v>
      </c>
      <c r="D416">
        <v>207000</v>
      </c>
      <c r="E416">
        <v>0</v>
      </c>
      <c r="F416">
        <v>348000</v>
      </c>
      <c r="G416">
        <v>0</v>
      </c>
    </row>
    <row r="417" spans="3:7" x14ac:dyDescent="0.25">
      <c r="C417" s="308" t="s">
        <v>479</v>
      </c>
      <c r="D417">
        <v>0</v>
      </c>
      <c r="E417">
        <v>0</v>
      </c>
      <c r="F417">
        <v>0</v>
      </c>
      <c r="G417">
        <v>0</v>
      </c>
    </row>
    <row r="418" spans="3:7" x14ac:dyDescent="0.25">
      <c r="C418" s="308" t="s">
        <v>21</v>
      </c>
      <c r="D418">
        <v>4500</v>
      </c>
      <c r="E418">
        <v>0</v>
      </c>
      <c r="F418">
        <v>4000</v>
      </c>
      <c r="G418">
        <v>0</v>
      </c>
    </row>
    <row r="419" spans="3:7" x14ac:dyDescent="0.25">
      <c r="C419" s="308" t="s">
        <v>529</v>
      </c>
      <c r="D419">
        <v>0</v>
      </c>
      <c r="E419">
        <v>0</v>
      </c>
      <c r="F419">
        <v>2000</v>
      </c>
      <c r="G419">
        <v>0</v>
      </c>
    </row>
    <row r="420" spans="3:7" x14ac:dyDescent="0.25">
      <c r="C420" s="308" t="s">
        <v>76</v>
      </c>
      <c r="D420">
        <v>4000</v>
      </c>
      <c r="E420">
        <v>0</v>
      </c>
      <c r="F420">
        <v>7000</v>
      </c>
      <c r="G420">
        <v>0</v>
      </c>
    </row>
    <row r="421" spans="3:7" x14ac:dyDescent="0.25">
      <c r="C421" s="308" t="s">
        <v>597</v>
      </c>
      <c r="D421">
        <v>0</v>
      </c>
      <c r="E421">
        <v>0</v>
      </c>
      <c r="F421">
        <v>0</v>
      </c>
      <c r="G421">
        <v>0</v>
      </c>
    </row>
    <row r="422" spans="3:7" x14ac:dyDescent="0.25">
      <c r="C422" s="308" t="s">
        <v>596</v>
      </c>
      <c r="D422">
        <v>0</v>
      </c>
      <c r="E422">
        <v>0</v>
      </c>
      <c r="F422">
        <v>0</v>
      </c>
      <c r="G422">
        <v>0</v>
      </c>
    </row>
    <row r="423" spans="3:7" x14ac:dyDescent="0.25">
      <c r="C423" s="308" t="s">
        <v>117</v>
      </c>
      <c r="D423">
        <v>6000</v>
      </c>
      <c r="E423">
        <v>0</v>
      </c>
      <c r="F423">
        <v>0</v>
      </c>
      <c r="G423">
        <v>0</v>
      </c>
    </row>
    <row r="424" spans="3:7" x14ac:dyDescent="0.25">
      <c r="C424" s="308" t="s">
        <v>599</v>
      </c>
      <c r="D424">
        <v>0</v>
      </c>
      <c r="E424">
        <v>0</v>
      </c>
      <c r="F424">
        <v>0</v>
      </c>
      <c r="G424">
        <v>0</v>
      </c>
    </row>
    <row r="425" spans="3:7" x14ac:dyDescent="0.25">
      <c r="C425" s="308" t="s">
        <v>638</v>
      </c>
      <c r="D425">
        <v>27000</v>
      </c>
      <c r="E425">
        <v>0</v>
      </c>
      <c r="F425">
        <v>38000</v>
      </c>
      <c r="G425">
        <v>0</v>
      </c>
    </row>
    <row r="426" spans="3:7" x14ac:dyDescent="0.25">
      <c r="C426" s="308" t="s">
        <v>207</v>
      </c>
      <c r="D426">
        <v>66000</v>
      </c>
      <c r="E426">
        <v>0</v>
      </c>
      <c r="F426">
        <v>92000</v>
      </c>
      <c r="G426">
        <v>0</v>
      </c>
    </row>
    <row r="427" spans="3:7" x14ac:dyDescent="0.25">
      <c r="C427" s="308" t="s">
        <v>215</v>
      </c>
      <c r="D427">
        <v>6000</v>
      </c>
      <c r="E427">
        <v>0</v>
      </c>
      <c r="F427">
        <v>23000</v>
      </c>
      <c r="G427">
        <v>0</v>
      </c>
    </row>
    <row r="428" spans="3:7" x14ac:dyDescent="0.25">
      <c r="C428" s="308" t="s">
        <v>230</v>
      </c>
      <c r="D428">
        <v>11000</v>
      </c>
      <c r="E428">
        <v>0</v>
      </c>
      <c r="F428">
        <v>0</v>
      </c>
      <c r="G428">
        <v>0</v>
      </c>
    </row>
    <row r="429" spans="3:7" x14ac:dyDescent="0.25">
      <c r="C429" s="308" t="s">
        <v>698</v>
      </c>
      <c r="D429">
        <v>0</v>
      </c>
      <c r="E429">
        <v>0</v>
      </c>
      <c r="F429">
        <v>6000</v>
      </c>
      <c r="G429">
        <v>0</v>
      </c>
    </row>
    <row r="430" spans="3:7" x14ac:dyDescent="0.25">
      <c r="C430" s="308" t="s">
        <v>233</v>
      </c>
      <c r="D430">
        <v>8000</v>
      </c>
      <c r="E430">
        <v>0</v>
      </c>
      <c r="F430">
        <v>26000</v>
      </c>
      <c r="G430">
        <v>0</v>
      </c>
    </row>
    <row r="431" spans="3:7" x14ac:dyDescent="0.25">
      <c r="C431" s="308" t="s">
        <v>707</v>
      </c>
      <c r="D431">
        <v>2000</v>
      </c>
      <c r="E431">
        <v>0</v>
      </c>
      <c r="F431">
        <v>15000</v>
      </c>
      <c r="G431">
        <v>0</v>
      </c>
    </row>
    <row r="432" spans="3:7" x14ac:dyDescent="0.25">
      <c r="C432" s="308" t="s">
        <v>711</v>
      </c>
      <c r="D432">
        <v>0</v>
      </c>
      <c r="E432">
        <v>0</v>
      </c>
      <c r="F432">
        <v>4000</v>
      </c>
      <c r="G432">
        <v>0</v>
      </c>
    </row>
    <row r="433" spans="1:7" x14ac:dyDescent="0.25">
      <c r="C433" s="308" t="s">
        <v>246</v>
      </c>
      <c r="D433">
        <v>1000</v>
      </c>
      <c r="E433">
        <v>0</v>
      </c>
      <c r="F433">
        <v>0</v>
      </c>
      <c r="G433">
        <v>0</v>
      </c>
    </row>
    <row r="434" spans="1:7" x14ac:dyDescent="0.25">
      <c r="C434" s="308" t="s">
        <v>713</v>
      </c>
      <c r="D434">
        <v>0</v>
      </c>
      <c r="E434">
        <v>0</v>
      </c>
      <c r="F434">
        <v>34000</v>
      </c>
      <c r="G434">
        <v>0</v>
      </c>
    </row>
    <row r="435" spans="1:7" x14ac:dyDescent="0.25">
      <c r="C435" s="308" t="s">
        <v>249</v>
      </c>
      <c r="D435">
        <v>12000</v>
      </c>
      <c r="E435">
        <v>0</v>
      </c>
      <c r="F435">
        <v>0</v>
      </c>
      <c r="G435">
        <v>0</v>
      </c>
    </row>
    <row r="436" spans="1:7" x14ac:dyDescent="0.25">
      <c r="C436" s="308" t="s">
        <v>744</v>
      </c>
      <c r="D436">
        <v>0</v>
      </c>
      <c r="E436">
        <v>0</v>
      </c>
      <c r="F436">
        <v>0</v>
      </c>
      <c r="G436">
        <v>0</v>
      </c>
    </row>
    <row r="437" spans="1:7" x14ac:dyDescent="0.25">
      <c r="C437" s="308" t="s">
        <v>774</v>
      </c>
      <c r="D437">
        <v>0</v>
      </c>
      <c r="E437">
        <v>0</v>
      </c>
      <c r="F437">
        <v>0</v>
      </c>
      <c r="G437">
        <v>0</v>
      </c>
    </row>
    <row r="438" spans="1:7" x14ac:dyDescent="0.25">
      <c r="C438" s="308" t="s">
        <v>480</v>
      </c>
      <c r="D438">
        <v>0</v>
      </c>
      <c r="E438">
        <v>0</v>
      </c>
      <c r="F438">
        <v>0</v>
      </c>
      <c r="G438">
        <v>0</v>
      </c>
    </row>
    <row r="439" spans="1:7" x14ac:dyDescent="0.25">
      <c r="C439" s="308" t="s">
        <v>311</v>
      </c>
      <c r="D439">
        <v>11000</v>
      </c>
      <c r="E439">
        <v>0</v>
      </c>
      <c r="F439">
        <v>0</v>
      </c>
      <c r="G439">
        <v>0</v>
      </c>
    </row>
    <row r="440" spans="1:7" x14ac:dyDescent="0.25">
      <c r="C440" s="308" t="s">
        <v>779</v>
      </c>
      <c r="D440">
        <v>0</v>
      </c>
      <c r="E440">
        <v>0</v>
      </c>
      <c r="F440">
        <v>2000</v>
      </c>
      <c r="G440">
        <v>0</v>
      </c>
    </row>
    <row r="441" spans="1:7" x14ac:dyDescent="0.25">
      <c r="C441" s="308" t="s">
        <v>793</v>
      </c>
      <c r="D441">
        <v>0</v>
      </c>
      <c r="E441">
        <v>0</v>
      </c>
      <c r="F441">
        <v>0</v>
      </c>
      <c r="G441">
        <v>0</v>
      </c>
    </row>
    <row r="442" spans="1:7" x14ac:dyDescent="0.25">
      <c r="C442" s="308" t="s">
        <v>805</v>
      </c>
      <c r="D442">
        <v>0</v>
      </c>
      <c r="E442">
        <v>0</v>
      </c>
      <c r="F442">
        <v>0</v>
      </c>
      <c r="G442">
        <v>0</v>
      </c>
    </row>
    <row r="443" spans="1:7" x14ac:dyDescent="0.25">
      <c r="C443" s="308" t="s">
        <v>815</v>
      </c>
      <c r="D443">
        <v>0</v>
      </c>
      <c r="E443">
        <v>0</v>
      </c>
      <c r="F443">
        <v>0</v>
      </c>
      <c r="G443">
        <v>0</v>
      </c>
    </row>
    <row r="444" spans="1:7" x14ac:dyDescent="0.25">
      <c r="C444" s="308" t="s">
        <v>392</v>
      </c>
      <c r="D444">
        <v>2500</v>
      </c>
      <c r="E444">
        <v>0</v>
      </c>
      <c r="F444">
        <v>0</v>
      </c>
      <c r="G444">
        <v>0</v>
      </c>
    </row>
    <row r="445" spans="1:7" x14ac:dyDescent="0.25">
      <c r="C445" s="308" t="s">
        <v>834</v>
      </c>
      <c r="D445">
        <v>37000</v>
      </c>
      <c r="E445">
        <v>0</v>
      </c>
      <c r="F445">
        <v>73000</v>
      </c>
      <c r="G445">
        <v>0</v>
      </c>
    </row>
    <row r="446" spans="1:7" x14ac:dyDescent="0.25">
      <c r="C446" s="308" t="s">
        <v>396</v>
      </c>
      <c r="D446">
        <v>4000</v>
      </c>
      <c r="E446">
        <v>0</v>
      </c>
      <c r="F446">
        <v>22000</v>
      </c>
      <c r="G446">
        <v>0</v>
      </c>
    </row>
    <row r="447" spans="1:7" s="259" customFormat="1" ht="18.75" customHeight="1" x14ac:dyDescent="0.25">
      <c r="A447"/>
      <c r="B447"/>
      <c r="C447" s="308" t="s">
        <v>842</v>
      </c>
      <c r="D447">
        <v>0</v>
      </c>
      <c r="E447">
        <v>0</v>
      </c>
      <c r="F447">
        <v>0</v>
      </c>
      <c r="G447">
        <v>0</v>
      </c>
    </row>
    <row r="448" spans="1:7" s="259" customFormat="1" x14ac:dyDescent="0.25">
      <c r="A448"/>
      <c r="B448"/>
      <c r="C448" s="308" t="s">
        <v>436</v>
      </c>
      <c r="D448">
        <v>5000</v>
      </c>
      <c r="E448">
        <v>0</v>
      </c>
      <c r="F448">
        <v>0</v>
      </c>
      <c r="G448">
        <v>0</v>
      </c>
    </row>
    <row r="449" spans="1:7" s="259" customFormat="1" x14ac:dyDescent="0.25">
      <c r="C449" s="1583" t="s">
        <v>581</v>
      </c>
      <c r="D449" s="259">
        <v>465777</v>
      </c>
      <c r="E449" s="259">
        <v>0</v>
      </c>
      <c r="F449" s="259">
        <v>464500</v>
      </c>
      <c r="G449" s="259">
        <v>0</v>
      </c>
    </row>
    <row r="450" spans="1:7" s="259" customFormat="1" x14ac:dyDescent="0.25">
      <c r="C450" s="1584" t="s">
        <v>101</v>
      </c>
      <c r="D450" s="259">
        <v>6800</v>
      </c>
      <c r="E450" s="259">
        <v>0</v>
      </c>
      <c r="F450" s="259">
        <v>6800</v>
      </c>
      <c r="G450" s="259">
        <v>0</v>
      </c>
    </row>
    <row r="451" spans="1:7" s="259" customFormat="1" x14ac:dyDescent="0.25">
      <c r="C451" s="1584" t="s">
        <v>106</v>
      </c>
      <c r="D451" s="259">
        <v>248200</v>
      </c>
      <c r="E451" s="259">
        <v>0</v>
      </c>
      <c r="F451" s="259">
        <v>248200</v>
      </c>
      <c r="G451" s="259">
        <v>0</v>
      </c>
    </row>
    <row r="452" spans="1:7" x14ac:dyDescent="0.25">
      <c r="A452" s="259"/>
      <c r="B452" s="259"/>
      <c r="C452" s="1584" t="s">
        <v>585</v>
      </c>
      <c r="D452" s="259">
        <v>200000</v>
      </c>
      <c r="E452" s="259">
        <v>0</v>
      </c>
      <c r="F452" s="259">
        <v>200000</v>
      </c>
      <c r="G452" s="259">
        <v>0</v>
      </c>
    </row>
    <row r="453" spans="1:7" x14ac:dyDescent="0.25">
      <c r="A453" s="259"/>
      <c r="B453" s="259"/>
      <c r="C453" s="1584" t="s">
        <v>586</v>
      </c>
      <c r="D453" s="259">
        <v>10777</v>
      </c>
      <c r="E453" s="259">
        <v>0</v>
      </c>
      <c r="F453" s="259">
        <v>9500</v>
      </c>
      <c r="G453" s="259">
        <v>0</v>
      </c>
    </row>
    <row r="454" spans="1:7" x14ac:dyDescent="0.25">
      <c r="C454" s="16" t="s">
        <v>700</v>
      </c>
      <c r="D454">
        <v>0</v>
      </c>
      <c r="E454">
        <v>0</v>
      </c>
      <c r="F454">
        <v>7904595</v>
      </c>
      <c r="G454">
        <v>0</v>
      </c>
    </row>
    <row r="455" spans="1:7" x14ac:dyDescent="0.25">
      <c r="C455" s="308" t="s">
        <v>699</v>
      </c>
      <c r="D455">
        <v>0</v>
      </c>
      <c r="E455">
        <v>0</v>
      </c>
      <c r="F455">
        <v>0</v>
      </c>
      <c r="G455">
        <v>0</v>
      </c>
    </row>
    <row r="456" spans="1:7" x14ac:dyDescent="0.25">
      <c r="C456" s="308" t="s">
        <v>701</v>
      </c>
      <c r="D456">
        <v>0</v>
      </c>
      <c r="E456">
        <v>0</v>
      </c>
      <c r="F456">
        <v>0</v>
      </c>
      <c r="G456">
        <v>0</v>
      </c>
    </row>
    <row r="457" spans="1:7" x14ac:dyDescent="0.25">
      <c r="C457" s="308" t="s">
        <v>234</v>
      </c>
      <c r="D457">
        <v>0</v>
      </c>
      <c r="E457">
        <v>0</v>
      </c>
      <c r="F457">
        <v>1021090</v>
      </c>
      <c r="G457">
        <v>0</v>
      </c>
    </row>
    <row r="458" spans="1:7" x14ac:dyDescent="0.25">
      <c r="C458" s="308" t="s">
        <v>236</v>
      </c>
      <c r="D458">
        <v>0</v>
      </c>
      <c r="E458">
        <v>0</v>
      </c>
      <c r="F458">
        <v>0</v>
      </c>
      <c r="G458">
        <v>0</v>
      </c>
    </row>
    <row r="459" spans="1:7" x14ac:dyDescent="0.25">
      <c r="C459" s="308" t="s">
        <v>235</v>
      </c>
      <c r="D459">
        <v>0</v>
      </c>
      <c r="E459">
        <v>0</v>
      </c>
      <c r="F459">
        <v>6404071</v>
      </c>
      <c r="G459">
        <v>0</v>
      </c>
    </row>
    <row r="460" spans="1:7" x14ac:dyDescent="0.25">
      <c r="C460" s="308" t="s">
        <v>237</v>
      </c>
      <c r="D460">
        <v>0</v>
      </c>
      <c r="E460">
        <v>0</v>
      </c>
      <c r="F460">
        <v>479434</v>
      </c>
      <c r="G460">
        <v>0</v>
      </c>
    </row>
    <row r="461" spans="1:7" x14ac:dyDescent="0.25">
      <c r="B461" s="16" t="s">
        <v>1339</v>
      </c>
      <c r="D461">
        <v>30066783.5</v>
      </c>
      <c r="E461">
        <v>6268567</v>
      </c>
      <c r="F461">
        <v>26972270.52</v>
      </c>
      <c r="G461">
        <v>839846.56</v>
      </c>
    </row>
    <row r="462" spans="1:7" x14ac:dyDescent="0.25">
      <c r="A462" s="16" t="s">
        <v>1399</v>
      </c>
      <c r="D462">
        <v>30066783.5</v>
      </c>
      <c r="E462">
        <v>6268567</v>
      </c>
      <c r="F462">
        <v>26972270.52</v>
      </c>
      <c r="G462">
        <v>839846.56</v>
      </c>
    </row>
    <row r="463" spans="1:7" x14ac:dyDescent="0.25">
      <c r="A463" s="16">
        <v>13</v>
      </c>
      <c r="B463" s="16" t="s">
        <v>1440</v>
      </c>
      <c r="C463" s="16" t="s">
        <v>583</v>
      </c>
      <c r="D463">
        <v>1985304</v>
      </c>
      <c r="E463">
        <v>0</v>
      </c>
      <c r="F463">
        <v>2213235</v>
      </c>
      <c r="G463">
        <v>0</v>
      </c>
    </row>
    <row r="464" spans="1:7" x14ac:dyDescent="0.25">
      <c r="C464" s="308" t="s">
        <v>582</v>
      </c>
      <c r="D464">
        <v>0</v>
      </c>
      <c r="E464">
        <v>0</v>
      </c>
      <c r="F464">
        <v>0</v>
      </c>
      <c r="G464">
        <v>0</v>
      </c>
    </row>
    <row r="465" spans="1:7" x14ac:dyDescent="0.25">
      <c r="C465" s="308" t="s">
        <v>107</v>
      </c>
      <c r="D465">
        <v>206250</v>
      </c>
      <c r="E465">
        <v>0</v>
      </c>
      <c r="F465">
        <v>0</v>
      </c>
      <c r="G465">
        <v>0</v>
      </c>
    </row>
    <row r="466" spans="1:7" x14ac:dyDescent="0.25">
      <c r="C466" s="308" t="s">
        <v>108</v>
      </c>
      <c r="D466">
        <v>125000</v>
      </c>
      <c r="E466">
        <v>0</v>
      </c>
      <c r="F466">
        <v>125000</v>
      </c>
      <c r="G466">
        <v>0</v>
      </c>
    </row>
    <row r="467" spans="1:7" x14ac:dyDescent="0.25">
      <c r="C467" s="308" t="s">
        <v>589</v>
      </c>
      <c r="D467">
        <v>0</v>
      </c>
      <c r="E467">
        <v>0</v>
      </c>
      <c r="F467">
        <v>0</v>
      </c>
      <c r="G467">
        <v>0</v>
      </c>
    </row>
    <row r="468" spans="1:7" x14ac:dyDescent="0.25">
      <c r="C468" s="308" t="s">
        <v>623</v>
      </c>
      <c r="D468">
        <v>0</v>
      </c>
      <c r="E468">
        <v>0</v>
      </c>
      <c r="F468">
        <v>0</v>
      </c>
      <c r="G468">
        <v>0</v>
      </c>
    </row>
    <row r="469" spans="1:7" x14ac:dyDescent="0.25">
      <c r="C469" s="308" t="s">
        <v>624</v>
      </c>
      <c r="D469">
        <v>0</v>
      </c>
      <c r="E469">
        <v>0</v>
      </c>
      <c r="F469">
        <v>447710</v>
      </c>
      <c r="G469">
        <v>0</v>
      </c>
    </row>
    <row r="470" spans="1:7" x14ac:dyDescent="0.25">
      <c r="C470" s="308" t="s">
        <v>140</v>
      </c>
      <c r="D470">
        <v>1654054</v>
      </c>
      <c r="E470">
        <v>0</v>
      </c>
      <c r="F470">
        <v>1508572</v>
      </c>
      <c r="G470">
        <v>0</v>
      </c>
    </row>
    <row r="471" spans="1:7" x14ac:dyDescent="0.25">
      <c r="C471" s="308" t="s">
        <v>195</v>
      </c>
      <c r="D471">
        <v>0</v>
      </c>
      <c r="E471">
        <v>0</v>
      </c>
      <c r="F471">
        <v>131953</v>
      </c>
      <c r="G471">
        <v>0</v>
      </c>
    </row>
    <row r="472" spans="1:7" x14ac:dyDescent="0.25">
      <c r="B472" s="16" t="s">
        <v>2306</v>
      </c>
      <c r="D472">
        <v>1985304</v>
      </c>
      <c r="E472">
        <v>0</v>
      </c>
      <c r="F472">
        <v>2213235</v>
      </c>
      <c r="G472">
        <v>0</v>
      </c>
    </row>
    <row r="473" spans="1:7" x14ac:dyDescent="0.25">
      <c r="A473" s="16" t="s">
        <v>1400</v>
      </c>
      <c r="D473">
        <v>1985304</v>
      </c>
      <c r="E473">
        <v>0</v>
      </c>
      <c r="F473">
        <v>2213235</v>
      </c>
      <c r="G473">
        <v>0</v>
      </c>
    </row>
    <row r="474" spans="1:7" x14ac:dyDescent="0.25">
      <c r="A474" s="16">
        <v>15</v>
      </c>
      <c r="B474" s="16" t="s">
        <v>469</v>
      </c>
      <c r="C474" s="16" t="s">
        <v>470</v>
      </c>
      <c r="D474">
        <v>105764920.43000001</v>
      </c>
      <c r="E474">
        <v>0</v>
      </c>
      <c r="F474">
        <v>75012283</v>
      </c>
      <c r="G474">
        <v>32648</v>
      </c>
    </row>
    <row r="475" spans="1:7" x14ac:dyDescent="0.25">
      <c r="C475" s="308" t="s">
        <v>17</v>
      </c>
      <c r="D475">
        <v>3825310</v>
      </c>
      <c r="E475">
        <v>0</v>
      </c>
      <c r="F475">
        <v>1426108</v>
      </c>
      <c r="G475">
        <v>0</v>
      </c>
    </row>
    <row r="476" spans="1:7" x14ac:dyDescent="0.25">
      <c r="C476" s="308" t="s">
        <v>472</v>
      </c>
      <c r="D476">
        <v>3124400</v>
      </c>
      <c r="E476">
        <v>0</v>
      </c>
      <c r="F476">
        <v>1152502</v>
      </c>
      <c r="G476">
        <v>0</v>
      </c>
    </row>
    <row r="477" spans="1:7" x14ac:dyDescent="0.25">
      <c r="C477" s="308" t="s">
        <v>20</v>
      </c>
      <c r="D477">
        <v>7858026.4299999997</v>
      </c>
      <c r="E477">
        <v>0</v>
      </c>
      <c r="F477">
        <v>3898375</v>
      </c>
      <c r="G477">
        <v>0</v>
      </c>
    </row>
    <row r="478" spans="1:7" x14ac:dyDescent="0.25">
      <c r="C478" s="308" t="s">
        <v>500</v>
      </c>
      <c r="D478">
        <v>0</v>
      </c>
      <c r="E478">
        <v>0</v>
      </c>
      <c r="F478">
        <v>0</v>
      </c>
      <c r="G478">
        <v>0</v>
      </c>
    </row>
    <row r="479" spans="1:7" x14ac:dyDescent="0.25">
      <c r="C479" s="308" t="s">
        <v>501</v>
      </c>
      <c r="D479">
        <v>0</v>
      </c>
      <c r="E479">
        <v>0</v>
      </c>
      <c r="F479">
        <v>0</v>
      </c>
      <c r="G479">
        <v>0</v>
      </c>
    </row>
    <row r="480" spans="1:7" x14ac:dyDescent="0.25">
      <c r="C480" s="308" t="s">
        <v>73</v>
      </c>
      <c r="D480">
        <v>19377618</v>
      </c>
      <c r="E480">
        <v>0</v>
      </c>
      <c r="F480">
        <v>2655823</v>
      </c>
      <c r="G480">
        <v>0</v>
      </c>
    </row>
    <row r="481" spans="3:7" x14ac:dyDescent="0.25">
      <c r="C481" s="308" t="s">
        <v>74</v>
      </c>
      <c r="D481">
        <v>396306</v>
      </c>
      <c r="E481">
        <v>0</v>
      </c>
      <c r="F481">
        <v>4304700</v>
      </c>
      <c r="G481">
        <v>0</v>
      </c>
    </row>
    <row r="482" spans="3:7" x14ac:dyDescent="0.25">
      <c r="C482" s="308" t="s">
        <v>559</v>
      </c>
      <c r="D482">
        <v>614111</v>
      </c>
      <c r="E482">
        <v>0</v>
      </c>
      <c r="F482">
        <v>886060</v>
      </c>
      <c r="G482">
        <v>0</v>
      </c>
    </row>
    <row r="483" spans="3:7" x14ac:dyDescent="0.25">
      <c r="C483" s="308" t="s">
        <v>93</v>
      </c>
      <c r="D483">
        <v>62901</v>
      </c>
      <c r="E483">
        <v>0</v>
      </c>
      <c r="F483">
        <v>2786944</v>
      </c>
      <c r="G483">
        <v>0</v>
      </c>
    </row>
    <row r="484" spans="3:7" x14ac:dyDescent="0.25">
      <c r="C484" s="308" t="s">
        <v>578</v>
      </c>
      <c r="D484">
        <v>0</v>
      </c>
      <c r="E484">
        <v>0</v>
      </c>
      <c r="F484">
        <v>0</v>
      </c>
      <c r="G484">
        <v>0</v>
      </c>
    </row>
    <row r="485" spans="3:7" x14ac:dyDescent="0.25">
      <c r="C485" s="308" t="s">
        <v>595</v>
      </c>
      <c r="D485">
        <v>0</v>
      </c>
      <c r="E485">
        <v>0</v>
      </c>
      <c r="F485">
        <v>0</v>
      </c>
      <c r="G485">
        <v>10037</v>
      </c>
    </row>
    <row r="486" spans="3:7" x14ac:dyDescent="0.25">
      <c r="C486" s="308" t="s">
        <v>610</v>
      </c>
      <c r="D486">
        <v>0</v>
      </c>
      <c r="E486">
        <v>0</v>
      </c>
      <c r="F486">
        <v>0</v>
      </c>
      <c r="G486">
        <v>0</v>
      </c>
    </row>
    <row r="487" spans="3:7" x14ac:dyDescent="0.25">
      <c r="C487" s="308" t="s">
        <v>173</v>
      </c>
      <c r="D487">
        <v>330414</v>
      </c>
      <c r="E487">
        <v>0</v>
      </c>
      <c r="F487">
        <v>238781</v>
      </c>
      <c r="G487">
        <v>0</v>
      </c>
    </row>
    <row r="488" spans="3:7" x14ac:dyDescent="0.25">
      <c r="C488" s="308" t="s">
        <v>675</v>
      </c>
      <c r="D488">
        <v>0</v>
      </c>
      <c r="E488">
        <v>0</v>
      </c>
      <c r="F488">
        <v>556227</v>
      </c>
      <c r="G488">
        <v>0</v>
      </c>
    </row>
    <row r="489" spans="3:7" x14ac:dyDescent="0.25">
      <c r="C489" s="308" t="s">
        <v>203</v>
      </c>
      <c r="D489">
        <v>172778</v>
      </c>
      <c r="E489">
        <v>0</v>
      </c>
      <c r="F489">
        <v>50433</v>
      </c>
      <c r="G489">
        <v>0</v>
      </c>
    </row>
    <row r="490" spans="3:7" x14ac:dyDescent="0.25">
      <c r="C490" s="308" t="s">
        <v>682</v>
      </c>
      <c r="D490">
        <v>0</v>
      </c>
      <c r="E490">
        <v>0</v>
      </c>
      <c r="F490">
        <v>0</v>
      </c>
      <c r="G490">
        <v>0</v>
      </c>
    </row>
    <row r="491" spans="3:7" x14ac:dyDescent="0.25">
      <c r="C491" s="308" t="s">
        <v>683</v>
      </c>
      <c r="D491">
        <v>0</v>
      </c>
      <c r="E491">
        <v>0</v>
      </c>
      <c r="F491">
        <v>0</v>
      </c>
      <c r="G491">
        <v>0</v>
      </c>
    </row>
    <row r="492" spans="3:7" x14ac:dyDescent="0.25">
      <c r="C492" s="308" t="s">
        <v>206</v>
      </c>
      <c r="D492">
        <v>573513</v>
      </c>
      <c r="E492">
        <v>0</v>
      </c>
      <c r="F492">
        <v>1680601</v>
      </c>
      <c r="G492">
        <v>0</v>
      </c>
    </row>
    <row r="493" spans="3:7" x14ac:dyDescent="0.25">
      <c r="C493" s="308" t="s">
        <v>212</v>
      </c>
      <c r="D493">
        <v>0</v>
      </c>
      <c r="E493">
        <v>0</v>
      </c>
      <c r="F493">
        <v>0</v>
      </c>
      <c r="G493">
        <v>22611</v>
      </c>
    </row>
    <row r="494" spans="3:7" x14ac:dyDescent="0.25">
      <c r="C494" s="308" t="s">
        <v>693</v>
      </c>
      <c r="D494">
        <v>0</v>
      </c>
      <c r="E494">
        <v>0</v>
      </c>
      <c r="F494">
        <v>288108</v>
      </c>
      <c r="G494">
        <v>0</v>
      </c>
    </row>
    <row r="495" spans="3:7" x14ac:dyDescent="0.25">
      <c r="C495" s="308" t="s">
        <v>708</v>
      </c>
      <c r="D495">
        <v>0</v>
      </c>
      <c r="E495">
        <v>0</v>
      </c>
      <c r="F495">
        <v>0</v>
      </c>
      <c r="G495">
        <v>0</v>
      </c>
    </row>
    <row r="496" spans="3:7" x14ac:dyDescent="0.25">
      <c r="C496" s="308" t="s">
        <v>258</v>
      </c>
      <c r="D496">
        <v>2929</v>
      </c>
      <c r="E496">
        <v>0</v>
      </c>
      <c r="F496">
        <v>501681</v>
      </c>
      <c r="G496">
        <v>0</v>
      </c>
    </row>
    <row r="497" spans="3:7" x14ac:dyDescent="0.25">
      <c r="C497" s="308" t="s">
        <v>259</v>
      </c>
      <c r="D497">
        <v>189048</v>
      </c>
      <c r="E497">
        <v>0</v>
      </c>
      <c r="F497">
        <v>361758</v>
      </c>
      <c r="G497">
        <v>0</v>
      </c>
    </row>
    <row r="498" spans="3:7" x14ac:dyDescent="0.25">
      <c r="C498" s="308" t="s">
        <v>735</v>
      </c>
      <c r="D498">
        <v>0</v>
      </c>
      <c r="E498">
        <v>0</v>
      </c>
      <c r="F498">
        <v>361125</v>
      </c>
      <c r="G498">
        <v>0</v>
      </c>
    </row>
    <row r="499" spans="3:7" x14ac:dyDescent="0.25">
      <c r="C499" s="308" t="s">
        <v>742</v>
      </c>
      <c r="D499">
        <v>0</v>
      </c>
      <c r="E499">
        <v>0</v>
      </c>
      <c r="F499">
        <v>213763</v>
      </c>
      <c r="G499">
        <v>0</v>
      </c>
    </row>
    <row r="500" spans="3:7" x14ac:dyDescent="0.25">
      <c r="C500" s="308" t="s">
        <v>280</v>
      </c>
      <c r="D500">
        <v>3897944</v>
      </c>
      <c r="E500">
        <v>0</v>
      </c>
      <c r="F500">
        <v>3013137</v>
      </c>
      <c r="G500">
        <v>0</v>
      </c>
    </row>
    <row r="501" spans="3:7" x14ac:dyDescent="0.25">
      <c r="C501" s="308" t="s">
        <v>748</v>
      </c>
      <c r="D501">
        <v>0</v>
      </c>
      <c r="E501">
        <v>0</v>
      </c>
      <c r="F501">
        <v>0</v>
      </c>
      <c r="G501">
        <v>0</v>
      </c>
    </row>
    <row r="502" spans="3:7" x14ac:dyDescent="0.25">
      <c r="C502" s="308" t="s">
        <v>772</v>
      </c>
      <c r="D502">
        <v>0</v>
      </c>
      <c r="E502">
        <v>0</v>
      </c>
      <c r="F502">
        <v>553617</v>
      </c>
      <c r="G502">
        <v>0</v>
      </c>
    </row>
    <row r="503" spans="3:7" x14ac:dyDescent="0.25">
      <c r="C503" s="308" t="s">
        <v>314</v>
      </c>
      <c r="D503">
        <v>3359955</v>
      </c>
      <c r="E503">
        <v>0</v>
      </c>
      <c r="F503">
        <v>2558371</v>
      </c>
      <c r="G503">
        <v>0</v>
      </c>
    </row>
    <row r="504" spans="3:7" x14ac:dyDescent="0.25">
      <c r="C504" s="308" t="s">
        <v>773</v>
      </c>
      <c r="D504">
        <v>25272743</v>
      </c>
      <c r="E504">
        <v>0</v>
      </c>
      <c r="F504">
        <v>22988933</v>
      </c>
      <c r="G504">
        <v>0</v>
      </c>
    </row>
    <row r="505" spans="3:7" x14ac:dyDescent="0.25">
      <c r="C505" s="308" t="s">
        <v>794</v>
      </c>
      <c r="D505">
        <v>347389</v>
      </c>
      <c r="E505">
        <v>0</v>
      </c>
      <c r="F505">
        <v>392445</v>
      </c>
      <c r="G505">
        <v>0</v>
      </c>
    </row>
    <row r="506" spans="3:7" x14ac:dyDescent="0.25">
      <c r="C506" s="308" t="s">
        <v>817</v>
      </c>
      <c r="D506">
        <v>0</v>
      </c>
      <c r="E506">
        <v>0</v>
      </c>
      <c r="F506">
        <v>1153357</v>
      </c>
      <c r="G506">
        <v>0</v>
      </c>
    </row>
    <row r="507" spans="3:7" x14ac:dyDescent="0.25">
      <c r="C507" s="308" t="s">
        <v>818</v>
      </c>
      <c r="D507">
        <v>29993</v>
      </c>
      <c r="E507">
        <v>0</v>
      </c>
      <c r="F507">
        <v>0</v>
      </c>
      <c r="G507">
        <v>0</v>
      </c>
    </row>
    <row r="508" spans="3:7" x14ac:dyDescent="0.25">
      <c r="C508" s="308" t="s">
        <v>373</v>
      </c>
      <c r="D508">
        <v>2856394</v>
      </c>
      <c r="E508">
        <v>0</v>
      </c>
      <c r="F508">
        <v>2982040</v>
      </c>
      <c r="G508">
        <v>0</v>
      </c>
    </row>
    <row r="509" spans="3:7" x14ac:dyDescent="0.25">
      <c r="C509" s="308" t="s">
        <v>374</v>
      </c>
      <c r="D509">
        <v>168822</v>
      </c>
      <c r="E509">
        <v>0</v>
      </c>
      <c r="F509">
        <v>108452</v>
      </c>
      <c r="G509">
        <v>0</v>
      </c>
    </row>
    <row r="510" spans="3:7" x14ac:dyDescent="0.25">
      <c r="C510" s="308" t="s">
        <v>378</v>
      </c>
      <c r="D510">
        <v>511714</v>
      </c>
      <c r="E510">
        <v>0</v>
      </c>
      <c r="F510">
        <v>0</v>
      </c>
      <c r="G510">
        <v>0</v>
      </c>
    </row>
    <row r="511" spans="3:7" x14ac:dyDescent="0.25">
      <c r="C511" s="308" t="s">
        <v>381</v>
      </c>
      <c r="D511">
        <v>885649</v>
      </c>
      <c r="E511">
        <v>0</v>
      </c>
      <c r="F511">
        <v>0</v>
      </c>
      <c r="G511">
        <v>0</v>
      </c>
    </row>
    <row r="512" spans="3:7" x14ac:dyDescent="0.25">
      <c r="C512" s="308" t="s">
        <v>380</v>
      </c>
      <c r="D512">
        <v>173031</v>
      </c>
      <c r="E512">
        <v>0</v>
      </c>
      <c r="F512">
        <v>0</v>
      </c>
      <c r="G512">
        <v>0</v>
      </c>
    </row>
    <row r="513" spans="3:7" x14ac:dyDescent="0.25">
      <c r="C513" s="308" t="s">
        <v>839</v>
      </c>
      <c r="D513">
        <v>0</v>
      </c>
      <c r="E513">
        <v>0</v>
      </c>
      <c r="F513">
        <v>213539</v>
      </c>
      <c r="G513">
        <v>0</v>
      </c>
    </row>
    <row r="514" spans="3:7" x14ac:dyDescent="0.25">
      <c r="C514" s="308" t="s">
        <v>841</v>
      </c>
      <c r="D514">
        <v>0</v>
      </c>
      <c r="E514">
        <v>0</v>
      </c>
      <c r="F514">
        <v>1168754</v>
      </c>
      <c r="G514">
        <v>0</v>
      </c>
    </row>
    <row r="515" spans="3:7" x14ac:dyDescent="0.25">
      <c r="C515" s="308" t="s">
        <v>843</v>
      </c>
      <c r="D515">
        <v>0</v>
      </c>
      <c r="E515">
        <v>0</v>
      </c>
      <c r="F515">
        <v>0</v>
      </c>
      <c r="G515">
        <v>0</v>
      </c>
    </row>
    <row r="516" spans="3:7" x14ac:dyDescent="0.25">
      <c r="C516" s="308" t="s">
        <v>421</v>
      </c>
      <c r="D516">
        <v>519122</v>
      </c>
      <c r="E516">
        <v>0</v>
      </c>
      <c r="F516">
        <v>333284</v>
      </c>
      <c r="G516">
        <v>0</v>
      </c>
    </row>
    <row r="517" spans="3:7" x14ac:dyDescent="0.25">
      <c r="C517" s="308" t="s">
        <v>861</v>
      </c>
      <c r="D517">
        <v>0</v>
      </c>
      <c r="E517">
        <v>0</v>
      </c>
      <c r="F517">
        <v>122689</v>
      </c>
      <c r="G517">
        <v>0</v>
      </c>
    </row>
    <row r="518" spans="3:7" x14ac:dyDescent="0.25">
      <c r="C518" s="308" t="s">
        <v>429</v>
      </c>
      <c r="D518">
        <v>179827</v>
      </c>
      <c r="E518">
        <v>0</v>
      </c>
      <c r="F518">
        <v>0</v>
      </c>
      <c r="G518">
        <v>0</v>
      </c>
    </row>
    <row r="519" spans="3:7" x14ac:dyDescent="0.25">
      <c r="C519" s="308" t="s">
        <v>889</v>
      </c>
      <c r="D519">
        <v>0</v>
      </c>
      <c r="E519">
        <v>0</v>
      </c>
      <c r="F519">
        <v>0</v>
      </c>
      <c r="G519">
        <v>0</v>
      </c>
    </row>
    <row r="520" spans="3:7" x14ac:dyDescent="0.25">
      <c r="C520" s="308" t="s">
        <v>447</v>
      </c>
      <c r="D520">
        <v>31034983</v>
      </c>
      <c r="E520">
        <v>0</v>
      </c>
      <c r="F520">
        <v>18060676</v>
      </c>
      <c r="G520">
        <v>0</v>
      </c>
    </row>
    <row r="521" spans="3:7" x14ac:dyDescent="0.25">
      <c r="C521" s="16" t="s">
        <v>715</v>
      </c>
      <c r="D521">
        <v>0</v>
      </c>
      <c r="E521">
        <v>0</v>
      </c>
      <c r="F521">
        <v>3355331</v>
      </c>
      <c r="G521">
        <v>0</v>
      </c>
    </row>
    <row r="522" spans="3:7" x14ac:dyDescent="0.25">
      <c r="C522" s="308" t="s">
        <v>714</v>
      </c>
      <c r="D522">
        <v>0</v>
      </c>
      <c r="E522">
        <v>0</v>
      </c>
      <c r="F522">
        <v>3355331</v>
      </c>
      <c r="G522">
        <v>0</v>
      </c>
    </row>
    <row r="523" spans="3:7" x14ac:dyDescent="0.25">
      <c r="C523" s="16" t="s">
        <v>469</v>
      </c>
      <c r="D523">
        <v>50029883</v>
      </c>
      <c r="E523">
        <v>34754</v>
      </c>
      <c r="F523">
        <v>16519422</v>
      </c>
      <c r="G523">
        <v>0</v>
      </c>
    </row>
    <row r="524" spans="3:7" x14ac:dyDescent="0.25">
      <c r="C524" s="308" t="s">
        <v>24</v>
      </c>
      <c r="D524">
        <v>1585664</v>
      </c>
      <c r="E524">
        <v>0</v>
      </c>
      <c r="F524">
        <v>0</v>
      </c>
      <c r="G524">
        <v>0</v>
      </c>
    </row>
    <row r="525" spans="3:7" x14ac:dyDescent="0.25">
      <c r="C525" s="308" t="s">
        <v>524</v>
      </c>
      <c r="D525">
        <v>0</v>
      </c>
      <c r="E525">
        <v>0</v>
      </c>
      <c r="F525">
        <v>0</v>
      </c>
      <c r="G525">
        <v>0</v>
      </c>
    </row>
    <row r="526" spans="3:7" x14ac:dyDescent="0.25">
      <c r="C526" s="308" t="s">
        <v>122</v>
      </c>
      <c r="D526">
        <v>890949</v>
      </c>
      <c r="E526">
        <v>0</v>
      </c>
      <c r="F526">
        <v>0</v>
      </c>
      <c r="G526">
        <v>0</v>
      </c>
    </row>
    <row r="527" spans="3:7" x14ac:dyDescent="0.25">
      <c r="C527" s="308" t="s">
        <v>157</v>
      </c>
      <c r="D527">
        <v>1753713</v>
      </c>
      <c r="E527">
        <v>0</v>
      </c>
      <c r="F527">
        <v>0</v>
      </c>
      <c r="G527">
        <v>0</v>
      </c>
    </row>
    <row r="528" spans="3:7" x14ac:dyDescent="0.25">
      <c r="C528" s="308" t="s">
        <v>640</v>
      </c>
      <c r="D528">
        <v>0</v>
      </c>
      <c r="E528">
        <v>0</v>
      </c>
      <c r="F528">
        <v>0</v>
      </c>
      <c r="G528">
        <v>0</v>
      </c>
    </row>
    <row r="529" spans="3:7" x14ac:dyDescent="0.25">
      <c r="C529" s="308" t="s">
        <v>205</v>
      </c>
      <c r="D529">
        <v>565401</v>
      </c>
      <c r="E529">
        <v>0</v>
      </c>
      <c r="F529">
        <v>0</v>
      </c>
      <c r="G529">
        <v>0</v>
      </c>
    </row>
    <row r="530" spans="3:7" x14ac:dyDescent="0.25">
      <c r="C530" s="308" t="s">
        <v>218</v>
      </c>
      <c r="D530">
        <v>45230726</v>
      </c>
      <c r="E530">
        <v>0</v>
      </c>
      <c r="F530">
        <v>16519422</v>
      </c>
      <c r="G530">
        <v>0</v>
      </c>
    </row>
    <row r="531" spans="3:7" x14ac:dyDescent="0.25">
      <c r="C531" s="308" t="s">
        <v>232</v>
      </c>
      <c r="D531">
        <v>3430</v>
      </c>
      <c r="E531">
        <v>0</v>
      </c>
      <c r="F531">
        <v>0</v>
      </c>
      <c r="G531">
        <v>0</v>
      </c>
    </row>
    <row r="532" spans="3:7" x14ac:dyDescent="0.25">
      <c r="C532" s="308" t="s">
        <v>874</v>
      </c>
      <c r="D532">
        <v>0</v>
      </c>
      <c r="E532">
        <v>0</v>
      </c>
      <c r="F532">
        <v>0</v>
      </c>
      <c r="G532">
        <v>0</v>
      </c>
    </row>
    <row r="533" spans="3:7" x14ac:dyDescent="0.25">
      <c r="C533" s="308" t="s">
        <v>876</v>
      </c>
      <c r="D533">
        <v>0</v>
      </c>
      <c r="E533">
        <v>0</v>
      </c>
      <c r="F533">
        <v>0</v>
      </c>
      <c r="G533">
        <v>0</v>
      </c>
    </row>
    <row r="534" spans="3:7" x14ac:dyDescent="0.25">
      <c r="C534" s="308" t="s">
        <v>528</v>
      </c>
      <c r="D534">
        <v>0</v>
      </c>
      <c r="E534">
        <v>0</v>
      </c>
      <c r="F534">
        <v>0</v>
      </c>
      <c r="G534">
        <v>0</v>
      </c>
    </row>
    <row r="535" spans="3:7" x14ac:dyDescent="0.25">
      <c r="C535" s="308" t="s">
        <v>527</v>
      </c>
      <c r="D535">
        <v>0</v>
      </c>
      <c r="E535">
        <v>0</v>
      </c>
      <c r="F535">
        <v>0</v>
      </c>
      <c r="G535">
        <v>0</v>
      </c>
    </row>
    <row r="536" spans="3:7" x14ac:dyDescent="0.25">
      <c r="C536" s="308" t="s">
        <v>877</v>
      </c>
      <c r="D536">
        <v>0</v>
      </c>
      <c r="E536">
        <v>0</v>
      </c>
      <c r="F536">
        <v>0</v>
      </c>
      <c r="G536">
        <v>0</v>
      </c>
    </row>
    <row r="537" spans="3:7" x14ac:dyDescent="0.25">
      <c r="C537" s="308" t="s">
        <v>339</v>
      </c>
      <c r="D537">
        <v>0</v>
      </c>
      <c r="E537">
        <v>0</v>
      </c>
      <c r="F537">
        <v>0</v>
      </c>
      <c r="G537">
        <v>0</v>
      </c>
    </row>
    <row r="538" spans="3:7" x14ac:dyDescent="0.25">
      <c r="C538" s="308" t="s">
        <v>639</v>
      </c>
      <c r="D538">
        <v>0</v>
      </c>
      <c r="E538">
        <v>0</v>
      </c>
      <c r="F538">
        <v>0</v>
      </c>
      <c r="G538">
        <v>0</v>
      </c>
    </row>
    <row r="539" spans="3:7" x14ac:dyDescent="0.25">
      <c r="C539" s="308" t="s">
        <v>879</v>
      </c>
      <c r="D539">
        <v>0</v>
      </c>
      <c r="E539">
        <v>0</v>
      </c>
      <c r="F539">
        <v>0</v>
      </c>
      <c r="G539">
        <v>0</v>
      </c>
    </row>
    <row r="540" spans="3:7" x14ac:dyDescent="0.25">
      <c r="C540" s="308" t="s">
        <v>375</v>
      </c>
      <c r="D540">
        <v>0</v>
      </c>
      <c r="E540">
        <v>0</v>
      </c>
      <c r="F540">
        <v>0</v>
      </c>
      <c r="G540">
        <v>0</v>
      </c>
    </row>
    <row r="541" spans="3:7" x14ac:dyDescent="0.25">
      <c r="C541" s="308" t="s">
        <v>825</v>
      </c>
      <c r="D541">
        <v>0</v>
      </c>
      <c r="E541">
        <v>0</v>
      </c>
      <c r="F541">
        <v>0</v>
      </c>
      <c r="G541">
        <v>0</v>
      </c>
    </row>
    <row r="542" spans="3:7" x14ac:dyDescent="0.25">
      <c r="C542" s="308" t="s">
        <v>826</v>
      </c>
      <c r="D542">
        <v>0</v>
      </c>
      <c r="E542">
        <v>0</v>
      </c>
      <c r="F542">
        <v>0</v>
      </c>
      <c r="G542">
        <v>0</v>
      </c>
    </row>
    <row r="543" spans="3:7" x14ac:dyDescent="0.25">
      <c r="C543" s="308" t="s">
        <v>688</v>
      </c>
      <c r="D543">
        <v>0</v>
      </c>
      <c r="E543">
        <v>0</v>
      </c>
      <c r="F543">
        <v>0</v>
      </c>
      <c r="G543">
        <v>0</v>
      </c>
    </row>
    <row r="544" spans="3:7" x14ac:dyDescent="0.25">
      <c r="C544" s="308" t="s">
        <v>422</v>
      </c>
      <c r="D544">
        <v>0</v>
      </c>
      <c r="E544">
        <v>34754</v>
      </c>
      <c r="F544">
        <v>0</v>
      </c>
      <c r="G544">
        <v>0</v>
      </c>
    </row>
    <row r="545" spans="1:7" x14ac:dyDescent="0.25">
      <c r="C545" s="308" t="s">
        <v>525</v>
      </c>
      <c r="D545">
        <v>0</v>
      </c>
      <c r="E545">
        <v>0</v>
      </c>
      <c r="F545">
        <v>0</v>
      </c>
      <c r="G545">
        <v>0</v>
      </c>
    </row>
    <row r="546" spans="1:7" x14ac:dyDescent="0.25">
      <c r="C546" s="308" t="s">
        <v>526</v>
      </c>
      <c r="D546">
        <v>0</v>
      </c>
      <c r="E546">
        <v>0</v>
      </c>
      <c r="F546">
        <v>0</v>
      </c>
      <c r="G546">
        <v>0</v>
      </c>
    </row>
    <row r="547" spans="1:7" x14ac:dyDescent="0.25">
      <c r="C547" s="308" t="s">
        <v>449</v>
      </c>
      <c r="D547">
        <v>0</v>
      </c>
      <c r="E547">
        <v>0</v>
      </c>
      <c r="F547">
        <v>0</v>
      </c>
      <c r="G547">
        <v>0</v>
      </c>
    </row>
    <row r="548" spans="1:7" x14ac:dyDescent="0.25">
      <c r="C548" s="308" t="s">
        <v>1364</v>
      </c>
      <c r="D548">
        <v>0</v>
      </c>
      <c r="E548">
        <v>0</v>
      </c>
      <c r="F548">
        <v>0</v>
      </c>
      <c r="G548">
        <v>0</v>
      </c>
    </row>
    <row r="549" spans="1:7" x14ac:dyDescent="0.25">
      <c r="C549" s="308" t="s">
        <v>1361</v>
      </c>
      <c r="D549">
        <v>0</v>
      </c>
      <c r="E549">
        <v>0</v>
      </c>
      <c r="F549">
        <v>0</v>
      </c>
      <c r="G549">
        <v>0</v>
      </c>
    </row>
    <row r="550" spans="1:7" x14ac:dyDescent="0.25">
      <c r="B550" s="16" t="s">
        <v>1344</v>
      </c>
      <c r="D550">
        <v>155794803.43000001</v>
      </c>
      <c r="E550">
        <v>34754</v>
      </c>
      <c r="F550">
        <v>94887036</v>
      </c>
      <c r="G550">
        <v>32648</v>
      </c>
    </row>
    <row r="551" spans="1:7" x14ac:dyDescent="0.25">
      <c r="A551" s="16" t="s">
        <v>1401</v>
      </c>
      <c r="D551">
        <v>155794803.43000001</v>
      </c>
      <c r="E551">
        <v>34754</v>
      </c>
      <c r="F551">
        <v>94887036</v>
      </c>
      <c r="G551">
        <v>32648</v>
      </c>
    </row>
    <row r="552" spans="1:7" x14ac:dyDescent="0.25">
      <c r="A552" s="16">
        <v>16</v>
      </c>
      <c r="B552" s="16" t="s">
        <v>544</v>
      </c>
      <c r="C552" s="16" t="s">
        <v>788</v>
      </c>
      <c r="D552">
        <v>78364.399999999994</v>
      </c>
      <c r="E552">
        <v>0</v>
      </c>
      <c r="F552">
        <v>49097</v>
      </c>
      <c r="G552">
        <v>0</v>
      </c>
    </row>
    <row r="553" spans="1:7" x14ac:dyDescent="0.25">
      <c r="C553" s="308" t="s">
        <v>341</v>
      </c>
      <c r="D553">
        <v>78364.399999999994</v>
      </c>
      <c r="E553">
        <v>0</v>
      </c>
      <c r="F553">
        <v>49097</v>
      </c>
      <c r="G553">
        <v>0</v>
      </c>
    </row>
    <row r="554" spans="1:7" x14ac:dyDescent="0.25">
      <c r="C554" s="16" t="s">
        <v>787</v>
      </c>
      <c r="D554">
        <v>0</v>
      </c>
      <c r="E554">
        <v>0</v>
      </c>
      <c r="F554">
        <v>83453.5</v>
      </c>
      <c r="G554">
        <v>0</v>
      </c>
    </row>
    <row r="555" spans="1:7" x14ac:dyDescent="0.25">
      <c r="C555" s="308" t="s">
        <v>786</v>
      </c>
      <c r="D555">
        <v>0</v>
      </c>
      <c r="E555">
        <v>0</v>
      </c>
      <c r="F555">
        <v>83453.5</v>
      </c>
      <c r="G555">
        <v>0</v>
      </c>
    </row>
    <row r="556" spans="1:7" x14ac:dyDescent="0.25">
      <c r="C556" s="16" t="s">
        <v>545</v>
      </c>
      <c r="D556">
        <v>255504</v>
      </c>
      <c r="E556">
        <v>0</v>
      </c>
      <c r="F556">
        <v>234166</v>
      </c>
      <c r="G556">
        <v>0</v>
      </c>
    </row>
    <row r="557" spans="1:7" x14ac:dyDescent="0.25">
      <c r="C557" s="308" t="s">
        <v>543</v>
      </c>
      <c r="D557">
        <v>255504</v>
      </c>
      <c r="E557">
        <v>0</v>
      </c>
      <c r="F557">
        <v>234166</v>
      </c>
      <c r="G557">
        <v>0</v>
      </c>
    </row>
    <row r="558" spans="1:7" x14ac:dyDescent="0.25">
      <c r="B558" s="16" t="s">
        <v>1345</v>
      </c>
      <c r="D558">
        <v>333868.40000000002</v>
      </c>
      <c r="E558">
        <v>0</v>
      </c>
      <c r="F558">
        <v>366716.5</v>
      </c>
      <c r="G558">
        <v>0</v>
      </c>
    </row>
    <row r="559" spans="1:7" x14ac:dyDescent="0.25">
      <c r="A559" s="16" t="s">
        <v>1402</v>
      </c>
      <c r="D559">
        <v>333868.40000000002</v>
      </c>
      <c r="E559">
        <v>0</v>
      </c>
      <c r="F559">
        <v>366716.5</v>
      </c>
      <c r="G559">
        <v>0</v>
      </c>
    </row>
    <row r="560" spans="1:7" x14ac:dyDescent="0.25">
      <c r="A560" s="16">
        <v>17</v>
      </c>
      <c r="B560" s="16" t="s">
        <v>474</v>
      </c>
      <c r="C560" s="16" t="s">
        <v>475</v>
      </c>
      <c r="D560">
        <v>1840673.02</v>
      </c>
      <c r="E560">
        <v>0</v>
      </c>
      <c r="F560">
        <v>4764500.7799999993</v>
      </c>
      <c r="G560">
        <v>841449.98</v>
      </c>
    </row>
    <row r="561" spans="1:7" x14ac:dyDescent="0.25">
      <c r="C561" s="308" t="s">
        <v>476</v>
      </c>
      <c r="D561">
        <v>0</v>
      </c>
      <c r="E561">
        <v>0</v>
      </c>
      <c r="F561">
        <v>0</v>
      </c>
      <c r="G561">
        <v>0</v>
      </c>
    </row>
    <row r="562" spans="1:7" x14ac:dyDescent="0.25">
      <c r="C562" s="308" t="s">
        <v>473</v>
      </c>
      <c r="D562">
        <v>0</v>
      </c>
      <c r="E562">
        <v>0</v>
      </c>
      <c r="F562">
        <v>0</v>
      </c>
      <c r="G562">
        <v>0</v>
      </c>
    </row>
    <row r="563" spans="1:7" x14ac:dyDescent="0.25">
      <c r="C563" s="308" t="s">
        <v>485</v>
      </c>
      <c r="D563">
        <v>0</v>
      </c>
      <c r="E563">
        <v>0</v>
      </c>
      <c r="F563">
        <v>0</v>
      </c>
      <c r="G563">
        <v>0</v>
      </c>
    </row>
    <row r="564" spans="1:7" x14ac:dyDescent="0.25">
      <c r="C564" s="308" t="s">
        <v>566</v>
      </c>
      <c r="D564">
        <v>0</v>
      </c>
      <c r="E564">
        <v>0</v>
      </c>
      <c r="F564">
        <v>42915.89</v>
      </c>
      <c r="G564">
        <v>0</v>
      </c>
    </row>
    <row r="565" spans="1:7" x14ac:dyDescent="0.25">
      <c r="C565" s="308" t="s">
        <v>88</v>
      </c>
      <c r="D565">
        <v>57713</v>
      </c>
      <c r="E565">
        <v>0</v>
      </c>
      <c r="F565">
        <v>0</v>
      </c>
      <c r="G565">
        <v>0</v>
      </c>
    </row>
    <row r="566" spans="1:7" x14ac:dyDescent="0.25">
      <c r="C566" s="308" t="s">
        <v>577</v>
      </c>
      <c r="D566">
        <v>0</v>
      </c>
      <c r="E566">
        <v>0</v>
      </c>
      <c r="F566">
        <v>0</v>
      </c>
      <c r="G566">
        <v>0</v>
      </c>
    </row>
    <row r="567" spans="1:7" x14ac:dyDescent="0.25">
      <c r="C567" s="308" t="s">
        <v>607</v>
      </c>
      <c r="D567">
        <v>0</v>
      </c>
      <c r="E567">
        <v>0</v>
      </c>
      <c r="F567">
        <v>18000</v>
      </c>
      <c r="G567">
        <v>0</v>
      </c>
    </row>
    <row r="568" spans="1:7" x14ac:dyDescent="0.25">
      <c r="C568" s="308" t="s">
        <v>648</v>
      </c>
      <c r="D568">
        <v>0</v>
      </c>
      <c r="E568">
        <v>0</v>
      </c>
      <c r="F568">
        <v>932</v>
      </c>
      <c r="G568">
        <v>0</v>
      </c>
    </row>
    <row r="569" spans="1:7" x14ac:dyDescent="0.25">
      <c r="C569" s="308" t="s">
        <v>499</v>
      </c>
      <c r="D569">
        <v>0</v>
      </c>
      <c r="E569">
        <v>0</v>
      </c>
      <c r="F569">
        <v>0</v>
      </c>
      <c r="G569">
        <v>0</v>
      </c>
    </row>
    <row r="570" spans="1:7" x14ac:dyDescent="0.25">
      <c r="C570" s="308" t="s">
        <v>228</v>
      </c>
      <c r="D570">
        <v>411283</v>
      </c>
      <c r="E570">
        <v>0</v>
      </c>
      <c r="F570">
        <v>4609940</v>
      </c>
      <c r="G570">
        <v>0</v>
      </c>
    </row>
    <row r="571" spans="1:7" x14ac:dyDescent="0.25">
      <c r="C571" s="308" t="s">
        <v>244</v>
      </c>
      <c r="D571">
        <v>0</v>
      </c>
      <c r="E571">
        <v>0</v>
      </c>
      <c r="F571">
        <v>67712.89</v>
      </c>
      <c r="G571">
        <v>0</v>
      </c>
    </row>
    <row r="572" spans="1:7" x14ac:dyDescent="0.25">
      <c r="C572" s="308" t="s">
        <v>725</v>
      </c>
      <c r="D572">
        <v>0</v>
      </c>
      <c r="E572">
        <v>0</v>
      </c>
      <c r="F572">
        <v>25000</v>
      </c>
      <c r="G572">
        <v>0</v>
      </c>
    </row>
    <row r="573" spans="1:7" x14ac:dyDescent="0.25">
      <c r="C573" s="308" t="s">
        <v>442</v>
      </c>
      <c r="D573">
        <v>1371677.02</v>
      </c>
      <c r="E573">
        <v>0</v>
      </c>
      <c r="F573">
        <v>0</v>
      </c>
      <c r="G573">
        <v>841449.98</v>
      </c>
    </row>
    <row r="574" spans="1:7" s="259" customFormat="1" x14ac:dyDescent="0.25">
      <c r="A574"/>
      <c r="B574" s="16" t="s">
        <v>1346</v>
      </c>
      <c r="C574"/>
      <c r="D574">
        <v>1840673.02</v>
      </c>
      <c r="E574">
        <v>0</v>
      </c>
      <c r="F574">
        <v>4764500.7799999993</v>
      </c>
      <c r="G574">
        <v>841449.98</v>
      </c>
    </row>
    <row r="575" spans="1:7" s="259" customFormat="1" x14ac:dyDescent="0.25">
      <c r="A575" s="16" t="s">
        <v>1403</v>
      </c>
      <c r="B575"/>
      <c r="C575"/>
      <c r="D575">
        <v>1840673.02</v>
      </c>
      <c r="E575">
        <v>0</v>
      </c>
      <c r="F575">
        <v>4764500.7799999993</v>
      </c>
      <c r="G575">
        <v>841449.98</v>
      </c>
    </row>
    <row r="576" spans="1:7" s="259" customFormat="1" x14ac:dyDescent="0.25">
      <c r="A576" s="1583">
        <v>18</v>
      </c>
      <c r="B576" s="1583" t="s">
        <v>584</v>
      </c>
      <c r="C576" s="1583" t="s">
        <v>653</v>
      </c>
      <c r="D576" s="259">
        <v>545158</v>
      </c>
      <c r="E576" s="259">
        <v>0</v>
      </c>
      <c r="F576" s="259">
        <v>0</v>
      </c>
      <c r="G576" s="259">
        <v>0</v>
      </c>
    </row>
    <row r="577" spans="1:7" s="259" customFormat="1" x14ac:dyDescent="0.25">
      <c r="C577" s="1584" t="s">
        <v>181</v>
      </c>
      <c r="D577" s="259">
        <v>545158</v>
      </c>
      <c r="E577" s="259">
        <v>0</v>
      </c>
      <c r="F577" s="259">
        <v>0</v>
      </c>
      <c r="G577" s="259">
        <v>0</v>
      </c>
    </row>
    <row r="578" spans="1:7" s="259" customFormat="1" x14ac:dyDescent="0.25">
      <c r="C578" s="1583" t="s">
        <v>655</v>
      </c>
      <c r="D578" s="259">
        <v>636564</v>
      </c>
      <c r="E578" s="259">
        <v>0</v>
      </c>
      <c r="F578" s="882">
        <v>713687</v>
      </c>
      <c r="G578" s="259">
        <v>0</v>
      </c>
    </row>
    <row r="579" spans="1:7" s="259" customFormat="1" x14ac:dyDescent="0.25">
      <c r="C579" s="308" t="s">
        <v>654</v>
      </c>
      <c r="D579" s="259">
        <v>469083</v>
      </c>
      <c r="E579" s="259">
        <v>0</v>
      </c>
      <c r="F579" s="882">
        <v>414161</v>
      </c>
      <c r="G579" s="259">
        <v>0</v>
      </c>
    </row>
    <row r="580" spans="1:7" s="259" customFormat="1" x14ac:dyDescent="0.25">
      <c r="C580" s="308" t="s">
        <v>747</v>
      </c>
      <c r="D580" s="259">
        <v>167481</v>
      </c>
      <c r="E580" s="259">
        <v>0</v>
      </c>
      <c r="F580" s="882">
        <v>299526</v>
      </c>
      <c r="G580" s="259">
        <v>0</v>
      </c>
    </row>
    <row r="581" spans="1:7" s="259" customFormat="1" x14ac:dyDescent="0.25">
      <c r="C581" s="1583" t="s">
        <v>3326</v>
      </c>
      <c r="D581" s="259">
        <v>1187100</v>
      </c>
      <c r="E581" s="259">
        <v>0</v>
      </c>
      <c r="F581" s="259">
        <v>1607100</v>
      </c>
      <c r="G581" s="259">
        <v>0</v>
      </c>
    </row>
    <row r="582" spans="1:7" x14ac:dyDescent="0.25">
      <c r="A582" s="259"/>
      <c r="B582" s="259"/>
      <c r="C582" s="308" t="s">
        <v>100</v>
      </c>
      <c r="D582" s="259">
        <v>1137100</v>
      </c>
      <c r="E582" s="259">
        <v>0</v>
      </c>
      <c r="F582" s="259">
        <v>1137100</v>
      </c>
      <c r="G582" s="259">
        <v>0</v>
      </c>
    </row>
    <row r="583" spans="1:7" x14ac:dyDescent="0.25">
      <c r="A583" s="259"/>
      <c r="B583" s="259"/>
      <c r="C583" s="308" t="s">
        <v>105</v>
      </c>
      <c r="D583" s="259">
        <v>50000</v>
      </c>
      <c r="E583" s="259">
        <v>0</v>
      </c>
      <c r="F583" s="882">
        <v>470000</v>
      </c>
      <c r="G583" s="259">
        <v>0</v>
      </c>
    </row>
    <row r="584" spans="1:7" x14ac:dyDescent="0.25">
      <c r="B584" s="16" t="s">
        <v>1347</v>
      </c>
      <c r="D584">
        <v>2368822</v>
      </c>
      <c r="E584">
        <v>0</v>
      </c>
      <c r="F584">
        <v>2320787</v>
      </c>
      <c r="G584">
        <v>0</v>
      </c>
    </row>
    <row r="585" spans="1:7" x14ac:dyDescent="0.25">
      <c r="A585" s="16" t="s">
        <v>1404</v>
      </c>
      <c r="D585">
        <v>2368822</v>
      </c>
      <c r="E585">
        <v>0</v>
      </c>
      <c r="F585">
        <v>2320787</v>
      </c>
      <c r="G585">
        <v>0</v>
      </c>
    </row>
    <row r="586" spans="1:7" x14ac:dyDescent="0.25">
      <c r="A586" s="16">
        <v>19</v>
      </c>
      <c r="B586" s="16" t="s">
        <v>602</v>
      </c>
      <c r="C586" s="16" t="s">
        <v>603</v>
      </c>
      <c r="D586">
        <v>30307959</v>
      </c>
      <c r="E586">
        <v>831210500.19999993</v>
      </c>
      <c r="F586">
        <v>30993729</v>
      </c>
      <c r="G586">
        <v>719287602.5999999</v>
      </c>
    </row>
    <row r="587" spans="1:7" x14ac:dyDescent="0.25">
      <c r="C587" s="308" t="s">
        <v>118</v>
      </c>
      <c r="D587">
        <v>0</v>
      </c>
      <c r="E587">
        <v>16211566</v>
      </c>
      <c r="F587">
        <v>0</v>
      </c>
      <c r="G587">
        <v>0</v>
      </c>
    </row>
    <row r="588" spans="1:7" x14ac:dyDescent="0.25">
      <c r="C588" s="308" t="s">
        <v>120</v>
      </c>
      <c r="D588">
        <v>30200530</v>
      </c>
      <c r="E588">
        <v>0</v>
      </c>
      <c r="F588">
        <v>30585779</v>
      </c>
      <c r="G588">
        <v>0</v>
      </c>
    </row>
    <row r="589" spans="1:7" x14ac:dyDescent="0.25">
      <c r="C589" s="308" t="s">
        <v>130</v>
      </c>
      <c r="D589">
        <v>0</v>
      </c>
      <c r="E589">
        <v>0</v>
      </c>
      <c r="F589">
        <v>0</v>
      </c>
      <c r="G589">
        <v>10652264</v>
      </c>
    </row>
    <row r="590" spans="1:7" x14ac:dyDescent="0.25">
      <c r="C590" s="308" t="s">
        <v>144</v>
      </c>
      <c r="D590">
        <v>8000</v>
      </c>
      <c r="E590">
        <v>0</v>
      </c>
      <c r="F590">
        <v>0</v>
      </c>
      <c r="G590">
        <v>1160</v>
      </c>
    </row>
    <row r="591" spans="1:7" x14ac:dyDescent="0.25">
      <c r="C591" s="308" t="s">
        <v>268</v>
      </c>
      <c r="D591">
        <v>0</v>
      </c>
      <c r="E591">
        <v>438710</v>
      </c>
      <c r="F591">
        <v>0</v>
      </c>
      <c r="G591">
        <v>497880</v>
      </c>
    </row>
    <row r="592" spans="1:7" x14ac:dyDescent="0.25">
      <c r="C592" s="308" t="s">
        <v>801</v>
      </c>
      <c r="D592">
        <v>0</v>
      </c>
      <c r="E592">
        <v>729659</v>
      </c>
      <c r="F592">
        <v>0</v>
      </c>
      <c r="G592">
        <v>755246</v>
      </c>
    </row>
    <row r="593" spans="1:7" x14ac:dyDescent="0.25">
      <c r="C593" s="308" t="s">
        <v>335</v>
      </c>
      <c r="D593">
        <v>0</v>
      </c>
      <c r="E593">
        <v>714551552.14999998</v>
      </c>
      <c r="F593">
        <v>0</v>
      </c>
      <c r="G593">
        <v>609002318.29999995</v>
      </c>
    </row>
    <row r="594" spans="1:7" x14ac:dyDescent="0.25">
      <c r="C594" s="308" t="s">
        <v>1436</v>
      </c>
      <c r="D594">
        <v>0</v>
      </c>
      <c r="E594">
        <v>80530681.049999997</v>
      </c>
      <c r="F594">
        <v>0</v>
      </c>
      <c r="G594">
        <v>77113878.299999997</v>
      </c>
    </row>
    <row r="595" spans="1:7" x14ac:dyDescent="0.25">
      <c r="C595" s="308" t="s">
        <v>802</v>
      </c>
      <c r="D595">
        <v>0</v>
      </c>
      <c r="E595">
        <v>0</v>
      </c>
      <c r="F595">
        <v>245586</v>
      </c>
      <c r="G595">
        <v>0</v>
      </c>
    </row>
    <row r="596" spans="1:7" x14ac:dyDescent="0.25">
      <c r="C596" s="308" t="s">
        <v>349</v>
      </c>
      <c r="D596">
        <v>0</v>
      </c>
      <c r="E596">
        <v>18748332</v>
      </c>
      <c r="F596">
        <v>0</v>
      </c>
      <c r="G596">
        <v>21264856</v>
      </c>
    </row>
    <row r="597" spans="1:7" x14ac:dyDescent="0.25">
      <c r="C597" s="308" t="s">
        <v>383</v>
      </c>
      <c r="D597">
        <v>26467</v>
      </c>
      <c r="E597">
        <v>0</v>
      </c>
      <c r="F597">
        <v>100400</v>
      </c>
      <c r="G597">
        <v>0</v>
      </c>
    </row>
    <row r="598" spans="1:7" x14ac:dyDescent="0.25">
      <c r="C598" s="308" t="s">
        <v>855</v>
      </c>
      <c r="D598">
        <v>72962</v>
      </c>
      <c r="E598">
        <v>0</v>
      </c>
      <c r="F598">
        <v>61964</v>
      </c>
      <c r="G598">
        <v>0</v>
      </c>
    </row>
    <row r="599" spans="1:7" x14ac:dyDescent="0.25">
      <c r="B599" s="16" t="s">
        <v>1348</v>
      </c>
      <c r="D599">
        <v>30307959</v>
      </c>
      <c r="E599">
        <v>831210500.19999993</v>
      </c>
      <c r="F599">
        <v>30993729</v>
      </c>
      <c r="G599">
        <v>719287602.5999999</v>
      </c>
    </row>
    <row r="600" spans="1:7" x14ac:dyDescent="0.25">
      <c r="A600" s="16" t="s">
        <v>1405</v>
      </c>
      <c r="D600">
        <v>30307959</v>
      </c>
      <c r="E600">
        <v>831210500.19999993</v>
      </c>
      <c r="F600">
        <v>30993729</v>
      </c>
      <c r="G600">
        <v>719287602.5999999</v>
      </c>
    </row>
    <row r="601" spans="1:7" x14ac:dyDescent="0.25">
      <c r="A601" s="16">
        <v>20</v>
      </c>
      <c r="B601" s="16" t="s">
        <v>266</v>
      </c>
      <c r="C601" s="16" t="s">
        <v>504</v>
      </c>
      <c r="D601">
        <v>0</v>
      </c>
      <c r="E601">
        <v>0</v>
      </c>
      <c r="F601">
        <v>0</v>
      </c>
      <c r="G601">
        <v>6442</v>
      </c>
    </row>
    <row r="602" spans="1:7" x14ac:dyDescent="0.25">
      <c r="C602" s="308" t="s">
        <v>504</v>
      </c>
      <c r="D602">
        <v>0</v>
      </c>
      <c r="E602">
        <v>0</v>
      </c>
      <c r="F602">
        <v>0</v>
      </c>
      <c r="G602">
        <v>6442</v>
      </c>
    </row>
    <row r="603" spans="1:7" x14ac:dyDescent="0.25">
      <c r="C603" s="16" t="s">
        <v>625</v>
      </c>
      <c r="D603">
        <v>0</v>
      </c>
      <c r="E603">
        <v>1088007</v>
      </c>
      <c r="F603">
        <v>0</v>
      </c>
      <c r="G603">
        <v>588805</v>
      </c>
    </row>
    <row r="604" spans="1:7" x14ac:dyDescent="0.25">
      <c r="C604" s="308" t="s">
        <v>141</v>
      </c>
      <c r="D604">
        <v>0</v>
      </c>
      <c r="E604">
        <v>1088007</v>
      </c>
      <c r="F604">
        <v>0</v>
      </c>
      <c r="G604">
        <v>588805</v>
      </c>
    </row>
    <row r="605" spans="1:7" x14ac:dyDescent="0.25">
      <c r="C605" s="16" t="s">
        <v>656</v>
      </c>
      <c r="D605">
        <v>0</v>
      </c>
      <c r="E605">
        <v>75929</v>
      </c>
      <c r="F605">
        <v>0</v>
      </c>
      <c r="G605">
        <v>169041</v>
      </c>
    </row>
    <row r="606" spans="1:7" x14ac:dyDescent="0.25">
      <c r="C606" s="308" t="s">
        <v>184</v>
      </c>
      <c r="D606">
        <v>0</v>
      </c>
      <c r="E606">
        <v>75929</v>
      </c>
      <c r="F606">
        <v>0</v>
      </c>
      <c r="G606">
        <v>169041</v>
      </c>
    </row>
    <row r="607" spans="1:7" x14ac:dyDescent="0.25">
      <c r="C607" s="16" t="s">
        <v>266</v>
      </c>
      <c r="D607">
        <v>1699939</v>
      </c>
      <c r="E607">
        <v>18856500</v>
      </c>
      <c r="F607">
        <v>0</v>
      </c>
      <c r="G607">
        <v>9452224</v>
      </c>
    </row>
    <row r="608" spans="1:7" x14ac:dyDescent="0.25">
      <c r="C608" s="308" t="s">
        <v>659</v>
      </c>
      <c r="D608">
        <v>0</v>
      </c>
      <c r="E608">
        <v>0</v>
      </c>
      <c r="F608">
        <v>0</v>
      </c>
      <c r="G608">
        <v>0</v>
      </c>
    </row>
    <row r="609" spans="1:7" x14ac:dyDescent="0.25">
      <c r="C609" s="308" t="s">
        <v>667</v>
      </c>
      <c r="D609">
        <v>0</v>
      </c>
      <c r="E609">
        <v>0</v>
      </c>
      <c r="F609">
        <v>0</v>
      </c>
      <c r="G609">
        <v>0</v>
      </c>
    </row>
    <row r="610" spans="1:7" x14ac:dyDescent="0.25">
      <c r="C610" s="308" t="s">
        <v>284</v>
      </c>
      <c r="D610">
        <v>0</v>
      </c>
      <c r="E610">
        <v>18856500</v>
      </c>
      <c r="F610">
        <v>0</v>
      </c>
      <c r="G610">
        <v>9443500</v>
      </c>
    </row>
    <row r="611" spans="1:7" x14ac:dyDescent="0.25">
      <c r="C611" s="308" t="s">
        <v>657</v>
      </c>
      <c r="D611">
        <v>1699939</v>
      </c>
      <c r="E611">
        <v>0</v>
      </c>
      <c r="F611">
        <v>0</v>
      </c>
      <c r="G611">
        <v>8724</v>
      </c>
    </row>
    <row r="612" spans="1:7" x14ac:dyDescent="0.25">
      <c r="C612" s="16" t="s">
        <v>752</v>
      </c>
      <c r="D612">
        <v>0</v>
      </c>
      <c r="E612">
        <v>0</v>
      </c>
      <c r="F612">
        <v>0</v>
      </c>
      <c r="G612">
        <v>18263</v>
      </c>
    </row>
    <row r="613" spans="1:7" x14ac:dyDescent="0.25">
      <c r="C613" s="308" t="s">
        <v>752</v>
      </c>
      <c r="D613">
        <v>0</v>
      </c>
      <c r="E613">
        <v>0</v>
      </c>
      <c r="F613">
        <v>0</v>
      </c>
      <c r="G613">
        <v>18263</v>
      </c>
    </row>
    <row r="614" spans="1:7" x14ac:dyDescent="0.25">
      <c r="C614" s="16" t="s">
        <v>516</v>
      </c>
      <c r="D614">
        <v>0</v>
      </c>
      <c r="E614">
        <v>25865</v>
      </c>
      <c r="F614">
        <v>0</v>
      </c>
      <c r="G614">
        <v>0</v>
      </c>
    </row>
    <row r="615" spans="1:7" x14ac:dyDescent="0.25">
      <c r="C615" s="308" t="s">
        <v>267</v>
      </c>
      <c r="D615">
        <v>0</v>
      </c>
      <c r="E615">
        <v>25865</v>
      </c>
      <c r="F615">
        <v>0</v>
      </c>
      <c r="G615">
        <v>0</v>
      </c>
    </row>
    <row r="616" spans="1:7" x14ac:dyDescent="0.25">
      <c r="B616" s="16" t="s">
        <v>1349</v>
      </c>
      <c r="D616">
        <v>1699939</v>
      </c>
      <c r="E616">
        <v>20046301</v>
      </c>
      <c r="F616">
        <v>0</v>
      </c>
      <c r="G616">
        <v>10234775</v>
      </c>
    </row>
    <row r="617" spans="1:7" x14ac:dyDescent="0.25">
      <c r="A617" s="16" t="s">
        <v>1406</v>
      </c>
      <c r="D617">
        <v>1699939</v>
      </c>
      <c r="E617">
        <v>20046301</v>
      </c>
      <c r="F617">
        <v>0</v>
      </c>
      <c r="G617">
        <v>10234775</v>
      </c>
    </row>
    <row r="618" spans="1:7" x14ac:dyDescent="0.25">
      <c r="A618" s="16">
        <v>22</v>
      </c>
      <c r="B618" s="16" t="s">
        <v>557</v>
      </c>
      <c r="C618" s="16" t="s">
        <v>558</v>
      </c>
      <c r="D618">
        <v>548984038.38999999</v>
      </c>
      <c r="E618">
        <v>902538</v>
      </c>
      <c r="F618">
        <v>451158300.49000001</v>
      </c>
      <c r="G618">
        <v>0</v>
      </c>
    </row>
    <row r="619" spans="1:7" x14ac:dyDescent="0.25">
      <c r="C619" s="308" t="s">
        <v>77</v>
      </c>
      <c r="D619">
        <v>34675595</v>
      </c>
      <c r="E619">
        <v>0</v>
      </c>
      <c r="F619">
        <v>41533028.75</v>
      </c>
      <c r="G619">
        <v>0</v>
      </c>
    </row>
    <row r="620" spans="1:7" x14ac:dyDescent="0.25">
      <c r="C620" s="308" t="s">
        <v>79</v>
      </c>
      <c r="D620">
        <v>25835930</v>
      </c>
      <c r="E620">
        <v>0</v>
      </c>
      <c r="F620">
        <v>48514808.600000001</v>
      </c>
      <c r="G620">
        <v>0</v>
      </c>
    </row>
    <row r="621" spans="1:7" x14ac:dyDescent="0.25">
      <c r="C621" s="308" t="s">
        <v>617</v>
      </c>
      <c r="D621">
        <v>0</v>
      </c>
      <c r="E621">
        <v>0</v>
      </c>
      <c r="F621">
        <v>0</v>
      </c>
      <c r="G621">
        <v>0</v>
      </c>
    </row>
    <row r="622" spans="1:7" x14ac:dyDescent="0.25">
      <c r="C622" s="308" t="s">
        <v>142</v>
      </c>
      <c r="D622">
        <v>202312.89</v>
      </c>
      <c r="E622">
        <v>0</v>
      </c>
      <c r="F622">
        <v>358420</v>
      </c>
      <c r="G622">
        <v>0</v>
      </c>
    </row>
    <row r="623" spans="1:7" x14ac:dyDescent="0.25">
      <c r="C623" s="308" t="s">
        <v>169</v>
      </c>
      <c r="D623">
        <v>97418771</v>
      </c>
      <c r="E623">
        <v>0</v>
      </c>
      <c r="F623">
        <v>119902440.14</v>
      </c>
      <c r="G623">
        <v>0</v>
      </c>
    </row>
    <row r="624" spans="1:7" x14ac:dyDescent="0.25">
      <c r="C624" s="308" t="s">
        <v>260</v>
      </c>
      <c r="D624">
        <v>23600</v>
      </c>
      <c r="E624">
        <v>0</v>
      </c>
      <c r="F624">
        <v>33607</v>
      </c>
      <c r="G624">
        <v>0</v>
      </c>
    </row>
    <row r="625" spans="1:7" x14ac:dyDescent="0.25">
      <c r="C625" s="308" t="s">
        <v>261</v>
      </c>
      <c r="D625">
        <v>3600</v>
      </c>
      <c r="E625">
        <v>0</v>
      </c>
      <c r="F625">
        <v>2080</v>
      </c>
      <c r="G625">
        <v>0</v>
      </c>
    </row>
    <row r="626" spans="1:7" x14ac:dyDescent="0.25">
      <c r="C626" s="308" t="s">
        <v>265</v>
      </c>
      <c r="D626">
        <v>248948</v>
      </c>
      <c r="E626">
        <v>0</v>
      </c>
      <c r="F626">
        <v>447749</v>
      </c>
      <c r="G626">
        <v>0</v>
      </c>
    </row>
    <row r="627" spans="1:7" x14ac:dyDescent="0.25">
      <c r="C627" s="308" t="s">
        <v>304</v>
      </c>
      <c r="D627">
        <v>245315</v>
      </c>
      <c r="E627">
        <v>0</v>
      </c>
      <c r="F627">
        <v>610238</v>
      </c>
      <c r="G627">
        <v>0</v>
      </c>
    </row>
    <row r="628" spans="1:7" x14ac:dyDescent="0.25">
      <c r="C628" s="308" t="s">
        <v>765</v>
      </c>
      <c r="D628">
        <v>0</v>
      </c>
      <c r="E628">
        <v>0</v>
      </c>
      <c r="F628">
        <v>570000</v>
      </c>
      <c r="G628">
        <v>0</v>
      </c>
    </row>
    <row r="629" spans="1:7" x14ac:dyDescent="0.25">
      <c r="C629" s="308" t="s">
        <v>767</v>
      </c>
      <c r="D629">
        <v>0</v>
      </c>
      <c r="E629">
        <v>0</v>
      </c>
      <c r="F629">
        <v>107000</v>
      </c>
      <c r="G629">
        <v>0</v>
      </c>
    </row>
    <row r="630" spans="1:7" x14ac:dyDescent="0.25">
      <c r="C630" s="308" t="s">
        <v>306</v>
      </c>
      <c r="D630">
        <v>4380095</v>
      </c>
      <c r="E630">
        <v>0</v>
      </c>
      <c r="F630">
        <v>741466</v>
      </c>
      <c r="G630">
        <v>0</v>
      </c>
    </row>
    <row r="631" spans="1:7" x14ac:dyDescent="0.25">
      <c r="C631" s="308" t="s">
        <v>858</v>
      </c>
      <c r="D631">
        <v>1264812.5</v>
      </c>
      <c r="E631">
        <v>0</v>
      </c>
      <c r="F631">
        <v>676306.5</v>
      </c>
      <c r="G631">
        <v>0</v>
      </c>
    </row>
    <row r="632" spans="1:7" x14ac:dyDescent="0.25">
      <c r="C632" s="308" t="s">
        <v>859</v>
      </c>
      <c r="D632">
        <v>0</v>
      </c>
      <c r="E632">
        <v>0</v>
      </c>
      <c r="F632">
        <v>900</v>
      </c>
      <c r="G632">
        <v>0</v>
      </c>
    </row>
    <row r="633" spans="1:7" x14ac:dyDescent="0.25">
      <c r="C633" s="308" t="s">
        <v>441</v>
      </c>
      <c r="D633">
        <v>384685059</v>
      </c>
      <c r="E633">
        <v>0</v>
      </c>
      <c r="F633">
        <v>237660256.5</v>
      </c>
      <c r="G633">
        <v>0</v>
      </c>
    </row>
    <row r="634" spans="1:7" x14ac:dyDescent="0.25">
      <c r="C634" s="308" t="s">
        <v>3471</v>
      </c>
      <c r="D634">
        <v>0</v>
      </c>
      <c r="E634">
        <v>902538</v>
      </c>
      <c r="F634">
        <v>0</v>
      </c>
      <c r="G634">
        <v>0</v>
      </c>
    </row>
    <row r="635" spans="1:7" x14ac:dyDescent="0.25">
      <c r="B635" s="16" t="s">
        <v>1350</v>
      </c>
      <c r="D635">
        <v>548984038.38999999</v>
      </c>
      <c r="E635">
        <v>902538</v>
      </c>
      <c r="F635">
        <v>451158300.49000001</v>
      </c>
      <c r="G635">
        <v>0</v>
      </c>
    </row>
    <row r="636" spans="1:7" x14ac:dyDescent="0.25">
      <c r="A636" s="16" t="s">
        <v>1407</v>
      </c>
      <c r="D636">
        <v>548984038.38999999</v>
      </c>
      <c r="E636">
        <v>902538</v>
      </c>
      <c r="F636">
        <v>451158300.49000001</v>
      </c>
      <c r="G636">
        <v>0</v>
      </c>
    </row>
    <row r="637" spans="1:7" x14ac:dyDescent="0.25">
      <c r="A637" s="16">
        <v>24</v>
      </c>
      <c r="B637" s="16" t="s">
        <v>600</v>
      </c>
      <c r="C637" s="16" t="s">
        <v>613</v>
      </c>
      <c r="D637">
        <v>1025809</v>
      </c>
      <c r="E637">
        <v>0</v>
      </c>
      <c r="F637">
        <v>2258862</v>
      </c>
      <c r="G637">
        <v>0</v>
      </c>
    </row>
    <row r="638" spans="1:7" x14ac:dyDescent="0.25">
      <c r="C638" s="308" t="s">
        <v>127</v>
      </c>
      <c r="D638">
        <v>212650</v>
      </c>
      <c r="E638">
        <v>0</v>
      </c>
      <c r="F638">
        <v>236394</v>
      </c>
      <c r="G638">
        <v>0</v>
      </c>
    </row>
    <row r="639" spans="1:7" x14ac:dyDescent="0.25">
      <c r="C639" s="308" t="s">
        <v>630</v>
      </c>
      <c r="D639">
        <v>-333919</v>
      </c>
      <c r="E639">
        <v>0</v>
      </c>
      <c r="F639">
        <v>850764</v>
      </c>
      <c r="G639">
        <v>0</v>
      </c>
    </row>
    <row r="640" spans="1:7" x14ac:dyDescent="0.25">
      <c r="C640" s="308" t="s">
        <v>753</v>
      </c>
      <c r="D640">
        <v>1147078</v>
      </c>
      <c r="E640">
        <v>0</v>
      </c>
      <c r="F640">
        <v>1171704</v>
      </c>
      <c r="G640">
        <v>0</v>
      </c>
    </row>
    <row r="641" spans="2:7" x14ac:dyDescent="0.25">
      <c r="C641" s="16" t="s">
        <v>601</v>
      </c>
      <c r="D641">
        <v>19178887</v>
      </c>
      <c r="E641">
        <v>0</v>
      </c>
      <c r="F641">
        <v>19024629</v>
      </c>
      <c r="G641">
        <v>0</v>
      </c>
    </row>
    <row r="642" spans="2:7" x14ac:dyDescent="0.25">
      <c r="C642" s="308" t="s">
        <v>119</v>
      </c>
      <c r="D642">
        <v>28500</v>
      </c>
      <c r="E642">
        <v>0</v>
      </c>
      <c r="F642">
        <v>15000</v>
      </c>
      <c r="G642">
        <v>0</v>
      </c>
    </row>
    <row r="643" spans="2:7" x14ac:dyDescent="0.25">
      <c r="C643" s="308" t="s">
        <v>615</v>
      </c>
      <c r="D643">
        <v>0</v>
      </c>
      <c r="E643">
        <v>0</v>
      </c>
      <c r="F643">
        <v>0</v>
      </c>
      <c r="G643">
        <v>0</v>
      </c>
    </row>
    <row r="644" spans="2:7" x14ac:dyDescent="0.25">
      <c r="C644" s="308" t="s">
        <v>646</v>
      </c>
      <c r="D644">
        <v>1301094</v>
      </c>
      <c r="E644">
        <v>0</v>
      </c>
      <c r="F644">
        <v>1259230</v>
      </c>
      <c r="G644">
        <v>0</v>
      </c>
    </row>
    <row r="645" spans="2:7" x14ac:dyDescent="0.25">
      <c r="C645" s="308" t="s">
        <v>691</v>
      </c>
      <c r="D645">
        <v>198086</v>
      </c>
      <c r="E645">
        <v>0</v>
      </c>
      <c r="F645">
        <v>195649</v>
      </c>
      <c r="G645">
        <v>0</v>
      </c>
    </row>
    <row r="646" spans="2:7" x14ac:dyDescent="0.25">
      <c r="C646" s="308" t="s">
        <v>783</v>
      </c>
      <c r="D646">
        <v>4800000</v>
      </c>
      <c r="E646">
        <v>0</v>
      </c>
      <c r="F646">
        <v>4800000</v>
      </c>
      <c r="G646">
        <v>0</v>
      </c>
    </row>
    <row r="647" spans="2:7" x14ac:dyDescent="0.25">
      <c r="C647" s="308" t="s">
        <v>331</v>
      </c>
      <c r="D647">
        <v>216000</v>
      </c>
      <c r="E647">
        <v>0</v>
      </c>
      <c r="F647">
        <v>203540</v>
      </c>
      <c r="G647">
        <v>0</v>
      </c>
    </row>
    <row r="648" spans="2:7" x14ac:dyDescent="0.25">
      <c r="C648" s="308" t="s">
        <v>798</v>
      </c>
      <c r="D648">
        <v>1684618</v>
      </c>
      <c r="E648">
        <v>0</v>
      </c>
      <c r="F648">
        <v>1626242</v>
      </c>
      <c r="G648">
        <v>0</v>
      </c>
    </row>
    <row r="649" spans="2:7" x14ac:dyDescent="0.25">
      <c r="C649" s="308" t="s">
        <v>797</v>
      </c>
      <c r="D649">
        <v>0</v>
      </c>
      <c r="E649">
        <v>0</v>
      </c>
      <c r="F649">
        <v>0</v>
      </c>
      <c r="G649">
        <v>0</v>
      </c>
    </row>
    <row r="650" spans="2:7" x14ac:dyDescent="0.25">
      <c r="C650" s="308" t="s">
        <v>799</v>
      </c>
      <c r="D650">
        <v>2423600</v>
      </c>
      <c r="E650">
        <v>0</v>
      </c>
      <c r="F650">
        <v>2273038</v>
      </c>
      <c r="G650">
        <v>0</v>
      </c>
    </row>
    <row r="651" spans="2:7" x14ac:dyDescent="0.25">
      <c r="C651" s="308" t="s">
        <v>800</v>
      </c>
      <c r="D651">
        <v>8467719</v>
      </c>
      <c r="E651">
        <v>0</v>
      </c>
      <c r="F651">
        <v>8511335</v>
      </c>
      <c r="G651">
        <v>0</v>
      </c>
    </row>
    <row r="652" spans="2:7" x14ac:dyDescent="0.25">
      <c r="C652" s="308" t="s">
        <v>824</v>
      </c>
      <c r="D652">
        <v>59270</v>
      </c>
      <c r="E652">
        <v>0</v>
      </c>
      <c r="F652">
        <v>140595</v>
      </c>
      <c r="G652">
        <v>0</v>
      </c>
    </row>
    <row r="653" spans="2:7" x14ac:dyDescent="0.25">
      <c r="C653" s="16" t="s">
        <v>704</v>
      </c>
      <c r="D653">
        <v>306631</v>
      </c>
      <c r="E653">
        <v>0</v>
      </c>
      <c r="F653">
        <v>239427</v>
      </c>
      <c r="G653">
        <v>0</v>
      </c>
    </row>
    <row r="654" spans="2:7" x14ac:dyDescent="0.25">
      <c r="C654" s="308" t="s">
        <v>703</v>
      </c>
      <c r="D654">
        <v>306631</v>
      </c>
      <c r="E654">
        <v>0</v>
      </c>
      <c r="F654">
        <v>239427</v>
      </c>
      <c r="G654">
        <v>0</v>
      </c>
    </row>
    <row r="655" spans="2:7" x14ac:dyDescent="0.25">
      <c r="C655" s="308" t="s">
        <v>704</v>
      </c>
      <c r="D655">
        <v>0</v>
      </c>
      <c r="E655">
        <v>0</v>
      </c>
      <c r="F655">
        <v>0</v>
      </c>
      <c r="G655">
        <v>0</v>
      </c>
    </row>
    <row r="656" spans="2:7" x14ac:dyDescent="0.25">
      <c r="B656" s="16" t="s">
        <v>1351</v>
      </c>
      <c r="D656">
        <v>20511327</v>
      </c>
      <c r="E656">
        <v>0</v>
      </c>
      <c r="F656">
        <v>21522918</v>
      </c>
      <c r="G656">
        <v>0</v>
      </c>
    </row>
    <row r="657" spans="1:7" x14ac:dyDescent="0.25">
      <c r="A657" s="16" t="s">
        <v>1408</v>
      </c>
      <c r="D657">
        <v>20511327</v>
      </c>
      <c r="E657">
        <v>0</v>
      </c>
      <c r="F657">
        <v>21522918</v>
      </c>
      <c r="G657">
        <v>0</v>
      </c>
    </row>
    <row r="658" spans="1:7" x14ac:dyDescent="0.25">
      <c r="A658" s="16">
        <v>25</v>
      </c>
      <c r="B658" s="16" t="s">
        <v>521</v>
      </c>
      <c r="C658" s="16" t="s">
        <v>661</v>
      </c>
      <c r="D658">
        <v>5951031.9500000002</v>
      </c>
      <c r="E658">
        <v>0</v>
      </c>
      <c r="F658">
        <v>9030452.9400000013</v>
      </c>
      <c r="G658">
        <v>0</v>
      </c>
    </row>
    <row r="659" spans="1:7" x14ac:dyDescent="0.25">
      <c r="C659" s="308" t="s">
        <v>660</v>
      </c>
      <c r="D659">
        <v>0</v>
      </c>
      <c r="E659">
        <v>0</v>
      </c>
      <c r="F659">
        <v>3023</v>
      </c>
      <c r="G659">
        <v>0</v>
      </c>
    </row>
    <row r="660" spans="1:7" x14ac:dyDescent="0.25">
      <c r="C660" s="308" t="s">
        <v>182</v>
      </c>
      <c r="D660">
        <v>1838</v>
      </c>
      <c r="E660">
        <v>0</v>
      </c>
      <c r="F660">
        <v>29695</v>
      </c>
      <c r="G660">
        <v>0</v>
      </c>
    </row>
    <row r="661" spans="1:7" x14ac:dyDescent="0.25">
      <c r="C661" s="308" t="s">
        <v>183</v>
      </c>
      <c r="D661">
        <v>2098</v>
      </c>
      <c r="E661">
        <v>0</v>
      </c>
      <c r="F661">
        <v>38511</v>
      </c>
      <c r="G661">
        <v>0</v>
      </c>
    </row>
    <row r="662" spans="1:7" x14ac:dyDescent="0.25">
      <c r="C662" s="308" t="s">
        <v>185</v>
      </c>
      <c r="D662">
        <v>368858</v>
      </c>
      <c r="E662">
        <v>0</v>
      </c>
      <c r="F662">
        <v>672181</v>
      </c>
      <c r="G662">
        <v>0</v>
      </c>
    </row>
    <row r="663" spans="1:7" x14ac:dyDescent="0.25">
      <c r="C663" s="308" t="s">
        <v>186</v>
      </c>
      <c r="D663">
        <v>460969</v>
      </c>
      <c r="E663">
        <v>0</v>
      </c>
      <c r="F663">
        <v>867002</v>
      </c>
      <c r="G663">
        <v>0</v>
      </c>
    </row>
    <row r="664" spans="1:7" x14ac:dyDescent="0.25">
      <c r="C664" s="308" t="s">
        <v>189</v>
      </c>
      <c r="D664">
        <v>859878</v>
      </c>
      <c r="E664">
        <v>0</v>
      </c>
      <c r="F664">
        <v>0</v>
      </c>
      <c r="G664">
        <v>0</v>
      </c>
    </row>
    <row r="665" spans="1:7" x14ac:dyDescent="0.25">
      <c r="C665" s="308" t="s">
        <v>670</v>
      </c>
      <c r="D665">
        <v>2678489.9500000002</v>
      </c>
      <c r="E665">
        <v>0</v>
      </c>
      <c r="F665">
        <v>4933411.9400000004</v>
      </c>
      <c r="G665">
        <v>0</v>
      </c>
    </row>
    <row r="666" spans="1:7" x14ac:dyDescent="0.25">
      <c r="C666" s="308" t="s">
        <v>197</v>
      </c>
      <c r="D666">
        <v>6</v>
      </c>
      <c r="E666">
        <v>0</v>
      </c>
      <c r="F666">
        <v>166917</v>
      </c>
      <c r="G666">
        <v>0</v>
      </c>
    </row>
    <row r="667" spans="1:7" x14ac:dyDescent="0.25">
      <c r="C667" s="308" t="s">
        <v>198</v>
      </c>
      <c r="D667">
        <v>1225</v>
      </c>
      <c r="E667">
        <v>0</v>
      </c>
      <c r="F667">
        <v>441375</v>
      </c>
      <c r="G667">
        <v>0</v>
      </c>
    </row>
    <row r="668" spans="1:7" x14ac:dyDescent="0.25">
      <c r="C668" s="308" t="s">
        <v>671</v>
      </c>
      <c r="D668">
        <v>1577670</v>
      </c>
      <c r="E668">
        <v>0</v>
      </c>
      <c r="F668">
        <v>1878337</v>
      </c>
      <c r="G668">
        <v>0</v>
      </c>
    </row>
    <row r="669" spans="1:7" x14ac:dyDescent="0.25">
      <c r="C669" s="308" t="s">
        <v>690</v>
      </c>
      <c r="D669">
        <v>0</v>
      </c>
      <c r="E669">
        <v>0</v>
      </c>
      <c r="F669">
        <v>0</v>
      </c>
      <c r="G669">
        <v>0</v>
      </c>
    </row>
    <row r="670" spans="1:7" x14ac:dyDescent="0.25">
      <c r="C670" s="16" t="s">
        <v>522</v>
      </c>
      <c r="D670">
        <v>421153</v>
      </c>
      <c r="E670">
        <v>0</v>
      </c>
      <c r="F670">
        <v>325908</v>
      </c>
      <c r="G670">
        <v>0</v>
      </c>
    </row>
    <row r="671" spans="1:7" x14ac:dyDescent="0.25">
      <c r="C671" s="308" t="s">
        <v>35</v>
      </c>
      <c r="D671">
        <v>97878</v>
      </c>
      <c r="E671">
        <v>0</v>
      </c>
      <c r="F671">
        <v>185908</v>
      </c>
      <c r="G671">
        <v>0</v>
      </c>
    </row>
    <row r="672" spans="1:7" x14ac:dyDescent="0.25">
      <c r="C672" s="308" t="s">
        <v>36</v>
      </c>
      <c r="D672">
        <v>48970</v>
      </c>
      <c r="E672">
        <v>0</v>
      </c>
      <c r="F672">
        <v>0</v>
      </c>
      <c r="G672">
        <v>0</v>
      </c>
    </row>
    <row r="673" spans="1:7" x14ac:dyDescent="0.25">
      <c r="C673" s="308" t="s">
        <v>37</v>
      </c>
      <c r="D673">
        <v>274305</v>
      </c>
      <c r="E673">
        <v>0</v>
      </c>
      <c r="F673">
        <v>140000</v>
      </c>
      <c r="G673">
        <v>0</v>
      </c>
    </row>
    <row r="674" spans="1:7" x14ac:dyDescent="0.25">
      <c r="C674" s="308" t="s">
        <v>833</v>
      </c>
      <c r="D674">
        <v>0</v>
      </c>
      <c r="E674">
        <v>0</v>
      </c>
      <c r="F674">
        <v>0</v>
      </c>
      <c r="G674">
        <v>0</v>
      </c>
    </row>
    <row r="675" spans="1:7" x14ac:dyDescent="0.25">
      <c r="B675" s="16" t="s">
        <v>1352</v>
      </c>
      <c r="D675">
        <v>6372184.9500000002</v>
      </c>
      <c r="E675">
        <v>0</v>
      </c>
      <c r="F675">
        <v>9356360.9400000013</v>
      </c>
      <c r="G675">
        <v>0</v>
      </c>
    </row>
    <row r="676" spans="1:7" x14ac:dyDescent="0.25">
      <c r="A676" s="16" t="s">
        <v>1409</v>
      </c>
      <c r="D676">
        <v>6372184.9500000002</v>
      </c>
      <c r="E676">
        <v>0</v>
      </c>
      <c r="F676">
        <v>9356360.9400000013</v>
      </c>
      <c r="G676">
        <v>0</v>
      </c>
    </row>
    <row r="677" spans="1:7" x14ac:dyDescent="0.25">
      <c r="A677" s="16">
        <v>26</v>
      </c>
      <c r="B677" s="16" t="s">
        <v>467</v>
      </c>
      <c r="C677" s="16" t="s">
        <v>519</v>
      </c>
      <c r="D677">
        <v>0</v>
      </c>
      <c r="E677">
        <v>0</v>
      </c>
      <c r="F677">
        <v>2927</v>
      </c>
      <c r="G677">
        <v>0</v>
      </c>
    </row>
    <row r="678" spans="1:7" x14ac:dyDescent="0.25">
      <c r="C678" s="308" t="s">
        <v>519</v>
      </c>
      <c r="D678">
        <v>0</v>
      </c>
      <c r="E678">
        <v>0</v>
      </c>
      <c r="F678">
        <v>2927</v>
      </c>
      <c r="G678">
        <v>0</v>
      </c>
    </row>
    <row r="679" spans="1:7" x14ac:dyDescent="0.25">
      <c r="C679" s="16" t="s">
        <v>606</v>
      </c>
      <c r="D679">
        <v>56000</v>
      </c>
      <c r="E679">
        <v>0</v>
      </c>
      <c r="F679">
        <v>13002</v>
      </c>
      <c r="G679">
        <v>0</v>
      </c>
    </row>
    <row r="680" spans="1:7" x14ac:dyDescent="0.25">
      <c r="C680" s="308" t="s">
        <v>123</v>
      </c>
      <c r="D680">
        <v>56000</v>
      </c>
      <c r="E680">
        <v>0</v>
      </c>
      <c r="F680">
        <v>13002</v>
      </c>
      <c r="G680">
        <v>0</v>
      </c>
    </row>
    <row r="681" spans="1:7" x14ac:dyDescent="0.25">
      <c r="C681" s="16" t="s">
        <v>507</v>
      </c>
      <c r="D681">
        <v>459000</v>
      </c>
      <c r="E681">
        <v>0</v>
      </c>
      <c r="F681">
        <v>482546</v>
      </c>
      <c r="G681">
        <v>0</v>
      </c>
    </row>
    <row r="682" spans="1:7" x14ac:dyDescent="0.25">
      <c r="C682" s="308" t="s">
        <v>506</v>
      </c>
      <c r="D682">
        <v>0</v>
      </c>
      <c r="E682">
        <v>0</v>
      </c>
      <c r="F682">
        <v>3827</v>
      </c>
      <c r="G682">
        <v>0</v>
      </c>
    </row>
    <row r="683" spans="1:7" x14ac:dyDescent="0.25">
      <c r="C683" s="308" t="s">
        <v>508</v>
      </c>
      <c r="D683">
        <v>0</v>
      </c>
      <c r="E683">
        <v>0</v>
      </c>
      <c r="F683">
        <v>7719</v>
      </c>
      <c r="G683">
        <v>0</v>
      </c>
    </row>
    <row r="684" spans="1:7" x14ac:dyDescent="0.25">
      <c r="C684" s="308" t="s">
        <v>509</v>
      </c>
      <c r="D684">
        <v>0</v>
      </c>
      <c r="E684">
        <v>0</v>
      </c>
      <c r="F684">
        <v>0</v>
      </c>
      <c r="G684">
        <v>0</v>
      </c>
    </row>
    <row r="685" spans="1:7" x14ac:dyDescent="0.25">
      <c r="C685" s="308" t="s">
        <v>30</v>
      </c>
      <c r="D685">
        <v>4000</v>
      </c>
      <c r="E685">
        <v>0</v>
      </c>
      <c r="F685">
        <v>0</v>
      </c>
      <c r="G685">
        <v>0</v>
      </c>
    </row>
    <row r="686" spans="1:7" x14ac:dyDescent="0.25">
      <c r="C686" s="308" t="s">
        <v>200</v>
      </c>
      <c r="D686">
        <v>180000</v>
      </c>
      <c r="E686">
        <v>0</v>
      </c>
      <c r="F686">
        <v>196000</v>
      </c>
      <c r="G686">
        <v>0</v>
      </c>
    </row>
    <row r="687" spans="1:7" x14ac:dyDescent="0.25">
      <c r="C687" s="308" t="s">
        <v>832</v>
      </c>
      <c r="D687">
        <v>275000</v>
      </c>
      <c r="E687">
        <v>0</v>
      </c>
      <c r="F687">
        <v>275000</v>
      </c>
      <c r="G687">
        <v>0</v>
      </c>
    </row>
    <row r="688" spans="1:7" x14ac:dyDescent="0.25">
      <c r="C688" s="16" t="s">
        <v>520</v>
      </c>
      <c r="D688">
        <v>226111.04</v>
      </c>
      <c r="E688">
        <v>0</v>
      </c>
      <c r="F688">
        <v>608223.63</v>
      </c>
      <c r="G688">
        <v>0</v>
      </c>
    </row>
    <row r="689" spans="3:7" x14ac:dyDescent="0.25">
      <c r="C689" s="308" t="s">
        <v>33</v>
      </c>
      <c r="D689">
        <v>134911.04000000001</v>
      </c>
      <c r="E689">
        <v>0</v>
      </c>
      <c r="F689">
        <v>475623.63</v>
      </c>
      <c r="G689">
        <v>0</v>
      </c>
    </row>
    <row r="690" spans="3:7" x14ac:dyDescent="0.25">
      <c r="C690" s="308" t="s">
        <v>34</v>
      </c>
      <c r="D690">
        <v>91200</v>
      </c>
      <c r="E690">
        <v>0</v>
      </c>
      <c r="F690">
        <v>132600</v>
      </c>
      <c r="G690">
        <v>0</v>
      </c>
    </row>
    <row r="691" spans="3:7" x14ac:dyDescent="0.25">
      <c r="C691" s="16" t="s">
        <v>905</v>
      </c>
      <c r="D691">
        <v>909877</v>
      </c>
      <c r="E691">
        <v>0</v>
      </c>
      <c r="F691">
        <v>380250</v>
      </c>
      <c r="G691">
        <v>0</v>
      </c>
    </row>
    <row r="692" spans="3:7" x14ac:dyDescent="0.25">
      <c r="C692" s="308" t="s">
        <v>95</v>
      </c>
      <c r="D692">
        <v>909877</v>
      </c>
      <c r="E692">
        <v>0</v>
      </c>
      <c r="F692">
        <v>380250</v>
      </c>
      <c r="G692">
        <v>0</v>
      </c>
    </row>
    <row r="693" spans="3:7" x14ac:dyDescent="0.25">
      <c r="C693" s="16" t="s">
        <v>493</v>
      </c>
      <c r="D693">
        <v>2060881.3900000001</v>
      </c>
      <c r="E693">
        <v>353.12</v>
      </c>
      <c r="F693">
        <v>1211263.81</v>
      </c>
      <c r="G693">
        <v>77662.23</v>
      </c>
    </row>
    <row r="694" spans="3:7" x14ac:dyDescent="0.25">
      <c r="C694" s="308" t="s">
        <v>27</v>
      </c>
      <c r="D694">
        <v>19000</v>
      </c>
      <c r="E694">
        <v>0</v>
      </c>
      <c r="F694">
        <v>9000</v>
      </c>
      <c r="G694">
        <v>0</v>
      </c>
    </row>
    <row r="695" spans="3:7" x14ac:dyDescent="0.25">
      <c r="C695" s="308" t="s">
        <v>572</v>
      </c>
      <c r="D695">
        <v>44221.5</v>
      </c>
      <c r="E695">
        <v>0</v>
      </c>
      <c r="F695">
        <v>60454</v>
      </c>
      <c r="G695">
        <v>0</v>
      </c>
    </row>
    <row r="696" spans="3:7" x14ac:dyDescent="0.25">
      <c r="C696" s="308" t="s">
        <v>136</v>
      </c>
      <c r="D696">
        <v>116330</v>
      </c>
      <c r="E696">
        <v>0</v>
      </c>
      <c r="F696">
        <v>0</v>
      </c>
      <c r="G696">
        <v>0</v>
      </c>
    </row>
    <row r="697" spans="3:7" x14ac:dyDescent="0.25">
      <c r="C697" s="308" t="s">
        <v>632</v>
      </c>
      <c r="D697">
        <v>0</v>
      </c>
      <c r="E697">
        <v>0</v>
      </c>
      <c r="F697">
        <v>25123</v>
      </c>
      <c r="G697">
        <v>0</v>
      </c>
    </row>
    <row r="698" spans="3:7" x14ac:dyDescent="0.25">
      <c r="C698" s="308" t="s">
        <v>151</v>
      </c>
      <c r="D698">
        <v>36000</v>
      </c>
      <c r="E698">
        <v>0</v>
      </c>
      <c r="F698">
        <v>36000</v>
      </c>
      <c r="G698">
        <v>0</v>
      </c>
    </row>
    <row r="699" spans="3:7" x14ac:dyDescent="0.25">
      <c r="C699" s="308" t="s">
        <v>222</v>
      </c>
      <c r="D699">
        <v>31846</v>
      </c>
      <c r="E699">
        <v>0</v>
      </c>
      <c r="F699">
        <v>0</v>
      </c>
      <c r="G699">
        <v>0</v>
      </c>
    </row>
    <row r="700" spans="3:7" x14ac:dyDescent="0.25">
      <c r="C700" s="308" t="s">
        <v>705</v>
      </c>
      <c r="D700">
        <v>0</v>
      </c>
      <c r="E700">
        <v>0</v>
      </c>
      <c r="F700">
        <v>0</v>
      </c>
      <c r="G700">
        <v>0</v>
      </c>
    </row>
    <row r="701" spans="3:7" x14ac:dyDescent="0.25">
      <c r="C701" s="308" t="s">
        <v>732</v>
      </c>
      <c r="D701">
        <v>0</v>
      </c>
      <c r="E701">
        <v>0</v>
      </c>
      <c r="F701">
        <v>20000</v>
      </c>
      <c r="G701">
        <v>0</v>
      </c>
    </row>
    <row r="702" spans="3:7" x14ac:dyDescent="0.25">
      <c r="C702" s="308" t="s">
        <v>740</v>
      </c>
      <c r="D702">
        <v>98736</v>
      </c>
      <c r="E702">
        <v>0</v>
      </c>
      <c r="F702">
        <v>161998</v>
      </c>
      <c r="G702">
        <v>0</v>
      </c>
    </row>
    <row r="703" spans="3:7" x14ac:dyDescent="0.25">
      <c r="C703" s="308" t="s">
        <v>319</v>
      </c>
      <c r="D703">
        <v>281990</v>
      </c>
      <c r="E703">
        <v>0</v>
      </c>
      <c r="F703">
        <v>319093</v>
      </c>
      <c r="G703">
        <v>0</v>
      </c>
    </row>
    <row r="704" spans="3:7" x14ac:dyDescent="0.25">
      <c r="C704" s="308" t="s">
        <v>325</v>
      </c>
      <c r="D704">
        <v>0</v>
      </c>
      <c r="E704">
        <v>353.12</v>
      </c>
      <c r="F704">
        <v>0</v>
      </c>
      <c r="G704">
        <v>487.23</v>
      </c>
    </row>
    <row r="705" spans="3:7" x14ac:dyDescent="0.25">
      <c r="C705" s="308" t="s">
        <v>823</v>
      </c>
      <c r="D705">
        <v>0</v>
      </c>
      <c r="E705">
        <v>0</v>
      </c>
      <c r="F705">
        <v>0</v>
      </c>
      <c r="G705">
        <v>77175</v>
      </c>
    </row>
    <row r="706" spans="3:7" x14ac:dyDescent="0.25">
      <c r="C706" s="308" t="s">
        <v>382</v>
      </c>
      <c r="D706">
        <v>55555</v>
      </c>
      <c r="E706">
        <v>0</v>
      </c>
      <c r="F706">
        <v>374511.51</v>
      </c>
      <c r="G706">
        <v>0</v>
      </c>
    </row>
    <row r="707" spans="3:7" x14ac:dyDescent="0.25">
      <c r="C707" s="308" t="s">
        <v>840</v>
      </c>
      <c r="D707">
        <v>16101.89</v>
      </c>
      <c r="E707">
        <v>0</v>
      </c>
      <c r="F707">
        <v>199368.3</v>
      </c>
      <c r="G707">
        <v>0</v>
      </c>
    </row>
    <row r="708" spans="3:7" x14ac:dyDescent="0.25">
      <c r="C708" s="308" t="s">
        <v>895</v>
      </c>
      <c r="D708">
        <v>7547</v>
      </c>
      <c r="E708">
        <v>0</v>
      </c>
      <c r="F708">
        <v>5716</v>
      </c>
      <c r="G708">
        <v>0</v>
      </c>
    </row>
    <row r="709" spans="3:7" x14ac:dyDescent="0.25">
      <c r="C709" s="308" t="s">
        <v>1377</v>
      </c>
      <c r="D709">
        <v>0</v>
      </c>
      <c r="E709">
        <v>0</v>
      </c>
      <c r="F709">
        <v>0</v>
      </c>
      <c r="G709">
        <v>0</v>
      </c>
    </row>
    <row r="710" spans="3:7" x14ac:dyDescent="0.25">
      <c r="C710" s="308" t="s">
        <v>1437</v>
      </c>
      <c r="D710">
        <v>500</v>
      </c>
      <c r="E710">
        <v>0</v>
      </c>
      <c r="F710">
        <v>0</v>
      </c>
      <c r="G710">
        <v>0</v>
      </c>
    </row>
    <row r="711" spans="3:7" x14ac:dyDescent="0.25">
      <c r="C711" s="308" t="s">
        <v>3483</v>
      </c>
      <c r="D711">
        <v>1353054</v>
      </c>
      <c r="E711">
        <v>0</v>
      </c>
      <c r="F711">
        <v>0</v>
      </c>
      <c r="G711">
        <v>0</v>
      </c>
    </row>
    <row r="712" spans="3:7" x14ac:dyDescent="0.25">
      <c r="C712" s="16" t="s">
        <v>652</v>
      </c>
      <c r="D712">
        <v>907184</v>
      </c>
      <c r="E712">
        <v>0</v>
      </c>
      <c r="F712">
        <v>944137</v>
      </c>
      <c r="G712">
        <v>0</v>
      </c>
    </row>
    <row r="713" spans="3:7" x14ac:dyDescent="0.25">
      <c r="C713" s="308" t="s">
        <v>651</v>
      </c>
      <c r="D713">
        <v>907184</v>
      </c>
      <c r="E713">
        <v>0</v>
      </c>
      <c r="F713">
        <v>944137</v>
      </c>
      <c r="G713">
        <v>0</v>
      </c>
    </row>
    <row r="714" spans="3:7" x14ac:dyDescent="0.25">
      <c r="C714" s="16" t="s">
        <v>565</v>
      </c>
      <c r="D714">
        <v>1270420</v>
      </c>
      <c r="E714">
        <v>0</v>
      </c>
      <c r="F714">
        <v>954958.98</v>
      </c>
      <c r="G714">
        <v>0</v>
      </c>
    </row>
    <row r="715" spans="3:7" x14ac:dyDescent="0.25">
      <c r="C715" s="308" t="s">
        <v>87</v>
      </c>
      <c r="D715">
        <v>7000</v>
      </c>
      <c r="E715">
        <v>0</v>
      </c>
      <c r="F715">
        <v>7000</v>
      </c>
      <c r="G715">
        <v>0</v>
      </c>
    </row>
    <row r="716" spans="3:7" x14ac:dyDescent="0.25">
      <c r="C716" s="308" t="s">
        <v>148</v>
      </c>
      <c r="D716">
        <v>0</v>
      </c>
      <c r="E716">
        <v>0</v>
      </c>
      <c r="F716">
        <v>0</v>
      </c>
      <c r="G716">
        <v>0</v>
      </c>
    </row>
    <row r="717" spans="3:7" x14ac:dyDescent="0.25">
      <c r="C717" s="308" t="s">
        <v>633</v>
      </c>
      <c r="D717">
        <v>45000</v>
      </c>
      <c r="E717">
        <v>0</v>
      </c>
      <c r="F717">
        <v>10000</v>
      </c>
      <c r="G717">
        <v>0</v>
      </c>
    </row>
    <row r="718" spans="3:7" x14ac:dyDescent="0.25">
      <c r="C718" s="308" t="s">
        <v>636</v>
      </c>
      <c r="D718">
        <v>0</v>
      </c>
      <c r="E718">
        <v>0</v>
      </c>
      <c r="F718">
        <v>0</v>
      </c>
      <c r="G718">
        <v>0</v>
      </c>
    </row>
    <row r="719" spans="3:7" x14ac:dyDescent="0.25">
      <c r="C719" s="308" t="s">
        <v>634</v>
      </c>
      <c r="D719">
        <v>0</v>
      </c>
      <c r="E719">
        <v>0</v>
      </c>
      <c r="F719">
        <v>45000</v>
      </c>
      <c r="G719">
        <v>0</v>
      </c>
    </row>
    <row r="720" spans="3:7" x14ac:dyDescent="0.25">
      <c r="C720" s="308" t="s">
        <v>635</v>
      </c>
      <c r="D720">
        <v>0</v>
      </c>
      <c r="E720">
        <v>0</v>
      </c>
      <c r="F720">
        <v>40000</v>
      </c>
      <c r="G720">
        <v>0</v>
      </c>
    </row>
    <row r="721" spans="3:7" x14ac:dyDescent="0.25">
      <c r="C721" s="308" t="s">
        <v>220</v>
      </c>
      <c r="D721">
        <v>243920</v>
      </c>
      <c r="E721">
        <v>0</v>
      </c>
      <c r="F721">
        <v>133198.18</v>
      </c>
      <c r="G721">
        <v>0</v>
      </c>
    </row>
    <row r="722" spans="3:7" x14ac:dyDescent="0.25">
      <c r="C722" s="308" t="s">
        <v>733</v>
      </c>
      <c r="D722">
        <v>0</v>
      </c>
      <c r="E722">
        <v>0</v>
      </c>
      <c r="F722">
        <v>0</v>
      </c>
      <c r="G722">
        <v>0</v>
      </c>
    </row>
    <row r="723" spans="3:7" x14ac:dyDescent="0.25">
      <c r="C723" s="308" t="s">
        <v>734</v>
      </c>
      <c r="D723">
        <v>0</v>
      </c>
      <c r="E723">
        <v>0</v>
      </c>
      <c r="F723">
        <v>210000</v>
      </c>
      <c r="G723">
        <v>0</v>
      </c>
    </row>
    <row r="724" spans="3:7" x14ac:dyDescent="0.25">
      <c r="C724" s="308" t="s">
        <v>282</v>
      </c>
      <c r="D724">
        <v>974500</v>
      </c>
      <c r="E724">
        <v>0</v>
      </c>
      <c r="F724">
        <v>509760.8</v>
      </c>
      <c r="G724">
        <v>0</v>
      </c>
    </row>
    <row r="725" spans="3:7" x14ac:dyDescent="0.25">
      <c r="C725" s="308" t="s">
        <v>866</v>
      </c>
      <c r="D725">
        <v>0</v>
      </c>
      <c r="E725">
        <v>0</v>
      </c>
      <c r="F725">
        <v>0</v>
      </c>
      <c r="G725">
        <v>0</v>
      </c>
    </row>
    <row r="726" spans="3:7" x14ac:dyDescent="0.25">
      <c r="C726" s="16" t="s">
        <v>494</v>
      </c>
      <c r="D726">
        <v>9000</v>
      </c>
      <c r="E726">
        <v>0</v>
      </c>
      <c r="F726">
        <v>64000</v>
      </c>
      <c r="G726">
        <v>0</v>
      </c>
    </row>
    <row r="727" spans="3:7" x14ac:dyDescent="0.25">
      <c r="C727" s="308" t="s">
        <v>28</v>
      </c>
      <c r="D727">
        <v>9000</v>
      </c>
      <c r="E727">
        <v>0</v>
      </c>
      <c r="F727">
        <v>64000</v>
      </c>
      <c r="G727">
        <v>0</v>
      </c>
    </row>
    <row r="728" spans="3:7" x14ac:dyDescent="0.25">
      <c r="C728" s="308" t="s">
        <v>495</v>
      </c>
      <c r="D728">
        <v>0</v>
      </c>
      <c r="E728">
        <v>0</v>
      </c>
      <c r="F728">
        <v>0</v>
      </c>
      <c r="G728">
        <v>0</v>
      </c>
    </row>
    <row r="729" spans="3:7" x14ac:dyDescent="0.25">
      <c r="C729" s="16" t="s">
        <v>532</v>
      </c>
      <c r="D729">
        <v>298336</v>
      </c>
      <c r="E729">
        <v>0</v>
      </c>
      <c r="F729">
        <v>482428</v>
      </c>
      <c r="G729">
        <v>0</v>
      </c>
    </row>
    <row r="730" spans="3:7" x14ac:dyDescent="0.25">
      <c r="C730" s="308" t="s">
        <v>531</v>
      </c>
      <c r="D730">
        <v>2575</v>
      </c>
      <c r="E730">
        <v>0</v>
      </c>
      <c r="F730">
        <v>3442</v>
      </c>
      <c r="G730">
        <v>0</v>
      </c>
    </row>
    <row r="731" spans="3:7" x14ac:dyDescent="0.25">
      <c r="C731" s="308" t="s">
        <v>720</v>
      </c>
      <c r="D731">
        <v>104715</v>
      </c>
      <c r="E731">
        <v>0</v>
      </c>
      <c r="F731">
        <v>53120</v>
      </c>
      <c r="G731">
        <v>0</v>
      </c>
    </row>
    <row r="732" spans="3:7" x14ac:dyDescent="0.25">
      <c r="C732" s="308" t="s">
        <v>721</v>
      </c>
      <c r="D732">
        <v>88900</v>
      </c>
      <c r="E732">
        <v>0</v>
      </c>
      <c r="F732">
        <v>119340</v>
      </c>
      <c r="G732">
        <v>0</v>
      </c>
    </row>
    <row r="733" spans="3:7" x14ac:dyDescent="0.25">
      <c r="C733" s="308" t="s">
        <v>722</v>
      </c>
      <c r="D733">
        <v>59486</v>
      </c>
      <c r="E733">
        <v>0</v>
      </c>
      <c r="F733">
        <v>202053</v>
      </c>
      <c r="G733">
        <v>0</v>
      </c>
    </row>
    <row r="734" spans="3:7" x14ac:dyDescent="0.25">
      <c r="C734" s="308" t="s">
        <v>724</v>
      </c>
      <c r="D734">
        <v>42660</v>
      </c>
      <c r="E734">
        <v>0</v>
      </c>
      <c r="F734">
        <v>104473</v>
      </c>
      <c r="G734">
        <v>0</v>
      </c>
    </row>
    <row r="735" spans="3:7" x14ac:dyDescent="0.25">
      <c r="C735" s="16" t="s">
        <v>831</v>
      </c>
      <c r="D735">
        <v>301037.90000000002</v>
      </c>
      <c r="E735">
        <v>0</v>
      </c>
      <c r="F735">
        <v>237277.27</v>
      </c>
      <c r="G735">
        <v>0</v>
      </c>
    </row>
    <row r="736" spans="3:7" x14ac:dyDescent="0.25">
      <c r="C736" s="308" t="s">
        <v>830</v>
      </c>
      <c r="D736">
        <v>301037.90000000002</v>
      </c>
      <c r="E736">
        <v>0</v>
      </c>
      <c r="F736">
        <v>237277.27</v>
      </c>
      <c r="G736">
        <v>0</v>
      </c>
    </row>
    <row r="737" spans="3:7" x14ac:dyDescent="0.25">
      <c r="C737" s="16" t="s">
        <v>541</v>
      </c>
      <c r="D737">
        <v>555080</v>
      </c>
      <c r="E737">
        <v>0</v>
      </c>
      <c r="F737">
        <v>1214761.3600000001</v>
      </c>
      <c r="G737">
        <v>0</v>
      </c>
    </row>
    <row r="738" spans="3:7" x14ac:dyDescent="0.25">
      <c r="C738" s="308" t="s">
        <v>540</v>
      </c>
      <c r="D738">
        <v>0</v>
      </c>
      <c r="E738">
        <v>0</v>
      </c>
      <c r="F738">
        <v>6500</v>
      </c>
      <c r="G738">
        <v>0</v>
      </c>
    </row>
    <row r="739" spans="3:7" x14ac:dyDescent="0.25">
      <c r="C739" s="308" t="s">
        <v>574</v>
      </c>
      <c r="D739">
        <v>0</v>
      </c>
      <c r="E739">
        <v>0</v>
      </c>
      <c r="F739">
        <v>0</v>
      </c>
      <c r="G739">
        <v>0</v>
      </c>
    </row>
    <row r="740" spans="3:7" x14ac:dyDescent="0.25">
      <c r="C740" s="308" t="s">
        <v>576</v>
      </c>
      <c r="D740">
        <v>0</v>
      </c>
      <c r="E740">
        <v>0</v>
      </c>
      <c r="F740">
        <v>2500</v>
      </c>
      <c r="G740">
        <v>0</v>
      </c>
    </row>
    <row r="741" spans="3:7" x14ac:dyDescent="0.25">
      <c r="C741" s="308" t="s">
        <v>614</v>
      </c>
      <c r="D741">
        <v>0</v>
      </c>
      <c r="E741">
        <v>0</v>
      </c>
      <c r="F741">
        <v>0</v>
      </c>
      <c r="G741">
        <v>0</v>
      </c>
    </row>
    <row r="742" spans="3:7" x14ac:dyDescent="0.25">
      <c r="C742" s="308" t="s">
        <v>128</v>
      </c>
      <c r="D742">
        <v>15900</v>
      </c>
      <c r="E742">
        <v>0</v>
      </c>
      <c r="F742">
        <v>57414</v>
      </c>
      <c r="G742">
        <v>0</v>
      </c>
    </row>
    <row r="743" spans="3:7" x14ac:dyDescent="0.25">
      <c r="C743" s="308" t="s">
        <v>616</v>
      </c>
      <c r="D743">
        <v>0</v>
      </c>
      <c r="E743">
        <v>0</v>
      </c>
      <c r="F743">
        <v>0</v>
      </c>
      <c r="G743">
        <v>0</v>
      </c>
    </row>
    <row r="744" spans="3:7" x14ac:dyDescent="0.25">
      <c r="C744" s="308" t="s">
        <v>618</v>
      </c>
      <c r="D744">
        <v>50000</v>
      </c>
      <c r="E744">
        <v>0</v>
      </c>
      <c r="F744">
        <v>50000</v>
      </c>
      <c r="G744">
        <v>0</v>
      </c>
    </row>
    <row r="745" spans="3:7" x14ac:dyDescent="0.25">
      <c r="C745" s="308" t="s">
        <v>658</v>
      </c>
      <c r="D745">
        <v>0</v>
      </c>
      <c r="E745">
        <v>0</v>
      </c>
      <c r="F745">
        <v>0</v>
      </c>
      <c r="G745">
        <v>0</v>
      </c>
    </row>
    <row r="746" spans="3:7" x14ac:dyDescent="0.25">
      <c r="C746" s="308" t="s">
        <v>187</v>
      </c>
      <c r="D746">
        <v>7</v>
      </c>
      <c r="E746">
        <v>0</v>
      </c>
      <c r="F746">
        <v>5436</v>
      </c>
      <c r="G746">
        <v>0</v>
      </c>
    </row>
    <row r="747" spans="3:7" x14ac:dyDescent="0.25">
      <c r="C747" s="308" t="s">
        <v>188</v>
      </c>
      <c r="D747">
        <v>10150</v>
      </c>
      <c r="E747">
        <v>0</v>
      </c>
      <c r="F747">
        <v>27865</v>
      </c>
      <c r="G747">
        <v>0</v>
      </c>
    </row>
    <row r="748" spans="3:7" x14ac:dyDescent="0.25">
      <c r="C748" s="308" t="s">
        <v>190</v>
      </c>
      <c r="D748">
        <v>468</v>
      </c>
      <c r="E748">
        <v>0</v>
      </c>
      <c r="F748">
        <v>2414</v>
      </c>
      <c r="G748">
        <v>0</v>
      </c>
    </row>
    <row r="749" spans="3:7" x14ac:dyDescent="0.25">
      <c r="C749" s="308" t="s">
        <v>662</v>
      </c>
      <c r="D749">
        <v>19982</v>
      </c>
      <c r="E749">
        <v>0</v>
      </c>
      <c r="F749">
        <v>285659</v>
      </c>
      <c r="G749">
        <v>0</v>
      </c>
    </row>
    <row r="750" spans="3:7" x14ac:dyDescent="0.25">
      <c r="C750" s="308" t="s">
        <v>191</v>
      </c>
      <c r="D750">
        <v>0</v>
      </c>
      <c r="E750">
        <v>0</v>
      </c>
      <c r="F750">
        <v>0</v>
      </c>
      <c r="G750">
        <v>0</v>
      </c>
    </row>
    <row r="751" spans="3:7" x14ac:dyDescent="0.25">
      <c r="C751" s="308" t="s">
        <v>663</v>
      </c>
      <c r="D751">
        <v>0</v>
      </c>
      <c r="E751">
        <v>0</v>
      </c>
      <c r="F751">
        <v>200</v>
      </c>
      <c r="G751">
        <v>0</v>
      </c>
    </row>
    <row r="752" spans="3:7" x14ac:dyDescent="0.25">
      <c r="C752" s="308" t="s">
        <v>664</v>
      </c>
      <c r="D752">
        <v>0</v>
      </c>
      <c r="E752">
        <v>0</v>
      </c>
      <c r="F752">
        <v>5485</v>
      </c>
      <c r="G752">
        <v>0</v>
      </c>
    </row>
    <row r="753" spans="3:7" x14ac:dyDescent="0.25">
      <c r="C753" s="308" t="s">
        <v>665</v>
      </c>
      <c r="D753">
        <v>0</v>
      </c>
      <c r="E753">
        <v>0</v>
      </c>
      <c r="F753">
        <v>29250</v>
      </c>
      <c r="G753">
        <v>0</v>
      </c>
    </row>
    <row r="754" spans="3:7" x14ac:dyDescent="0.25">
      <c r="C754" s="308" t="s">
        <v>192</v>
      </c>
      <c r="D754">
        <v>7</v>
      </c>
      <c r="E754">
        <v>0</v>
      </c>
      <c r="F754">
        <v>5436</v>
      </c>
      <c r="G754">
        <v>0</v>
      </c>
    </row>
    <row r="755" spans="3:7" x14ac:dyDescent="0.25">
      <c r="C755" s="308" t="s">
        <v>193</v>
      </c>
      <c r="D755">
        <v>5531</v>
      </c>
      <c r="E755">
        <v>0</v>
      </c>
      <c r="F755">
        <v>0</v>
      </c>
      <c r="G755">
        <v>0</v>
      </c>
    </row>
    <row r="756" spans="3:7" x14ac:dyDescent="0.25">
      <c r="C756" s="308" t="s">
        <v>666</v>
      </c>
      <c r="D756">
        <v>4285</v>
      </c>
      <c r="E756">
        <v>0</v>
      </c>
      <c r="F756">
        <v>2330</v>
      </c>
      <c r="G756">
        <v>0</v>
      </c>
    </row>
    <row r="757" spans="3:7" x14ac:dyDescent="0.25">
      <c r="C757" s="308" t="s">
        <v>668</v>
      </c>
      <c r="D757">
        <v>0</v>
      </c>
      <c r="E757">
        <v>0</v>
      </c>
      <c r="F757">
        <v>12071</v>
      </c>
      <c r="G757">
        <v>0</v>
      </c>
    </row>
    <row r="758" spans="3:7" x14ac:dyDescent="0.25">
      <c r="C758" s="308" t="s">
        <v>216</v>
      </c>
      <c r="D758">
        <v>14112</v>
      </c>
      <c r="E758">
        <v>0</v>
      </c>
      <c r="F758">
        <v>14352</v>
      </c>
      <c r="G758">
        <v>0</v>
      </c>
    </row>
    <row r="759" spans="3:7" x14ac:dyDescent="0.25">
      <c r="C759" s="308" t="s">
        <v>689</v>
      </c>
      <c r="D759">
        <v>0</v>
      </c>
      <c r="E759">
        <v>0</v>
      </c>
      <c r="F759">
        <v>0</v>
      </c>
      <c r="G759">
        <v>0</v>
      </c>
    </row>
    <row r="760" spans="3:7" x14ac:dyDescent="0.25">
      <c r="C760" s="308" t="s">
        <v>250</v>
      </c>
      <c r="D760">
        <v>0</v>
      </c>
      <c r="E760">
        <v>0</v>
      </c>
      <c r="F760">
        <v>185312</v>
      </c>
      <c r="G760">
        <v>0</v>
      </c>
    </row>
    <row r="761" spans="3:7" x14ac:dyDescent="0.25">
      <c r="C761" s="308" t="s">
        <v>718</v>
      </c>
      <c r="D761">
        <v>0</v>
      </c>
      <c r="E761">
        <v>0</v>
      </c>
      <c r="F761">
        <v>0</v>
      </c>
      <c r="G761">
        <v>0</v>
      </c>
    </row>
    <row r="762" spans="3:7" x14ac:dyDescent="0.25">
      <c r="C762" s="308" t="s">
        <v>719</v>
      </c>
      <c r="D762">
        <v>0</v>
      </c>
      <c r="E762">
        <v>0</v>
      </c>
      <c r="F762">
        <v>0</v>
      </c>
      <c r="G762">
        <v>0</v>
      </c>
    </row>
    <row r="763" spans="3:7" x14ac:dyDescent="0.25">
      <c r="C763" s="308" t="s">
        <v>274</v>
      </c>
      <c r="D763">
        <v>75</v>
      </c>
      <c r="E763">
        <v>0</v>
      </c>
      <c r="F763">
        <v>0</v>
      </c>
      <c r="G763">
        <v>0</v>
      </c>
    </row>
    <row r="764" spans="3:7" x14ac:dyDescent="0.25">
      <c r="C764" s="308" t="s">
        <v>275</v>
      </c>
      <c r="D764">
        <v>15855</v>
      </c>
      <c r="E764">
        <v>0</v>
      </c>
      <c r="F764">
        <v>0</v>
      </c>
      <c r="G764">
        <v>0</v>
      </c>
    </row>
    <row r="765" spans="3:7" x14ac:dyDescent="0.25">
      <c r="C765" s="308" t="s">
        <v>737</v>
      </c>
      <c r="D765">
        <v>0</v>
      </c>
      <c r="E765">
        <v>0</v>
      </c>
      <c r="F765">
        <v>0</v>
      </c>
      <c r="G765">
        <v>0</v>
      </c>
    </row>
    <row r="766" spans="3:7" x14ac:dyDescent="0.25">
      <c r="C766" s="308" t="s">
        <v>276</v>
      </c>
      <c r="D766">
        <v>75</v>
      </c>
      <c r="E766">
        <v>0</v>
      </c>
      <c r="F766">
        <v>0</v>
      </c>
      <c r="G766">
        <v>0</v>
      </c>
    </row>
    <row r="767" spans="3:7" x14ac:dyDescent="0.25">
      <c r="C767" s="308" t="s">
        <v>738</v>
      </c>
      <c r="D767">
        <v>0</v>
      </c>
      <c r="E767">
        <v>0</v>
      </c>
      <c r="F767">
        <v>281000</v>
      </c>
      <c r="G767">
        <v>0</v>
      </c>
    </row>
    <row r="768" spans="3:7" x14ac:dyDescent="0.25">
      <c r="C768" s="308" t="s">
        <v>749</v>
      </c>
      <c r="D768">
        <v>0</v>
      </c>
      <c r="E768">
        <v>0</v>
      </c>
      <c r="F768">
        <v>0</v>
      </c>
      <c r="G768">
        <v>0</v>
      </c>
    </row>
    <row r="769" spans="3:7" x14ac:dyDescent="0.25">
      <c r="C769" s="308" t="s">
        <v>312</v>
      </c>
      <c r="D769">
        <v>208079</v>
      </c>
      <c r="E769">
        <v>0</v>
      </c>
      <c r="F769">
        <v>154260</v>
      </c>
      <c r="G769">
        <v>0</v>
      </c>
    </row>
    <row r="770" spans="3:7" x14ac:dyDescent="0.25">
      <c r="C770" s="308" t="s">
        <v>323</v>
      </c>
      <c r="D770">
        <v>11900</v>
      </c>
      <c r="E770">
        <v>0</v>
      </c>
      <c r="F770">
        <v>24500</v>
      </c>
      <c r="G770">
        <v>0</v>
      </c>
    </row>
    <row r="771" spans="3:7" x14ac:dyDescent="0.25">
      <c r="C771" s="308" t="s">
        <v>803</v>
      </c>
      <c r="D771">
        <v>0</v>
      </c>
      <c r="E771">
        <v>0</v>
      </c>
      <c r="F771">
        <v>23653</v>
      </c>
      <c r="G771">
        <v>0</v>
      </c>
    </row>
    <row r="772" spans="3:7" x14ac:dyDescent="0.25">
      <c r="C772" s="308" t="s">
        <v>846</v>
      </c>
      <c r="D772">
        <v>0</v>
      </c>
      <c r="E772">
        <v>0</v>
      </c>
      <c r="F772">
        <v>21</v>
      </c>
      <c r="G772">
        <v>0</v>
      </c>
    </row>
    <row r="773" spans="3:7" x14ac:dyDescent="0.25">
      <c r="C773" s="308" t="s">
        <v>428</v>
      </c>
      <c r="D773">
        <v>122521</v>
      </c>
      <c r="E773">
        <v>0</v>
      </c>
      <c r="F773">
        <v>0</v>
      </c>
      <c r="G773">
        <v>0</v>
      </c>
    </row>
    <row r="774" spans="3:7" x14ac:dyDescent="0.25">
      <c r="C774" s="308" t="s">
        <v>863</v>
      </c>
      <c r="D774">
        <v>0</v>
      </c>
      <c r="E774">
        <v>0</v>
      </c>
      <c r="F774">
        <v>0</v>
      </c>
      <c r="G774">
        <v>0</v>
      </c>
    </row>
    <row r="775" spans="3:7" x14ac:dyDescent="0.25">
      <c r="C775" s="308" t="s">
        <v>865</v>
      </c>
      <c r="D775">
        <v>0</v>
      </c>
      <c r="E775">
        <v>0</v>
      </c>
      <c r="F775">
        <v>0</v>
      </c>
      <c r="G775">
        <v>0</v>
      </c>
    </row>
    <row r="776" spans="3:7" x14ac:dyDescent="0.25">
      <c r="C776" s="308" t="s">
        <v>880</v>
      </c>
      <c r="D776">
        <v>0</v>
      </c>
      <c r="E776">
        <v>0</v>
      </c>
      <c r="F776">
        <v>14674</v>
      </c>
      <c r="G776">
        <v>0</v>
      </c>
    </row>
    <row r="777" spans="3:7" x14ac:dyDescent="0.25">
      <c r="C777" s="308" t="s">
        <v>864</v>
      </c>
      <c r="D777">
        <v>0</v>
      </c>
      <c r="E777">
        <v>0</v>
      </c>
      <c r="F777">
        <v>24429.360000000001</v>
      </c>
      <c r="G777">
        <v>0</v>
      </c>
    </row>
    <row r="778" spans="3:7" x14ac:dyDescent="0.25">
      <c r="C778" s="308" t="s">
        <v>2479</v>
      </c>
      <c r="D778">
        <v>76133</v>
      </c>
      <c r="E778">
        <v>0</v>
      </c>
      <c r="F778">
        <v>0</v>
      </c>
      <c r="G778">
        <v>0</v>
      </c>
    </row>
    <row r="779" spans="3:7" x14ac:dyDescent="0.25">
      <c r="C779" s="16" t="s">
        <v>641</v>
      </c>
      <c r="D779">
        <v>320000</v>
      </c>
      <c r="E779">
        <v>0</v>
      </c>
      <c r="F779">
        <v>312000</v>
      </c>
      <c r="G779">
        <v>0</v>
      </c>
    </row>
    <row r="780" spans="3:7" x14ac:dyDescent="0.25">
      <c r="C780" s="308" t="s">
        <v>158</v>
      </c>
      <c r="D780">
        <v>8000</v>
      </c>
      <c r="E780">
        <v>0</v>
      </c>
      <c r="F780">
        <v>0</v>
      </c>
      <c r="G780">
        <v>0</v>
      </c>
    </row>
    <row r="781" spans="3:7" x14ac:dyDescent="0.25">
      <c r="C781" s="308" t="s">
        <v>723</v>
      </c>
      <c r="D781">
        <v>312000</v>
      </c>
      <c r="E781">
        <v>0</v>
      </c>
      <c r="F781">
        <v>312000</v>
      </c>
      <c r="G781">
        <v>0</v>
      </c>
    </row>
    <row r="782" spans="3:7" x14ac:dyDescent="0.25">
      <c r="C782" s="16" t="s">
        <v>730</v>
      </c>
      <c r="D782">
        <v>806397.4</v>
      </c>
      <c r="E782">
        <v>0</v>
      </c>
      <c r="F782">
        <v>409071.26</v>
      </c>
      <c r="G782">
        <v>0</v>
      </c>
    </row>
    <row r="783" spans="3:7" x14ac:dyDescent="0.25">
      <c r="C783" s="308" t="s">
        <v>729</v>
      </c>
      <c r="D783">
        <v>0</v>
      </c>
      <c r="E783">
        <v>0</v>
      </c>
      <c r="F783">
        <v>0</v>
      </c>
      <c r="G783">
        <v>0</v>
      </c>
    </row>
    <row r="784" spans="3:7" x14ac:dyDescent="0.25">
      <c r="C784" s="308" t="s">
        <v>731</v>
      </c>
      <c r="D784">
        <v>0</v>
      </c>
      <c r="E784">
        <v>0</v>
      </c>
      <c r="F784">
        <v>0</v>
      </c>
      <c r="G784">
        <v>0</v>
      </c>
    </row>
    <row r="785" spans="3:7" x14ac:dyDescent="0.25">
      <c r="C785" s="308" t="s">
        <v>320</v>
      </c>
      <c r="D785">
        <v>806397.4</v>
      </c>
      <c r="E785">
        <v>0</v>
      </c>
      <c r="F785">
        <v>409071.26</v>
      </c>
      <c r="G785">
        <v>0</v>
      </c>
    </row>
    <row r="786" spans="3:7" x14ac:dyDescent="0.25">
      <c r="C786" s="16" t="s">
        <v>885</v>
      </c>
      <c r="D786">
        <v>793706.74</v>
      </c>
      <c r="E786">
        <v>0</v>
      </c>
      <c r="F786">
        <v>587236</v>
      </c>
      <c r="G786">
        <v>0</v>
      </c>
    </row>
    <row r="787" spans="3:7" x14ac:dyDescent="0.25">
      <c r="C787" s="308" t="s">
        <v>884</v>
      </c>
      <c r="D787">
        <v>521794</v>
      </c>
      <c r="E787">
        <v>0</v>
      </c>
      <c r="F787">
        <v>332580</v>
      </c>
      <c r="G787">
        <v>0</v>
      </c>
    </row>
    <row r="788" spans="3:7" x14ac:dyDescent="0.25">
      <c r="C788" s="308" t="s">
        <v>432</v>
      </c>
      <c r="D788">
        <v>271912.74</v>
      </c>
      <c r="E788">
        <v>0</v>
      </c>
      <c r="F788">
        <v>254656</v>
      </c>
      <c r="G788">
        <v>0</v>
      </c>
    </row>
    <row r="789" spans="3:7" x14ac:dyDescent="0.25">
      <c r="C789" s="16" t="s">
        <v>853</v>
      </c>
      <c r="D789">
        <v>65764</v>
      </c>
      <c r="E789">
        <v>0</v>
      </c>
      <c r="F789">
        <v>57609.08</v>
      </c>
      <c r="G789">
        <v>0</v>
      </c>
    </row>
    <row r="790" spans="3:7" x14ac:dyDescent="0.25">
      <c r="C790" s="308" t="s">
        <v>852</v>
      </c>
      <c r="D790">
        <v>65764</v>
      </c>
      <c r="E790">
        <v>0</v>
      </c>
      <c r="F790">
        <v>57609.08</v>
      </c>
      <c r="G790">
        <v>0</v>
      </c>
    </row>
    <row r="791" spans="3:7" x14ac:dyDescent="0.25">
      <c r="C791" s="16" t="s">
        <v>570</v>
      </c>
      <c r="D791">
        <v>172981</v>
      </c>
      <c r="E791">
        <v>0</v>
      </c>
      <c r="F791">
        <v>1355567.44</v>
      </c>
      <c r="G791">
        <v>0</v>
      </c>
    </row>
    <row r="792" spans="3:7" x14ac:dyDescent="0.25">
      <c r="C792" s="308" t="s">
        <v>569</v>
      </c>
      <c r="D792">
        <v>30655</v>
      </c>
      <c r="E792">
        <v>0</v>
      </c>
      <c r="F792">
        <v>28640</v>
      </c>
      <c r="G792">
        <v>0</v>
      </c>
    </row>
    <row r="793" spans="3:7" x14ac:dyDescent="0.25">
      <c r="C793" s="308" t="s">
        <v>571</v>
      </c>
      <c r="D793">
        <v>25835</v>
      </c>
      <c r="E793">
        <v>0</v>
      </c>
      <c r="F793">
        <v>45845</v>
      </c>
      <c r="G793">
        <v>0</v>
      </c>
    </row>
    <row r="794" spans="3:7" x14ac:dyDescent="0.25">
      <c r="C794" s="308" t="s">
        <v>856</v>
      </c>
      <c r="D794">
        <v>116491</v>
      </c>
      <c r="E794">
        <v>0</v>
      </c>
      <c r="F794">
        <v>1281082.44</v>
      </c>
      <c r="G794">
        <v>0</v>
      </c>
    </row>
    <row r="795" spans="3:7" x14ac:dyDescent="0.25">
      <c r="C795" s="16" t="s">
        <v>619</v>
      </c>
      <c r="D795">
        <v>2854617</v>
      </c>
      <c r="E795">
        <v>0</v>
      </c>
      <c r="F795">
        <v>2841598</v>
      </c>
      <c r="G795">
        <v>0</v>
      </c>
    </row>
    <row r="796" spans="3:7" x14ac:dyDescent="0.25">
      <c r="C796" s="308" t="s">
        <v>138</v>
      </c>
      <c r="D796">
        <v>2854617</v>
      </c>
      <c r="E796">
        <v>0</v>
      </c>
      <c r="F796">
        <v>2841598</v>
      </c>
      <c r="G796">
        <v>0</v>
      </c>
    </row>
    <row r="797" spans="3:7" x14ac:dyDescent="0.25">
      <c r="C797" s="16" t="s">
        <v>780</v>
      </c>
      <c r="D797">
        <v>3861148</v>
      </c>
      <c r="E797">
        <v>0</v>
      </c>
      <c r="F797">
        <v>4167429</v>
      </c>
      <c r="G797">
        <v>0</v>
      </c>
    </row>
    <row r="798" spans="3:7" x14ac:dyDescent="0.25">
      <c r="C798" s="308" t="s">
        <v>313</v>
      </c>
      <c r="D798">
        <v>3861148</v>
      </c>
      <c r="E798">
        <v>0</v>
      </c>
      <c r="F798">
        <v>4167429</v>
      </c>
      <c r="G798">
        <v>0</v>
      </c>
    </row>
    <row r="799" spans="3:7" x14ac:dyDescent="0.25">
      <c r="C799" s="16" t="s">
        <v>530</v>
      </c>
      <c r="D799">
        <v>4250954.5</v>
      </c>
      <c r="E799">
        <v>0</v>
      </c>
      <c r="F799">
        <v>4661821.3</v>
      </c>
      <c r="G799">
        <v>0</v>
      </c>
    </row>
    <row r="800" spans="3:7" x14ac:dyDescent="0.25">
      <c r="C800" s="308" t="s">
        <v>40</v>
      </c>
      <c r="D800">
        <v>3207346</v>
      </c>
      <c r="E800">
        <v>0</v>
      </c>
      <c r="F800">
        <v>3586075</v>
      </c>
      <c r="G800">
        <v>0</v>
      </c>
    </row>
    <row r="801" spans="3:7" x14ac:dyDescent="0.25">
      <c r="C801" s="308" t="s">
        <v>48</v>
      </c>
      <c r="D801">
        <v>95263</v>
      </c>
      <c r="E801">
        <v>0</v>
      </c>
      <c r="F801">
        <v>95134</v>
      </c>
      <c r="G801">
        <v>0</v>
      </c>
    </row>
    <row r="802" spans="3:7" x14ac:dyDescent="0.25">
      <c r="C802" s="308" t="s">
        <v>49</v>
      </c>
      <c r="D802">
        <v>81600</v>
      </c>
      <c r="E802">
        <v>0</v>
      </c>
      <c r="F802">
        <v>64762</v>
      </c>
      <c r="G802">
        <v>0</v>
      </c>
    </row>
    <row r="803" spans="3:7" x14ac:dyDescent="0.25">
      <c r="C803" s="308" t="s">
        <v>96</v>
      </c>
      <c r="D803">
        <v>0</v>
      </c>
      <c r="E803">
        <v>0</v>
      </c>
      <c r="F803">
        <v>0</v>
      </c>
      <c r="G803">
        <v>0</v>
      </c>
    </row>
    <row r="804" spans="3:7" x14ac:dyDescent="0.25">
      <c r="C804" s="308" t="s">
        <v>131</v>
      </c>
      <c r="D804">
        <v>64575</v>
      </c>
      <c r="E804">
        <v>0</v>
      </c>
      <c r="F804">
        <v>58090</v>
      </c>
      <c r="G804">
        <v>0</v>
      </c>
    </row>
    <row r="805" spans="3:7" x14ac:dyDescent="0.25">
      <c r="C805" s="308" t="s">
        <v>132</v>
      </c>
      <c r="D805">
        <v>244646.5</v>
      </c>
      <c r="E805">
        <v>0</v>
      </c>
      <c r="F805">
        <v>242450</v>
      </c>
      <c r="G805">
        <v>0</v>
      </c>
    </row>
    <row r="806" spans="3:7" x14ac:dyDescent="0.25">
      <c r="C806" s="308" t="s">
        <v>134</v>
      </c>
      <c r="D806">
        <v>218259</v>
      </c>
      <c r="E806">
        <v>0</v>
      </c>
      <c r="F806">
        <v>289245</v>
      </c>
      <c r="G806">
        <v>0</v>
      </c>
    </row>
    <row r="807" spans="3:7" x14ac:dyDescent="0.25">
      <c r="C807" s="308" t="s">
        <v>137</v>
      </c>
      <c r="D807">
        <v>7700</v>
      </c>
      <c r="E807">
        <v>0</v>
      </c>
      <c r="F807">
        <v>28970.799999999999</v>
      </c>
      <c r="G807">
        <v>0</v>
      </c>
    </row>
    <row r="808" spans="3:7" x14ac:dyDescent="0.25">
      <c r="C808" s="308" t="s">
        <v>416</v>
      </c>
      <c r="D808">
        <v>40650</v>
      </c>
      <c r="E808">
        <v>0</v>
      </c>
      <c r="F808">
        <v>97188</v>
      </c>
      <c r="G808">
        <v>0</v>
      </c>
    </row>
    <row r="809" spans="3:7" x14ac:dyDescent="0.25">
      <c r="C809" s="308" t="s">
        <v>891</v>
      </c>
      <c r="D809">
        <v>0</v>
      </c>
      <c r="E809">
        <v>0</v>
      </c>
      <c r="F809">
        <v>0</v>
      </c>
      <c r="G809">
        <v>0</v>
      </c>
    </row>
    <row r="810" spans="3:7" x14ac:dyDescent="0.25">
      <c r="C810" s="308" t="s">
        <v>439</v>
      </c>
      <c r="D810">
        <v>290915</v>
      </c>
      <c r="E810">
        <v>0</v>
      </c>
      <c r="F810">
        <v>199906.5</v>
      </c>
      <c r="G810">
        <v>0</v>
      </c>
    </row>
    <row r="811" spans="3:7" x14ac:dyDescent="0.25">
      <c r="C811" s="16" t="s">
        <v>728</v>
      </c>
      <c r="D811">
        <v>6950844.8200000003</v>
      </c>
      <c r="E811">
        <v>0</v>
      </c>
      <c r="F811">
        <v>7664377.8099999996</v>
      </c>
      <c r="G811">
        <v>0</v>
      </c>
    </row>
    <row r="812" spans="3:7" x14ac:dyDescent="0.25">
      <c r="C812" s="308" t="s">
        <v>264</v>
      </c>
      <c r="D812">
        <v>1640</v>
      </c>
      <c r="E812">
        <v>0</v>
      </c>
      <c r="F812">
        <v>500</v>
      </c>
      <c r="G812">
        <v>0</v>
      </c>
    </row>
    <row r="813" spans="3:7" x14ac:dyDescent="0.25">
      <c r="C813" s="308" t="s">
        <v>263</v>
      </c>
      <c r="D813">
        <v>870</v>
      </c>
      <c r="E813">
        <v>0</v>
      </c>
      <c r="F813">
        <v>2650</v>
      </c>
      <c r="G813">
        <v>0</v>
      </c>
    </row>
    <row r="814" spans="3:7" x14ac:dyDescent="0.25">
      <c r="C814" s="308" t="s">
        <v>269</v>
      </c>
      <c r="D814">
        <v>6671147.8200000003</v>
      </c>
      <c r="E814">
        <v>0</v>
      </c>
      <c r="F814">
        <v>7311227.8099999996</v>
      </c>
      <c r="G814">
        <v>0</v>
      </c>
    </row>
    <row r="815" spans="3:7" x14ac:dyDescent="0.25">
      <c r="C815" s="308" t="s">
        <v>766</v>
      </c>
      <c r="D815">
        <v>0</v>
      </c>
      <c r="E815">
        <v>0</v>
      </c>
      <c r="F815">
        <v>0</v>
      </c>
      <c r="G815">
        <v>0</v>
      </c>
    </row>
    <row r="816" spans="3:7" x14ac:dyDescent="0.25">
      <c r="C816" s="308" t="s">
        <v>860</v>
      </c>
      <c r="D816">
        <v>277187</v>
      </c>
      <c r="E816">
        <v>0</v>
      </c>
      <c r="F816">
        <v>350000</v>
      </c>
      <c r="G816">
        <v>0</v>
      </c>
    </row>
    <row r="817" spans="3:7" x14ac:dyDescent="0.25">
      <c r="C817" s="16" t="s">
        <v>562</v>
      </c>
      <c r="D817">
        <v>122464907.44</v>
      </c>
      <c r="E817">
        <v>0</v>
      </c>
      <c r="F817">
        <v>132169304.02</v>
      </c>
      <c r="G817">
        <v>0</v>
      </c>
    </row>
    <row r="818" spans="3:7" x14ac:dyDescent="0.25">
      <c r="C818" s="308" t="s">
        <v>81</v>
      </c>
      <c r="D818">
        <v>61275</v>
      </c>
      <c r="E818">
        <v>0</v>
      </c>
      <c r="F818">
        <v>923225</v>
      </c>
      <c r="G818">
        <v>0</v>
      </c>
    </row>
    <row r="819" spans="3:7" x14ac:dyDescent="0.25">
      <c r="C819" s="308" t="s">
        <v>82</v>
      </c>
      <c r="D819">
        <v>38717565.439999998</v>
      </c>
      <c r="E819">
        <v>0</v>
      </c>
      <c r="F819">
        <v>44460025.039999999</v>
      </c>
      <c r="G819">
        <v>0</v>
      </c>
    </row>
    <row r="820" spans="3:7" x14ac:dyDescent="0.25">
      <c r="C820" s="308" t="s">
        <v>133</v>
      </c>
      <c r="D820">
        <v>66582536</v>
      </c>
      <c r="E820">
        <v>0</v>
      </c>
      <c r="F820">
        <v>70499746</v>
      </c>
      <c r="G820">
        <v>0</v>
      </c>
    </row>
    <row r="821" spans="3:7" x14ac:dyDescent="0.25">
      <c r="C821" s="308" t="s">
        <v>262</v>
      </c>
      <c r="D821">
        <v>5227186</v>
      </c>
      <c r="E821">
        <v>0</v>
      </c>
      <c r="F821">
        <v>852133</v>
      </c>
      <c r="G821">
        <v>0</v>
      </c>
    </row>
    <row r="822" spans="3:7" x14ac:dyDescent="0.25">
      <c r="C822" s="308" t="s">
        <v>741</v>
      </c>
      <c r="D822">
        <v>0</v>
      </c>
      <c r="E822">
        <v>0</v>
      </c>
      <c r="F822">
        <v>0</v>
      </c>
      <c r="G822">
        <v>0</v>
      </c>
    </row>
    <row r="823" spans="3:7" x14ac:dyDescent="0.25">
      <c r="C823" s="308" t="s">
        <v>305</v>
      </c>
      <c r="D823">
        <v>6876013</v>
      </c>
      <c r="E823">
        <v>0</v>
      </c>
      <c r="F823">
        <v>9875204.9800000004</v>
      </c>
      <c r="G823">
        <v>0</v>
      </c>
    </row>
    <row r="824" spans="3:7" x14ac:dyDescent="0.25">
      <c r="C824" s="308" t="s">
        <v>777</v>
      </c>
      <c r="D824">
        <v>0</v>
      </c>
      <c r="E824">
        <v>0</v>
      </c>
      <c r="F824">
        <v>0</v>
      </c>
      <c r="G824">
        <v>0</v>
      </c>
    </row>
    <row r="825" spans="3:7" x14ac:dyDescent="0.25">
      <c r="C825" s="308" t="s">
        <v>390</v>
      </c>
      <c r="D825">
        <v>5000332</v>
      </c>
      <c r="E825">
        <v>0</v>
      </c>
      <c r="F825">
        <v>5558970</v>
      </c>
      <c r="G825">
        <v>0</v>
      </c>
    </row>
    <row r="826" spans="3:7" x14ac:dyDescent="0.25">
      <c r="C826" s="16" t="s">
        <v>810</v>
      </c>
      <c r="D826">
        <v>703243</v>
      </c>
      <c r="E826">
        <v>0</v>
      </c>
      <c r="F826">
        <v>689707</v>
      </c>
      <c r="G826">
        <v>0</v>
      </c>
    </row>
    <row r="827" spans="3:7" x14ac:dyDescent="0.25">
      <c r="C827" s="308" t="s">
        <v>347</v>
      </c>
      <c r="D827">
        <v>703243</v>
      </c>
      <c r="E827">
        <v>0</v>
      </c>
      <c r="F827">
        <v>689707</v>
      </c>
      <c r="G827">
        <v>0</v>
      </c>
    </row>
    <row r="828" spans="3:7" x14ac:dyDescent="0.25">
      <c r="C828" s="16" t="s">
        <v>769</v>
      </c>
      <c r="D828">
        <v>5885577.8399999999</v>
      </c>
      <c r="E828">
        <v>0</v>
      </c>
      <c r="F828">
        <v>9155866.8599999994</v>
      </c>
      <c r="G828">
        <v>0</v>
      </c>
    </row>
    <row r="829" spans="3:7" x14ac:dyDescent="0.25">
      <c r="C829" s="308" t="s">
        <v>768</v>
      </c>
      <c r="D829">
        <v>5885577.8399999999</v>
      </c>
      <c r="E829">
        <v>0</v>
      </c>
      <c r="F829">
        <v>9155866.8599999994</v>
      </c>
      <c r="G829">
        <v>0</v>
      </c>
    </row>
    <row r="830" spans="3:7" x14ac:dyDescent="0.25">
      <c r="C830" s="16" t="s">
        <v>892</v>
      </c>
      <c r="D830">
        <v>6129998</v>
      </c>
      <c r="E830">
        <v>0</v>
      </c>
      <c r="F830">
        <v>6659960</v>
      </c>
      <c r="G830">
        <v>0</v>
      </c>
    </row>
    <row r="831" spans="3:7" x14ac:dyDescent="0.25">
      <c r="C831" s="308" t="s">
        <v>440</v>
      </c>
      <c r="D831">
        <v>6129998</v>
      </c>
      <c r="E831">
        <v>0</v>
      </c>
      <c r="F831">
        <v>6659960</v>
      </c>
      <c r="G831">
        <v>0</v>
      </c>
    </row>
    <row r="832" spans="3:7" x14ac:dyDescent="0.25">
      <c r="C832" s="16" t="s">
        <v>785</v>
      </c>
      <c r="D832">
        <v>688233.98</v>
      </c>
      <c r="E832">
        <v>0</v>
      </c>
      <c r="F832">
        <v>954273.6</v>
      </c>
      <c r="G832">
        <v>0</v>
      </c>
    </row>
    <row r="833" spans="3:7" x14ac:dyDescent="0.25">
      <c r="C833" s="308" t="s">
        <v>784</v>
      </c>
      <c r="D833">
        <v>688233.98</v>
      </c>
      <c r="E833">
        <v>0</v>
      </c>
      <c r="F833">
        <v>954273.6</v>
      </c>
      <c r="G833">
        <v>0</v>
      </c>
    </row>
    <row r="834" spans="3:7" x14ac:dyDescent="0.25">
      <c r="C834" s="16" t="s">
        <v>542</v>
      </c>
      <c r="D834">
        <v>10661532.07</v>
      </c>
      <c r="E834">
        <v>0</v>
      </c>
      <c r="F834">
        <v>13943254.359999999</v>
      </c>
      <c r="G834">
        <v>0</v>
      </c>
    </row>
    <row r="835" spans="3:7" x14ac:dyDescent="0.25">
      <c r="C835" s="308" t="s">
        <v>47</v>
      </c>
      <c r="D835">
        <v>364309</v>
      </c>
      <c r="E835">
        <v>0</v>
      </c>
      <c r="F835">
        <v>373855</v>
      </c>
      <c r="G835">
        <v>0</v>
      </c>
    </row>
    <row r="836" spans="3:7" x14ac:dyDescent="0.25">
      <c r="C836" s="308" t="s">
        <v>561</v>
      </c>
      <c r="D836">
        <v>171625</v>
      </c>
      <c r="E836">
        <v>0</v>
      </c>
      <c r="F836">
        <v>219361</v>
      </c>
      <c r="G836">
        <v>0</v>
      </c>
    </row>
    <row r="837" spans="3:7" x14ac:dyDescent="0.25">
      <c r="C837" s="308" t="s">
        <v>224</v>
      </c>
      <c r="D837">
        <v>136767</v>
      </c>
      <c r="E837">
        <v>0</v>
      </c>
      <c r="F837">
        <v>149343</v>
      </c>
      <c r="G837">
        <v>0</v>
      </c>
    </row>
    <row r="838" spans="3:7" x14ac:dyDescent="0.25">
      <c r="C838" s="308" t="s">
        <v>225</v>
      </c>
      <c r="D838">
        <v>1020022</v>
      </c>
      <c r="E838">
        <v>0</v>
      </c>
      <c r="F838">
        <v>969798</v>
      </c>
      <c r="G838">
        <v>0</v>
      </c>
    </row>
    <row r="839" spans="3:7" x14ac:dyDescent="0.25">
      <c r="C839" s="308" t="s">
        <v>694</v>
      </c>
      <c r="D839">
        <v>1231418.3999999999</v>
      </c>
      <c r="E839">
        <v>0</v>
      </c>
      <c r="F839">
        <v>1446914</v>
      </c>
      <c r="G839">
        <v>0</v>
      </c>
    </row>
    <row r="840" spans="3:7" x14ac:dyDescent="0.25">
      <c r="C840" s="308" t="s">
        <v>226</v>
      </c>
      <c r="D840">
        <v>7737390.6699999999</v>
      </c>
      <c r="E840">
        <v>0</v>
      </c>
      <c r="F840">
        <v>10783983.359999999</v>
      </c>
      <c r="G840">
        <v>0</v>
      </c>
    </row>
    <row r="841" spans="3:7" x14ac:dyDescent="0.25">
      <c r="C841" s="308" t="s">
        <v>727</v>
      </c>
      <c r="D841">
        <v>0</v>
      </c>
      <c r="E841">
        <v>0</v>
      </c>
      <c r="F841">
        <v>0</v>
      </c>
      <c r="G841">
        <v>0</v>
      </c>
    </row>
    <row r="842" spans="3:7" x14ac:dyDescent="0.25">
      <c r="C842" s="16" t="s">
        <v>468</v>
      </c>
      <c r="D842">
        <v>114760</v>
      </c>
      <c r="E842">
        <v>0</v>
      </c>
      <c r="F842">
        <v>138158</v>
      </c>
      <c r="G842">
        <v>0</v>
      </c>
    </row>
    <row r="843" spans="3:7" x14ac:dyDescent="0.25">
      <c r="C843" s="308" t="s">
        <v>16</v>
      </c>
      <c r="D843">
        <v>69186</v>
      </c>
      <c r="E843">
        <v>0</v>
      </c>
      <c r="F843">
        <v>113158</v>
      </c>
      <c r="G843">
        <v>0</v>
      </c>
    </row>
    <row r="844" spans="3:7" x14ac:dyDescent="0.25">
      <c r="C844" s="308" t="s">
        <v>179</v>
      </c>
      <c r="D844">
        <v>45574</v>
      </c>
      <c r="E844">
        <v>0</v>
      </c>
      <c r="F844">
        <v>25000</v>
      </c>
      <c r="G844">
        <v>0</v>
      </c>
    </row>
    <row r="845" spans="3:7" x14ac:dyDescent="0.25">
      <c r="C845" s="16" t="s">
        <v>563</v>
      </c>
      <c r="D845">
        <v>2201851</v>
      </c>
      <c r="E845">
        <v>0</v>
      </c>
      <c r="F845">
        <v>1761534</v>
      </c>
      <c r="G845">
        <v>0</v>
      </c>
    </row>
    <row r="846" spans="3:7" x14ac:dyDescent="0.25">
      <c r="C846" s="308" t="s">
        <v>83</v>
      </c>
      <c r="D846">
        <v>313371</v>
      </c>
      <c r="E846">
        <v>0</v>
      </c>
      <c r="F846">
        <v>0</v>
      </c>
      <c r="G846">
        <v>0</v>
      </c>
    </row>
    <row r="847" spans="3:7" x14ac:dyDescent="0.25">
      <c r="C847" s="308" t="s">
        <v>85</v>
      </c>
      <c r="D847">
        <v>1806809</v>
      </c>
      <c r="E847">
        <v>0</v>
      </c>
      <c r="F847">
        <v>1723504</v>
      </c>
      <c r="G847">
        <v>0</v>
      </c>
    </row>
    <row r="848" spans="3:7" x14ac:dyDescent="0.25">
      <c r="C848" s="308" t="s">
        <v>564</v>
      </c>
      <c r="D848">
        <v>81671</v>
      </c>
      <c r="E848">
        <v>0</v>
      </c>
      <c r="F848">
        <v>38030</v>
      </c>
      <c r="G848">
        <v>0</v>
      </c>
    </row>
    <row r="849" spans="1:7" x14ac:dyDescent="0.25">
      <c r="C849" s="16" t="s">
        <v>650</v>
      </c>
      <c r="D849">
        <v>295193</v>
      </c>
      <c r="E849">
        <v>0</v>
      </c>
      <c r="F849">
        <v>86275</v>
      </c>
      <c r="G849">
        <v>0</v>
      </c>
    </row>
    <row r="850" spans="1:7" x14ac:dyDescent="0.25">
      <c r="C850" s="308" t="s">
        <v>649</v>
      </c>
      <c r="D850">
        <v>295193</v>
      </c>
      <c r="E850">
        <v>0</v>
      </c>
      <c r="F850">
        <v>86275</v>
      </c>
      <c r="G850">
        <v>0</v>
      </c>
    </row>
    <row r="851" spans="1:7" x14ac:dyDescent="0.25">
      <c r="C851" s="16" t="s">
        <v>3473</v>
      </c>
      <c r="D851">
        <v>2277589</v>
      </c>
      <c r="E851">
        <v>0</v>
      </c>
      <c r="F851">
        <v>491501</v>
      </c>
      <c r="G851">
        <v>0</v>
      </c>
    </row>
    <row r="852" spans="1:7" x14ac:dyDescent="0.25">
      <c r="C852" s="308" t="s">
        <v>129</v>
      </c>
      <c r="D852">
        <v>2277589</v>
      </c>
      <c r="E852">
        <v>0</v>
      </c>
      <c r="F852">
        <v>491501</v>
      </c>
      <c r="G852">
        <v>0</v>
      </c>
    </row>
    <row r="853" spans="1:7" x14ac:dyDescent="0.25">
      <c r="B853" s="16" t="s">
        <v>1353</v>
      </c>
      <c r="D853">
        <v>178552226.11999997</v>
      </c>
      <c r="E853">
        <v>353.12</v>
      </c>
      <c r="F853">
        <v>194702318.77999997</v>
      </c>
      <c r="G853">
        <v>77662.23</v>
      </c>
    </row>
    <row r="854" spans="1:7" x14ac:dyDescent="0.25">
      <c r="A854" s="16" t="s">
        <v>1410</v>
      </c>
      <c r="D854">
        <v>178552226.11999997</v>
      </c>
      <c r="E854">
        <v>353.12</v>
      </c>
      <c r="F854">
        <v>194702318.77999997</v>
      </c>
      <c r="G854">
        <v>77662.23</v>
      </c>
    </row>
    <row r="855" spans="1:7" x14ac:dyDescent="0.25">
      <c r="A855" s="16" t="s">
        <v>1330</v>
      </c>
      <c r="B855" s="16" t="s">
        <v>726</v>
      </c>
      <c r="C855" s="16" t="s">
        <v>726</v>
      </c>
      <c r="D855">
        <v>67823511</v>
      </c>
      <c r="E855">
        <v>0</v>
      </c>
      <c r="F855">
        <v>51184927.25</v>
      </c>
      <c r="G855">
        <v>0</v>
      </c>
    </row>
    <row r="856" spans="1:7" x14ac:dyDescent="0.25">
      <c r="C856" s="308" t="s">
        <v>13</v>
      </c>
      <c r="D856">
        <v>67823511</v>
      </c>
      <c r="E856">
        <v>0</v>
      </c>
      <c r="F856">
        <v>51184927.25</v>
      </c>
      <c r="G856">
        <v>0</v>
      </c>
    </row>
    <row r="857" spans="1:7" x14ac:dyDescent="0.25">
      <c r="B857" s="16" t="s">
        <v>1354</v>
      </c>
      <c r="D857">
        <v>67823511</v>
      </c>
      <c r="E857">
        <v>0</v>
      </c>
      <c r="F857">
        <v>51184927.25</v>
      </c>
      <c r="G857">
        <v>0</v>
      </c>
    </row>
    <row r="858" spans="1:7" x14ac:dyDescent="0.25">
      <c r="B858" s="16" t="s">
        <v>1330</v>
      </c>
      <c r="C858" s="16" t="s">
        <v>1330</v>
      </c>
      <c r="D858">
        <v>1413567548.77</v>
      </c>
      <c r="E858">
        <v>1413567548.55</v>
      </c>
      <c r="F858">
        <v>1255099743.1099999</v>
      </c>
      <c r="G858">
        <v>1255099253.1100001</v>
      </c>
    </row>
    <row r="859" spans="1:7" x14ac:dyDescent="0.25">
      <c r="C859" s="308" t="s">
        <v>1330</v>
      </c>
      <c r="D859">
        <v>1413567548.77</v>
      </c>
      <c r="E859">
        <v>1413567548.55</v>
      </c>
      <c r="F859">
        <v>1255099743.1099999</v>
      </c>
      <c r="G859">
        <v>1255099253.1100001</v>
      </c>
    </row>
    <row r="860" spans="1:7" x14ac:dyDescent="0.25">
      <c r="B860" s="16" t="s">
        <v>1355</v>
      </c>
      <c r="D860">
        <v>1413567548.77</v>
      </c>
      <c r="E860">
        <v>1413567548.55</v>
      </c>
      <c r="F860">
        <v>1255099743.1099999</v>
      </c>
      <c r="G860">
        <v>1255099253.1100001</v>
      </c>
    </row>
    <row r="861" spans="1:7" x14ac:dyDescent="0.25">
      <c r="A861" s="16" t="s">
        <v>1355</v>
      </c>
      <c r="D861">
        <v>1481391059.77</v>
      </c>
      <c r="E861">
        <v>1413567548.55</v>
      </c>
      <c r="F861">
        <v>1306284670.3599999</v>
      </c>
      <c r="G861">
        <v>1255099253.1100001</v>
      </c>
    </row>
    <row r="862" spans="1:7" x14ac:dyDescent="0.25">
      <c r="A862" s="16" t="s">
        <v>450</v>
      </c>
      <c r="D862">
        <v>2827135097.5400004</v>
      </c>
      <c r="E862">
        <v>2827135097.0999999</v>
      </c>
      <c r="F862">
        <v>2510199486.2199993</v>
      </c>
      <c r="G862">
        <v>2510198506.2200003</v>
      </c>
    </row>
    <row r="863" spans="1:7" x14ac:dyDescent="0.25">
      <c r="D863">
        <f>+GETPIVOTDATA("Sum of Dr. Final HYR",$A$3)-GETPIVOTDATA("Sum of Cr. Final HYR",$A$3)</f>
        <v>0.44000053405761719</v>
      </c>
    </row>
  </sheetData>
  <customSheetViews>
    <customSheetView guid="{334DC1DD-AD60-4D12-A532-9CEE6201A253}" scale="68" fitToPage="1">
      <selection activeCell="A3" sqref="A3"/>
      <pageMargins left="0.70866141732283472" right="0.70866141732283472" top="0.74803149606299213" bottom="0.74803149606299213" header="0.31496062992125984" footer="0.31496062992125984"/>
      <pageSetup paperSize="9" scale="17" fitToHeight="3" orientation="portrait" horizontalDpi="0" verticalDpi="0" r:id="rId2"/>
    </customSheetView>
    <customSheetView guid="{BD5AA3B3-719E-4481-B722-8DE3E8101662}" scale="68" fitToPage="1">
      <selection activeCell="A3" sqref="A3"/>
      <pageMargins left="0.70866141732283472" right="0.70866141732283472" top="0.74803149606299213" bottom="0.74803149606299213" header="0.31496062992125984" footer="0.31496062992125984"/>
      <pageSetup paperSize="9" scale="17" fitToHeight="3" orientation="portrait" horizontalDpi="0" verticalDpi="0" r:id="rId3"/>
    </customSheetView>
  </customSheetViews>
  <printOptions horizontalCentered="1" verticalCentered="1"/>
  <pageMargins left="0.31496062992125984" right="0.31496062992125984" top="0.19685039370078741" bottom="0.15748031496062992" header="0.31496062992125984" footer="0.31496062992125984"/>
  <pageSetup paperSize="9" scale="54" fitToHeight="12" orientation="landscape" horizontalDpi="0" verticalDpi="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35"/>
  <sheetViews>
    <sheetView zoomScale="70" zoomScaleNormal="70" workbookViewId="0">
      <pane ySplit="4" topLeftCell="A5" activePane="bottomLeft" state="frozen"/>
      <selection pane="bottomLeft" activeCell="F13" sqref="F13"/>
    </sheetView>
  </sheetViews>
  <sheetFormatPr defaultColWidth="9.140625" defaultRowHeight="15" x14ac:dyDescent="0.25"/>
  <cols>
    <col min="1" max="1" width="64.140625" bestFit="1" customWidth="1"/>
    <col min="2" max="2" width="10.85546875" bestFit="1" customWidth="1"/>
    <col min="3" max="3" width="34.7109375" bestFit="1" customWidth="1"/>
    <col min="4" max="4" width="68.28515625" bestFit="1" customWidth="1"/>
    <col min="5" max="5" width="19.7109375" bestFit="1" customWidth="1"/>
    <col min="6" max="6" width="16.7109375" bestFit="1" customWidth="1"/>
    <col min="7" max="7" width="20.7109375" bestFit="1" customWidth="1"/>
    <col min="8" max="8" width="19.7109375" bestFit="1" customWidth="1"/>
    <col min="9" max="9" width="15.28515625" bestFit="1" customWidth="1"/>
    <col min="10" max="10" width="20.7109375" bestFit="1" customWidth="1"/>
    <col min="11" max="11" width="19.42578125" bestFit="1" customWidth="1"/>
    <col min="12" max="12" width="6.7109375" bestFit="1" customWidth="1"/>
    <col min="13" max="13" width="22.28515625" bestFit="1" customWidth="1"/>
    <col min="14" max="14" width="19.42578125" bestFit="1" customWidth="1"/>
    <col min="15" max="15" width="6.7109375" bestFit="1" customWidth="1"/>
    <col min="16" max="16" width="22.28515625" bestFit="1" customWidth="1"/>
  </cols>
  <sheetData>
    <row r="1" spans="1:16" x14ac:dyDescent="0.25">
      <c r="H1">
        <v>0</v>
      </c>
      <c r="N1">
        <v>0</v>
      </c>
    </row>
    <row r="2" spans="1:16" x14ac:dyDescent="0.25">
      <c r="A2" s="3"/>
      <c r="C2" s="3"/>
      <c r="F2">
        <f>+SUBTOTAL(9,F5:F726)</f>
        <v>-974703</v>
      </c>
      <c r="I2">
        <f>+SUBTOTAL(9,I5:I726)</f>
        <v>-974703</v>
      </c>
      <c r="J2" s="1477">
        <f>+F2-I2</f>
        <v>0</v>
      </c>
      <c r="L2">
        <f>+SUBTOTAL(9,L5:L726)</f>
        <v>-750</v>
      </c>
      <c r="O2">
        <f>+SUBTOTAL(9,O5:O726)</f>
        <v>-750</v>
      </c>
    </row>
    <row r="3" spans="1:16" ht="18.75" x14ac:dyDescent="0.4">
      <c r="A3" s="4"/>
      <c r="B3" s="4"/>
      <c r="C3" s="4"/>
      <c r="D3" s="4"/>
      <c r="E3" s="1833" t="s">
        <v>899</v>
      </c>
      <c r="F3" s="1833"/>
      <c r="G3" s="1833"/>
      <c r="H3" s="1833"/>
      <c r="I3" s="1833"/>
      <c r="J3" s="1833"/>
      <c r="K3" s="1833" t="s">
        <v>1378</v>
      </c>
      <c r="L3" s="1833"/>
      <c r="M3" s="1833"/>
      <c r="N3" s="1833"/>
      <c r="O3" s="1833"/>
      <c r="P3" s="1833"/>
    </row>
    <row r="4" spans="1:16" x14ac:dyDescent="0.25">
      <c r="A4" s="5" t="s">
        <v>451</v>
      </c>
      <c r="B4" s="5" t="s">
        <v>452</v>
      </c>
      <c r="C4" s="5" t="s">
        <v>453</v>
      </c>
      <c r="D4" s="5" t="s">
        <v>454</v>
      </c>
      <c r="E4" s="5" t="s">
        <v>455</v>
      </c>
      <c r="F4" s="5" t="s">
        <v>456</v>
      </c>
      <c r="G4" s="5" t="s">
        <v>457</v>
      </c>
      <c r="H4" s="5" t="s">
        <v>458</v>
      </c>
      <c r="I4" s="5" t="s">
        <v>456</v>
      </c>
      <c r="J4" s="5" t="s">
        <v>459</v>
      </c>
      <c r="K4" s="5" t="s">
        <v>1379</v>
      </c>
      <c r="L4" s="5" t="s">
        <v>456</v>
      </c>
      <c r="M4" s="5" t="s">
        <v>1381</v>
      </c>
      <c r="N4" s="5" t="s">
        <v>1380</v>
      </c>
      <c r="O4" s="5" t="s">
        <v>456</v>
      </c>
      <c r="P4" s="5" t="s">
        <v>1382</v>
      </c>
    </row>
    <row r="5" spans="1:16" x14ac:dyDescent="0.25">
      <c r="A5" s="6" t="s">
        <v>18</v>
      </c>
      <c r="B5" s="7">
        <v>7</v>
      </c>
      <c r="C5" s="7" t="s">
        <v>460</v>
      </c>
      <c r="D5" s="7" t="s">
        <v>462</v>
      </c>
      <c r="E5" s="7">
        <f>+IFERROR(+VLOOKUP(A5,'Trial Balance'!$A$12:$C$428,2,0),0)</f>
        <v>0</v>
      </c>
      <c r="F5" s="7"/>
      <c r="G5" s="7">
        <f t="shared" ref="G5:G68" si="0">+E5+F5</f>
        <v>0</v>
      </c>
      <c r="H5" s="7">
        <f>+IFERROR(+VLOOKUP(A5,'Trial Balance'!$A$12:$C$428,3,0),0)</f>
        <v>156125</v>
      </c>
      <c r="I5" s="7"/>
      <c r="J5" s="7">
        <f t="shared" ref="J5:J68" si="1">+H5+I5</f>
        <v>156125</v>
      </c>
      <c r="K5" s="7">
        <f>+IFERROR(+VLOOKUP(A5,'TB2019-20'!$A$12:$C$414,2,0),0)</f>
        <v>0</v>
      </c>
      <c r="L5" s="7"/>
      <c r="M5" s="7">
        <f>+K5+L5</f>
        <v>0</v>
      </c>
      <c r="N5" s="7">
        <f>+IFERROR(+VLOOKUP(A5,'TB2019-20'!$A$12:$C$414,3,0),0)</f>
        <v>135000</v>
      </c>
      <c r="O5" s="7"/>
      <c r="P5" s="7">
        <f t="shared" ref="P5" si="2">+N5+O5</f>
        <v>135000</v>
      </c>
    </row>
    <row r="6" spans="1:16" x14ac:dyDescent="0.25">
      <c r="A6" s="8" t="s">
        <v>1362</v>
      </c>
      <c r="B6" s="7">
        <v>7</v>
      </c>
      <c r="C6" s="7" t="s">
        <v>460</v>
      </c>
      <c r="D6" s="7" t="s">
        <v>462</v>
      </c>
      <c r="E6" s="7">
        <f>+IFERROR(+VLOOKUP(A6,'Trial Balance'!$A$12:$C$428,2,0),0)</f>
        <v>0</v>
      </c>
      <c r="F6" s="7"/>
      <c r="G6" s="7">
        <f t="shared" si="0"/>
        <v>0</v>
      </c>
      <c r="H6" s="7">
        <f>+IFERROR(+VLOOKUP(A6,'Trial Balance'!$A$12:$C$428,3,0),0)</f>
        <v>247500</v>
      </c>
      <c r="I6" s="7"/>
      <c r="J6" s="7">
        <f t="shared" si="1"/>
        <v>247500</v>
      </c>
      <c r="K6" s="7">
        <f>+IFERROR(+VLOOKUP(A6,'TB2019-20'!$A$12:$C$414,2,0),0)</f>
        <v>0</v>
      </c>
      <c r="L6" s="7"/>
      <c r="M6" s="7">
        <f t="shared" ref="M6:M70" si="3">+K6+L6</f>
        <v>0</v>
      </c>
      <c r="N6" s="7">
        <f>+IFERROR(+VLOOKUP(A6,'TB2019-20'!$A$12:$C$414,3,0),0)</f>
        <v>0</v>
      </c>
      <c r="O6" s="7"/>
      <c r="P6" s="7">
        <f t="shared" ref="P6:P70" si="4">+N6+O6</f>
        <v>0</v>
      </c>
    </row>
    <row r="7" spans="1:16" x14ac:dyDescent="0.25">
      <c r="A7" s="8" t="s">
        <v>437</v>
      </c>
      <c r="B7" s="7">
        <v>7</v>
      </c>
      <c r="C7" s="7" t="s">
        <v>460</v>
      </c>
      <c r="D7" s="7" t="s">
        <v>460</v>
      </c>
      <c r="E7" s="7">
        <f>+IFERROR(+VLOOKUP(A7,'Trial Balance'!$A$12:$C$428,2,0),0)</f>
        <v>0</v>
      </c>
      <c r="F7" s="7"/>
      <c r="G7" s="7">
        <f t="shared" si="0"/>
        <v>0</v>
      </c>
      <c r="H7" s="7">
        <f>+IFERROR(+VLOOKUP(A7,'Trial Balance'!$A$12:$C$428,3,0),0)</f>
        <v>0</v>
      </c>
      <c r="I7" s="7"/>
      <c r="J7" s="7">
        <f t="shared" si="1"/>
        <v>0</v>
      </c>
      <c r="K7" s="7">
        <f>+IFERROR(+VLOOKUP(A7,'TB2019-20'!$A$12:$C$414,2,0),0)</f>
        <v>0</v>
      </c>
      <c r="L7" s="7"/>
      <c r="M7" s="7">
        <f t="shared" si="3"/>
        <v>0</v>
      </c>
      <c r="N7" s="7">
        <f>+IFERROR(+VLOOKUP(A7,'TB2019-20'!$A$12:$C$414,3,0),0)</f>
        <v>0</v>
      </c>
      <c r="O7" s="7"/>
      <c r="P7" s="7">
        <f t="shared" si="4"/>
        <v>0</v>
      </c>
    </row>
    <row r="8" spans="1:16" x14ac:dyDescent="0.25">
      <c r="A8" s="8" t="s">
        <v>1438</v>
      </c>
      <c r="B8" s="7">
        <v>7</v>
      </c>
      <c r="C8" s="7" t="s">
        <v>460</v>
      </c>
      <c r="D8" s="7" t="s">
        <v>460</v>
      </c>
      <c r="E8" s="7">
        <f>+IFERROR(+VLOOKUP(A8,'Trial Balance'!$A$12:$C$428,2,0),0)</f>
        <v>0</v>
      </c>
      <c r="F8" s="7"/>
      <c r="G8" s="7">
        <f t="shared" si="0"/>
        <v>0</v>
      </c>
      <c r="H8" s="7">
        <f>+IFERROR(+VLOOKUP(A8,'Trial Balance'!$A$12:$C$428,3,0),0)</f>
        <v>4370857</v>
      </c>
      <c r="I8" s="7"/>
      <c r="J8" s="7">
        <f t="shared" si="1"/>
        <v>4370857</v>
      </c>
      <c r="K8" s="7">
        <f>+IFERROR(+VLOOKUP(A8,'TB2019-20'!$A$12:$C$414,2,0),0)</f>
        <v>0</v>
      </c>
      <c r="L8" s="7"/>
      <c r="M8" s="7">
        <f t="shared" ref="M8" si="5">+K8+L8</f>
        <v>0</v>
      </c>
      <c r="N8" s="7">
        <f>+IFERROR(+VLOOKUP(A8,'TB2019-20'!$A$12:$C$414,3,0),0)</f>
        <v>0</v>
      </c>
      <c r="O8" s="7"/>
      <c r="P8" s="7">
        <f t="shared" ref="P8" si="6">+N8+O8</f>
        <v>0</v>
      </c>
    </row>
    <row r="9" spans="1:16" x14ac:dyDescent="0.25">
      <c r="A9" s="8" t="s">
        <v>426</v>
      </c>
      <c r="B9" s="7">
        <v>7</v>
      </c>
      <c r="C9" s="7" t="s">
        <v>460</v>
      </c>
      <c r="D9" s="7" t="s">
        <v>460</v>
      </c>
      <c r="E9" s="7">
        <f>+IFERROR(+VLOOKUP(A9,'Trial Balance'!$A$12:$C$428,2,0),0)</f>
        <v>0</v>
      </c>
      <c r="F9" s="7"/>
      <c r="G9" s="7">
        <f t="shared" si="0"/>
        <v>0</v>
      </c>
      <c r="H9" s="7">
        <f>+IFERROR(+VLOOKUP(A9,'Trial Balance'!$A$12:$C$428,3,0),0)</f>
        <v>377600</v>
      </c>
      <c r="I9" s="7"/>
      <c r="J9" s="7">
        <f t="shared" si="1"/>
        <v>377600</v>
      </c>
      <c r="K9" s="7">
        <f>+IFERROR(+VLOOKUP(A9,'TB2019-20'!$A$12:$C$414,2,0),0)</f>
        <v>0</v>
      </c>
      <c r="L9" s="7"/>
      <c r="M9" s="7">
        <f t="shared" si="3"/>
        <v>0</v>
      </c>
      <c r="N9" s="7">
        <f>+IFERROR(+VLOOKUP(A9,'TB2019-20'!$A$12:$C$414,3,0),0)</f>
        <v>0</v>
      </c>
      <c r="O9" s="7"/>
      <c r="P9" s="7">
        <f t="shared" si="4"/>
        <v>0</v>
      </c>
    </row>
    <row r="10" spans="1:16" x14ac:dyDescent="0.25">
      <c r="A10" s="8" t="s">
        <v>371</v>
      </c>
      <c r="B10" s="7">
        <v>7</v>
      </c>
      <c r="C10" s="7" t="s">
        <v>460</v>
      </c>
      <c r="D10" s="7" t="s">
        <v>462</v>
      </c>
      <c r="E10" s="7">
        <f>+IFERROR(+VLOOKUP(A10,'Trial Balance'!$A$12:$C$428,2,0),0)</f>
        <v>20183</v>
      </c>
      <c r="F10" s="7"/>
      <c r="G10" s="7">
        <f t="shared" si="0"/>
        <v>20183</v>
      </c>
      <c r="H10" s="7">
        <f>+IFERROR(+VLOOKUP(A10,'Trial Balance'!$A$12:$C$428,3,0),0)</f>
        <v>0</v>
      </c>
      <c r="I10" s="7"/>
      <c r="J10" s="7">
        <f t="shared" si="1"/>
        <v>0</v>
      </c>
      <c r="K10" s="7">
        <f>+IFERROR(+VLOOKUP(A10,'TB2019-20'!$A$12:$C$414,2,0),0)</f>
        <v>0</v>
      </c>
      <c r="L10" s="7"/>
      <c r="M10" s="7">
        <f t="shared" si="3"/>
        <v>0</v>
      </c>
      <c r="N10" s="7">
        <f>+IFERROR(+VLOOKUP(A10,'TB2019-20'!$A$12:$C$414,3,0),0)</f>
        <v>0</v>
      </c>
      <c r="O10" s="7"/>
      <c r="P10" s="7">
        <f t="shared" si="4"/>
        <v>0</v>
      </c>
    </row>
    <row r="11" spans="1:16" x14ac:dyDescent="0.25">
      <c r="A11" s="8" t="s">
        <v>345</v>
      </c>
      <c r="B11" s="7">
        <v>7</v>
      </c>
      <c r="C11" s="7" t="s">
        <v>460</v>
      </c>
      <c r="D11" s="7" t="s">
        <v>462</v>
      </c>
      <c r="E11" s="7">
        <f>+IFERROR(+VLOOKUP(A11,'Trial Balance'!$A$12:$C$428,2,0),0)</f>
        <v>0</v>
      </c>
      <c r="F11" s="7"/>
      <c r="G11" s="7">
        <f t="shared" si="0"/>
        <v>0</v>
      </c>
      <c r="H11" s="7">
        <f>+IFERROR(+VLOOKUP(A11,'Trial Balance'!$A$12:$C$428,3,0),0)</f>
        <v>25470</v>
      </c>
      <c r="I11" s="7"/>
      <c r="J11" s="7">
        <f t="shared" si="1"/>
        <v>25470</v>
      </c>
      <c r="K11" s="7">
        <f>+IFERROR(+VLOOKUP(A11,'TB2019-20'!$A$12:$C$414,2,0),0)</f>
        <v>0</v>
      </c>
      <c r="L11" s="7"/>
      <c r="M11" s="7">
        <f t="shared" si="3"/>
        <v>0</v>
      </c>
      <c r="N11" s="7">
        <f>+IFERROR(+VLOOKUP(A11,'TB2019-20'!$A$12:$C$414,3,0),0)</f>
        <v>0</v>
      </c>
      <c r="O11" s="7"/>
      <c r="P11" s="7">
        <f t="shared" si="4"/>
        <v>0</v>
      </c>
    </row>
    <row r="12" spans="1:16" x14ac:dyDescent="0.25">
      <c r="A12" s="8" t="s">
        <v>387</v>
      </c>
      <c r="B12" s="7">
        <v>7</v>
      </c>
      <c r="C12" s="7" t="s">
        <v>460</v>
      </c>
      <c r="D12" s="7" t="s">
        <v>462</v>
      </c>
      <c r="E12" s="7">
        <f>+IFERROR(+VLOOKUP(A12,'Trial Balance'!$A$12:$C$428,2,0),0)</f>
        <v>0</v>
      </c>
      <c r="F12" s="7"/>
      <c r="G12" s="7">
        <f t="shared" si="0"/>
        <v>0</v>
      </c>
      <c r="H12" s="7">
        <f>+IFERROR(+VLOOKUP(A12,'Trial Balance'!$A$12:$C$428,3,0),0)</f>
        <v>2195</v>
      </c>
      <c r="I12" s="7"/>
      <c r="J12" s="7">
        <f t="shared" si="1"/>
        <v>2195</v>
      </c>
      <c r="K12" s="7">
        <f>+IFERROR(+VLOOKUP(A12,'TB2019-20'!$A$12:$C$414,2,0),0)</f>
        <v>0</v>
      </c>
      <c r="L12" s="7"/>
      <c r="M12" s="7">
        <f t="shared" si="3"/>
        <v>0</v>
      </c>
      <c r="N12" s="7">
        <f>+IFERROR(+VLOOKUP(A12,'TB2019-20'!$A$12:$C$414,3,0),0)</f>
        <v>0</v>
      </c>
      <c r="O12" s="7"/>
      <c r="P12" s="7">
        <f t="shared" si="4"/>
        <v>0</v>
      </c>
    </row>
    <row r="13" spans="1:16" x14ac:dyDescent="0.25">
      <c r="A13" s="8" t="s">
        <v>380</v>
      </c>
      <c r="B13" s="7">
        <v>15</v>
      </c>
      <c r="C13" s="7" t="s">
        <v>469</v>
      </c>
      <c r="D13" s="7" t="s">
        <v>470</v>
      </c>
      <c r="E13" s="7">
        <f>+IFERROR(+VLOOKUP(A13,'Trial Balance'!$A$12:$C$428,2,0),0)</f>
        <v>173031</v>
      </c>
      <c r="F13" s="7"/>
      <c r="G13" s="7">
        <f t="shared" si="0"/>
        <v>173031</v>
      </c>
      <c r="H13" s="7">
        <f>+IFERROR(+VLOOKUP(A13,'Trial Balance'!$A$12:$C$428,3,0),0)</f>
        <v>0</v>
      </c>
      <c r="I13" s="7"/>
      <c r="J13" s="7">
        <f t="shared" si="1"/>
        <v>0</v>
      </c>
      <c r="K13" s="7">
        <f>+IFERROR(+VLOOKUP(A13,'TB2019-20'!$A$12:$C$414,2,0),0)</f>
        <v>0</v>
      </c>
      <c r="L13" s="7"/>
      <c r="M13" s="7">
        <f t="shared" si="3"/>
        <v>0</v>
      </c>
      <c r="N13" s="7">
        <f>+IFERROR(+VLOOKUP(A13,'TB2019-20'!$A$12:$C$414,3,0),0)</f>
        <v>0</v>
      </c>
      <c r="O13" s="7"/>
      <c r="P13" s="7">
        <f t="shared" si="4"/>
        <v>0</v>
      </c>
    </row>
    <row r="14" spans="1:16" x14ac:dyDescent="0.25">
      <c r="A14" s="8" t="s">
        <v>240</v>
      </c>
      <c r="B14" s="7">
        <v>7</v>
      </c>
      <c r="C14" s="7" t="s">
        <v>460</v>
      </c>
      <c r="D14" s="7" t="s">
        <v>460</v>
      </c>
      <c r="E14" s="7">
        <f>+IFERROR(+VLOOKUP(A14,'Trial Balance'!$A$12:$C$428,2,0),0)</f>
        <v>0</v>
      </c>
      <c r="F14" s="7"/>
      <c r="G14" s="7">
        <f t="shared" si="0"/>
        <v>0</v>
      </c>
      <c r="H14" s="7">
        <f>+IFERROR(+VLOOKUP(A14,'Trial Balance'!$A$12:$C$428,3,0),0)</f>
        <v>0</v>
      </c>
      <c r="I14" s="7"/>
      <c r="J14" s="7">
        <f t="shared" si="1"/>
        <v>0</v>
      </c>
      <c r="K14" s="7">
        <f>+IFERROR(+VLOOKUP(A14,'TB2019-20'!$A$12:$C$414,2,0),0)</f>
        <v>0</v>
      </c>
      <c r="L14" s="7"/>
      <c r="M14" s="7">
        <f t="shared" si="3"/>
        <v>0</v>
      </c>
      <c r="N14" s="7">
        <f>+IFERROR(+VLOOKUP(A14,'TB2019-20'!$A$12:$C$414,3,0),0)</f>
        <v>0</v>
      </c>
      <c r="O14" s="7"/>
      <c r="P14" s="7">
        <f t="shared" si="4"/>
        <v>0</v>
      </c>
    </row>
    <row r="15" spans="1:16" x14ac:dyDescent="0.25">
      <c r="A15" s="8" t="s">
        <v>1365</v>
      </c>
      <c r="B15" s="7">
        <v>7</v>
      </c>
      <c r="C15" s="7" t="s">
        <v>460</v>
      </c>
      <c r="D15" s="7" t="s">
        <v>460</v>
      </c>
      <c r="E15" s="7">
        <f>+IFERROR(+VLOOKUP(A15,'Trial Balance'!$A$12:$C$428,2,0),0)</f>
        <v>0</v>
      </c>
      <c r="F15" s="7"/>
      <c r="G15" s="7">
        <f t="shared" si="0"/>
        <v>0</v>
      </c>
      <c r="H15" s="7">
        <f>+IFERROR(+VLOOKUP(A15,'Trial Balance'!$A$12:$C$428,3,0),0)</f>
        <v>401154</v>
      </c>
      <c r="I15" s="7"/>
      <c r="J15" s="7">
        <f t="shared" si="1"/>
        <v>401154</v>
      </c>
      <c r="K15" s="7">
        <f>+IFERROR(+VLOOKUP(A15,'TB2019-20'!$A$12:$C$414,2,0),0)</f>
        <v>0</v>
      </c>
      <c r="L15" s="7"/>
      <c r="M15" s="7">
        <f t="shared" si="3"/>
        <v>0</v>
      </c>
      <c r="N15" s="7">
        <f>+IFERROR(+VLOOKUP(A15,'TB2019-20'!$A$12:$C$414,3,0),0)</f>
        <v>0</v>
      </c>
      <c r="O15" s="7"/>
      <c r="P15" s="7">
        <f t="shared" si="4"/>
        <v>0</v>
      </c>
    </row>
    <row r="16" spans="1:16" x14ac:dyDescent="0.25">
      <c r="A16" s="8" t="s">
        <v>348</v>
      </c>
      <c r="B16" s="7">
        <v>7</v>
      </c>
      <c r="C16" s="7" t="s">
        <v>460</v>
      </c>
      <c r="D16" s="7" t="s">
        <v>460</v>
      </c>
      <c r="E16" s="7">
        <f>+IFERROR(+VLOOKUP(A16,'Trial Balance'!$A$12:$C$428,2,0),0)</f>
        <v>0</v>
      </c>
      <c r="F16" s="7"/>
      <c r="G16" s="7">
        <f t="shared" si="0"/>
        <v>0</v>
      </c>
      <c r="H16" s="7">
        <f>+IFERROR(+VLOOKUP(A16,'Trial Balance'!$A$12:$C$428,3,0),0)</f>
        <v>204940</v>
      </c>
      <c r="I16" s="7"/>
      <c r="J16" s="7">
        <f t="shared" si="1"/>
        <v>204940</v>
      </c>
      <c r="K16" s="7">
        <f>+IFERROR(+VLOOKUP(A16,'TB2019-20'!$A$12:$C$414,2,0),0)</f>
        <v>0</v>
      </c>
      <c r="L16" s="7"/>
      <c r="M16" s="7">
        <f t="shared" si="3"/>
        <v>0</v>
      </c>
      <c r="N16" s="7">
        <f>+IFERROR(+VLOOKUP(A16,'TB2019-20'!$A$12:$C$414,3,0),0)</f>
        <v>0</v>
      </c>
      <c r="O16" s="7"/>
      <c r="P16" s="7">
        <f t="shared" si="4"/>
        <v>0</v>
      </c>
    </row>
    <row r="17" spans="1:16" x14ac:dyDescent="0.25">
      <c r="A17" s="8" t="s">
        <v>281</v>
      </c>
      <c r="B17" s="7">
        <v>7</v>
      </c>
      <c r="C17" s="7" t="s">
        <v>460</v>
      </c>
      <c r="D17" s="7" t="s">
        <v>460</v>
      </c>
      <c r="E17" s="7">
        <f>+IFERROR(+VLOOKUP(A17,'Trial Balance'!$A$12:$C$428,2,0),0)</f>
        <v>0</v>
      </c>
      <c r="F17" s="7"/>
      <c r="G17" s="7">
        <f t="shared" si="0"/>
        <v>0</v>
      </c>
      <c r="H17" s="7">
        <f>+IFERROR(+VLOOKUP(A17,'Trial Balance'!$A$12:$C$428,3,0),0)</f>
        <v>1343333</v>
      </c>
      <c r="I17" s="7"/>
      <c r="J17" s="7">
        <f t="shared" si="1"/>
        <v>1343333</v>
      </c>
      <c r="K17" s="7">
        <f>+IFERROR(+VLOOKUP(A17,'TB2019-20'!$A$12:$C$414,2,0),0)</f>
        <v>0</v>
      </c>
      <c r="L17" s="7"/>
      <c r="M17" s="7">
        <f t="shared" si="3"/>
        <v>0</v>
      </c>
      <c r="N17" s="7">
        <f>+IFERROR(+VLOOKUP(A17,'TB2019-20'!$A$12:$C$414,3,0),0)</f>
        <v>0</v>
      </c>
      <c r="O17" s="7"/>
      <c r="P17" s="7">
        <f t="shared" si="4"/>
        <v>0</v>
      </c>
    </row>
    <row r="18" spans="1:16" x14ac:dyDescent="0.25">
      <c r="A18" s="8" t="s">
        <v>248</v>
      </c>
      <c r="B18" s="7">
        <v>7</v>
      </c>
      <c r="C18" s="7" t="s">
        <v>460</v>
      </c>
      <c r="D18" s="7" t="s">
        <v>460</v>
      </c>
      <c r="E18" s="7">
        <f>+IFERROR(+VLOOKUP(A18,'Trial Balance'!$A$12:$C$428,2,0),0)</f>
        <v>0</v>
      </c>
      <c r="F18" s="7"/>
      <c r="G18" s="7">
        <f t="shared" si="0"/>
        <v>0</v>
      </c>
      <c r="H18" s="7">
        <f>+IFERROR(+VLOOKUP(A18,'Trial Balance'!$A$12:$C$428,3,0),0)</f>
        <v>379282</v>
      </c>
      <c r="I18" s="7"/>
      <c r="J18" s="7">
        <f t="shared" si="1"/>
        <v>379282</v>
      </c>
      <c r="K18" s="7">
        <f>+IFERROR(+VLOOKUP(A18,'TB2019-20'!$A$12:$C$414,2,0),0)</f>
        <v>0</v>
      </c>
      <c r="L18" s="7"/>
      <c r="M18" s="7">
        <f t="shared" si="3"/>
        <v>0</v>
      </c>
      <c r="N18" s="7">
        <f>+IFERROR(+VLOOKUP(A18,'TB2019-20'!$A$12:$C$414,3,0),0)</f>
        <v>0</v>
      </c>
      <c r="O18" s="7"/>
      <c r="P18" s="7">
        <f t="shared" si="4"/>
        <v>0</v>
      </c>
    </row>
    <row r="19" spans="1:16" x14ac:dyDescent="0.25">
      <c r="A19" s="8" t="s">
        <v>231</v>
      </c>
      <c r="B19" s="7">
        <v>7</v>
      </c>
      <c r="C19" s="7" t="s">
        <v>460</v>
      </c>
      <c r="D19" s="7" t="s">
        <v>460</v>
      </c>
      <c r="E19" s="7">
        <f>+IFERROR(+VLOOKUP(A19,'Trial Balance'!$A$12:$C$428,2,0),0)</f>
        <v>0</v>
      </c>
      <c r="F19" s="7"/>
      <c r="G19" s="7">
        <f t="shared" si="0"/>
        <v>0</v>
      </c>
      <c r="H19" s="7">
        <f>+IFERROR(+VLOOKUP(A19,'Trial Balance'!$A$12:$C$428,3,0),0)</f>
        <v>2568965</v>
      </c>
      <c r="I19" s="7"/>
      <c r="J19" s="7">
        <f t="shared" si="1"/>
        <v>2568965</v>
      </c>
      <c r="K19" s="7">
        <f>+IFERROR(+VLOOKUP(A19,'TB2019-20'!$A$12:$C$414,2,0),0)</f>
        <v>0</v>
      </c>
      <c r="L19" s="7"/>
      <c r="M19" s="7">
        <f t="shared" si="3"/>
        <v>0</v>
      </c>
      <c r="N19" s="7">
        <f>+IFERROR(+VLOOKUP(A19,'TB2019-20'!$A$12:$C$414,3,0),0)</f>
        <v>0</v>
      </c>
      <c r="O19" s="7"/>
      <c r="P19" s="7">
        <f t="shared" si="4"/>
        <v>0</v>
      </c>
    </row>
    <row r="20" spans="1:16" x14ac:dyDescent="0.25">
      <c r="A20" s="8" t="s">
        <v>116</v>
      </c>
      <c r="B20" s="7">
        <v>7</v>
      </c>
      <c r="C20" s="7" t="s">
        <v>460</v>
      </c>
      <c r="D20" s="7" t="s">
        <v>460</v>
      </c>
      <c r="E20" s="7">
        <f>+IFERROR(+VLOOKUP(A20,'Trial Balance'!$A$12:$C$428,2,0),0)</f>
        <v>0</v>
      </c>
      <c r="F20" s="7"/>
      <c r="G20" s="7">
        <f t="shared" si="0"/>
        <v>0</v>
      </c>
      <c r="H20" s="7">
        <f>+IFERROR(+VLOOKUP(A20,'Trial Balance'!$A$12:$C$428,3,0),0)</f>
        <v>334448</v>
      </c>
      <c r="I20" s="7"/>
      <c r="J20" s="7">
        <f t="shared" si="1"/>
        <v>334448</v>
      </c>
      <c r="K20" s="7">
        <f>+IFERROR(+VLOOKUP(A20,'TB2019-20'!$A$12:$C$414,2,0),0)</f>
        <v>0</v>
      </c>
      <c r="L20" s="7"/>
      <c r="M20" s="7">
        <f t="shared" si="3"/>
        <v>0</v>
      </c>
      <c r="N20" s="7">
        <f>+IFERROR(+VLOOKUP(A20,'TB2019-20'!$A$12:$C$414,3,0),0)</f>
        <v>0</v>
      </c>
      <c r="O20" s="7"/>
      <c r="P20" s="7">
        <f t="shared" si="4"/>
        <v>0</v>
      </c>
    </row>
    <row r="21" spans="1:16" x14ac:dyDescent="0.25">
      <c r="A21" s="8" t="s">
        <v>310</v>
      </c>
      <c r="B21" s="7">
        <v>7</v>
      </c>
      <c r="C21" s="7" t="s">
        <v>460</v>
      </c>
      <c r="D21" s="7" t="s">
        <v>462</v>
      </c>
      <c r="E21" s="7">
        <f>+IFERROR(+VLOOKUP(A21,'Trial Balance'!$A$12:$C$428,2,0),0)</f>
        <v>10000</v>
      </c>
      <c r="F21" s="7"/>
      <c r="G21" s="7">
        <f t="shared" si="0"/>
        <v>10000</v>
      </c>
      <c r="H21" s="7">
        <f>+IFERROR(+VLOOKUP(A21,'Trial Balance'!$A$12:$C$428,3,0),0)</f>
        <v>0</v>
      </c>
      <c r="I21" s="7"/>
      <c r="J21" s="7">
        <f t="shared" si="1"/>
        <v>0</v>
      </c>
      <c r="K21" s="7">
        <f>+IFERROR(+VLOOKUP(A21,'TB2019-20'!$A$12:$C$414,2,0),0)</f>
        <v>0</v>
      </c>
      <c r="L21" s="7"/>
      <c r="M21" s="7">
        <f t="shared" si="3"/>
        <v>0</v>
      </c>
      <c r="N21" s="7">
        <f>+IFERROR(+VLOOKUP(A21,'TB2019-20'!$A$12:$C$414,3,0),0)</f>
        <v>0</v>
      </c>
      <c r="O21" s="7"/>
      <c r="P21" s="7">
        <f t="shared" si="4"/>
        <v>0</v>
      </c>
    </row>
    <row r="22" spans="1:16" x14ac:dyDescent="0.25">
      <c r="A22" s="6" t="s">
        <v>461</v>
      </c>
      <c r="B22" s="7">
        <v>7</v>
      </c>
      <c r="C22" s="7" t="s">
        <v>460</v>
      </c>
      <c r="D22" s="7" t="s">
        <v>462</v>
      </c>
      <c r="E22" s="7">
        <f>+IFERROR(+VLOOKUP(A22,'Trial Balance'!$A$12:$C$428,2,0),0)</f>
        <v>0</v>
      </c>
      <c r="F22" s="7"/>
      <c r="G22" s="7">
        <f t="shared" si="0"/>
        <v>0</v>
      </c>
      <c r="H22" s="7">
        <f>+IFERROR(+VLOOKUP(A22,'Trial Balance'!$A$12:$C$428,3,0),0)</f>
        <v>0</v>
      </c>
      <c r="I22" s="7"/>
      <c r="J22" s="7">
        <f t="shared" si="1"/>
        <v>0</v>
      </c>
      <c r="K22" s="7">
        <f>+IFERROR(+VLOOKUP(A22,'TB2019-20'!$A$12:$C$414,2,0),0)</f>
        <v>0</v>
      </c>
      <c r="L22" s="7"/>
      <c r="M22" s="7">
        <f t="shared" si="3"/>
        <v>0</v>
      </c>
      <c r="N22" s="7">
        <f>+IFERROR(+VLOOKUP(A22,'TB2019-20'!$A$12:$C$414,3,0),0)</f>
        <v>892701</v>
      </c>
      <c r="O22" s="7"/>
      <c r="P22" s="7">
        <f t="shared" si="4"/>
        <v>892701</v>
      </c>
    </row>
    <row r="23" spans="1:16" x14ac:dyDescent="0.25">
      <c r="A23" s="6" t="s">
        <v>29</v>
      </c>
      <c r="B23" s="7">
        <v>7</v>
      </c>
      <c r="C23" s="7" t="s">
        <v>460</v>
      </c>
      <c r="D23" s="7" t="s">
        <v>462</v>
      </c>
      <c r="E23" s="7">
        <f>+IFERROR(+VLOOKUP(A23,'Trial Balance'!$A$12:$C$428,2,0),0)</f>
        <v>0</v>
      </c>
      <c r="F23" s="7"/>
      <c r="G23" s="7">
        <f t="shared" si="0"/>
        <v>0</v>
      </c>
      <c r="H23" s="7">
        <f>+IFERROR(+VLOOKUP(A23,'Trial Balance'!$A$12:$C$428,3,0),0)</f>
        <v>50553</v>
      </c>
      <c r="I23" s="7"/>
      <c r="J23" s="7">
        <f t="shared" si="1"/>
        <v>50553</v>
      </c>
      <c r="K23" s="7">
        <f>+IFERROR(+VLOOKUP(A23,'TB2019-20'!$A$12:$C$414,2,0),0)</f>
        <v>0</v>
      </c>
      <c r="L23" s="7"/>
      <c r="M23" s="7">
        <f t="shared" si="3"/>
        <v>0</v>
      </c>
      <c r="N23" s="7">
        <f>+IFERROR(+VLOOKUP(A23,'TB2019-20'!$A$12:$C$414,3,0),0)</f>
        <v>0</v>
      </c>
      <c r="O23" s="7"/>
      <c r="P23" s="7">
        <f t="shared" si="4"/>
        <v>0</v>
      </c>
    </row>
    <row r="24" spans="1:16" x14ac:dyDescent="0.25">
      <c r="A24" s="8" t="s">
        <v>463</v>
      </c>
      <c r="B24" s="7">
        <v>7</v>
      </c>
      <c r="C24" s="7" t="s">
        <v>460</v>
      </c>
      <c r="D24" s="7" t="s">
        <v>462</v>
      </c>
      <c r="E24" s="7">
        <f>+IFERROR(+VLOOKUP(A24,'Trial Balance'!$A$12:$C$428,2,0),0)</f>
        <v>0</v>
      </c>
      <c r="F24" s="7"/>
      <c r="G24" s="7">
        <f t="shared" si="0"/>
        <v>0</v>
      </c>
      <c r="H24" s="7">
        <f>+IFERROR(+VLOOKUP(A24,'Trial Balance'!$A$12:$C$428,3,0),0)</f>
        <v>0</v>
      </c>
      <c r="I24" s="7"/>
      <c r="J24" s="7">
        <f t="shared" si="1"/>
        <v>0</v>
      </c>
      <c r="K24" s="7">
        <f>+IFERROR(+VLOOKUP(A24,'TB2019-20'!$A$12:$C$414,2,0),0)</f>
        <v>0</v>
      </c>
      <c r="L24" s="7"/>
      <c r="M24" s="7">
        <f t="shared" si="3"/>
        <v>0</v>
      </c>
      <c r="N24" s="7">
        <f>+IFERROR(+VLOOKUP(A24,'TB2019-20'!$A$12:$C$414,3,0),0)</f>
        <v>0</v>
      </c>
      <c r="O24" s="7"/>
      <c r="P24" s="7">
        <f t="shared" si="4"/>
        <v>0</v>
      </c>
    </row>
    <row r="25" spans="1:16" x14ac:dyDescent="0.25">
      <c r="A25" s="8" t="s">
        <v>247</v>
      </c>
      <c r="B25" s="7">
        <v>7</v>
      </c>
      <c r="C25" s="7" t="s">
        <v>460</v>
      </c>
      <c r="D25" s="7" t="s">
        <v>462</v>
      </c>
      <c r="E25" s="7">
        <f>+IFERROR(+VLOOKUP(A25,'Trial Balance'!$A$12:$C$428,2,0),0)</f>
        <v>0</v>
      </c>
      <c r="F25" s="7"/>
      <c r="G25" s="7">
        <f t="shared" si="0"/>
        <v>0</v>
      </c>
      <c r="H25" s="7">
        <f>+IFERROR(+VLOOKUP(A25,'Trial Balance'!$A$12:$C$428,3,0),0)</f>
        <v>0</v>
      </c>
      <c r="I25" s="7"/>
      <c r="J25" s="7">
        <f t="shared" si="1"/>
        <v>0</v>
      </c>
      <c r="K25" s="7">
        <f>+IFERROR(+VLOOKUP(A25,'TB2019-20'!$A$12:$C$414,2,0),0)</f>
        <v>0</v>
      </c>
      <c r="L25" s="7"/>
      <c r="M25" s="7">
        <f t="shared" si="3"/>
        <v>0</v>
      </c>
      <c r="N25" s="7">
        <f>+IFERROR(+VLOOKUP(A25,'TB2019-20'!$A$12:$C$414,3,0),0)</f>
        <v>0</v>
      </c>
      <c r="O25" s="7"/>
      <c r="P25" s="7">
        <f t="shared" si="4"/>
        <v>0</v>
      </c>
    </row>
    <row r="26" spans="1:16" x14ac:dyDescent="0.25">
      <c r="A26" s="8" t="s">
        <v>42</v>
      </c>
      <c r="B26" s="7">
        <v>7</v>
      </c>
      <c r="C26" s="7" t="s">
        <v>460</v>
      </c>
      <c r="D26" s="7" t="s">
        <v>462</v>
      </c>
      <c r="E26" s="7">
        <f>+IFERROR(+VLOOKUP(A26,'Trial Balance'!$A$12:$C$428,2,0),0)</f>
        <v>0</v>
      </c>
      <c r="F26" s="7"/>
      <c r="G26" s="7">
        <f t="shared" si="0"/>
        <v>0</v>
      </c>
      <c r="H26" s="7">
        <f>+IFERROR(+VLOOKUP(A26,'Trial Balance'!$A$12:$C$428,3,0),0)</f>
        <v>82125</v>
      </c>
      <c r="I26" s="7"/>
      <c r="J26" s="7">
        <f t="shared" si="1"/>
        <v>82125</v>
      </c>
      <c r="K26" s="7">
        <f>+IFERROR(+VLOOKUP(A26,'TB2019-20'!$A$12:$C$414,2,0),0)</f>
        <v>0</v>
      </c>
      <c r="L26" s="7"/>
      <c r="M26" s="7">
        <f t="shared" si="3"/>
        <v>0</v>
      </c>
      <c r="N26" s="7">
        <f>+IFERROR(+VLOOKUP(A26,'TB2019-20'!$A$12:$C$414,3,0),0)</f>
        <v>0</v>
      </c>
      <c r="O26" s="7"/>
      <c r="P26" s="7">
        <f t="shared" si="4"/>
        <v>0</v>
      </c>
    </row>
    <row r="27" spans="1:16" x14ac:dyDescent="0.25">
      <c r="A27" s="8" t="s">
        <v>214</v>
      </c>
      <c r="B27" s="7">
        <v>7</v>
      </c>
      <c r="C27" s="7" t="s">
        <v>460</v>
      </c>
      <c r="D27" s="7" t="s">
        <v>462</v>
      </c>
      <c r="E27" s="7">
        <f>+IFERROR(+VLOOKUP(A27,'Trial Balance'!$A$12:$C$428,2,0),0)</f>
        <v>0</v>
      </c>
      <c r="F27" s="7"/>
      <c r="G27" s="7">
        <f t="shared" si="0"/>
        <v>0</v>
      </c>
      <c r="H27" s="7">
        <f>+IFERROR(+VLOOKUP(A27,'Trial Balance'!$A$12:$C$428,3,0),0)</f>
        <v>3244</v>
      </c>
      <c r="I27" s="7"/>
      <c r="J27" s="7">
        <f t="shared" si="1"/>
        <v>3244</v>
      </c>
      <c r="K27" s="7">
        <f>+IFERROR(+VLOOKUP(A27,'TB2019-20'!$A$12:$C$414,2,0),0)</f>
        <v>0</v>
      </c>
      <c r="L27" s="7"/>
      <c r="M27" s="7">
        <f t="shared" si="3"/>
        <v>0</v>
      </c>
      <c r="N27" s="7">
        <f>+IFERROR(+VLOOKUP(A27,'TB2019-20'!$A$12:$C$414,3,0),0)</f>
        <v>0</v>
      </c>
      <c r="O27" s="7"/>
      <c r="P27" s="7">
        <f t="shared" si="4"/>
        <v>0</v>
      </c>
    </row>
    <row r="28" spans="1:16" x14ac:dyDescent="0.25">
      <c r="A28" s="8" t="s">
        <v>344</v>
      </c>
      <c r="B28" s="7">
        <v>7</v>
      </c>
      <c r="C28" s="7" t="s">
        <v>460</v>
      </c>
      <c r="D28" s="7" t="s">
        <v>462</v>
      </c>
      <c r="E28" s="7">
        <f>+IFERROR(+VLOOKUP(A28,'Trial Balance'!$A$12:$C$428,2,0),0)</f>
        <v>0</v>
      </c>
      <c r="F28" s="7"/>
      <c r="G28" s="7">
        <f t="shared" si="0"/>
        <v>0</v>
      </c>
      <c r="H28" s="7">
        <f>+IFERROR(+VLOOKUP(A28,'Trial Balance'!$A$12:$C$428,3,0),0)</f>
        <v>117270</v>
      </c>
      <c r="I28" s="7"/>
      <c r="J28" s="7">
        <f t="shared" si="1"/>
        <v>117270</v>
      </c>
      <c r="K28" s="7">
        <f>+IFERROR(+VLOOKUP(A28,'TB2019-20'!$A$12:$C$414,2,0),0)</f>
        <v>0</v>
      </c>
      <c r="L28" s="7"/>
      <c r="M28" s="7">
        <f t="shared" si="3"/>
        <v>0</v>
      </c>
      <c r="N28" s="7">
        <f>+IFERROR(+VLOOKUP(A28,'TB2019-20'!$A$12:$C$414,3,0),0)</f>
        <v>0</v>
      </c>
      <c r="O28" s="7"/>
      <c r="P28" s="7">
        <f t="shared" si="4"/>
        <v>0</v>
      </c>
    </row>
    <row r="29" spans="1:16" x14ac:dyDescent="0.25">
      <c r="A29" s="8" t="s">
        <v>238</v>
      </c>
      <c r="B29" s="7">
        <v>7</v>
      </c>
      <c r="C29" s="7" t="s">
        <v>460</v>
      </c>
      <c r="D29" s="7" t="s">
        <v>462</v>
      </c>
      <c r="E29" s="7">
        <f>+IFERROR(+VLOOKUP(A29,'Trial Balance'!$A$12:$C$428,2,0),0)</f>
        <v>0</v>
      </c>
      <c r="F29" s="7"/>
      <c r="G29" s="7">
        <f t="shared" si="0"/>
        <v>0</v>
      </c>
      <c r="H29" s="7">
        <f>+IFERROR(+VLOOKUP(A29,'Trial Balance'!$A$12:$C$428,3,0),0)</f>
        <v>0</v>
      </c>
      <c r="I29" s="7"/>
      <c r="J29" s="7">
        <f t="shared" si="1"/>
        <v>0</v>
      </c>
      <c r="K29" s="7">
        <f>+IFERROR(+VLOOKUP(A29,'TB2019-20'!$A$12:$C$414,2,0),0)</f>
        <v>0</v>
      </c>
      <c r="L29" s="7"/>
      <c r="M29" s="7">
        <f t="shared" si="3"/>
        <v>0</v>
      </c>
      <c r="N29" s="7">
        <f>+IFERROR(+VLOOKUP(A29,'TB2019-20'!$A$12:$C$414,3,0),0)</f>
        <v>0</v>
      </c>
      <c r="O29" s="7"/>
      <c r="P29" s="7">
        <f t="shared" si="4"/>
        <v>0</v>
      </c>
    </row>
    <row r="30" spans="1:16" x14ac:dyDescent="0.25">
      <c r="A30" s="8" t="s">
        <v>46</v>
      </c>
      <c r="B30" s="7">
        <v>7</v>
      </c>
      <c r="C30" s="7" t="s">
        <v>460</v>
      </c>
      <c r="D30" s="7" t="s">
        <v>462</v>
      </c>
      <c r="E30" s="7">
        <f>+IFERROR(+VLOOKUP(A30,'Trial Balance'!$A$12:$C$428,2,0),0)</f>
        <v>0</v>
      </c>
      <c r="F30" s="7"/>
      <c r="G30" s="7">
        <f t="shared" si="0"/>
        <v>0</v>
      </c>
      <c r="H30" s="7">
        <f>+IFERROR(+VLOOKUP(A30,'Trial Balance'!$A$12:$C$428,3,0),0)</f>
        <v>32332</v>
      </c>
      <c r="I30" s="7"/>
      <c r="J30" s="7">
        <f t="shared" si="1"/>
        <v>32332</v>
      </c>
      <c r="K30" s="7">
        <f>+IFERROR(+VLOOKUP(A30,'TB2019-20'!$A$12:$C$414,2,0),0)</f>
        <v>0</v>
      </c>
      <c r="L30" s="7"/>
      <c r="M30" s="7">
        <f t="shared" si="3"/>
        <v>0</v>
      </c>
      <c r="N30" s="7">
        <f>+IFERROR(+VLOOKUP(A30,'TB2019-20'!$A$12:$C$414,3,0),0)</f>
        <v>0</v>
      </c>
      <c r="O30" s="7"/>
      <c r="P30" s="7">
        <f t="shared" si="4"/>
        <v>0</v>
      </c>
    </row>
    <row r="31" spans="1:16" x14ac:dyDescent="0.25">
      <c r="A31" s="8" t="s">
        <v>52</v>
      </c>
      <c r="B31" s="7">
        <v>7</v>
      </c>
      <c r="C31" s="7" t="s">
        <v>460</v>
      </c>
      <c r="D31" s="7" t="s">
        <v>462</v>
      </c>
      <c r="E31" s="7">
        <f>+IFERROR(+VLOOKUP(A31,'Trial Balance'!$A$12:$C$428,2,0),0)</f>
        <v>0</v>
      </c>
      <c r="F31" s="7"/>
      <c r="G31" s="7">
        <f t="shared" si="0"/>
        <v>0</v>
      </c>
      <c r="H31" s="7">
        <f>+IFERROR(+VLOOKUP(A31,'Trial Balance'!$A$12:$C$428,3,0),0)</f>
        <v>4520</v>
      </c>
      <c r="I31" s="7"/>
      <c r="J31" s="7">
        <f t="shared" si="1"/>
        <v>4520</v>
      </c>
      <c r="K31" s="7">
        <f>+IFERROR(+VLOOKUP(A31,'TB2019-20'!$A$12:$C$414,2,0),0)</f>
        <v>0</v>
      </c>
      <c r="L31" s="7"/>
      <c r="M31" s="7">
        <f t="shared" si="3"/>
        <v>0</v>
      </c>
      <c r="N31" s="7">
        <f>+IFERROR(+VLOOKUP(A31,'TB2019-20'!$A$12:$C$414,3,0),0)</f>
        <v>0</v>
      </c>
      <c r="O31" s="7"/>
      <c r="P31" s="7">
        <f t="shared" si="4"/>
        <v>0</v>
      </c>
    </row>
    <row r="32" spans="1:16" x14ac:dyDescent="0.25">
      <c r="A32" s="8" t="s">
        <v>464</v>
      </c>
      <c r="B32" s="7">
        <v>12</v>
      </c>
      <c r="C32" s="7" t="s">
        <v>465</v>
      </c>
      <c r="D32" s="7" t="s">
        <v>466</v>
      </c>
      <c r="E32" s="7">
        <f>+IFERROR(+VLOOKUP(A32,'Trial Balance'!$A$12:$C$428,2,0),0)</f>
        <v>0</v>
      </c>
      <c r="F32" s="7"/>
      <c r="G32" s="7">
        <f t="shared" si="0"/>
        <v>0</v>
      </c>
      <c r="H32" s="7">
        <f>+IFERROR(+VLOOKUP(A32,'Trial Balance'!$A$12:$C$428,3,0),0)</f>
        <v>0</v>
      </c>
      <c r="I32" s="7"/>
      <c r="J32" s="7">
        <f t="shared" si="1"/>
        <v>0</v>
      </c>
      <c r="K32" s="7">
        <f>+IFERROR(+VLOOKUP(A32,'TB2019-20'!$A$12:$C$414,2,0),0)</f>
        <v>0</v>
      </c>
      <c r="L32" s="7"/>
      <c r="M32" s="7">
        <f t="shared" si="3"/>
        <v>0</v>
      </c>
      <c r="N32" s="7">
        <f>+IFERROR(+VLOOKUP(A32,'TB2019-20'!$A$12:$C$414,3,0),0)</f>
        <v>0</v>
      </c>
      <c r="O32" s="7"/>
      <c r="P32" s="7">
        <f t="shared" si="4"/>
        <v>0</v>
      </c>
    </row>
    <row r="33" spans="1:16" x14ac:dyDescent="0.25">
      <c r="A33" s="8" t="s">
        <v>404</v>
      </c>
      <c r="B33" s="7">
        <v>12</v>
      </c>
      <c r="C33" s="7" t="s">
        <v>465</v>
      </c>
      <c r="D33" s="7" t="s">
        <v>466</v>
      </c>
      <c r="E33" s="7">
        <f>+IFERROR(+VLOOKUP(A33,'Trial Balance'!$A$12:$C$428,2,0),0)</f>
        <v>12349</v>
      </c>
      <c r="F33" s="7"/>
      <c r="G33" s="7">
        <f t="shared" si="0"/>
        <v>12349</v>
      </c>
      <c r="H33" s="7">
        <f>+IFERROR(+VLOOKUP(A33,'Trial Balance'!$A$12:$C$428,3,0),0)</f>
        <v>0</v>
      </c>
      <c r="I33" s="7"/>
      <c r="J33" s="7">
        <f t="shared" si="1"/>
        <v>0</v>
      </c>
      <c r="K33" s="7">
        <f>+IFERROR(+VLOOKUP(A33,'TB2019-20'!$A$12:$C$414,2,0),0)</f>
        <v>0</v>
      </c>
      <c r="L33" s="7"/>
      <c r="M33" s="7">
        <f t="shared" si="3"/>
        <v>0</v>
      </c>
      <c r="N33" s="7">
        <f>+IFERROR(+VLOOKUP(A33,'TB2019-20'!$A$12:$C$414,3,0),0)</f>
        <v>0</v>
      </c>
      <c r="O33" s="7"/>
      <c r="P33" s="7">
        <f t="shared" si="4"/>
        <v>0</v>
      </c>
    </row>
    <row r="34" spans="1:16" x14ac:dyDescent="0.25">
      <c r="A34" s="9" t="s">
        <v>14</v>
      </c>
      <c r="B34" s="7">
        <v>12</v>
      </c>
      <c r="C34" s="7" t="s">
        <v>465</v>
      </c>
      <c r="D34" s="7" t="s">
        <v>466</v>
      </c>
      <c r="E34" s="7">
        <f>+IFERROR(+VLOOKUP(A34,'Trial Balance'!$A$12:$C$428,2,0),0)</f>
        <v>0</v>
      </c>
      <c r="F34" s="7"/>
      <c r="G34" s="7">
        <f t="shared" si="0"/>
        <v>0</v>
      </c>
      <c r="H34" s="7">
        <f>+IFERROR(+VLOOKUP(A34,'Trial Balance'!$A$12:$C$428,3,0),0)</f>
        <v>0</v>
      </c>
      <c r="I34" s="7"/>
      <c r="J34" s="7">
        <f t="shared" si="1"/>
        <v>0</v>
      </c>
      <c r="K34" s="7">
        <f>+IFERROR(+VLOOKUP(A34,'TB2019-20'!$A$12:$C$414,2,0),0)</f>
        <v>3800000</v>
      </c>
      <c r="L34" s="7"/>
      <c r="M34" s="7">
        <f t="shared" si="3"/>
        <v>3800000</v>
      </c>
      <c r="N34" s="7">
        <f>+IFERROR(+VLOOKUP(A34,'TB2019-20'!$A$12:$C$414,3,0),0)</f>
        <v>0</v>
      </c>
      <c r="O34" s="7"/>
      <c r="P34" s="7">
        <f t="shared" si="4"/>
        <v>0</v>
      </c>
    </row>
    <row r="35" spans="1:16" x14ac:dyDescent="0.25">
      <c r="A35" s="8" t="s">
        <v>15</v>
      </c>
      <c r="B35" s="7">
        <v>12</v>
      </c>
      <c r="C35" s="7" t="s">
        <v>465</v>
      </c>
      <c r="D35" s="7" t="s">
        <v>466</v>
      </c>
      <c r="E35" s="7">
        <f>+IFERROR(+VLOOKUP(A35,'Trial Balance'!$A$12:$C$428,2,0),0)</f>
        <v>13000000</v>
      </c>
      <c r="F35" s="7"/>
      <c r="G35" s="7">
        <f t="shared" si="0"/>
        <v>13000000</v>
      </c>
      <c r="H35" s="7">
        <f>+IFERROR(+VLOOKUP(A35,'Trial Balance'!$A$12:$C$428,3,0),0)</f>
        <v>0</v>
      </c>
      <c r="I35" s="7"/>
      <c r="J35" s="7">
        <f t="shared" si="1"/>
        <v>0</v>
      </c>
      <c r="K35" s="7">
        <f>+IFERROR(+VLOOKUP(A35,'TB2019-20'!$A$12:$C$414,2,0),0)</f>
        <v>0</v>
      </c>
      <c r="L35" s="7"/>
      <c r="M35" s="7">
        <f t="shared" si="3"/>
        <v>0</v>
      </c>
      <c r="N35" s="7">
        <f>+IFERROR(+VLOOKUP(A35,'TB2019-20'!$A$12:$C$414,3,0),0)</f>
        <v>0</v>
      </c>
      <c r="O35" s="7"/>
      <c r="P35" s="7">
        <f t="shared" si="4"/>
        <v>0</v>
      </c>
    </row>
    <row r="36" spans="1:16" x14ac:dyDescent="0.25">
      <c r="A36" s="7" t="s">
        <v>16</v>
      </c>
      <c r="B36" s="7">
        <v>26</v>
      </c>
      <c r="C36" s="7" t="s">
        <v>467</v>
      </c>
      <c r="D36" s="7" t="s">
        <v>468</v>
      </c>
      <c r="E36" s="7">
        <f>+IFERROR(+VLOOKUP(A36,'Trial Balance'!$A$12:$C$428,2,0),0)</f>
        <v>69186</v>
      </c>
      <c r="F36" s="7"/>
      <c r="G36" s="7">
        <f t="shared" si="0"/>
        <v>69186</v>
      </c>
      <c r="H36" s="7">
        <f>+IFERROR(+VLOOKUP(A36,'Trial Balance'!$A$12:$C$428,3,0),0)</f>
        <v>0</v>
      </c>
      <c r="I36" s="7"/>
      <c r="J36" s="7">
        <f t="shared" si="1"/>
        <v>0</v>
      </c>
      <c r="K36" s="7">
        <f>+IFERROR(+VLOOKUP(A36,'TB2019-20'!$A$12:$C$414,2,0),0)</f>
        <v>113158</v>
      </c>
      <c r="L36" s="7"/>
      <c r="M36" s="7">
        <f t="shared" si="3"/>
        <v>113158</v>
      </c>
      <c r="N36" s="7">
        <f>+IFERROR(+VLOOKUP(A36,'TB2019-20'!$A$12:$C$414,3,0),0)</f>
        <v>0</v>
      </c>
      <c r="O36" s="7"/>
      <c r="P36" s="7">
        <f t="shared" si="4"/>
        <v>0</v>
      </c>
    </row>
    <row r="37" spans="1:16" x14ac:dyDescent="0.25">
      <c r="A37" s="10" t="s">
        <v>17</v>
      </c>
      <c r="B37" s="7">
        <v>15</v>
      </c>
      <c r="C37" s="7" t="s">
        <v>469</v>
      </c>
      <c r="D37" s="7" t="s">
        <v>470</v>
      </c>
      <c r="E37" s="7">
        <f>+IFERROR(+VLOOKUP(A37,'Trial Balance'!$A$12:$C$428,2,0),0)</f>
        <v>3825310</v>
      </c>
      <c r="F37" s="7"/>
      <c r="G37" s="7">
        <f t="shared" si="0"/>
        <v>3825310</v>
      </c>
      <c r="H37" s="7">
        <f>+IFERROR(+VLOOKUP(A37,'Trial Balance'!$A$12:$C$428,3,0),0)</f>
        <v>0</v>
      </c>
      <c r="I37" s="7"/>
      <c r="J37" s="7">
        <f t="shared" si="1"/>
        <v>0</v>
      </c>
      <c r="K37" s="7">
        <f>+IFERROR(+VLOOKUP(A37,'TB2019-20'!$A$12:$C$414,2,0),0)</f>
        <v>1426108</v>
      </c>
      <c r="L37" s="7"/>
      <c r="M37" s="7">
        <f t="shared" si="3"/>
        <v>1426108</v>
      </c>
      <c r="N37" s="7">
        <f>+IFERROR(+VLOOKUP(A37,'TB2019-20'!$A$12:$C$414,3,0),0)</f>
        <v>0</v>
      </c>
      <c r="O37" s="7"/>
      <c r="P37" s="7">
        <f t="shared" si="4"/>
        <v>0</v>
      </c>
    </row>
    <row r="38" spans="1:16" x14ac:dyDescent="0.25">
      <c r="A38" s="6" t="s">
        <v>471</v>
      </c>
      <c r="B38" s="7">
        <v>7</v>
      </c>
      <c r="C38" s="7" t="s">
        <v>460</v>
      </c>
      <c r="D38" s="7" t="s">
        <v>462</v>
      </c>
      <c r="E38" s="7">
        <f>+IFERROR(+VLOOKUP(A38,'Trial Balance'!$A$12:$C$428,2,0),0)</f>
        <v>0</v>
      </c>
      <c r="F38" s="7"/>
      <c r="G38" s="7">
        <f t="shared" si="0"/>
        <v>0</v>
      </c>
      <c r="H38" s="7">
        <f>+IFERROR(+VLOOKUP(A38,'Trial Balance'!$A$12:$C$428,3,0),0)</f>
        <v>0</v>
      </c>
      <c r="I38" s="7"/>
      <c r="J38" s="7">
        <f t="shared" si="1"/>
        <v>0</v>
      </c>
      <c r="K38" s="7">
        <f>+IFERROR(+VLOOKUP(A38,'TB2019-20'!$A$12:$C$414,2,0),0)</f>
        <v>0</v>
      </c>
      <c r="L38" s="7"/>
      <c r="M38" s="7">
        <f t="shared" si="3"/>
        <v>0</v>
      </c>
      <c r="N38" s="7">
        <f>+IFERROR(+VLOOKUP(A38,'TB2019-20'!$A$12:$C$414,3,0),0)</f>
        <v>6800</v>
      </c>
      <c r="O38" s="7"/>
      <c r="P38" s="7">
        <f t="shared" si="4"/>
        <v>6800</v>
      </c>
    </row>
    <row r="39" spans="1:16" x14ac:dyDescent="0.25">
      <c r="A39" s="7" t="s">
        <v>472</v>
      </c>
      <c r="B39" s="7">
        <v>15</v>
      </c>
      <c r="C39" s="7" t="s">
        <v>469</v>
      </c>
      <c r="D39" s="7" t="s">
        <v>470</v>
      </c>
      <c r="E39" s="7">
        <f>+IFERROR(+VLOOKUP(A39,'Trial Balance'!$A$12:$C$428,2,0),0)</f>
        <v>3124400</v>
      </c>
      <c r="F39" s="7"/>
      <c r="G39" s="7">
        <f t="shared" si="0"/>
        <v>3124400</v>
      </c>
      <c r="H39" s="7">
        <f>+IFERROR(+VLOOKUP(A39,'Trial Balance'!$A$12:$C$428,3,0),0)</f>
        <v>0</v>
      </c>
      <c r="I39" s="7"/>
      <c r="J39" s="7">
        <f t="shared" si="1"/>
        <v>0</v>
      </c>
      <c r="K39" s="7">
        <f>+IFERROR(+VLOOKUP(A39,'TB2019-20'!$A$12:$C$414,2,0),0)</f>
        <v>1152502</v>
      </c>
      <c r="L39" s="7"/>
      <c r="M39" s="7">
        <f t="shared" si="3"/>
        <v>1152502</v>
      </c>
      <c r="N39" s="7">
        <f>+IFERROR(+VLOOKUP(A39,'TB2019-20'!$A$12:$C$414,3,0),0)</f>
        <v>0</v>
      </c>
      <c r="O39" s="7"/>
      <c r="P39" s="7">
        <f t="shared" si="4"/>
        <v>0</v>
      </c>
    </row>
    <row r="40" spans="1:16" x14ac:dyDescent="0.25">
      <c r="A40" s="8" t="s">
        <v>20</v>
      </c>
      <c r="B40" s="7">
        <v>15</v>
      </c>
      <c r="C40" s="7" t="s">
        <v>469</v>
      </c>
      <c r="D40" s="7" t="s">
        <v>470</v>
      </c>
      <c r="E40" s="7">
        <f>+IFERROR(+VLOOKUP(A40,'Trial Balance'!$A$12:$C$428,2,0),0)</f>
        <v>7858026.4299999997</v>
      </c>
      <c r="F40" s="7"/>
      <c r="G40" s="7">
        <f t="shared" si="0"/>
        <v>7858026.4299999997</v>
      </c>
      <c r="H40" s="7">
        <f>+IFERROR(+VLOOKUP(A40,'Trial Balance'!$A$12:$C$428,3,0),0)</f>
        <v>0</v>
      </c>
      <c r="I40" s="7"/>
      <c r="J40" s="7">
        <f t="shared" si="1"/>
        <v>0</v>
      </c>
      <c r="K40" s="7">
        <f>+IFERROR(+VLOOKUP(A40,'TB2019-20'!$A$12:$C$414,2,0),0)</f>
        <v>3898375</v>
      </c>
      <c r="L40" s="7"/>
      <c r="M40" s="7">
        <f t="shared" si="3"/>
        <v>3898375</v>
      </c>
      <c r="N40" s="7">
        <f>+IFERROR(+VLOOKUP(A40,'TB2019-20'!$A$12:$C$414,3,0),0)</f>
        <v>0</v>
      </c>
      <c r="O40" s="7"/>
      <c r="P40" s="7">
        <f t="shared" si="4"/>
        <v>0</v>
      </c>
    </row>
    <row r="41" spans="1:16" x14ac:dyDescent="0.25">
      <c r="A41" s="7" t="s">
        <v>473</v>
      </c>
      <c r="B41" s="7">
        <v>17</v>
      </c>
      <c r="C41" s="7" t="s">
        <v>474</v>
      </c>
      <c r="D41" s="7" t="s">
        <v>475</v>
      </c>
      <c r="E41" s="7">
        <f>+IFERROR(+VLOOKUP(A41,'Trial Balance'!$A$12:$C$428,2,0),0)</f>
        <v>0</v>
      </c>
      <c r="F41" s="7"/>
      <c r="G41" s="7">
        <f t="shared" si="0"/>
        <v>0</v>
      </c>
      <c r="H41" s="7">
        <f>+IFERROR(+VLOOKUP(A41,'Trial Balance'!$A$12:$C$428,3,0),0)</f>
        <v>0</v>
      </c>
      <c r="I41" s="7"/>
      <c r="J41" s="7">
        <f t="shared" si="1"/>
        <v>0</v>
      </c>
      <c r="K41" s="7">
        <f>+IFERROR(+VLOOKUP(A41,'TB2019-20'!$A$12:$C$414,2,0),0)</f>
        <v>0</v>
      </c>
      <c r="L41" s="7"/>
      <c r="M41" s="7">
        <f t="shared" si="3"/>
        <v>0</v>
      </c>
      <c r="N41" s="7">
        <f>+IFERROR(+VLOOKUP(A41,'TB2019-20'!$A$12:$C$414,3,0),0)</f>
        <v>0</v>
      </c>
      <c r="O41" s="7"/>
      <c r="P41" s="7">
        <f t="shared" si="4"/>
        <v>0</v>
      </c>
    </row>
    <row r="42" spans="1:16" x14ac:dyDescent="0.25">
      <c r="A42" s="8" t="s">
        <v>386</v>
      </c>
      <c r="B42" s="7">
        <v>7</v>
      </c>
      <c r="C42" s="7" t="s">
        <v>460</v>
      </c>
      <c r="D42" s="7" t="s">
        <v>462</v>
      </c>
      <c r="E42" s="7">
        <f>+IFERROR(+VLOOKUP(A42,'Trial Balance'!$A$12:$C$428,2,0),0)</f>
        <v>0</v>
      </c>
      <c r="F42" s="7"/>
      <c r="G42" s="7">
        <f t="shared" si="0"/>
        <v>0</v>
      </c>
      <c r="H42" s="7">
        <f>+IFERROR(+VLOOKUP(A42,'Trial Balance'!$A$12:$C$428,3,0),0)</f>
        <v>33750</v>
      </c>
      <c r="I42" s="7"/>
      <c r="J42" s="7">
        <f t="shared" si="1"/>
        <v>33750</v>
      </c>
      <c r="K42" s="7">
        <f>+IFERROR(+VLOOKUP(A42,'TB2019-20'!$A$12:$C$414,2,0),0)</f>
        <v>0</v>
      </c>
      <c r="L42" s="7"/>
      <c r="M42" s="7">
        <f t="shared" si="3"/>
        <v>0</v>
      </c>
      <c r="N42" s="7">
        <f>+IFERROR(+VLOOKUP(A42,'TB2019-20'!$A$12:$C$414,3,0),0)</f>
        <v>0</v>
      </c>
      <c r="O42" s="7"/>
      <c r="P42" s="7">
        <f t="shared" si="4"/>
        <v>0</v>
      </c>
    </row>
    <row r="43" spans="1:16" x14ac:dyDescent="0.25">
      <c r="A43" s="8" t="s">
        <v>476</v>
      </c>
      <c r="B43" s="7">
        <v>17</v>
      </c>
      <c r="C43" s="7" t="s">
        <v>474</v>
      </c>
      <c r="D43" s="7" t="s">
        <v>475</v>
      </c>
      <c r="E43" s="7">
        <f>+IFERROR(+VLOOKUP(A43,'Trial Balance'!$A$12:$C$428,2,0),0)</f>
        <v>0</v>
      </c>
      <c r="F43" s="7"/>
      <c r="G43" s="7">
        <f t="shared" si="0"/>
        <v>0</v>
      </c>
      <c r="H43" s="7">
        <f>+IFERROR(+VLOOKUP(A43,'Trial Balance'!$A$12:$C$428,3,0),0)</f>
        <v>0</v>
      </c>
      <c r="I43" s="7"/>
      <c r="J43" s="7">
        <f t="shared" si="1"/>
        <v>0</v>
      </c>
      <c r="K43" s="7">
        <f>+IFERROR(+VLOOKUP(A43,'TB2019-20'!$A$12:$C$414,2,0),0)</f>
        <v>0</v>
      </c>
      <c r="L43" s="7"/>
      <c r="M43" s="7">
        <f t="shared" si="3"/>
        <v>0</v>
      </c>
      <c r="N43" s="7">
        <f>+IFERROR(+VLOOKUP(A43,'TB2019-20'!$A$12:$C$414,3,0),0)</f>
        <v>0</v>
      </c>
      <c r="O43" s="7"/>
      <c r="P43" s="7">
        <f t="shared" si="4"/>
        <v>0</v>
      </c>
    </row>
    <row r="44" spans="1:16" x14ac:dyDescent="0.25">
      <c r="A44" s="7" t="s">
        <v>477</v>
      </c>
      <c r="B44" s="7">
        <v>7</v>
      </c>
      <c r="C44" s="7" t="s">
        <v>460</v>
      </c>
      <c r="D44" s="7" t="s">
        <v>460</v>
      </c>
      <c r="E44" s="7">
        <f>+IFERROR(+VLOOKUP(A44,'Trial Balance'!$A$12:$C$428,2,0),0)</f>
        <v>0</v>
      </c>
      <c r="F44" s="7"/>
      <c r="G44" s="7">
        <f t="shared" si="0"/>
        <v>0</v>
      </c>
      <c r="H44" s="7">
        <f>+IFERROR(+VLOOKUP(A44,'Trial Balance'!$A$12:$C$428,3,0),0)</f>
        <v>0</v>
      </c>
      <c r="I44" s="7"/>
      <c r="J44" s="7">
        <f t="shared" si="1"/>
        <v>0</v>
      </c>
      <c r="K44" s="7">
        <f>+IFERROR(+VLOOKUP(A44,'TB2019-20'!$A$12:$C$414,2,0),0)</f>
        <v>0</v>
      </c>
      <c r="L44" s="7"/>
      <c r="M44" s="7">
        <f t="shared" si="3"/>
        <v>0</v>
      </c>
      <c r="N44" s="7">
        <f>+IFERROR(+VLOOKUP(A44,'TB2019-20'!$A$12:$C$414,3,0),0)</f>
        <v>54318</v>
      </c>
      <c r="O44" s="7"/>
      <c r="P44" s="7">
        <f t="shared" si="4"/>
        <v>54318</v>
      </c>
    </row>
    <row r="45" spans="1:16" x14ac:dyDescent="0.25">
      <c r="A45" s="8" t="s">
        <v>311</v>
      </c>
      <c r="B45" s="7">
        <v>12</v>
      </c>
      <c r="C45" s="7" t="s">
        <v>465</v>
      </c>
      <c r="D45" s="7" t="s">
        <v>478</v>
      </c>
      <c r="E45" s="7">
        <f>+IFERROR(+VLOOKUP(A45,'Trial Balance'!$A$12:$C$428,2,0),0)</f>
        <v>11000</v>
      </c>
      <c r="F45" s="7"/>
      <c r="G45" s="7">
        <f t="shared" si="0"/>
        <v>11000</v>
      </c>
      <c r="H45" s="7">
        <f>+IFERROR(+VLOOKUP(A45,'Trial Balance'!$A$12:$C$428,3,0),0)</f>
        <v>0</v>
      </c>
      <c r="I45" s="7"/>
      <c r="J45" s="7">
        <f t="shared" si="1"/>
        <v>0</v>
      </c>
      <c r="K45" s="7">
        <f>+IFERROR(+VLOOKUP(A45,'TB2019-20'!$A$12:$C$414,2,0),0)</f>
        <v>0</v>
      </c>
      <c r="L45" s="7"/>
      <c r="M45" s="7">
        <f t="shared" si="3"/>
        <v>0</v>
      </c>
      <c r="N45" s="7">
        <f>+IFERROR(+VLOOKUP(A45,'TB2019-20'!$A$12:$C$414,3,0),0)</f>
        <v>0</v>
      </c>
      <c r="O45" s="7"/>
      <c r="P45" s="7">
        <f t="shared" si="4"/>
        <v>0</v>
      </c>
    </row>
    <row r="46" spans="1:16" x14ac:dyDescent="0.25">
      <c r="A46" s="8" t="s">
        <v>436</v>
      </c>
      <c r="B46" s="7">
        <v>12</v>
      </c>
      <c r="C46" s="7" t="s">
        <v>465</v>
      </c>
      <c r="D46" s="7" t="s">
        <v>478</v>
      </c>
      <c r="E46" s="7">
        <f>+IFERROR(+VLOOKUP(A46,'Trial Balance'!$A$12:$C$428,2,0),0)</f>
        <v>5000</v>
      </c>
      <c r="F46" s="7"/>
      <c r="G46" s="7">
        <f t="shared" si="0"/>
        <v>5000</v>
      </c>
      <c r="H46" s="7">
        <f>+IFERROR(+VLOOKUP(A46,'Trial Balance'!$A$12:$C$428,3,0),0)</f>
        <v>0</v>
      </c>
      <c r="I46" s="7"/>
      <c r="J46" s="7">
        <f t="shared" si="1"/>
        <v>0</v>
      </c>
      <c r="K46" s="7">
        <f>+IFERROR(+VLOOKUP(A46,'TB2019-20'!$A$12:$C$414,2,0),0)</f>
        <v>0</v>
      </c>
      <c r="L46" s="7"/>
      <c r="M46" s="7">
        <f t="shared" si="3"/>
        <v>0</v>
      </c>
      <c r="N46" s="7">
        <f>+IFERROR(+VLOOKUP(A46,'TB2019-20'!$A$12:$C$414,3,0),0)</f>
        <v>0</v>
      </c>
      <c r="O46" s="7"/>
      <c r="P46" s="7">
        <f t="shared" si="4"/>
        <v>0</v>
      </c>
    </row>
    <row r="47" spans="1:16" x14ac:dyDescent="0.25">
      <c r="A47" s="8" t="s">
        <v>392</v>
      </c>
      <c r="B47" s="7">
        <v>12</v>
      </c>
      <c r="C47" s="7" t="s">
        <v>465</v>
      </c>
      <c r="D47" s="7" t="s">
        <v>478</v>
      </c>
      <c r="E47" s="7">
        <f>+IFERROR(+VLOOKUP(A47,'Trial Balance'!$A$12:$C$428,2,0),0)</f>
        <v>2500</v>
      </c>
      <c r="F47" s="7"/>
      <c r="G47" s="7">
        <f t="shared" si="0"/>
        <v>2500</v>
      </c>
      <c r="H47" s="7">
        <f>+IFERROR(+VLOOKUP(A47,'Trial Balance'!$A$12:$C$428,3,0),0)</f>
        <v>0</v>
      </c>
      <c r="I47" s="7"/>
      <c r="J47" s="7">
        <f t="shared" si="1"/>
        <v>0</v>
      </c>
      <c r="K47" s="7">
        <f>+IFERROR(+VLOOKUP(A47,'TB2019-20'!$A$12:$C$414,2,0),0)</f>
        <v>0</v>
      </c>
      <c r="L47" s="7"/>
      <c r="M47" s="7">
        <f t="shared" si="3"/>
        <v>0</v>
      </c>
      <c r="N47" s="7">
        <f>+IFERROR(+VLOOKUP(A47,'TB2019-20'!$A$12:$C$414,3,0),0)</f>
        <v>0</v>
      </c>
      <c r="O47" s="7"/>
      <c r="P47" s="7">
        <f t="shared" si="4"/>
        <v>0</v>
      </c>
    </row>
    <row r="48" spans="1:16" x14ac:dyDescent="0.25">
      <c r="A48" s="7" t="s">
        <v>21</v>
      </c>
      <c r="B48" s="7">
        <v>12</v>
      </c>
      <c r="C48" s="7" t="s">
        <v>465</v>
      </c>
      <c r="D48" s="7" t="s">
        <v>478</v>
      </c>
      <c r="E48" s="7">
        <f>+IFERROR(+VLOOKUP(A48,'Trial Balance'!$A$12:$C$428,2,0),0)</f>
        <v>4500</v>
      </c>
      <c r="F48" s="7"/>
      <c r="G48" s="7">
        <f t="shared" si="0"/>
        <v>4500</v>
      </c>
      <c r="H48" s="7">
        <f>+IFERROR(+VLOOKUP(A48,'Trial Balance'!$A$12:$C$428,3,0),0)</f>
        <v>0</v>
      </c>
      <c r="I48" s="7"/>
      <c r="J48" s="7">
        <f t="shared" si="1"/>
        <v>0</v>
      </c>
      <c r="K48" s="7">
        <f>+IFERROR(+VLOOKUP(A48,'TB2019-20'!$A$12:$C$414,2,0),0)</f>
        <v>4000</v>
      </c>
      <c r="L48" s="7"/>
      <c r="M48" s="7">
        <f t="shared" si="3"/>
        <v>4000</v>
      </c>
      <c r="N48" s="7">
        <f>+IFERROR(+VLOOKUP(A48,'TB2019-20'!$A$12:$C$414,3,0),0)</f>
        <v>0</v>
      </c>
      <c r="O48" s="7"/>
      <c r="P48" s="7">
        <f t="shared" si="4"/>
        <v>0</v>
      </c>
    </row>
    <row r="49" spans="1:16" x14ac:dyDescent="0.25">
      <c r="A49" s="8" t="s">
        <v>249</v>
      </c>
      <c r="B49" s="7">
        <v>12</v>
      </c>
      <c r="C49" s="7" t="s">
        <v>465</v>
      </c>
      <c r="D49" s="7" t="s">
        <v>478</v>
      </c>
      <c r="E49" s="7">
        <f>+IFERROR(+VLOOKUP(A49,'Trial Balance'!$A$12:$C$428,2,0),0)</f>
        <v>12000</v>
      </c>
      <c r="F49" s="7"/>
      <c r="G49" s="7">
        <f t="shared" si="0"/>
        <v>12000</v>
      </c>
      <c r="H49" s="7">
        <f>+IFERROR(+VLOOKUP(A49,'Trial Balance'!$A$12:$C$428,3,0),0)</f>
        <v>0</v>
      </c>
      <c r="I49" s="7"/>
      <c r="J49" s="7">
        <f t="shared" si="1"/>
        <v>0</v>
      </c>
      <c r="K49" s="7">
        <f>+IFERROR(+VLOOKUP(A49,'TB2019-20'!$A$12:$C$414,2,0),0)</f>
        <v>0</v>
      </c>
      <c r="L49" s="7"/>
      <c r="M49" s="7">
        <f t="shared" si="3"/>
        <v>0</v>
      </c>
      <c r="N49" s="7">
        <f>+IFERROR(+VLOOKUP(A49,'TB2019-20'!$A$12:$C$414,3,0),0)</f>
        <v>0</v>
      </c>
      <c r="O49" s="7"/>
      <c r="P49" s="7">
        <f t="shared" si="4"/>
        <v>0</v>
      </c>
    </row>
    <row r="50" spans="1:16" x14ac:dyDescent="0.25">
      <c r="A50" s="8" t="s">
        <v>246</v>
      </c>
      <c r="B50" s="7">
        <v>12</v>
      </c>
      <c r="C50" s="7" t="s">
        <v>465</v>
      </c>
      <c r="D50" s="7" t="s">
        <v>478</v>
      </c>
      <c r="E50" s="7">
        <f>+IFERROR(+VLOOKUP(A50,'Trial Balance'!$A$12:$C$428,2,0),0)</f>
        <v>1000</v>
      </c>
      <c r="F50" s="7"/>
      <c r="G50" s="7">
        <f t="shared" si="0"/>
        <v>1000</v>
      </c>
      <c r="H50" s="7">
        <f>+IFERROR(+VLOOKUP(A50,'Trial Balance'!$A$12:$C$428,3,0),0)</f>
        <v>0</v>
      </c>
      <c r="I50" s="7"/>
      <c r="J50" s="7">
        <f t="shared" si="1"/>
        <v>0</v>
      </c>
      <c r="K50" s="7">
        <f>+IFERROR(+VLOOKUP(A50,'TB2019-20'!$A$12:$C$414,2,0),0)</f>
        <v>0</v>
      </c>
      <c r="L50" s="7"/>
      <c r="M50" s="7">
        <f t="shared" si="3"/>
        <v>0</v>
      </c>
      <c r="N50" s="7">
        <f>+IFERROR(+VLOOKUP(A50,'TB2019-20'!$A$12:$C$414,3,0),0)</f>
        <v>0</v>
      </c>
      <c r="O50" s="7"/>
      <c r="P50" s="7">
        <f t="shared" si="4"/>
        <v>0</v>
      </c>
    </row>
    <row r="51" spans="1:16" x14ac:dyDescent="0.25">
      <c r="A51" s="8" t="s">
        <v>479</v>
      </c>
      <c r="B51" s="7">
        <v>12</v>
      </c>
      <c r="C51" s="7" t="s">
        <v>465</v>
      </c>
      <c r="D51" s="7" t="s">
        <v>478</v>
      </c>
      <c r="E51" s="7">
        <f>+IFERROR(+VLOOKUP(A51,'Trial Balance'!$A$12:$C$428,2,0),0)</f>
        <v>0</v>
      </c>
      <c r="F51" s="7"/>
      <c r="G51" s="7">
        <f t="shared" si="0"/>
        <v>0</v>
      </c>
      <c r="H51" s="7">
        <f>+IFERROR(+VLOOKUP(A51,'Trial Balance'!$A$12:$C$428,3,0),0)</f>
        <v>0</v>
      </c>
      <c r="I51" s="7"/>
      <c r="J51" s="7">
        <f t="shared" si="1"/>
        <v>0</v>
      </c>
      <c r="K51" s="7">
        <f>+IFERROR(+VLOOKUP(A51,'TB2019-20'!$A$12:$C$414,2,0),0)</f>
        <v>0</v>
      </c>
      <c r="L51" s="7"/>
      <c r="M51" s="7">
        <f t="shared" si="3"/>
        <v>0</v>
      </c>
      <c r="N51" s="7">
        <f>+IFERROR(+VLOOKUP(A51,'TB2019-20'!$A$12:$C$414,3,0),0)</f>
        <v>0</v>
      </c>
      <c r="O51" s="7"/>
      <c r="P51" s="7">
        <f t="shared" si="4"/>
        <v>0</v>
      </c>
    </row>
    <row r="52" spans="1:16" x14ac:dyDescent="0.25">
      <c r="A52" s="8" t="s">
        <v>480</v>
      </c>
      <c r="B52" s="7">
        <v>12</v>
      </c>
      <c r="C52" s="7" t="s">
        <v>465</v>
      </c>
      <c r="D52" s="7" t="s">
        <v>478</v>
      </c>
      <c r="E52" s="7">
        <f>+IFERROR(+VLOOKUP(A52,'Trial Balance'!$A$12:$C$428,2,0),0)</f>
        <v>0</v>
      </c>
      <c r="F52" s="7"/>
      <c r="G52" s="7">
        <f t="shared" si="0"/>
        <v>0</v>
      </c>
      <c r="H52" s="7">
        <f>+IFERROR(+VLOOKUP(A52,'Trial Balance'!$A$12:$C$428,3,0),0)</f>
        <v>0</v>
      </c>
      <c r="I52" s="7"/>
      <c r="J52" s="7">
        <f t="shared" si="1"/>
        <v>0</v>
      </c>
      <c r="K52" s="7">
        <f>+IFERROR(+VLOOKUP(A52,'TB2019-20'!$A$12:$C$414,2,0),0)</f>
        <v>0</v>
      </c>
      <c r="L52" s="7"/>
      <c r="M52" s="7">
        <f t="shared" si="3"/>
        <v>0</v>
      </c>
      <c r="N52" s="7">
        <f>+IFERROR(+VLOOKUP(A52,'TB2019-20'!$A$12:$C$414,3,0),0)</f>
        <v>0</v>
      </c>
      <c r="O52" s="7"/>
      <c r="P52" s="7">
        <f t="shared" si="4"/>
        <v>0</v>
      </c>
    </row>
    <row r="53" spans="1:16" x14ac:dyDescent="0.25">
      <c r="A53" s="8" t="s">
        <v>44</v>
      </c>
      <c r="B53" s="7">
        <v>7</v>
      </c>
      <c r="C53" s="7" t="s">
        <v>460</v>
      </c>
      <c r="D53" s="7" t="s">
        <v>460</v>
      </c>
      <c r="E53" s="7">
        <f>+IFERROR(+VLOOKUP(A53,'Trial Balance'!$A$12:$C$428,2,0),0)</f>
        <v>0</v>
      </c>
      <c r="F53" s="7"/>
      <c r="G53" s="7">
        <f t="shared" si="0"/>
        <v>0</v>
      </c>
      <c r="H53" s="7">
        <f>+IFERROR(+VLOOKUP(A53,'Trial Balance'!$A$12:$C$428,3,0),0)</f>
        <v>0</v>
      </c>
      <c r="I53" s="7"/>
      <c r="J53" s="7">
        <f t="shared" si="1"/>
        <v>0</v>
      </c>
      <c r="K53" s="7">
        <f>+IFERROR(+VLOOKUP(A53,'TB2019-20'!$A$12:$C$414,2,0),0)</f>
        <v>0</v>
      </c>
      <c r="L53" s="7"/>
      <c r="M53" s="7">
        <f t="shared" si="3"/>
        <v>0</v>
      </c>
      <c r="N53" s="7">
        <f>+IFERROR(+VLOOKUP(A53,'TB2019-20'!$A$12:$C$414,3,0),0)</f>
        <v>0</v>
      </c>
      <c r="O53" s="7"/>
      <c r="P53" s="7">
        <f t="shared" si="4"/>
        <v>0</v>
      </c>
    </row>
    <row r="54" spans="1:16" x14ac:dyDescent="0.25">
      <c r="A54" s="8" t="s">
        <v>51</v>
      </c>
      <c r="B54" s="7">
        <v>7</v>
      </c>
      <c r="C54" s="7" t="s">
        <v>460</v>
      </c>
      <c r="D54" s="7" t="s">
        <v>460</v>
      </c>
      <c r="E54" s="7">
        <f>+IFERROR(+VLOOKUP(A54,'Trial Balance'!$A$12:$C$428,2,0),0)</f>
        <v>0</v>
      </c>
      <c r="F54" s="7"/>
      <c r="G54" s="7">
        <f t="shared" si="0"/>
        <v>0</v>
      </c>
      <c r="H54" s="7">
        <f>+IFERROR(+VLOOKUP(A54,'Trial Balance'!$A$12:$C$428,3,0),0)</f>
        <v>0</v>
      </c>
      <c r="I54" s="7"/>
      <c r="J54" s="7">
        <f t="shared" si="1"/>
        <v>0</v>
      </c>
      <c r="K54" s="7">
        <f>+IFERROR(+VLOOKUP(A54,'TB2019-20'!$A$12:$C$414,2,0),0)</f>
        <v>0</v>
      </c>
      <c r="L54" s="7"/>
      <c r="M54" s="7">
        <f t="shared" si="3"/>
        <v>0</v>
      </c>
      <c r="N54" s="7">
        <f>+IFERROR(+VLOOKUP(A54,'TB2019-20'!$A$12:$C$414,3,0),0)</f>
        <v>0</v>
      </c>
      <c r="O54" s="7"/>
      <c r="P54" s="7">
        <f t="shared" si="4"/>
        <v>0</v>
      </c>
    </row>
    <row r="55" spans="1:16" x14ac:dyDescent="0.25">
      <c r="A55" s="11" t="s">
        <v>481</v>
      </c>
      <c r="B55" s="7">
        <v>7</v>
      </c>
      <c r="C55" s="7" t="s">
        <v>460</v>
      </c>
      <c r="D55" s="7" t="s">
        <v>460</v>
      </c>
      <c r="E55" s="7">
        <f>+IFERROR(+VLOOKUP(A55,'Trial Balance'!$A$12:$C$428,2,0),0)</f>
        <v>0</v>
      </c>
      <c r="F55" s="7"/>
      <c r="G55" s="7">
        <f t="shared" si="0"/>
        <v>0</v>
      </c>
      <c r="H55" s="7">
        <f>+IFERROR(+VLOOKUP(A55,'Trial Balance'!$A$12:$C$428,3,0),0)</f>
        <v>68388</v>
      </c>
      <c r="I55" s="7"/>
      <c r="J55" s="7">
        <f t="shared" si="1"/>
        <v>68388</v>
      </c>
      <c r="K55" s="7">
        <f>+IFERROR(+VLOOKUP(A55,'TB2019-20'!$A$12:$C$414,2,0),0)</f>
        <v>0</v>
      </c>
      <c r="L55" s="7"/>
      <c r="M55" s="7">
        <f t="shared" si="3"/>
        <v>0</v>
      </c>
      <c r="N55" s="7">
        <f>+IFERROR(+VLOOKUP(A55,'TB2019-20'!$A$12:$C$414,3,0),0)</f>
        <v>136776</v>
      </c>
      <c r="O55" s="7"/>
      <c r="P55" s="7">
        <f t="shared" si="4"/>
        <v>136776</v>
      </c>
    </row>
    <row r="56" spans="1:16" x14ac:dyDescent="0.25">
      <c r="A56" s="8" t="s">
        <v>23</v>
      </c>
      <c r="B56" s="7">
        <v>7</v>
      </c>
      <c r="C56" s="7" t="s">
        <v>460</v>
      </c>
      <c r="D56" s="7" t="s">
        <v>460</v>
      </c>
      <c r="E56" s="7">
        <f>+IFERROR(+VLOOKUP(A56,'Trial Balance'!$A$12:$C$428,2,0),0)</f>
        <v>6461</v>
      </c>
      <c r="F56" s="7"/>
      <c r="G56" s="7">
        <f t="shared" si="0"/>
        <v>6461</v>
      </c>
      <c r="H56" s="7">
        <f>+IFERROR(+VLOOKUP(A56,'Trial Balance'!$A$12:$C$428,3,0),0)</f>
        <v>0</v>
      </c>
      <c r="I56" s="7"/>
      <c r="J56" s="7">
        <f t="shared" si="1"/>
        <v>0</v>
      </c>
      <c r="K56" s="7">
        <f>+IFERROR(+VLOOKUP(A56,'TB2019-20'!$A$12:$C$414,2,0),0)</f>
        <v>0</v>
      </c>
      <c r="L56" s="7"/>
      <c r="M56" s="7">
        <f t="shared" si="3"/>
        <v>0</v>
      </c>
      <c r="N56" s="7">
        <f>+IFERROR(+VLOOKUP(A56,'TB2019-20'!$A$12:$C$414,3,0),0)</f>
        <v>222332</v>
      </c>
      <c r="O56" s="7"/>
      <c r="P56" s="7">
        <f t="shared" si="4"/>
        <v>222332</v>
      </c>
    </row>
    <row r="57" spans="1:16" x14ac:dyDescent="0.25">
      <c r="A57" s="8" t="s">
        <v>1364</v>
      </c>
      <c r="B57" s="7">
        <v>15</v>
      </c>
      <c r="C57" s="7" t="s">
        <v>469</v>
      </c>
      <c r="D57" s="7" t="s">
        <v>469</v>
      </c>
      <c r="E57" s="7">
        <f>+IFERROR(+VLOOKUP(A57,'Trial Balance'!$A$12:$C$428,2,0),0)</f>
        <v>0</v>
      </c>
      <c r="F57" s="7"/>
      <c r="G57" s="7">
        <f t="shared" si="0"/>
        <v>0</v>
      </c>
      <c r="H57" s="7">
        <f>+IFERROR(+VLOOKUP(A57,'Trial Balance'!$A$12:$C$428,3,0),0)</f>
        <v>0</v>
      </c>
      <c r="I57" s="7"/>
      <c r="J57" s="7">
        <f t="shared" si="1"/>
        <v>0</v>
      </c>
      <c r="K57" s="7">
        <f>+IFERROR(+VLOOKUP(A57,'TB2019-20'!$A$12:$C$414,2,0),0)</f>
        <v>0</v>
      </c>
      <c r="L57" s="7"/>
      <c r="M57" s="7">
        <f t="shared" si="3"/>
        <v>0</v>
      </c>
      <c r="N57" s="7">
        <f>+IFERROR(+VLOOKUP(A57,'TB2019-20'!$A$12:$C$414,3,0),0)</f>
        <v>0</v>
      </c>
      <c r="O57" s="7"/>
      <c r="P57" s="7">
        <f t="shared" si="4"/>
        <v>0</v>
      </c>
    </row>
    <row r="58" spans="1:16" x14ac:dyDescent="0.25">
      <c r="A58" s="8" t="s">
        <v>1361</v>
      </c>
      <c r="B58" s="7">
        <v>15</v>
      </c>
      <c r="C58" s="7" t="s">
        <v>469</v>
      </c>
      <c r="D58" s="7" t="s">
        <v>469</v>
      </c>
      <c r="E58" s="7">
        <f>+IFERROR(+VLOOKUP(A58,'Trial Balance'!$A$12:$C$428,2,0),0)</f>
        <v>0</v>
      </c>
      <c r="F58" s="7"/>
      <c r="G58" s="7">
        <f t="shared" si="0"/>
        <v>0</v>
      </c>
      <c r="H58" s="7">
        <f>+IFERROR(+VLOOKUP(A58,'Trial Balance'!$A$12:$C$428,3,0),0)</f>
        <v>0</v>
      </c>
      <c r="I58" s="7"/>
      <c r="J58" s="7">
        <f t="shared" si="1"/>
        <v>0</v>
      </c>
      <c r="K58" s="7">
        <f>+IFERROR(+VLOOKUP(A58,'TB2019-20'!$A$12:$C$414,2,0),0)</f>
        <v>0</v>
      </c>
      <c r="L58" s="7"/>
      <c r="M58" s="7">
        <f t="shared" si="3"/>
        <v>0</v>
      </c>
      <c r="N58" s="7">
        <f>+IFERROR(+VLOOKUP(A58,'TB2019-20'!$A$12:$C$414,3,0),0)</f>
        <v>0</v>
      </c>
      <c r="O58" s="7"/>
      <c r="P58" s="7">
        <f t="shared" si="4"/>
        <v>0</v>
      </c>
    </row>
    <row r="59" spans="1:16" x14ac:dyDescent="0.25">
      <c r="A59" s="8" t="s">
        <v>449</v>
      </c>
      <c r="B59" s="7">
        <v>15</v>
      </c>
      <c r="C59" s="7" t="s">
        <v>469</v>
      </c>
      <c r="D59" s="7" t="s">
        <v>469</v>
      </c>
      <c r="E59" s="7">
        <f>+IFERROR(+VLOOKUP(A59,'Trial Balance'!$A$12:$C$428,2,0),0)</f>
        <v>0</v>
      </c>
      <c r="F59" s="7"/>
      <c r="G59" s="7">
        <f t="shared" si="0"/>
        <v>0</v>
      </c>
      <c r="H59" s="7">
        <f>+IFERROR(+VLOOKUP(A59,'Trial Balance'!$A$12:$C$428,3,0),0)</f>
        <v>0</v>
      </c>
      <c r="I59" s="7"/>
      <c r="J59" s="7">
        <f t="shared" si="1"/>
        <v>0</v>
      </c>
      <c r="K59" s="7">
        <f>+IFERROR(+VLOOKUP(A59,'TB2019-20'!$A$12:$C$414,2,0),0)</f>
        <v>0</v>
      </c>
      <c r="L59" s="7"/>
      <c r="M59" s="7">
        <f t="shared" si="3"/>
        <v>0</v>
      </c>
      <c r="N59" s="7">
        <f>+IFERROR(+VLOOKUP(A59,'TB2019-20'!$A$12:$C$414,3,0),0)</f>
        <v>0</v>
      </c>
      <c r="O59" s="7"/>
      <c r="P59" s="7">
        <f t="shared" si="4"/>
        <v>0</v>
      </c>
    </row>
    <row r="60" spans="1:16" x14ac:dyDescent="0.25">
      <c r="A60" s="8" t="s">
        <v>375</v>
      </c>
      <c r="B60" s="7">
        <v>15</v>
      </c>
      <c r="C60" s="7" t="s">
        <v>469</v>
      </c>
      <c r="D60" s="7" t="s">
        <v>469</v>
      </c>
      <c r="E60" s="7">
        <f>+IFERROR(+VLOOKUP(A60,'Trial Balance'!$A$12:$C$428,2,0),0)</f>
        <v>0</v>
      </c>
      <c r="F60" s="7"/>
      <c r="G60" s="7">
        <f t="shared" si="0"/>
        <v>0</v>
      </c>
      <c r="H60" s="7">
        <f>+IFERROR(+VLOOKUP(A60,'Trial Balance'!$A$12:$C$428,3,0),0)</f>
        <v>0</v>
      </c>
      <c r="I60" s="7"/>
      <c r="J60" s="7">
        <f t="shared" si="1"/>
        <v>0</v>
      </c>
      <c r="K60" s="7">
        <f>+IFERROR(+VLOOKUP(A60,'TB2019-20'!$A$12:$C$414,2,0),0)</f>
        <v>0</v>
      </c>
      <c r="L60" s="7"/>
      <c r="M60" s="7">
        <f t="shared" si="3"/>
        <v>0</v>
      </c>
      <c r="N60" s="7">
        <f>+IFERROR(+VLOOKUP(A60,'TB2019-20'!$A$12:$C$414,3,0),0)</f>
        <v>0</v>
      </c>
      <c r="O60" s="7"/>
      <c r="P60" s="7">
        <f t="shared" si="4"/>
        <v>0</v>
      </c>
    </row>
    <row r="61" spans="1:16" x14ac:dyDescent="0.25">
      <c r="A61" s="8" t="s">
        <v>422</v>
      </c>
      <c r="B61" s="7">
        <v>15</v>
      </c>
      <c r="C61" s="7" t="s">
        <v>469</v>
      </c>
      <c r="D61" s="7" t="s">
        <v>469</v>
      </c>
      <c r="E61" s="7">
        <f>+IFERROR(+VLOOKUP(A61,'Trial Balance'!$A$12:$C$428,2,0),0)</f>
        <v>0</v>
      </c>
      <c r="F61" s="7"/>
      <c r="G61" s="7">
        <f t="shared" si="0"/>
        <v>0</v>
      </c>
      <c r="H61" s="7">
        <f>+IFERROR(+VLOOKUP(A61,'Trial Balance'!$A$12:$C$428,3,0),0)</f>
        <v>34754</v>
      </c>
      <c r="I61" s="7"/>
      <c r="J61" s="7">
        <f t="shared" si="1"/>
        <v>34754</v>
      </c>
      <c r="K61" s="7">
        <f>+IFERROR(+VLOOKUP(A61,'TB2019-20'!$A$12:$C$414,2,0),0)</f>
        <v>0</v>
      </c>
      <c r="L61" s="7"/>
      <c r="M61" s="7">
        <f t="shared" si="3"/>
        <v>0</v>
      </c>
      <c r="N61" s="7">
        <f>+IFERROR(+VLOOKUP(A61,'TB2019-20'!$A$12:$C$414,3,0),0)</f>
        <v>0</v>
      </c>
      <c r="O61" s="7"/>
      <c r="P61" s="7">
        <f t="shared" si="4"/>
        <v>0</v>
      </c>
    </row>
    <row r="62" spans="1:16" x14ac:dyDescent="0.25">
      <c r="A62" s="8" t="s">
        <v>339</v>
      </c>
      <c r="B62" s="7">
        <v>15</v>
      </c>
      <c r="C62" s="7" t="s">
        <v>469</v>
      </c>
      <c r="D62" s="7" t="s">
        <v>469</v>
      </c>
      <c r="E62" s="7">
        <f>+IFERROR(+VLOOKUP(A62,'Trial Balance'!$A$12:$C$428,2,0),0)</f>
        <v>0</v>
      </c>
      <c r="F62" s="7"/>
      <c r="G62" s="7">
        <f t="shared" si="0"/>
        <v>0</v>
      </c>
      <c r="H62" s="7">
        <f>+IFERROR(+VLOOKUP(A62,'Trial Balance'!$A$12:$C$428,3,0),0)</f>
        <v>0</v>
      </c>
      <c r="I62" s="7"/>
      <c r="J62" s="7">
        <f t="shared" si="1"/>
        <v>0</v>
      </c>
      <c r="K62" s="7">
        <f>+IFERROR(+VLOOKUP(A62,'TB2019-20'!$A$12:$C$414,2,0),0)</f>
        <v>0</v>
      </c>
      <c r="L62" s="7"/>
      <c r="M62" s="7">
        <f t="shared" si="3"/>
        <v>0</v>
      </c>
      <c r="N62" s="7">
        <f>+IFERROR(+VLOOKUP(A62,'TB2019-20'!$A$12:$C$414,3,0),0)</f>
        <v>0</v>
      </c>
      <c r="O62" s="7"/>
      <c r="P62" s="7">
        <f t="shared" si="4"/>
        <v>0</v>
      </c>
    </row>
    <row r="63" spans="1:16" x14ac:dyDescent="0.25">
      <c r="A63" s="8" t="s">
        <v>232</v>
      </c>
      <c r="B63" s="7">
        <v>15</v>
      </c>
      <c r="C63" s="7" t="s">
        <v>469</v>
      </c>
      <c r="D63" s="7" t="s">
        <v>469</v>
      </c>
      <c r="E63" s="7">
        <f>+IFERROR(+VLOOKUP(A63,'Trial Balance'!$A$12:$C$428,2,0),0)</f>
        <v>3430</v>
      </c>
      <c r="F63" s="7"/>
      <c r="G63" s="7">
        <f t="shared" si="0"/>
        <v>3430</v>
      </c>
      <c r="H63" s="7">
        <f>+IFERROR(+VLOOKUP(A63,'Trial Balance'!$A$12:$C$428,3,0),0)</f>
        <v>0</v>
      </c>
      <c r="I63" s="7"/>
      <c r="J63" s="7">
        <f t="shared" si="1"/>
        <v>0</v>
      </c>
      <c r="K63" s="7">
        <f>+IFERROR(+VLOOKUP(A63,'TB2019-20'!$A$12:$C$414,2,0),0)</f>
        <v>0</v>
      </c>
      <c r="L63" s="7"/>
      <c r="M63" s="7">
        <f t="shared" si="3"/>
        <v>0</v>
      </c>
      <c r="N63" s="7">
        <f>+IFERROR(+VLOOKUP(A63,'TB2019-20'!$A$12:$C$414,3,0),0)</f>
        <v>0</v>
      </c>
      <c r="O63" s="7"/>
      <c r="P63" s="7">
        <f t="shared" si="4"/>
        <v>0</v>
      </c>
    </row>
    <row r="64" spans="1:16" x14ac:dyDescent="0.25">
      <c r="A64" s="8" t="s">
        <v>122</v>
      </c>
      <c r="B64" s="7">
        <v>15</v>
      </c>
      <c r="C64" s="7" t="s">
        <v>469</v>
      </c>
      <c r="D64" s="7" t="s">
        <v>469</v>
      </c>
      <c r="E64" s="7">
        <f>+IFERROR(+VLOOKUP(A64,'Trial Balance'!$A$12:$C$428,2,0),0)</f>
        <v>890949</v>
      </c>
      <c r="F64" s="7"/>
      <c r="G64" s="7">
        <f t="shared" si="0"/>
        <v>890949</v>
      </c>
      <c r="H64" s="7">
        <f>+IFERROR(+VLOOKUP(A64,'Trial Balance'!$A$12:$C$428,3,0),0)</f>
        <v>0</v>
      </c>
      <c r="I64" s="7"/>
      <c r="J64" s="7">
        <f t="shared" si="1"/>
        <v>0</v>
      </c>
      <c r="K64" s="7">
        <f>+IFERROR(+VLOOKUP(A64,'TB2019-20'!$A$12:$C$414,2,0),0)</f>
        <v>0</v>
      </c>
      <c r="L64" s="7"/>
      <c r="M64" s="7">
        <f t="shared" si="3"/>
        <v>0</v>
      </c>
      <c r="N64" s="7">
        <f>+IFERROR(+VLOOKUP(A64,'TB2019-20'!$A$12:$C$414,3,0),0)</f>
        <v>0</v>
      </c>
      <c r="O64" s="7"/>
      <c r="P64" s="7">
        <f t="shared" si="4"/>
        <v>0</v>
      </c>
    </row>
    <row r="65" spans="1:16" x14ac:dyDescent="0.25">
      <c r="A65" s="8" t="s">
        <v>482</v>
      </c>
      <c r="B65" s="7">
        <v>7</v>
      </c>
      <c r="C65" s="7" t="s">
        <v>460</v>
      </c>
      <c r="D65" s="7" t="s">
        <v>462</v>
      </c>
      <c r="E65" s="7">
        <f>+IFERROR(+VLOOKUP(A65,'Trial Balance'!$A$12:$C$428,2,0),0)</f>
        <v>0</v>
      </c>
      <c r="F65" s="7"/>
      <c r="G65" s="7">
        <f t="shared" si="0"/>
        <v>0</v>
      </c>
      <c r="H65" s="7">
        <f>+IFERROR(+VLOOKUP(A65,'Trial Balance'!$A$12:$C$428,3,0),0)</f>
        <v>0</v>
      </c>
      <c r="I65" s="7"/>
      <c r="J65" s="7">
        <f t="shared" si="1"/>
        <v>0</v>
      </c>
      <c r="K65" s="7">
        <f>+IFERROR(+VLOOKUP(A65,'TB2019-20'!$A$12:$C$414,2,0),0)</f>
        <v>2384</v>
      </c>
      <c r="L65" s="7"/>
      <c r="M65" s="7">
        <f t="shared" si="3"/>
        <v>2384</v>
      </c>
      <c r="N65" s="7">
        <f>+IFERROR(+VLOOKUP(A65,'TB2019-20'!$A$12:$C$414,3,0),0)</f>
        <v>0</v>
      </c>
      <c r="O65" s="7"/>
      <c r="P65" s="7">
        <f t="shared" si="4"/>
        <v>0</v>
      </c>
    </row>
    <row r="66" spans="1:16" x14ac:dyDescent="0.25">
      <c r="A66" s="8" t="s">
        <v>483</v>
      </c>
      <c r="B66" s="7">
        <v>7</v>
      </c>
      <c r="C66" s="7" t="s">
        <v>460</v>
      </c>
      <c r="D66" s="7" t="s">
        <v>462</v>
      </c>
      <c r="E66" s="7">
        <f>+IFERROR(+VLOOKUP(A66,'Trial Balance'!$A$12:$C$428,2,0),0)</f>
        <v>0</v>
      </c>
      <c r="F66" s="7"/>
      <c r="G66" s="7">
        <f t="shared" si="0"/>
        <v>0</v>
      </c>
      <c r="H66" s="7">
        <f>+IFERROR(+VLOOKUP(A66,'Trial Balance'!$A$12:$C$428,3,0),0)</f>
        <v>0</v>
      </c>
      <c r="I66" s="7"/>
      <c r="J66" s="7">
        <f t="shared" si="1"/>
        <v>0</v>
      </c>
      <c r="K66" s="7">
        <f>+IFERROR(+VLOOKUP(A66,'TB2019-20'!$A$12:$C$414,2,0),0)</f>
        <v>0</v>
      </c>
      <c r="L66" s="7"/>
      <c r="M66" s="7">
        <f t="shared" si="3"/>
        <v>0</v>
      </c>
      <c r="N66" s="7">
        <f>+IFERROR(+VLOOKUP(A66,'TB2019-20'!$A$12:$C$414,3,0),0)</f>
        <v>16500</v>
      </c>
      <c r="O66" s="7"/>
      <c r="P66" s="7">
        <f t="shared" si="4"/>
        <v>16500</v>
      </c>
    </row>
    <row r="67" spans="1:16" x14ac:dyDescent="0.25">
      <c r="A67" s="8" t="s">
        <v>229</v>
      </c>
      <c r="B67" s="7">
        <v>7</v>
      </c>
      <c r="C67" s="7" t="s">
        <v>460</v>
      </c>
      <c r="D67" s="7" t="s">
        <v>462</v>
      </c>
      <c r="E67" s="7">
        <f>+IFERROR(+VLOOKUP(A67,'Trial Balance'!$A$12:$C$428,2,0),0)</f>
        <v>0</v>
      </c>
      <c r="F67" s="7"/>
      <c r="G67" s="7">
        <f t="shared" si="0"/>
        <v>0</v>
      </c>
      <c r="H67" s="7">
        <f>+IFERROR(+VLOOKUP(A67,'Trial Balance'!$A$12:$C$428,3,0),0)</f>
        <v>58240</v>
      </c>
      <c r="I67" s="7"/>
      <c r="J67" s="7">
        <f t="shared" si="1"/>
        <v>58240</v>
      </c>
      <c r="K67" s="7">
        <f>+IFERROR(+VLOOKUP(A67,'TB2019-20'!$A$12:$C$414,2,0),0)</f>
        <v>0</v>
      </c>
      <c r="L67" s="7"/>
      <c r="M67" s="7">
        <f t="shared" si="3"/>
        <v>0</v>
      </c>
      <c r="N67" s="7">
        <f>+IFERROR(+VLOOKUP(A67,'TB2019-20'!$A$12:$C$414,3,0),0)</f>
        <v>0</v>
      </c>
      <c r="O67" s="7"/>
      <c r="P67" s="7">
        <f t="shared" si="4"/>
        <v>0</v>
      </c>
    </row>
    <row r="68" spans="1:16" x14ac:dyDescent="0.25">
      <c r="A68" s="8" t="s">
        <v>484</v>
      </c>
      <c r="B68" s="7">
        <v>7</v>
      </c>
      <c r="C68" s="7" t="s">
        <v>460</v>
      </c>
      <c r="D68" s="7" t="s">
        <v>462</v>
      </c>
      <c r="E68" s="7">
        <f>+IFERROR(+VLOOKUP(A68,'Trial Balance'!$A$12:$C$428,2,0),0)</f>
        <v>0</v>
      </c>
      <c r="F68" s="7"/>
      <c r="G68" s="7">
        <f t="shared" si="0"/>
        <v>0</v>
      </c>
      <c r="H68" s="7">
        <f>+IFERROR(+VLOOKUP(A68,'Trial Balance'!$A$12:$C$428,3,0),0)</f>
        <v>0</v>
      </c>
      <c r="I68" s="7"/>
      <c r="J68" s="7">
        <f t="shared" si="1"/>
        <v>0</v>
      </c>
      <c r="K68" s="7">
        <f>+IFERROR(+VLOOKUP(A68,'TB2019-20'!$A$12:$C$414,2,0),0)</f>
        <v>0</v>
      </c>
      <c r="L68" s="7"/>
      <c r="M68" s="7">
        <f t="shared" si="3"/>
        <v>0</v>
      </c>
      <c r="N68" s="7">
        <f>+IFERROR(+VLOOKUP(A68,'TB2019-20'!$A$12:$C$414,3,0),0)</f>
        <v>0</v>
      </c>
      <c r="O68" s="7"/>
      <c r="P68" s="7">
        <f t="shared" si="4"/>
        <v>0</v>
      </c>
    </row>
    <row r="69" spans="1:16" x14ac:dyDescent="0.25">
      <c r="A69" s="8" t="s">
        <v>485</v>
      </c>
      <c r="B69" s="7">
        <v>17</v>
      </c>
      <c r="C69" s="7" t="s">
        <v>474</v>
      </c>
      <c r="D69" s="7" t="s">
        <v>475</v>
      </c>
      <c r="E69" s="7">
        <f>+IFERROR(+VLOOKUP(A69,'Trial Balance'!$A$12:$C$428,2,0),0)</f>
        <v>0</v>
      </c>
      <c r="F69" s="7"/>
      <c r="G69" s="7">
        <f t="shared" ref="G69:G133" si="7">+E69+F69</f>
        <v>0</v>
      </c>
      <c r="H69" s="7">
        <f>+IFERROR(+VLOOKUP(A69,'Trial Balance'!$A$12:$C$428,3,0),0)</f>
        <v>0</v>
      </c>
      <c r="I69" s="7"/>
      <c r="J69" s="7">
        <f t="shared" ref="J69:J133" si="8">+H69+I69</f>
        <v>0</v>
      </c>
      <c r="K69" s="7">
        <f>+IFERROR(+VLOOKUP(A69,'TB2019-20'!$A$12:$C$414,2,0),0)</f>
        <v>0</v>
      </c>
      <c r="L69" s="7"/>
      <c r="M69" s="7">
        <f t="shared" si="3"/>
        <v>0</v>
      </c>
      <c r="N69" s="7">
        <f>+IFERROR(+VLOOKUP(A69,'TB2019-20'!$A$12:$C$414,3,0),0)</f>
        <v>0</v>
      </c>
      <c r="O69" s="7"/>
      <c r="P69" s="7">
        <f t="shared" si="4"/>
        <v>0</v>
      </c>
    </row>
    <row r="70" spans="1:16" x14ac:dyDescent="0.25">
      <c r="A70" s="8" t="s">
        <v>486</v>
      </c>
      <c r="B70" s="7">
        <v>7</v>
      </c>
      <c r="C70" s="7" t="s">
        <v>460</v>
      </c>
      <c r="D70" s="7" t="s">
        <v>462</v>
      </c>
      <c r="E70" s="7">
        <f>+IFERROR(+VLOOKUP(A70,'Trial Balance'!$A$12:$C$428,2,0),0)</f>
        <v>0</v>
      </c>
      <c r="F70" s="7"/>
      <c r="G70" s="7">
        <f t="shared" si="7"/>
        <v>0</v>
      </c>
      <c r="H70" s="7">
        <f>+IFERROR(+VLOOKUP(A70,'Trial Balance'!$A$12:$C$428,3,0),0)</f>
        <v>0</v>
      </c>
      <c r="I70" s="7"/>
      <c r="J70" s="7">
        <f t="shared" si="8"/>
        <v>0</v>
      </c>
      <c r="K70" s="7">
        <f>+IFERROR(+VLOOKUP(A70,'TB2019-20'!$A$12:$C$414,2,0),0)</f>
        <v>0</v>
      </c>
      <c r="L70" s="7"/>
      <c r="M70" s="7">
        <f t="shared" si="3"/>
        <v>0</v>
      </c>
      <c r="N70" s="7">
        <f>+IFERROR(+VLOOKUP(A70,'TB2019-20'!$A$12:$C$414,3,0),0)</f>
        <v>0</v>
      </c>
      <c r="O70" s="7"/>
      <c r="P70" s="7">
        <f t="shared" si="4"/>
        <v>0</v>
      </c>
    </row>
    <row r="71" spans="1:16" x14ac:dyDescent="0.25">
      <c r="A71" s="8" t="s">
        <v>487</v>
      </c>
      <c r="B71" s="7">
        <v>7</v>
      </c>
      <c r="C71" s="7" t="s">
        <v>460</v>
      </c>
      <c r="D71" s="7" t="s">
        <v>462</v>
      </c>
      <c r="E71" s="7">
        <f>+IFERROR(+VLOOKUP(A71,'Trial Balance'!$A$12:$C$428,2,0),0)</f>
        <v>0</v>
      </c>
      <c r="F71" s="7"/>
      <c r="G71" s="7">
        <f t="shared" si="7"/>
        <v>0</v>
      </c>
      <c r="H71" s="7">
        <f>+IFERROR(+VLOOKUP(A71,'Trial Balance'!$A$12:$C$428,3,0),0)</f>
        <v>0</v>
      </c>
      <c r="I71" s="7"/>
      <c r="J71" s="7">
        <f t="shared" si="8"/>
        <v>0</v>
      </c>
      <c r="K71" s="7">
        <f>+IFERROR(+VLOOKUP(A71,'TB2019-20'!$A$12:$C$414,2,0),0)</f>
        <v>0</v>
      </c>
      <c r="L71" s="7"/>
      <c r="M71" s="7">
        <f t="shared" ref="M71:M136" si="9">+K71+L71</f>
        <v>0</v>
      </c>
      <c r="N71" s="7">
        <f>+IFERROR(+VLOOKUP(A71,'TB2019-20'!$A$12:$C$414,3,0),0)</f>
        <v>0</v>
      </c>
      <c r="O71" s="7"/>
      <c r="P71" s="7">
        <f t="shared" ref="P71:P136" si="10">+N71+O71</f>
        <v>0</v>
      </c>
    </row>
    <row r="72" spans="1:16" x14ac:dyDescent="0.25">
      <c r="A72" s="7" t="s">
        <v>488</v>
      </c>
      <c r="B72" s="7">
        <v>4</v>
      </c>
      <c r="C72" s="7" t="s">
        <v>489</v>
      </c>
      <c r="D72" s="7" t="s">
        <v>490</v>
      </c>
      <c r="E72" s="7">
        <f>+IFERROR(+VLOOKUP(A72,'Trial Balance'!$A$12:$C$428,2,0),0)</f>
        <v>0</v>
      </c>
      <c r="F72" s="7"/>
      <c r="G72" s="7">
        <f t="shared" si="7"/>
        <v>0</v>
      </c>
      <c r="H72" s="7">
        <f>+IFERROR(+VLOOKUP(A72,'Trial Balance'!$A$12:$C$428,3,0),0)</f>
        <v>2353055</v>
      </c>
      <c r="I72" s="7"/>
      <c r="J72" s="7">
        <f t="shared" si="8"/>
        <v>2353055</v>
      </c>
      <c r="K72" s="7">
        <f>+IFERROR(+VLOOKUP(A72,'TB2019-20'!$A$12:$C$414,2,0),0)</f>
        <v>0</v>
      </c>
      <c r="L72" s="7"/>
      <c r="M72" s="7">
        <f t="shared" si="9"/>
        <v>0</v>
      </c>
      <c r="N72" s="7">
        <f>+IFERROR(+VLOOKUP(A72,'TB2019-20'!$A$12:$C$414,3,0),0)</f>
        <v>2186694</v>
      </c>
      <c r="O72" s="7"/>
      <c r="P72" s="7">
        <f t="shared" si="10"/>
        <v>2186694</v>
      </c>
    </row>
    <row r="73" spans="1:16" x14ac:dyDescent="0.25">
      <c r="A73" s="8" t="s">
        <v>491</v>
      </c>
      <c r="B73" s="7">
        <v>7</v>
      </c>
      <c r="C73" s="7" t="s">
        <v>460</v>
      </c>
      <c r="D73" s="7" t="s">
        <v>462</v>
      </c>
      <c r="E73" s="7">
        <f>+IFERROR(+VLOOKUP(A73,'Trial Balance'!$A$12:$C$428,2,0),0)</f>
        <v>0</v>
      </c>
      <c r="F73" s="7"/>
      <c r="G73" s="7">
        <f t="shared" si="7"/>
        <v>0</v>
      </c>
      <c r="H73" s="7">
        <f>+IFERROR(+VLOOKUP(A73,'Trial Balance'!$A$12:$C$428,3,0),0)</f>
        <v>0</v>
      </c>
      <c r="I73" s="7"/>
      <c r="J73" s="7">
        <f t="shared" si="8"/>
        <v>0</v>
      </c>
      <c r="K73" s="7">
        <f>+IFERROR(+VLOOKUP(A73,'TB2019-20'!$A$12:$C$414,2,0),0)</f>
        <v>0</v>
      </c>
      <c r="L73" s="7"/>
      <c r="M73" s="7">
        <f t="shared" si="9"/>
        <v>0</v>
      </c>
      <c r="N73" s="7">
        <f>+IFERROR(+VLOOKUP(A73,'TB2019-20'!$A$12:$C$414,3,0),0)</f>
        <v>0</v>
      </c>
      <c r="O73" s="7"/>
      <c r="P73" s="7">
        <f t="shared" si="10"/>
        <v>0</v>
      </c>
    </row>
    <row r="74" spans="1:16" x14ac:dyDescent="0.25">
      <c r="A74" s="7" t="s">
        <v>26</v>
      </c>
      <c r="B74" s="7">
        <v>4</v>
      </c>
      <c r="C74" s="7" t="s">
        <v>489</v>
      </c>
      <c r="D74" s="7" t="s">
        <v>490</v>
      </c>
      <c r="E74" s="7">
        <f>+IFERROR(+VLOOKUP(A74,'Trial Balance'!$A$12:$C$428,2,0),0)</f>
        <v>0</v>
      </c>
      <c r="F74" s="7"/>
      <c r="G74" s="7">
        <f t="shared" si="7"/>
        <v>0</v>
      </c>
      <c r="H74" s="7">
        <f>+IFERROR(+VLOOKUP(A74,'Trial Balance'!$A$12:$C$428,3,0),0)</f>
        <v>941222</v>
      </c>
      <c r="I74" s="7"/>
      <c r="J74" s="7">
        <f t="shared" si="8"/>
        <v>941222</v>
      </c>
      <c r="K74" s="7">
        <f>+IFERROR(+VLOOKUP(A74,'TB2019-20'!$A$12:$C$414,2,0),0)</f>
        <v>0</v>
      </c>
      <c r="L74" s="7"/>
      <c r="M74" s="7">
        <f t="shared" si="9"/>
        <v>0</v>
      </c>
      <c r="N74" s="7">
        <f>+IFERROR(+VLOOKUP(A74,'TB2019-20'!$A$12:$C$414,3,0),0)</f>
        <v>874676</v>
      </c>
      <c r="O74" s="7"/>
      <c r="P74" s="7">
        <f t="shared" si="10"/>
        <v>874676</v>
      </c>
    </row>
    <row r="75" spans="1:16" x14ac:dyDescent="0.25">
      <c r="A75" s="7" t="s">
        <v>492</v>
      </c>
      <c r="B75" s="7">
        <v>7</v>
      </c>
      <c r="C75" s="7" t="s">
        <v>460</v>
      </c>
      <c r="D75" s="7" t="s">
        <v>460</v>
      </c>
      <c r="E75" s="7">
        <f>+IFERROR(+VLOOKUP(A75,'Trial Balance'!$A$12:$C$428,2,0),0)</f>
        <v>0</v>
      </c>
      <c r="F75" s="7"/>
      <c r="G75" s="7">
        <f t="shared" si="7"/>
        <v>0</v>
      </c>
      <c r="H75" s="7">
        <f>+IFERROR(+VLOOKUP(A75,'Trial Balance'!$A$12:$C$428,3,0),0)</f>
        <v>0</v>
      </c>
      <c r="I75" s="7"/>
      <c r="J75" s="7">
        <f t="shared" si="8"/>
        <v>0</v>
      </c>
      <c r="K75" s="7">
        <f>+IFERROR(+VLOOKUP(A75,'TB2019-20'!$A$12:$C$414,2,0),0)</f>
        <v>0</v>
      </c>
      <c r="L75" s="7"/>
      <c r="M75" s="7">
        <f t="shared" si="9"/>
        <v>0</v>
      </c>
      <c r="N75" s="7">
        <f>+IFERROR(+VLOOKUP(A75,'TB2019-20'!$A$12:$C$414,3,0),0)</f>
        <v>30012</v>
      </c>
      <c r="O75" s="7"/>
      <c r="P75" s="7">
        <f t="shared" si="10"/>
        <v>30012</v>
      </c>
    </row>
    <row r="76" spans="1:16" x14ac:dyDescent="0.25">
      <c r="A76" s="8" t="s">
        <v>136</v>
      </c>
      <c r="B76" s="7">
        <v>26</v>
      </c>
      <c r="C76" s="7" t="s">
        <v>467</v>
      </c>
      <c r="D76" s="7" t="s">
        <v>493</v>
      </c>
      <c r="E76" s="7">
        <f>+IFERROR(+VLOOKUP(A76,'Trial Balance'!$A$12:$C$428,2,0),0)</f>
        <v>116330</v>
      </c>
      <c r="F76" s="7"/>
      <c r="G76" s="7">
        <f t="shared" si="7"/>
        <v>116330</v>
      </c>
      <c r="H76" s="7">
        <f>+IFERROR(+VLOOKUP(A76,'Trial Balance'!$A$12:$C$428,3,0),0)</f>
        <v>0</v>
      </c>
      <c r="I76" s="7"/>
      <c r="J76" s="7">
        <f t="shared" si="8"/>
        <v>0</v>
      </c>
      <c r="K76" s="7">
        <f>+IFERROR(+VLOOKUP(A76,'TB2019-20'!$A$12:$C$414,2,0),0)</f>
        <v>0</v>
      </c>
      <c r="L76" s="7"/>
      <c r="M76" s="7">
        <f t="shared" si="9"/>
        <v>0</v>
      </c>
      <c r="N76" s="7">
        <f>+IFERROR(+VLOOKUP(A76,'TB2019-20'!$A$12:$C$414,3,0),0)</f>
        <v>0</v>
      </c>
      <c r="O76" s="7"/>
      <c r="P76" s="7">
        <f t="shared" si="10"/>
        <v>0</v>
      </c>
    </row>
    <row r="77" spans="1:16" x14ac:dyDescent="0.25">
      <c r="A77" s="8" t="s">
        <v>3483</v>
      </c>
      <c r="B77" s="7">
        <v>26</v>
      </c>
      <c r="C77" s="7" t="s">
        <v>467</v>
      </c>
      <c r="D77" s="7" t="s">
        <v>493</v>
      </c>
      <c r="E77" s="7">
        <f>+IFERROR(+VLOOKUP(A77,'Trial Balance'!$A$12:$C$428,2,0),0)</f>
        <v>1353054</v>
      </c>
      <c r="F77" s="7"/>
      <c r="G77" s="7">
        <f t="shared" ref="G77" si="11">+E77+F77</f>
        <v>1353054</v>
      </c>
      <c r="H77" s="7">
        <f>+IFERROR(+VLOOKUP(A77,'Trial Balance'!$A$12:$C$428,3,0),0)</f>
        <v>0</v>
      </c>
      <c r="I77" s="7"/>
      <c r="J77" s="7">
        <f t="shared" ref="J77" si="12">+H77+I77</f>
        <v>0</v>
      </c>
      <c r="K77" s="7">
        <f>+IFERROR(+VLOOKUP(A77,'TB2019-20'!$A$12:$C$414,2,0),0)</f>
        <v>0</v>
      </c>
      <c r="L77" s="7"/>
      <c r="M77" s="7">
        <f t="shared" ref="M77" si="13">+K77+L77</f>
        <v>0</v>
      </c>
      <c r="N77" s="7">
        <f>+IFERROR(+VLOOKUP(A77,'TB2019-20'!$A$12:$C$414,3,0),0)</f>
        <v>0</v>
      </c>
      <c r="O77" s="7"/>
      <c r="P77" s="7">
        <f t="shared" ref="P77" si="14">+N77+O77</f>
        <v>0</v>
      </c>
    </row>
    <row r="78" spans="1:16" x14ac:dyDescent="0.25">
      <c r="A78" s="8" t="s">
        <v>222</v>
      </c>
      <c r="B78" s="7">
        <v>26</v>
      </c>
      <c r="C78" s="7" t="s">
        <v>467</v>
      </c>
      <c r="D78" s="7" t="s">
        <v>493</v>
      </c>
      <c r="E78" s="7">
        <f>+IFERROR(+VLOOKUP(A78,'Trial Balance'!$A$12:$C$428,2,0),0)</f>
        <v>31846</v>
      </c>
      <c r="F78" s="7"/>
      <c r="G78" s="7">
        <f t="shared" si="7"/>
        <v>31846</v>
      </c>
      <c r="H78" s="7">
        <f>+IFERROR(+VLOOKUP(A78,'Trial Balance'!$A$12:$C$428,3,0),0)</f>
        <v>0</v>
      </c>
      <c r="I78" s="7"/>
      <c r="J78" s="7">
        <f t="shared" si="8"/>
        <v>0</v>
      </c>
      <c r="K78" s="7">
        <f>+IFERROR(+VLOOKUP(A78,'TB2019-20'!$A$12:$C$414,2,0),0)</f>
        <v>0</v>
      </c>
      <c r="L78" s="7"/>
      <c r="M78" s="7">
        <f t="shared" si="9"/>
        <v>0</v>
      </c>
      <c r="N78" s="7">
        <f>+IFERROR(+VLOOKUP(A78,'TB2019-20'!$A$12:$C$414,3,0),0)</f>
        <v>0</v>
      </c>
      <c r="O78" s="7"/>
      <c r="P78" s="7">
        <f t="shared" si="10"/>
        <v>0</v>
      </c>
    </row>
    <row r="79" spans="1:16" x14ac:dyDescent="0.25">
      <c r="A79" s="8" t="s">
        <v>1377</v>
      </c>
      <c r="B79" s="7">
        <v>26</v>
      </c>
      <c r="C79" s="7" t="s">
        <v>467</v>
      </c>
      <c r="D79" s="7" t="s">
        <v>493</v>
      </c>
      <c r="E79" s="7">
        <f>+IFERROR(+VLOOKUP(A79,'Trial Balance'!$A$12:$C$428,2,0),0)</f>
        <v>0</v>
      </c>
      <c r="F79" s="7"/>
      <c r="G79" s="7">
        <f t="shared" si="7"/>
        <v>0</v>
      </c>
      <c r="H79" s="7">
        <f>+IFERROR(+VLOOKUP(A79,'Trial Balance'!$A$12:$C$428,3,0),0)</f>
        <v>0</v>
      </c>
      <c r="I79" s="7"/>
      <c r="J79" s="7">
        <f t="shared" si="8"/>
        <v>0</v>
      </c>
      <c r="K79" s="7">
        <f>+IFERROR(+VLOOKUP(A79,'TB2019-20'!$A$12:$C$414,2,0),0)</f>
        <v>0</v>
      </c>
      <c r="L79" s="7"/>
      <c r="M79" s="7">
        <f t="shared" ref="M79" si="15">+K79+L79</f>
        <v>0</v>
      </c>
      <c r="N79" s="7">
        <f>+IFERROR(+VLOOKUP(A79,'TB2019-20'!$A$12:$C$414,3,0),0)</f>
        <v>0</v>
      </c>
      <c r="O79" s="7"/>
      <c r="P79" s="7">
        <f t="shared" ref="P79" si="16">+N79+O79</f>
        <v>0</v>
      </c>
    </row>
    <row r="80" spans="1:16" x14ac:dyDescent="0.25">
      <c r="A80" s="7" t="s">
        <v>27</v>
      </c>
      <c r="B80" s="7">
        <v>26</v>
      </c>
      <c r="C80" s="7" t="s">
        <v>467</v>
      </c>
      <c r="D80" s="7" t="s">
        <v>493</v>
      </c>
      <c r="E80" s="7">
        <f>+IFERROR(+VLOOKUP(A80,'Trial Balance'!$A$12:$C$428,2,0),0)</f>
        <v>19000</v>
      </c>
      <c r="F80" s="7"/>
      <c r="G80" s="7">
        <f t="shared" si="7"/>
        <v>19000</v>
      </c>
      <c r="H80" s="7">
        <f>+IFERROR(+VLOOKUP(A80,'Trial Balance'!$A$12:$C$428,3,0),0)</f>
        <v>0</v>
      </c>
      <c r="I80" s="7"/>
      <c r="J80" s="7">
        <f t="shared" si="8"/>
        <v>0</v>
      </c>
      <c r="K80" s="7">
        <f>+IFERROR(+VLOOKUP(A80,'TB2019-20'!$A$12:$C$414,2,0),0)</f>
        <v>9000</v>
      </c>
      <c r="L80" s="7"/>
      <c r="M80" s="7">
        <f t="shared" si="9"/>
        <v>9000</v>
      </c>
      <c r="N80" s="7">
        <f>+IFERROR(+VLOOKUP(A80,'TB2019-20'!$A$12:$C$414,3,0),0)</f>
        <v>0</v>
      </c>
      <c r="O80" s="7"/>
      <c r="P80" s="7">
        <f t="shared" si="10"/>
        <v>0</v>
      </c>
    </row>
    <row r="81" spans="1:16" x14ac:dyDescent="0.25">
      <c r="A81" s="7" t="s">
        <v>28</v>
      </c>
      <c r="B81" s="7">
        <v>26</v>
      </c>
      <c r="C81" s="7" t="s">
        <v>467</v>
      </c>
      <c r="D81" s="7" t="s">
        <v>494</v>
      </c>
      <c r="E81" s="7">
        <f>+IFERROR(+VLOOKUP(A81,'Trial Balance'!$A$12:$C$428,2,0),0)</f>
        <v>9000</v>
      </c>
      <c r="F81" s="7"/>
      <c r="G81" s="7">
        <f t="shared" si="7"/>
        <v>9000</v>
      </c>
      <c r="H81" s="7">
        <f>+IFERROR(+VLOOKUP(A81,'Trial Balance'!$A$12:$C$428,3,0),0)</f>
        <v>0</v>
      </c>
      <c r="I81" s="7"/>
      <c r="J81" s="7">
        <f t="shared" si="8"/>
        <v>0</v>
      </c>
      <c r="K81" s="7">
        <f>+IFERROR(+VLOOKUP(A81,'TB2019-20'!$A$12:$C$414,2,0),0)</f>
        <v>64000</v>
      </c>
      <c r="L81" s="7"/>
      <c r="M81" s="7">
        <f t="shared" si="9"/>
        <v>64000</v>
      </c>
      <c r="N81" s="7">
        <f>+IFERROR(+VLOOKUP(A81,'TB2019-20'!$A$12:$C$414,3,0),0)</f>
        <v>0</v>
      </c>
      <c r="O81" s="7"/>
      <c r="P81" s="7">
        <f t="shared" si="10"/>
        <v>0</v>
      </c>
    </row>
    <row r="82" spans="1:16" x14ac:dyDescent="0.25">
      <c r="A82" s="8" t="s">
        <v>495</v>
      </c>
      <c r="B82" s="7">
        <v>26</v>
      </c>
      <c r="C82" s="7" t="s">
        <v>467</v>
      </c>
      <c r="D82" s="7" t="s">
        <v>494</v>
      </c>
      <c r="E82" s="7">
        <f>+IFERROR(+VLOOKUP(A82,'Trial Balance'!$A$12:$C$428,2,0),0)</f>
        <v>0</v>
      </c>
      <c r="F82" s="7"/>
      <c r="G82" s="7">
        <f t="shared" si="7"/>
        <v>0</v>
      </c>
      <c r="H82" s="7">
        <f>+IFERROR(+VLOOKUP(A82,'Trial Balance'!$A$12:$C$428,3,0),0)</f>
        <v>0</v>
      </c>
      <c r="I82" s="7"/>
      <c r="J82" s="7">
        <f t="shared" si="8"/>
        <v>0</v>
      </c>
      <c r="K82" s="7">
        <f>+IFERROR(+VLOOKUP(A82,'TB2019-20'!$A$12:$C$414,2,0),0)</f>
        <v>0</v>
      </c>
      <c r="L82" s="7"/>
      <c r="M82" s="7">
        <f t="shared" si="9"/>
        <v>0</v>
      </c>
      <c r="N82" s="7">
        <f>+IFERROR(+VLOOKUP(A82,'TB2019-20'!$A$12:$C$414,3,0),0)</f>
        <v>0</v>
      </c>
      <c r="O82" s="7"/>
      <c r="P82" s="7">
        <f t="shared" si="10"/>
        <v>0</v>
      </c>
    </row>
    <row r="83" spans="1:16" x14ac:dyDescent="0.25">
      <c r="A83" s="10" t="s">
        <v>496</v>
      </c>
      <c r="B83" s="7">
        <v>8</v>
      </c>
      <c r="C83" s="7" t="s">
        <v>497</v>
      </c>
      <c r="D83" s="7" t="s">
        <v>498</v>
      </c>
      <c r="E83" s="7">
        <f>+IFERROR(+VLOOKUP(A83,'Trial Balance'!$A$12:$C$428,2,0),0)</f>
        <v>0</v>
      </c>
      <c r="F83" s="7"/>
      <c r="G83" s="7">
        <f t="shared" si="7"/>
        <v>0</v>
      </c>
      <c r="H83" s="7">
        <f>+IFERROR(+VLOOKUP(A83,'Trial Balance'!$A$12:$C$428,3,0),0)</f>
        <v>0</v>
      </c>
      <c r="I83" s="7"/>
      <c r="J83" s="7">
        <f t="shared" si="8"/>
        <v>0</v>
      </c>
      <c r="K83" s="7">
        <f>+IFERROR(+VLOOKUP(A83,'TB2019-20'!$A$12:$C$414,2,0),0)</f>
        <v>0</v>
      </c>
      <c r="L83" s="7"/>
      <c r="M83" s="7">
        <f t="shared" si="9"/>
        <v>0</v>
      </c>
      <c r="N83" s="7">
        <f>+IFERROR(+VLOOKUP(A83,'TB2019-20'!$A$12:$C$414,3,0),0)</f>
        <v>0</v>
      </c>
      <c r="O83" s="7"/>
      <c r="P83" s="7">
        <f t="shared" si="10"/>
        <v>0</v>
      </c>
    </row>
    <row r="84" spans="1:16" x14ac:dyDescent="0.25">
      <c r="A84" s="8" t="s">
        <v>174</v>
      </c>
      <c r="B84" s="7">
        <v>8</v>
      </c>
      <c r="C84" s="7" t="s">
        <v>497</v>
      </c>
      <c r="D84" s="7" t="s">
        <v>498</v>
      </c>
      <c r="E84" s="7">
        <f>+IFERROR(+VLOOKUP(A84,'Trial Balance'!$A$12:$C$428,2,0),0)</f>
        <v>0</v>
      </c>
      <c r="F84" s="7"/>
      <c r="G84" s="7">
        <f t="shared" si="7"/>
        <v>0</v>
      </c>
      <c r="H84" s="7">
        <f>+IFERROR(+VLOOKUP(A84,'Trial Balance'!$A$12:$C$428,3,0),0)</f>
        <v>0</v>
      </c>
      <c r="I84" s="7"/>
      <c r="J84" s="7">
        <f t="shared" si="8"/>
        <v>0</v>
      </c>
      <c r="K84" s="7">
        <f>+IFERROR(+VLOOKUP(A84,'TB2019-20'!$A$12:$C$414,2,0),0)</f>
        <v>0</v>
      </c>
      <c r="L84" s="7"/>
      <c r="M84" s="7">
        <f t="shared" si="9"/>
        <v>0</v>
      </c>
      <c r="N84" s="7">
        <f>+IFERROR(+VLOOKUP(A84,'TB2019-20'!$A$12:$C$414,3,0),0)</f>
        <v>0</v>
      </c>
      <c r="O84" s="7"/>
      <c r="P84" s="7">
        <f t="shared" si="10"/>
        <v>0</v>
      </c>
    </row>
    <row r="85" spans="1:16" x14ac:dyDescent="0.25">
      <c r="A85" s="8" t="s">
        <v>499</v>
      </c>
      <c r="B85" s="7">
        <v>17</v>
      </c>
      <c r="C85" s="7" t="s">
        <v>474</v>
      </c>
      <c r="D85" s="7" t="s">
        <v>475</v>
      </c>
      <c r="E85" s="7">
        <f>+IFERROR(+VLOOKUP(A85,'Trial Balance'!$A$12:$C$428,2,0),0)</f>
        <v>0</v>
      </c>
      <c r="F85" s="7"/>
      <c r="G85" s="7">
        <f t="shared" si="7"/>
        <v>0</v>
      </c>
      <c r="H85" s="7">
        <f>+IFERROR(+VLOOKUP(A85,'Trial Balance'!$A$12:$C$428,3,0),0)</f>
        <v>0</v>
      </c>
      <c r="I85" s="7"/>
      <c r="J85" s="7">
        <f t="shared" si="8"/>
        <v>0</v>
      </c>
      <c r="K85" s="7">
        <f>+IFERROR(+VLOOKUP(A85,'TB2019-20'!$A$12:$C$414,2,0),0)</f>
        <v>0</v>
      </c>
      <c r="L85" s="7"/>
      <c r="M85" s="7">
        <f t="shared" si="9"/>
        <v>0</v>
      </c>
      <c r="N85" s="7">
        <f>+IFERROR(+VLOOKUP(A85,'TB2019-20'!$A$12:$C$414,3,0),0)</f>
        <v>0</v>
      </c>
      <c r="O85" s="7"/>
      <c r="P85" s="7">
        <f t="shared" si="10"/>
        <v>0</v>
      </c>
    </row>
    <row r="86" spans="1:16" x14ac:dyDescent="0.25">
      <c r="A86" s="8" t="s">
        <v>500</v>
      </c>
      <c r="B86" s="7">
        <v>15</v>
      </c>
      <c r="C86" s="7" t="s">
        <v>469</v>
      </c>
      <c r="D86" s="7" t="s">
        <v>470</v>
      </c>
      <c r="E86" s="7">
        <f>+IFERROR(+VLOOKUP(A86,'Trial Balance'!$A$12:$C$428,2,0),0)</f>
        <v>0</v>
      </c>
      <c r="F86" s="7"/>
      <c r="G86" s="7">
        <f t="shared" si="7"/>
        <v>0</v>
      </c>
      <c r="H86" s="7">
        <f>+IFERROR(+VLOOKUP(A86,'Trial Balance'!$A$12:$C$428,3,0),0)</f>
        <v>0</v>
      </c>
      <c r="I86" s="7"/>
      <c r="J86" s="7">
        <f t="shared" si="8"/>
        <v>0</v>
      </c>
      <c r="K86" s="7">
        <f>+IFERROR(+VLOOKUP(A86,'TB2019-20'!$A$12:$C$414,2,0),0)</f>
        <v>0</v>
      </c>
      <c r="L86" s="7"/>
      <c r="M86" s="7">
        <f t="shared" si="9"/>
        <v>0</v>
      </c>
      <c r="N86" s="7">
        <f>+IFERROR(+VLOOKUP(A86,'TB2019-20'!$A$12:$C$414,3,0),0)</f>
        <v>0</v>
      </c>
      <c r="O86" s="7"/>
      <c r="P86" s="7">
        <f t="shared" si="10"/>
        <v>0</v>
      </c>
    </row>
    <row r="87" spans="1:16" x14ac:dyDescent="0.25">
      <c r="A87" s="7" t="s">
        <v>501</v>
      </c>
      <c r="B87" s="7">
        <v>15</v>
      </c>
      <c r="C87" s="7" t="s">
        <v>469</v>
      </c>
      <c r="D87" s="7" t="s">
        <v>470</v>
      </c>
      <c r="E87" s="7">
        <f>+IFERROR(+VLOOKUP(A87,'Trial Balance'!$A$12:$C$428,2,0),0)</f>
        <v>0</v>
      </c>
      <c r="F87" s="7"/>
      <c r="G87" s="7">
        <f t="shared" si="7"/>
        <v>0</v>
      </c>
      <c r="H87" s="7">
        <f>+IFERROR(+VLOOKUP(A87,'Trial Balance'!$A$12:$C$428,3,0),0)</f>
        <v>0</v>
      </c>
      <c r="I87" s="7"/>
      <c r="J87" s="7">
        <f t="shared" si="8"/>
        <v>0</v>
      </c>
      <c r="K87" s="7">
        <f>+IFERROR(+VLOOKUP(A87,'TB2019-20'!$A$12:$C$414,2,0),0)</f>
        <v>0</v>
      </c>
      <c r="L87" s="7"/>
      <c r="M87" s="7">
        <f t="shared" si="9"/>
        <v>0</v>
      </c>
      <c r="N87" s="7">
        <f>+IFERROR(+VLOOKUP(A87,'TB2019-20'!$A$12:$C$414,3,0),0)</f>
        <v>0</v>
      </c>
      <c r="O87" s="7"/>
      <c r="P87" s="7">
        <f t="shared" si="10"/>
        <v>0</v>
      </c>
    </row>
    <row r="88" spans="1:16" x14ac:dyDescent="0.25">
      <c r="A88" s="7" t="s">
        <v>502</v>
      </c>
      <c r="B88" s="7">
        <v>7</v>
      </c>
      <c r="C88" s="7" t="s">
        <v>460</v>
      </c>
      <c r="D88" s="7" t="s">
        <v>460</v>
      </c>
      <c r="E88" s="7">
        <f>+IFERROR(+VLOOKUP(A88,'Trial Balance'!$A$12:$C$428,2,0),0)</f>
        <v>0</v>
      </c>
      <c r="F88" s="7"/>
      <c r="G88" s="7">
        <f t="shared" si="7"/>
        <v>0</v>
      </c>
      <c r="H88" s="7">
        <f>+IFERROR(+VLOOKUP(A88,'Trial Balance'!$A$12:$C$428,3,0),0)</f>
        <v>0</v>
      </c>
      <c r="I88" s="7"/>
      <c r="J88" s="7">
        <f t="shared" si="8"/>
        <v>0</v>
      </c>
      <c r="K88" s="7">
        <f>+IFERROR(+VLOOKUP(A88,'TB2019-20'!$A$12:$C$414,2,0),0)</f>
        <v>0</v>
      </c>
      <c r="L88" s="7"/>
      <c r="M88" s="7">
        <f t="shared" si="9"/>
        <v>0</v>
      </c>
      <c r="N88" s="7">
        <f>+IFERROR(+VLOOKUP(A88,'TB2019-20'!$A$12:$C$414,3,0),0)</f>
        <v>0</v>
      </c>
      <c r="O88" s="7"/>
      <c r="P88" s="7">
        <f t="shared" si="10"/>
        <v>0</v>
      </c>
    </row>
    <row r="89" spans="1:16" x14ac:dyDescent="0.25">
      <c r="A89" s="6" t="s">
        <v>503</v>
      </c>
      <c r="B89" s="7">
        <v>7</v>
      </c>
      <c r="C89" s="7" t="s">
        <v>460</v>
      </c>
      <c r="D89" s="7" t="s">
        <v>462</v>
      </c>
      <c r="E89" s="7">
        <f>+IFERROR(+VLOOKUP(A89,'Trial Balance'!$A$12:$C$428,2,0),0)</f>
        <v>0</v>
      </c>
      <c r="F89" s="7"/>
      <c r="G89" s="7">
        <f t="shared" si="7"/>
        <v>0</v>
      </c>
      <c r="H89" s="7">
        <f>+IFERROR(+VLOOKUP(A89,'Trial Balance'!$A$12:$C$428,3,0),0)</f>
        <v>0</v>
      </c>
      <c r="I89" s="7"/>
      <c r="J89" s="7">
        <f t="shared" si="8"/>
        <v>0</v>
      </c>
      <c r="K89" s="7">
        <f>+IFERROR(+VLOOKUP(A89,'TB2019-20'!$A$12:$C$414,2,0),0)</f>
        <v>0</v>
      </c>
      <c r="L89" s="7"/>
      <c r="M89" s="7">
        <f t="shared" si="9"/>
        <v>0</v>
      </c>
      <c r="N89" s="7">
        <f>+IFERROR(+VLOOKUP(A89,'TB2019-20'!$A$12:$C$414,3,0),0)</f>
        <v>46846</v>
      </c>
      <c r="O89" s="7"/>
      <c r="P89" s="7">
        <f t="shared" si="10"/>
        <v>46846</v>
      </c>
    </row>
    <row r="90" spans="1:16" x14ac:dyDescent="0.25">
      <c r="A90" s="7" t="s">
        <v>504</v>
      </c>
      <c r="B90" s="7">
        <v>20</v>
      </c>
      <c r="C90" s="7" t="s">
        <v>266</v>
      </c>
      <c r="D90" s="7" t="s">
        <v>504</v>
      </c>
      <c r="E90" s="7">
        <f>+IFERROR(+VLOOKUP(A90,'Trial Balance'!$A$12:$C$428,2,0),0)</f>
        <v>0</v>
      </c>
      <c r="F90" s="7"/>
      <c r="G90" s="7">
        <f t="shared" si="7"/>
        <v>0</v>
      </c>
      <c r="H90" s="7">
        <f>+IFERROR(+VLOOKUP(A90,'Trial Balance'!$A$12:$C$428,3,0),0)</f>
        <v>0</v>
      </c>
      <c r="I90" s="7"/>
      <c r="J90" s="7">
        <f t="shared" si="8"/>
        <v>0</v>
      </c>
      <c r="K90" s="7">
        <f>+IFERROR(+VLOOKUP(A90,'TB2019-20'!$A$12:$C$414,2,0),0)</f>
        <v>0</v>
      </c>
      <c r="L90" s="7"/>
      <c r="M90" s="7">
        <f t="shared" si="9"/>
        <v>0</v>
      </c>
      <c r="N90" s="7">
        <f>+IFERROR(+VLOOKUP(A90,'TB2019-20'!$A$12:$C$414,3,0),0)</f>
        <v>6442</v>
      </c>
      <c r="O90" s="7"/>
      <c r="P90" s="7">
        <f t="shared" si="10"/>
        <v>6442</v>
      </c>
    </row>
    <row r="91" spans="1:16" x14ac:dyDescent="0.25">
      <c r="A91" s="6" t="s">
        <v>505</v>
      </c>
      <c r="B91" s="7">
        <v>7</v>
      </c>
      <c r="C91" s="7" t="s">
        <v>460</v>
      </c>
      <c r="D91" s="7" t="s">
        <v>460</v>
      </c>
      <c r="E91" s="7">
        <f>+IFERROR(+VLOOKUP(A91,'Trial Balance'!$A$12:$C$428,2,0),0)</f>
        <v>0</v>
      </c>
      <c r="F91" s="7"/>
      <c r="G91" s="7">
        <f t="shared" si="7"/>
        <v>0</v>
      </c>
      <c r="H91" s="7">
        <f>+IFERROR(+VLOOKUP(A91,'Trial Balance'!$A$12:$C$428,3,0),0)</f>
        <v>0</v>
      </c>
      <c r="I91" s="7"/>
      <c r="J91" s="7">
        <f t="shared" si="8"/>
        <v>0</v>
      </c>
      <c r="K91" s="7">
        <f>+IFERROR(+VLOOKUP(A91,'TB2019-20'!$A$12:$C$414,2,0),0)</f>
        <v>0</v>
      </c>
      <c r="L91" s="7"/>
      <c r="M91" s="7">
        <f t="shared" si="9"/>
        <v>0</v>
      </c>
      <c r="N91" s="7">
        <f>+IFERROR(+VLOOKUP(A91,'TB2019-20'!$A$12:$C$414,3,0),0)</f>
        <v>0</v>
      </c>
      <c r="O91" s="7"/>
      <c r="P91" s="7">
        <f t="shared" si="10"/>
        <v>0</v>
      </c>
    </row>
    <row r="92" spans="1:16" x14ac:dyDescent="0.25">
      <c r="A92" s="7" t="s">
        <v>506</v>
      </c>
      <c r="B92" s="7">
        <v>26</v>
      </c>
      <c r="C92" s="7" t="s">
        <v>467</v>
      </c>
      <c r="D92" s="7" t="s">
        <v>507</v>
      </c>
      <c r="E92" s="7">
        <f>+IFERROR(+VLOOKUP(A92,'Trial Balance'!$A$12:$C$428,2,0),0)</f>
        <v>0</v>
      </c>
      <c r="F92" s="7"/>
      <c r="G92" s="7">
        <f t="shared" si="7"/>
        <v>0</v>
      </c>
      <c r="H92" s="7">
        <f>+IFERROR(+VLOOKUP(A92,'Trial Balance'!$A$12:$C$428,3,0),0)</f>
        <v>0</v>
      </c>
      <c r="I92" s="7"/>
      <c r="J92" s="7">
        <f t="shared" si="8"/>
        <v>0</v>
      </c>
      <c r="K92" s="7">
        <f>+IFERROR(+VLOOKUP(A92,'TB2019-20'!$A$12:$C$414,2,0),0)</f>
        <v>3827</v>
      </c>
      <c r="L92" s="7"/>
      <c r="M92" s="7">
        <f t="shared" si="9"/>
        <v>3827</v>
      </c>
      <c r="N92" s="7">
        <f>+IFERROR(+VLOOKUP(A92,'TB2019-20'!$A$12:$C$414,3,0),0)</f>
        <v>0</v>
      </c>
      <c r="O92" s="7"/>
      <c r="P92" s="7">
        <f t="shared" si="10"/>
        <v>0</v>
      </c>
    </row>
    <row r="93" spans="1:16" x14ac:dyDescent="0.25">
      <c r="A93" s="8" t="s">
        <v>30</v>
      </c>
      <c r="B93" s="7">
        <v>26</v>
      </c>
      <c r="C93" s="7" t="s">
        <v>467</v>
      </c>
      <c r="D93" s="7" t="s">
        <v>507</v>
      </c>
      <c r="E93" s="7">
        <f>+IFERROR(+VLOOKUP(A93,'Trial Balance'!$A$12:$C$428,2,0),0)</f>
        <v>4000</v>
      </c>
      <c r="F93" s="7"/>
      <c r="G93" s="7">
        <f t="shared" si="7"/>
        <v>4000</v>
      </c>
      <c r="H93" s="7">
        <f>+IFERROR(+VLOOKUP(A93,'Trial Balance'!$A$12:$C$428,3,0),0)</f>
        <v>0</v>
      </c>
      <c r="I93" s="7"/>
      <c r="J93" s="7">
        <f t="shared" si="8"/>
        <v>0</v>
      </c>
      <c r="K93" s="7">
        <f>+IFERROR(+VLOOKUP(A93,'TB2019-20'!$A$12:$C$414,2,0),0)</f>
        <v>0</v>
      </c>
      <c r="L93" s="7"/>
      <c r="M93" s="7">
        <f t="shared" si="9"/>
        <v>0</v>
      </c>
      <c r="N93" s="7">
        <f>+IFERROR(+VLOOKUP(A93,'TB2019-20'!$A$12:$C$414,3,0),0)</f>
        <v>0</v>
      </c>
      <c r="O93" s="7"/>
      <c r="P93" s="7">
        <f t="shared" si="10"/>
        <v>0</v>
      </c>
    </row>
    <row r="94" spans="1:16" x14ac:dyDescent="0.25">
      <c r="A94" s="6" t="s">
        <v>508</v>
      </c>
      <c r="B94" s="7">
        <v>26</v>
      </c>
      <c r="C94" s="7" t="s">
        <v>467</v>
      </c>
      <c r="D94" s="7" t="s">
        <v>507</v>
      </c>
      <c r="E94" s="7">
        <f>+IFERROR(+VLOOKUP(A94,'Trial Balance'!$A$12:$C$428,2,0),0)</f>
        <v>0</v>
      </c>
      <c r="F94" s="7"/>
      <c r="G94" s="7">
        <f t="shared" si="7"/>
        <v>0</v>
      </c>
      <c r="H94" s="7">
        <f>+IFERROR(+VLOOKUP(A94,'Trial Balance'!$A$12:$C$428,3,0),0)</f>
        <v>0</v>
      </c>
      <c r="I94" s="7"/>
      <c r="J94" s="7">
        <f t="shared" si="8"/>
        <v>0</v>
      </c>
      <c r="K94" s="7">
        <f>+IFERROR(+VLOOKUP(A94,'TB2019-20'!$A$12:$C$414,2,0),0)</f>
        <v>7719</v>
      </c>
      <c r="L94" s="7"/>
      <c r="M94" s="7">
        <f t="shared" si="9"/>
        <v>7719</v>
      </c>
      <c r="N94" s="7">
        <f>+IFERROR(+VLOOKUP(A94,'TB2019-20'!$A$12:$C$414,3,0),0)</f>
        <v>0</v>
      </c>
      <c r="O94" s="7"/>
      <c r="P94" s="7">
        <f t="shared" si="10"/>
        <v>0</v>
      </c>
    </row>
    <row r="95" spans="1:16" x14ac:dyDescent="0.25">
      <c r="A95" s="8" t="s">
        <v>509</v>
      </c>
      <c r="B95" s="7">
        <v>26</v>
      </c>
      <c r="C95" s="7" t="s">
        <v>467</v>
      </c>
      <c r="D95" s="7" t="s">
        <v>507</v>
      </c>
      <c r="E95" s="7">
        <f>+IFERROR(+VLOOKUP(A95,'Trial Balance'!$A$12:$C$428,2,0),0)</f>
        <v>0</v>
      </c>
      <c r="F95" s="7"/>
      <c r="G95" s="7">
        <f t="shared" si="7"/>
        <v>0</v>
      </c>
      <c r="H95" s="7">
        <f>+IFERROR(+VLOOKUP(A95,'Trial Balance'!$A$12:$C$428,3,0),0)</f>
        <v>0</v>
      </c>
      <c r="I95" s="7"/>
      <c r="J95" s="7">
        <f t="shared" si="8"/>
        <v>0</v>
      </c>
      <c r="K95" s="7">
        <f>+IFERROR(+VLOOKUP(A95,'TB2019-20'!$A$12:$C$414,2,0),0)</f>
        <v>0</v>
      </c>
      <c r="L95" s="7"/>
      <c r="M95" s="7">
        <f t="shared" si="9"/>
        <v>0</v>
      </c>
      <c r="N95" s="7">
        <f>+IFERROR(+VLOOKUP(A95,'TB2019-20'!$A$12:$C$414,3,0),0)</f>
        <v>0</v>
      </c>
      <c r="O95" s="7"/>
      <c r="P95" s="7">
        <f t="shared" si="10"/>
        <v>0</v>
      </c>
    </row>
    <row r="96" spans="1:16" x14ac:dyDescent="0.25">
      <c r="A96" s="10" t="s">
        <v>510</v>
      </c>
      <c r="B96" s="7">
        <v>7</v>
      </c>
      <c r="C96" s="7" t="s">
        <v>460</v>
      </c>
      <c r="D96" s="7" t="s">
        <v>462</v>
      </c>
      <c r="E96" s="7">
        <f>+IFERROR(+VLOOKUP(A96,'Trial Balance'!$A$12:$C$428,2,0),0)</f>
        <v>0</v>
      </c>
      <c r="F96" s="7"/>
      <c r="G96" s="7">
        <f t="shared" si="7"/>
        <v>0</v>
      </c>
      <c r="H96" s="7">
        <f>+IFERROR(+VLOOKUP(A96,'Trial Balance'!$A$12:$C$428,3,0),0)</f>
        <v>0</v>
      </c>
      <c r="I96" s="7"/>
      <c r="J96" s="7">
        <f t="shared" si="8"/>
        <v>0</v>
      </c>
      <c r="K96" s="7">
        <f>+IFERROR(+VLOOKUP(A96,'TB2019-20'!$A$12:$C$414,2,0),0)</f>
        <v>0</v>
      </c>
      <c r="L96" s="7"/>
      <c r="M96" s="7">
        <f t="shared" si="9"/>
        <v>0</v>
      </c>
      <c r="N96" s="7">
        <f>+IFERROR(+VLOOKUP(A96,'TB2019-20'!$A$12:$C$414,3,0),0)</f>
        <v>243500</v>
      </c>
      <c r="O96" s="7"/>
      <c r="P96" s="7">
        <f t="shared" si="10"/>
        <v>243500</v>
      </c>
    </row>
    <row r="97" spans="1:16" x14ac:dyDescent="0.25">
      <c r="A97" s="8" t="s">
        <v>202</v>
      </c>
      <c r="B97" s="7">
        <v>7</v>
      </c>
      <c r="C97" s="7" t="s">
        <v>460</v>
      </c>
      <c r="D97" s="7" t="s">
        <v>462</v>
      </c>
      <c r="E97" s="7">
        <f>+IFERROR(+VLOOKUP(A97,'Trial Balance'!$A$12:$C$428,2,0),0)</f>
        <v>36037</v>
      </c>
      <c r="F97" s="7"/>
      <c r="G97" s="7">
        <f t="shared" si="7"/>
        <v>36037</v>
      </c>
      <c r="H97" s="7">
        <f>+IFERROR(+VLOOKUP(A97,'Trial Balance'!$A$12:$C$428,3,0),0)</f>
        <v>0</v>
      </c>
      <c r="I97" s="7"/>
      <c r="J97" s="7">
        <f t="shared" si="8"/>
        <v>0</v>
      </c>
      <c r="K97" s="7">
        <f>+IFERROR(+VLOOKUP(A97,'TB2019-20'!$A$12:$C$414,2,0),0)</f>
        <v>0</v>
      </c>
      <c r="L97" s="7"/>
      <c r="M97" s="7">
        <f t="shared" si="9"/>
        <v>0</v>
      </c>
      <c r="N97" s="7">
        <f>+IFERROR(+VLOOKUP(A97,'TB2019-20'!$A$12:$C$414,3,0),0)</f>
        <v>0</v>
      </c>
      <c r="O97" s="7"/>
      <c r="P97" s="7">
        <f t="shared" si="10"/>
        <v>0</v>
      </c>
    </row>
    <row r="98" spans="1:16" x14ac:dyDescent="0.25">
      <c r="A98" s="8" t="s">
        <v>511</v>
      </c>
      <c r="B98" s="7">
        <v>7</v>
      </c>
      <c r="C98" s="7" t="s">
        <v>460</v>
      </c>
      <c r="D98" s="7" t="s">
        <v>462</v>
      </c>
      <c r="E98" s="7">
        <f>+IFERROR(+VLOOKUP(A98,'Trial Balance'!$A$12:$C$428,2,0),0)</f>
        <v>0</v>
      </c>
      <c r="F98" s="7"/>
      <c r="G98" s="7">
        <f t="shared" si="7"/>
        <v>0</v>
      </c>
      <c r="H98" s="7">
        <f>+IFERROR(+VLOOKUP(A98,'Trial Balance'!$A$12:$C$428,3,0),0)</f>
        <v>0</v>
      </c>
      <c r="I98" s="7"/>
      <c r="J98" s="7">
        <f t="shared" si="8"/>
        <v>0</v>
      </c>
      <c r="K98" s="7">
        <f>+IFERROR(+VLOOKUP(A98,'TB2019-20'!$A$12:$C$414,2,0),0)</f>
        <v>0</v>
      </c>
      <c r="L98" s="7"/>
      <c r="M98" s="7">
        <f t="shared" si="9"/>
        <v>0</v>
      </c>
      <c r="N98" s="7">
        <f>+IFERROR(+VLOOKUP(A98,'TB2019-20'!$A$12:$C$414,3,0),0)</f>
        <v>0</v>
      </c>
      <c r="O98" s="7"/>
      <c r="P98" s="7">
        <f t="shared" si="10"/>
        <v>0</v>
      </c>
    </row>
    <row r="99" spans="1:16" x14ac:dyDescent="0.25">
      <c r="A99" s="8" t="s">
        <v>512</v>
      </c>
      <c r="B99" s="7">
        <v>7</v>
      </c>
      <c r="C99" s="7" t="s">
        <v>460</v>
      </c>
      <c r="D99" s="7" t="s">
        <v>462</v>
      </c>
      <c r="E99" s="7">
        <f>+IFERROR(+VLOOKUP(A99,'Trial Balance'!$A$12:$C$428,2,0),0)</f>
        <v>0</v>
      </c>
      <c r="F99" s="7"/>
      <c r="G99" s="7">
        <f t="shared" si="7"/>
        <v>0</v>
      </c>
      <c r="H99" s="7">
        <f>+IFERROR(+VLOOKUP(A99,'Trial Balance'!$A$12:$C$428,3,0),0)</f>
        <v>0</v>
      </c>
      <c r="I99" s="7"/>
      <c r="J99" s="7">
        <f t="shared" si="8"/>
        <v>0</v>
      </c>
      <c r="K99" s="7">
        <f>+IFERROR(+VLOOKUP(A99,'TB2019-20'!$A$12:$C$414,2,0),0)</f>
        <v>0</v>
      </c>
      <c r="L99" s="7"/>
      <c r="M99" s="7">
        <f t="shared" si="9"/>
        <v>0</v>
      </c>
      <c r="N99" s="7">
        <f>+IFERROR(+VLOOKUP(A99,'TB2019-20'!$A$12:$C$414,3,0),0)</f>
        <v>0</v>
      </c>
      <c r="O99" s="7"/>
      <c r="P99" s="7">
        <f t="shared" si="10"/>
        <v>0</v>
      </c>
    </row>
    <row r="100" spans="1:16" x14ac:dyDescent="0.25">
      <c r="A100" s="8" t="s">
        <v>513</v>
      </c>
      <c r="B100" s="7">
        <v>7</v>
      </c>
      <c r="C100" s="7" t="s">
        <v>460</v>
      </c>
      <c r="D100" s="7" t="s">
        <v>462</v>
      </c>
      <c r="E100" s="7">
        <f>+IFERROR(+VLOOKUP(A100,'Trial Balance'!$A$12:$C$428,2,0),0)</f>
        <v>0</v>
      </c>
      <c r="F100" s="7"/>
      <c r="G100" s="7">
        <f t="shared" si="7"/>
        <v>0</v>
      </c>
      <c r="H100" s="7">
        <f>+IFERROR(+VLOOKUP(A100,'Trial Balance'!$A$12:$C$428,3,0),0)</f>
        <v>0</v>
      </c>
      <c r="I100" s="7"/>
      <c r="J100" s="7">
        <f t="shared" si="8"/>
        <v>0</v>
      </c>
      <c r="K100" s="7">
        <f>+IFERROR(+VLOOKUP(A100,'TB2019-20'!$A$12:$C$414,2,0),0)</f>
        <v>0</v>
      </c>
      <c r="L100" s="7"/>
      <c r="M100" s="7">
        <f t="shared" si="9"/>
        <v>0</v>
      </c>
      <c r="N100" s="7">
        <f>+IFERROR(+VLOOKUP(A100,'TB2019-20'!$A$12:$C$414,3,0),0)</f>
        <v>0</v>
      </c>
      <c r="O100" s="7"/>
      <c r="P100" s="7">
        <f t="shared" si="10"/>
        <v>0</v>
      </c>
    </row>
    <row r="101" spans="1:16" x14ac:dyDescent="0.25">
      <c r="A101" s="8" t="s">
        <v>514</v>
      </c>
      <c r="B101" s="7">
        <v>7</v>
      </c>
      <c r="C101" s="7" t="s">
        <v>460</v>
      </c>
      <c r="D101" s="7" t="s">
        <v>462</v>
      </c>
      <c r="E101" s="7">
        <f>+IFERROR(+VLOOKUP(A101,'Trial Balance'!$A$12:$C$428,2,0),0)</f>
        <v>0</v>
      </c>
      <c r="F101" s="7"/>
      <c r="G101" s="7">
        <f t="shared" si="7"/>
        <v>0</v>
      </c>
      <c r="H101" s="7">
        <f>+IFERROR(+VLOOKUP(A101,'Trial Balance'!$A$12:$C$428,3,0),0)</f>
        <v>0</v>
      </c>
      <c r="I101" s="7"/>
      <c r="J101" s="7">
        <f t="shared" si="8"/>
        <v>0</v>
      </c>
      <c r="K101" s="7">
        <f>+IFERROR(+VLOOKUP(A101,'TB2019-20'!$A$12:$C$414,2,0),0)</f>
        <v>0</v>
      </c>
      <c r="L101" s="7"/>
      <c r="M101" s="7">
        <f t="shared" si="9"/>
        <v>0</v>
      </c>
      <c r="N101" s="7">
        <f>+IFERROR(+VLOOKUP(A101,'TB2019-20'!$A$12:$C$414,3,0),0)</f>
        <v>0</v>
      </c>
      <c r="O101" s="7"/>
      <c r="P101" s="7">
        <f t="shared" si="10"/>
        <v>0</v>
      </c>
    </row>
    <row r="102" spans="1:16" x14ac:dyDescent="0.25">
      <c r="A102" s="8" t="s">
        <v>88</v>
      </c>
      <c r="B102" s="7">
        <v>17</v>
      </c>
      <c r="C102" s="7" t="s">
        <v>474</v>
      </c>
      <c r="D102" s="7" t="s">
        <v>475</v>
      </c>
      <c r="E102" s="7">
        <f>+IFERROR(+VLOOKUP(A102,'Trial Balance'!$A$12:$C$428,2,0),0)</f>
        <v>57713</v>
      </c>
      <c r="F102" s="7"/>
      <c r="G102" s="7">
        <f t="shared" si="7"/>
        <v>57713</v>
      </c>
      <c r="H102" s="7">
        <f>+IFERROR(+VLOOKUP(A102,'Trial Balance'!$A$12:$C$428,3,0),0)</f>
        <v>0</v>
      </c>
      <c r="I102" s="7"/>
      <c r="J102" s="7">
        <f t="shared" si="8"/>
        <v>0</v>
      </c>
      <c r="K102" s="7">
        <f>+IFERROR(+VLOOKUP(A102,'TB2019-20'!$A$12:$C$414,2,0),0)</f>
        <v>0</v>
      </c>
      <c r="L102" s="7"/>
      <c r="M102" s="7">
        <f t="shared" si="9"/>
        <v>0</v>
      </c>
      <c r="N102" s="7">
        <f>+IFERROR(+VLOOKUP(A102,'TB2019-20'!$A$12:$C$414,3,0),0)</f>
        <v>0</v>
      </c>
      <c r="O102" s="7"/>
      <c r="P102" s="7">
        <f t="shared" si="10"/>
        <v>0</v>
      </c>
    </row>
    <row r="103" spans="1:16" x14ac:dyDescent="0.25">
      <c r="A103" s="8" t="s">
        <v>241</v>
      </c>
      <c r="B103" s="7">
        <v>7</v>
      </c>
      <c r="C103" s="7" t="s">
        <v>460</v>
      </c>
      <c r="D103" s="7" t="s">
        <v>462</v>
      </c>
      <c r="E103" s="7">
        <f>+IFERROR(+VLOOKUP(A103,'Trial Balance'!$A$12:$C$428,2,0),0)</f>
        <v>0</v>
      </c>
      <c r="F103" s="7"/>
      <c r="G103" s="7">
        <f t="shared" si="7"/>
        <v>0</v>
      </c>
      <c r="H103" s="7">
        <f>+IFERROR(+VLOOKUP(A103,'Trial Balance'!$A$12:$C$428,3,0),0)</f>
        <v>0</v>
      </c>
      <c r="I103" s="7"/>
      <c r="J103" s="7">
        <f t="shared" si="8"/>
        <v>0</v>
      </c>
      <c r="K103" s="7">
        <f>+IFERROR(+VLOOKUP(A103,'TB2019-20'!$A$12:$C$414,2,0),0)</f>
        <v>0</v>
      </c>
      <c r="L103" s="7"/>
      <c r="M103" s="7">
        <f t="shared" si="9"/>
        <v>0</v>
      </c>
      <c r="N103" s="7">
        <f>+IFERROR(+VLOOKUP(A103,'TB2019-20'!$A$12:$C$414,3,0),0)</f>
        <v>0</v>
      </c>
      <c r="O103" s="7"/>
      <c r="P103" s="7">
        <f t="shared" si="10"/>
        <v>0</v>
      </c>
    </row>
    <row r="104" spans="1:16" x14ac:dyDescent="0.25">
      <c r="A104" s="8" t="s">
        <v>515</v>
      </c>
      <c r="B104" s="7">
        <v>7</v>
      </c>
      <c r="C104" s="7" t="s">
        <v>460</v>
      </c>
      <c r="D104" s="7" t="s">
        <v>462</v>
      </c>
      <c r="E104" s="7">
        <f>+IFERROR(+VLOOKUP(A104,'Trial Balance'!$A$12:$C$428,2,0),0)</f>
        <v>0</v>
      </c>
      <c r="F104" s="7"/>
      <c r="G104" s="7">
        <f t="shared" si="7"/>
        <v>0</v>
      </c>
      <c r="H104" s="7">
        <f>+IFERROR(+VLOOKUP(A104,'Trial Balance'!$A$12:$C$428,3,0),0)</f>
        <v>0</v>
      </c>
      <c r="I104" s="7"/>
      <c r="J104" s="7">
        <f t="shared" si="8"/>
        <v>0</v>
      </c>
      <c r="K104" s="7">
        <f>+IFERROR(+VLOOKUP(A104,'TB2019-20'!$A$12:$C$414,2,0),0)</f>
        <v>0</v>
      </c>
      <c r="L104" s="7"/>
      <c r="M104" s="7">
        <f t="shared" si="9"/>
        <v>0</v>
      </c>
      <c r="N104" s="7">
        <f>+IFERROR(+VLOOKUP(A104,'TB2019-20'!$A$12:$C$414,3,0),0)</f>
        <v>0</v>
      </c>
      <c r="O104" s="7"/>
      <c r="P104" s="7">
        <f t="shared" si="10"/>
        <v>0</v>
      </c>
    </row>
    <row r="105" spans="1:16" x14ac:dyDescent="0.25">
      <c r="A105" s="8" t="s">
        <v>267</v>
      </c>
      <c r="B105" s="7">
        <v>20</v>
      </c>
      <c r="C105" s="7" t="s">
        <v>266</v>
      </c>
      <c r="D105" s="7" t="s">
        <v>516</v>
      </c>
      <c r="E105" s="7">
        <f>+IFERROR(+VLOOKUP(A105,'Trial Balance'!$A$12:$C$428,2,0),0)</f>
        <v>0</v>
      </c>
      <c r="F105" s="7"/>
      <c r="G105" s="7">
        <f t="shared" si="7"/>
        <v>0</v>
      </c>
      <c r="H105" s="7">
        <f>+IFERROR(+VLOOKUP(A105,'Trial Balance'!$A$12:$C$428,3,0),0)</f>
        <v>25865</v>
      </c>
      <c r="I105" s="7"/>
      <c r="J105" s="7">
        <f t="shared" si="8"/>
        <v>25865</v>
      </c>
      <c r="K105" s="7">
        <f>+IFERROR(+VLOOKUP(A105,'TB2019-20'!$A$12:$C$414,2,0),0)</f>
        <v>0</v>
      </c>
      <c r="L105" s="7"/>
      <c r="M105" s="7">
        <f t="shared" si="9"/>
        <v>0</v>
      </c>
      <c r="N105" s="7">
        <f>+IFERROR(+VLOOKUP(A105,'TB2019-20'!$A$12:$C$414,3,0),0)</f>
        <v>0</v>
      </c>
      <c r="O105" s="7"/>
      <c r="P105" s="7">
        <f t="shared" si="10"/>
        <v>0</v>
      </c>
    </row>
    <row r="106" spans="1:16" x14ac:dyDescent="0.25">
      <c r="A106" s="8" t="s">
        <v>517</v>
      </c>
      <c r="B106" s="7">
        <v>7</v>
      </c>
      <c r="C106" s="7" t="s">
        <v>460</v>
      </c>
      <c r="D106" s="7" t="s">
        <v>462</v>
      </c>
      <c r="E106" s="7">
        <f>+IFERROR(+VLOOKUP(A106,'Trial Balance'!$A$12:$C$428,2,0),0)</f>
        <v>0</v>
      </c>
      <c r="F106" s="7"/>
      <c r="G106" s="7">
        <f t="shared" si="7"/>
        <v>0</v>
      </c>
      <c r="H106" s="7">
        <f>+IFERROR(+VLOOKUP(A106,'Trial Balance'!$A$12:$C$428,3,0),0)</f>
        <v>0</v>
      </c>
      <c r="I106" s="7"/>
      <c r="J106" s="7">
        <f t="shared" si="8"/>
        <v>0</v>
      </c>
      <c r="K106" s="7">
        <f>+IFERROR(+VLOOKUP(A106,'TB2019-20'!$A$12:$C$414,2,0),0)</f>
        <v>0</v>
      </c>
      <c r="L106" s="7"/>
      <c r="M106" s="7">
        <f t="shared" si="9"/>
        <v>0</v>
      </c>
      <c r="N106" s="7">
        <f>+IFERROR(+VLOOKUP(A106,'TB2019-20'!$A$12:$C$414,3,0),0)</f>
        <v>0</v>
      </c>
      <c r="O106" s="7"/>
      <c r="P106" s="7">
        <f t="shared" si="10"/>
        <v>0</v>
      </c>
    </row>
    <row r="107" spans="1:16" x14ac:dyDescent="0.25">
      <c r="A107" s="8" t="s">
        <v>518</v>
      </c>
      <c r="B107" s="7">
        <v>7</v>
      </c>
      <c r="C107" s="7" t="s">
        <v>460</v>
      </c>
      <c r="D107" s="7" t="s">
        <v>462</v>
      </c>
      <c r="E107" s="7">
        <f>+IFERROR(+VLOOKUP(A107,'Trial Balance'!$A$12:$C$428,2,0),0)</f>
        <v>0</v>
      </c>
      <c r="F107" s="7"/>
      <c r="G107" s="7">
        <f t="shared" si="7"/>
        <v>0</v>
      </c>
      <c r="H107" s="7">
        <f>+IFERROR(+VLOOKUP(A107,'Trial Balance'!$A$12:$C$428,3,0),0)</f>
        <v>0</v>
      </c>
      <c r="I107" s="7"/>
      <c r="J107" s="7">
        <f t="shared" si="8"/>
        <v>0</v>
      </c>
      <c r="K107" s="7">
        <f>+IFERROR(+VLOOKUP(A107,'TB2019-20'!$A$12:$C$414,2,0),0)</f>
        <v>0</v>
      </c>
      <c r="L107" s="7"/>
      <c r="M107" s="7">
        <f t="shared" si="9"/>
        <v>0</v>
      </c>
      <c r="N107" s="7">
        <f>+IFERROR(+VLOOKUP(A107,'TB2019-20'!$A$12:$C$414,3,0),0)</f>
        <v>0</v>
      </c>
      <c r="O107" s="7"/>
      <c r="P107" s="7">
        <f t="shared" si="10"/>
        <v>0</v>
      </c>
    </row>
    <row r="108" spans="1:16" x14ac:dyDescent="0.25">
      <c r="A108" s="6" t="s">
        <v>519</v>
      </c>
      <c r="B108" s="6">
        <v>26</v>
      </c>
      <c r="C108" s="6" t="s">
        <v>467</v>
      </c>
      <c r="D108" s="6" t="s">
        <v>519</v>
      </c>
      <c r="E108" s="7">
        <f>+IFERROR(+VLOOKUP(A108,'Trial Balance'!$A$12:$C$428,2,0),0)</f>
        <v>0</v>
      </c>
      <c r="F108" s="7"/>
      <c r="G108" s="7">
        <f t="shared" si="7"/>
        <v>0</v>
      </c>
      <c r="H108" s="7">
        <f>+IFERROR(+VLOOKUP(A108,'Trial Balance'!$A$12:$C$428,3,0),0)</f>
        <v>0</v>
      </c>
      <c r="I108" s="7"/>
      <c r="J108" s="7">
        <f t="shared" si="8"/>
        <v>0</v>
      </c>
      <c r="K108" s="7">
        <f>+IFERROR(+VLOOKUP(A108,'TB2019-20'!$A$12:$C$414,2,0),0)</f>
        <v>2927</v>
      </c>
      <c r="L108" s="7"/>
      <c r="M108" s="7">
        <f t="shared" si="9"/>
        <v>2927</v>
      </c>
      <c r="N108" s="7">
        <f>+IFERROR(+VLOOKUP(A108,'TB2019-20'!$A$12:$C$414,3,0),0)</f>
        <v>0</v>
      </c>
      <c r="O108" s="7"/>
      <c r="P108" s="7">
        <f t="shared" si="10"/>
        <v>0</v>
      </c>
    </row>
    <row r="109" spans="1:16" x14ac:dyDescent="0.25">
      <c r="A109" s="6" t="s">
        <v>31</v>
      </c>
      <c r="B109" s="7">
        <v>7</v>
      </c>
      <c r="C109" s="7" t="s">
        <v>460</v>
      </c>
      <c r="D109" s="7" t="s">
        <v>460</v>
      </c>
      <c r="E109" s="7">
        <f>+IFERROR(+VLOOKUP(A109,'Trial Balance'!$A$12:$C$428,2,0),0)</f>
        <v>0</v>
      </c>
      <c r="F109" s="7"/>
      <c r="G109" s="7">
        <f t="shared" si="7"/>
        <v>0</v>
      </c>
      <c r="H109" s="7">
        <f>+IFERROR(+VLOOKUP(A109,'Trial Balance'!$A$12:$C$428,3,0),0)</f>
        <v>61249</v>
      </c>
      <c r="I109" s="7"/>
      <c r="J109" s="7">
        <f t="shared" si="8"/>
        <v>61249</v>
      </c>
      <c r="K109" s="7">
        <f>+IFERROR(+VLOOKUP(A109,'TB2019-20'!$A$12:$C$414,2,0),0)</f>
        <v>0</v>
      </c>
      <c r="L109" s="7"/>
      <c r="M109" s="7">
        <f t="shared" si="9"/>
        <v>0</v>
      </c>
      <c r="N109" s="7">
        <f>+IFERROR(+VLOOKUP(A109,'TB2019-20'!$A$12:$C$414,3,0),0)</f>
        <v>72103</v>
      </c>
      <c r="O109" s="7"/>
      <c r="P109" s="7">
        <f t="shared" si="10"/>
        <v>72103</v>
      </c>
    </row>
    <row r="110" spans="1:16" x14ac:dyDescent="0.25">
      <c r="A110" s="7" t="s">
        <v>32</v>
      </c>
      <c r="B110" s="7">
        <v>4</v>
      </c>
      <c r="C110" s="7" t="s">
        <v>489</v>
      </c>
      <c r="D110" s="7" t="s">
        <v>490</v>
      </c>
      <c r="E110" s="7">
        <f>+IFERROR(+VLOOKUP(A110,'Trial Balance'!$A$12:$C$428,2,0),0)</f>
        <v>0</v>
      </c>
      <c r="F110" s="7"/>
      <c r="G110" s="7">
        <f t="shared" si="7"/>
        <v>0</v>
      </c>
      <c r="H110" s="7">
        <f>+IFERROR(+VLOOKUP(A110,'Trial Balance'!$A$12:$C$428,3,0),0)</f>
        <v>1176528</v>
      </c>
      <c r="I110" s="7"/>
      <c r="J110" s="7">
        <f t="shared" si="8"/>
        <v>1176528</v>
      </c>
      <c r="K110" s="7">
        <f>+IFERROR(+VLOOKUP(A110,'TB2019-20'!$A$12:$C$414,2,0),0)</f>
        <v>0</v>
      </c>
      <c r="L110" s="7"/>
      <c r="M110" s="7">
        <f t="shared" si="9"/>
        <v>0</v>
      </c>
      <c r="N110" s="7">
        <f>+IFERROR(+VLOOKUP(A110,'TB2019-20'!$A$12:$C$414,3,0),0)</f>
        <v>1093348</v>
      </c>
      <c r="O110" s="7"/>
      <c r="P110" s="7">
        <f t="shared" si="10"/>
        <v>1093348</v>
      </c>
    </row>
    <row r="111" spans="1:16" x14ac:dyDescent="0.25">
      <c r="A111" s="7" t="s">
        <v>33</v>
      </c>
      <c r="B111" s="7">
        <v>26</v>
      </c>
      <c r="C111" s="7" t="s">
        <v>467</v>
      </c>
      <c r="D111" s="7" t="s">
        <v>520</v>
      </c>
      <c r="E111" s="7">
        <f>+IFERROR(+VLOOKUP(A111,'Trial Balance'!$A$12:$C$428,2,0),0)</f>
        <v>134911.04000000001</v>
      </c>
      <c r="F111" s="7"/>
      <c r="G111" s="7">
        <f t="shared" si="7"/>
        <v>134911.04000000001</v>
      </c>
      <c r="H111" s="7">
        <f>+IFERROR(+VLOOKUP(A111,'Trial Balance'!$A$12:$C$428,3,0),0)</f>
        <v>0</v>
      </c>
      <c r="I111" s="7"/>
      <c r="J111" s="7">
        <f t="shared" si="8"/>
        <v>0</v>
      </c>
      <c r="K111" s="1209">
        <f>+IFERROR(+VLOOKUP(A111,'TB2019-20'!$A$12:$C$414,2,0),0)</f>
        <v>475603.13</v>
      </c>
      <c r="L111" s="7">
        <v>20.5</v>
      </c>
      <c r="M111" s="7">
        <f t="shared" si="9"/>
        <v>475623.63</v>
      </c>
      <c r="N111" s="7">
        <f>+IFERROR(+VLOOKUP(A111,'TB2019-20'!$A$12:$C$414,3,0),0)</f>
        <v>0</v>
      </c>
      <c r="O111" s="7"/>
      <c r="P111" s="7">
        <f t="shared" si="10"/>
        <v>0</v>
      </c>
    </row>
    <row r="112" spans="1:16" x14ac:dyDescent="0.25">
      <c r="A112" s="7" t="s">
        <v>95</v>
      </c>
      <c r="B112" s="7">
        <v>26</v>
      </c>
      <c r="C112" s="7" t="s">
        <v>467</v>
      </c>
      <c r="D112" s="7" t="s">
        <v>905</v>
      </c>
      <c r="E112" s="7">
        <f>+IFERROR(+VLOOKUP(A112,'Trial Balance'!$A$12:$C$428,2,0),0)</f>
        <v>629000</v>
      </c>
      <c r="F112" s="7">
        <v>280877</v>
      </c>
      <c r="G112" s="7">
        <f t="shared" si="7"/>
        <v>909877</v>
      </c>
      <c r="H112" s="7">
        <f>+IFERROR(+VLOOKUP(A112,'Trial Balance'!$A$12:$C$428,3,0),0)</f>
        <v>0</v>
      </c>
      <c r="I112" s="7"/>
      <c r="J112" s="7">
        <f t="shared" si="8"/>
        <v>0</v>
      </c>
      <c r="K112" s="7">
        <f>+IFERROR(+VLOOKUP(A112,'TB2019-20'!$A$12:$C$414,2,0),0)</f>
        <v>380250</v>
      </c>
      <c r="L112" s="7"/>
      <c r="M112" s="7">
        <f t="shared" si="9"/>
        <v>380250</v>
      </c>
      <c r="N112" s="7">
        <f>+IFERROR(+VLOOKUP(A112,'TB2019-20'!$A$12:$C$414,3,0),0)</f>
        <v>0</v>
      </c>
      <c r="O112" s="7"/>
      <c r="P112" s="7">
        <f t="shared" si="10"/>
        <v>0</v>
      </c>
    </row>
    <row r="113" spans="1:16" x14ac:dyDescent="0.25">
      <c r="A113" s="7" t="s">
        <v>83</v>
      </c>
      <c r="B113" s="7">
        <v>26</v>
      </c>
      <c r="C113" s="7" t="s">
        <v>467</v>
      </c>
      <c r="D113" s="7" t="s">
        <v>563</v>
      </c>
      <c r="E113" s="7">
        <f>+IFERROR(+VLOOKUP(A113,'Trial Balance'!$A$12:$C$428,2,0),0)</f>
        <v>313371</v>
      </c>
      <c r="F113" s="7"/>
      <c r="G113" s="7">
        <f t="shared" si="7"/>
        <v>313371</v>
      </c>
      <c r="H113" s="7">
        <f>+IFERROR(+VLOOKUP(A113,'Trial Balance'!$A$12:$C$428,3,0),0)</f>
        <v>0</v>
      </c>
      <c r="I113" s="7"/>
      <c r="J113" s="7">
        <f t="shared" si="8"/>
        <v>0</v>
      </c>
      <c r="K113" s="7">
        <f>+IFERROR(+VLOOKUP(A113,'TB2019-20'!$A$12:$C$414,2,0),0)</f>
        <v>0</v>
      </c>
      <c r="L113" s="7"/>
      <c r="M113" s="7">
        <f t="shared" si="9"/>
        <v>0</v>
      </c>
      <c r="N113" s="7">
        <f>+IFERROR(+VLOOKUP(A113,'TB2019-20'!$A$12:$C$414,3,0),0)</f>
        <v>0</v>
      </c>
      <c r="O113" s="7"/>
      <c r="P113" s="7">
        <f t="shared" si="10"/>
        <v>0</v>
      </c>
    </row>
    <row r="114" spans="1:16" x14ac:dyDescent="0.25">
      <c r="A114" s="12" t="s">
        <v>34</v>
      </c>
      <c r="B114" s="7">
        <v>26</v>
      </c>
      <c r="C114" s="7" t="s">
        <v>467</v>
      </c>
      <c r="D114" s="7" t="s">
        <v>520</v>
      </c>
      <c r="E114" s="7">
        <f>+IFERROR(+VLOOKUP(A114,'Trial Balance'!$A$12:$C$428,2,0),0)</f>
        <v>91200</v>
      </c>
      <c r="F114" s="7"/>
      <c r="G114" s="7">
        <f t="shared" si="7"/>
        <v>91200</v>
      </c>
      <c r="H114" s="7">
        <f>+IFERROR(+VLOOKUP(A114,'Trial Balance'!$A$12:$C$428,3,0),0)</f>
        <v>0</v>
      </c>
      <c r="I114" s="7"/>
      <c r="J114" s="7">
        <f t="shared" si="8"/>
        <v>0</v>
      </c>
      <c r="K114" s="7">
        <f>+IFERROR(+VLOOKUP(A114,'TB2019-20'!$A$12:$C$414,2,0),0)</f>
        <v>132600</v>
      </c>
      <c r="L114" s="7"/>
      <c r="M114" s="7">
        <f t="shared" si="9"/>
        <v>132600</v>
      </c>
      <c r="N114" s="7">
        <f>+IFERROR(+VLOOKUP(A114,'TB2019-20'!$A$12:$C$414,3,0),0)</f>
        <v>0</v>
      </c>
      <c r="O114" s="7"/>
      <c r="P114" s="7">
        <f t="shared" si="10"/>
        <v>0</v>
      </c>
    </row>
    <row r="115" spans="1:16" x14ac:dyDescent="0.25">
      <c r="A115" s="6" t="s">
        <v>35</v>
      </c>
      <c r="B115" s="7">
        <v>25</v>
      </c>
      <c r="C115" s="7" t="s">
        <v>521</v>
      </c>
      <c r="D115" s="7" t="s">
        <v>522</v>
      </c>
      <c r="E115" s="7">
        <f>+IFERROR(+VLOOKUP(A115,'Trial Balance'!$A$12:$C$428,2,0),0)</f>
        <v>97878</v>
      </c>
      <c r="F115" s="7"/>
      <c r="G115" s="7">
        <f t="shared" si="7"/>
        <v>97878</v>
      </c>
      <c r="H115" s="7">
        <f>+IFERROR(+VLOOKUP(A115,'Trial Balance'!$A$12:$C$428,3,0),0)</f>
        <v>0</v>
      </c>
      <c r="I115" s="7"/>
      <c r="J115" s="7">
        <f t="shared" si="8"/>
        <v>0</v>
      </c>
      <c r="K115" s="7">
        <f>+IFERROR(+VLOOKUP(A115,'TB2019-20'!$A$12:$C$414,2,0),0)</f>
        <v>185908</v>
      </c>
      <c r="L115" s="7"/>
      <c r="M115" s="7">
        <f t="shared" si="9"/>
        <v>185908</v>
      </c>
      <c r="N115" s="7">
        <f>+IFERROR(+VLOOKUP(A115,'TB2019-20'!$A$12:$C$414,3,0),0)</f>
        <v>0</v>
      </c>
      <c r="O115" s="7"/>
      <c r="P115" s="7">
        <f t="shared" si="10"/>
        <v>0</v>
      </c>
    </row>
    <row r="116" spans="1:16" x14ac:dyDescent="0.25">
      <c r="A116" s="7" t="s">
        <v>37</v>
      </c>
      <c r="B116" s="7">
        <v>25</v>
      </c>
      <c r="C116" s="7" t="s">
        <v>521</v>
      </c>
      <c r="D116" s="7" t="s">
        <v>522</v>
      </c>
      <c r="E116" s="7">
        <f>+IFERROR(+VLOOKUP(A116,'Trial Balance'!$A$12:$C$428,2,0),0)</f>
        <v>274305</v>
      </c>
      <c r="F116" s="7"/>
      <c r="G116" s="7">
        <f t="shared" si="7"/>
        <v>274305</v>
      </c>
      <c r="H116" s="7">
        <f>+IFERROR(+VLOOKUP(A116,'Trial Balance'!$A$12:$C$428,3,0),0)</f>
        <v>0</v>
      </c>
      <c r="I116" s="7"/>
      <c r="J116" s="7">
        <f t="shared" si="8"/>
        <v>0</v>
      </c>
      <c r="K116" s="7">
        <f>+IFERROR(+VLOOKUP(A116,'TB2019-20'!$A$12:$C$414,2,0),0)</f>
        <v>140000</v>
      </c>
      <c r="L116" s="7"/>
      <c r="M116" s="7">
        <f t="shared" si="9"/>
        <v>140000</v>
      </c>
      <c r="N116" s="7">
        <f>+IFERROR(+VLOOKUP(A116,'TB2019-20'!$A$12:$C$414,3,0),0)</f>
        <v>0</v>
      </c>
      <c r="O116" s="7"/>
      <c r="P116" s="7">
        <f t="shared" si="10"/>
        <v>0</v>
      </c>
    </row>
    <row r="117" spans="1:16" x14ac:dyDescent="0.25">
      <c r="A117" s="7" t="s">
        <v>38</v>
      </c>
      <c r="B117" s="7">
        <v>7</v>
      </c>
      <c r="C117" s="7" t="s">
        <v>460</v>
      </c>
      <c r="D117" s="7" t="s">
        <v>460</v>
      </c>
      <c r="E117" s="7">
        <f>+IFERROR(+VLOOKUP(A117,'Trial Balance'!$A$12:$C$428,2,0),0)</f>
        <v>0</v>
      </c>
      <c r="F117" s="7"/>
      <c r="G117" s="7">
        <f t="shared" si="7"/>
        <v>0</v>
      </c>
      <c r="H117" s="7">
        <f>+IFERROR(+VLOOKUP(A117,'Trial Balance'!$A$12:$C$428,3,0),0)</f>
        <v>262245</v>
      </c>
      <c r="I117" s="7"/>
      <c r="J117" s="7">
        <f t="shared" si="8"/>
        <v>262245</v>
      </c>
      <c r="K117" s="7">
        <f>+IFERROR(+VLOOKUP(A117,'TB2019-20'!$A$12:$C$414,2,0),0)</f>
        <v>0</v>
      </c>
      <c r="L117" s="7"/>
      <c r="M117" s="7">
        <f t="shared" si="9"/>
        <v>0</v>
      </c>
      <c r="N117" s="7">
        <f>+IFERROR(+VLOOKUP(A117,'TB2019-20'!$A$12:$C$414,3,0),0)</f>
        <v>0</v>
      </c>
      <c r="O117" s="7"/>
      <c r="P117" s="7">
        <f t="shared" si="10"/>
        <v>0</v>
      </c>
    </row>
    <row r="118" spans="1:16" x14ac:dyDescent="0.25">
      <c r="A118" s="11" t="s">
        <v>39</v>
      </c>
      <c r="B118" s="7">
        <v>7</v>
      </c>
      <c r="C118" s="7" t="s">
        <v>460</v>
      </c>
      <c r="D118" s="7" t="s">
        <v>460</v>
      </c>
      <c r="E118" s="7">
        <f>+IFERROR(+VLOOKUP(A118,'Trial Balance'!$A$12:$C$428,2,0),0)</f>
        <v>0</v>
      </c>
      <c r="F118" s="7"/>
      <c r="G118" s="7">
        <f t="shared" si="7"/>
        <v>0</v>
      </c>
      <c r="H118" s="7">
        <f>+IFERROR(+VLOOKUP(A118,'Trial Balance'!$A$12:$C$428,3,0),0)</f>
        <v>209878</v>
      </c>
      <c r="I118" s="7"/>
      <c r="J118" s="7">
        <f t="shared" si="8"/>
        <v>209878</v>
      </c>
      <c r="K118" s="7">
        <f>+IFERROR(+VLOOKUP(A118,'TB2019-20'!$A$12:$C$414,2,0),0)</f>
        <v>0</v>
      </c>
      <c r="L118" s="7"/>
      <c r="M118" s="7">
        <f t="shared" si="9"/>
        <v>0</v>
      </c>
      <c r="N118" s="7">
        <f>+IFERROR(+VLOOKUP(A118,'TB2019-20'!$A$12:$C$414,3,0),0)</f>
        <v>53563</v>
      </c>
      <c r="O118" s="7"/>
      <c r="P118" s="7">
        <f t="shared" si="10"/>
        <v>53563</v>
      </c>
    </row>
    <row r="119" spans="1:16" x14ac:dyDescent="0.25">
      <c r="A119" s="7" t="s">
        <v>523</v>
      </c>
      <c r="B119" s="7">
        <v>7</v>
      </c>
      <c r="C119" s="7" t="s">
        <v>460</v>
      </c>
      <c r="D119" s="7" t="s">
        <v>460</v>
      </c>
      <c r="E119" s="7">
        <f>+IFERROR(+VLOOKUP(A119,'Trial Balance'!$A$12:$C$428,2,0),0)</f>
        <v>0</v>
      </c>
      <c r="F119" s="7"/>
      <c r="G119" s="7">
        <f t="shared" si="7"/>
        <v>0</v>
      </c>
      <c r="H119" s="7">
        <f>+IFERROR(+VLOOKUP(A119,'Trial Balance'!$A$12:$C$428,3,0),0)</f>
        <v>0</v>
      </c>
      <c r="I119" s="7"/>
      <c r="J119" s="7">
        <f t="shared" si="8"/>
        <v>0</v>
      </c>
      <c r="K119" s="7">
        <f>+IFERROR(+VLOOKUP(A119,'TB2019-20'!$A$12:$C$414,2,0),0)</f>
        <v>0</v>
      </c>
      <c r="L119" s="7"/>
      <c r="M119" s="7">
        <f t="shared" si="9"/>
        <v>0</v>
      </c>
      <c r="N119" s="7">
        <f>+IFERROR(+VLOOKUP(A119,'TB2019-20'!$A$12:$C$414,3,0),0)</f>
        <v>0</v>
      </c>
      <c r="O119" s="7"/>
      <c r="P119" s="7">
        <f t="shared" si="10"/>
        <v>0</v>
      </c>
    </row>
    <row r="120" spans="1:16" x14ac:dyDescent="0.25">
      <c r="A120" s="6" t="s">
        <v>524</v>
      </c>
      <c r="B120" s="7">
        <v>15</v>
      </c>
      <c r="C120" s="7" t="s">
        <v>469</v>
      </c>
      <c r="D120" s="7" t="s">
        <v>469</v>
      </c>
      <c r="E120" s="7">
        <f>+IFERROR(+VLOOKUP(A120,'Trial Balance'!$A$12:$C$428,2,0),0)</f>
        <v>0</v>
      </c>
      <c r="F120" s="7"/>
      <c r="G120" s="7">
        <f t="shared" si="7"/>
        <v>0</v>
      </c>
      <c r="H120" s="7">
        <f>+IFERROR(+VLOOKUP(A120,'Trial Balance'!$A$12:$C$428,3,0),0)</f>
        <v>0</v>
      </c>
      <c r="I120" s="7"/>
      <c r="J120" s="7">
        <f t="shared" si="8"/>
        <v>0</v>
      </c>
      <c r="K120" s="7">
        <f>+IFERROR(+VLOOKUP(A120,'TB2019-20'!$A$12:$C$414,2,0),0)</f>
        <v>0</v>
      </c>
      <c r="L120" s="7"/>
      <c r="M120" s="7">
        <f t="shared" si="9"/>
        <v>0</v>
      </c>
      <c r="N120" s="7">
        <f>+IFERROR(+VLOOKUP(A120,'TB2019-20'!$A$12:$C$414,3,0),0)</f>
        <v>0</v>
      </c>
      <c r="O120" s="7"/>
      <c r="P120" s="7">
        <f t="shared" si="10"/>
        <v>0</v>
      </c>
    </row>
    <row r="121" spans="1:16" x14ac:dyDescent="0.25">
      <c r="A121" s="8" t="s">
        <v>525</v>
      </c>
      <c r="B121" s="7">
        <v>15</v>
      </c>
      <c r="C121" s="7" t="s">
        <v>469</v>
      </c>
      <c r="D121" s="7" t="s">
        <v>469</v>
      </c>
      <c r="E121" s="7">
        <f>+IFERROR(+VLOOKUP(A121,'Trial Balance'!$A$12:$C$428,2,0),0)</f>
        <v>0</v>
      </c>
      <c r="F121" s="7"/>
      <c r="G121" s="7">
        <f t="shared" si="7"/>
        <v>0</v>
      </c>
      <c r="H121" s="7">
        <f>+IFERROR(+VLOOKUP(A121,'Trial Balance'!$A$12:$C$428,3,0),0)</f>
        <v>0</v>
      </c>
      <c r="I121" s="7"/>
      <c r="J121" s="7">
        <f t="shared" si="8"/>
        <v>0</v>
      </c>
      <c r="K121" s="7">
        <f>+IFERROR(+VLOOKUP(A121,'TB2019-20'!$A$12:$C$414,2,0),0)</f>
        <v>0</v>
      </c>
      <c r="L121" s="7"/>
      <c r="M121" s="7">
        <f t="shared" si="9"/>
        <v>0</v>
      </c>
      <c r="N121" s="7">
        <f>+IFERROR(+VLOOKUP(A121,'TB2019-20'!$A$12:$C$414,3,0),0)</f>
        <v>0</v>
      </c>
      <c r="O121" s="7"/>
      <c r="P121" s="7">
        <f t="shared" si="10"/>
        <v>0</v>
      </c>
    </row>
    <row r="122" spans="1:16" x14ac:dyDescent="0.25">
      <c r="A122" s="8" t="s">
        <v>526</v>
      </c>
      <c r="B122" s="7">
        <v>15</v>
      </c>
      <c r="C122" s="7" t="s">
        <v>469</v>
      </c>
      <c r="D122" s="7" t="s">
        <v>469</v>
      </c>
      <c r="E122" s="7">
        <f>+IFERROR(+VLOOKUP(A122,'Trial Balance'!$A$12:$C$428,2,0),0)</f>
        <v>0</v>
      </c>
      <c r="F122" s="7"/>
      <c r="G122" s="7">
        <f t="shared" si="7"/>
        <v>0</v>
      </c>
      <c r="H122" s="7">
        <f>+IFERROR(+VLOOKUP(A122,'Trial Balance'!$A$12:$C$428,3,0),0)</f>
        <v>0</v>
      </c>
      <c r="I122" s="7"/>
      <c r="J122" s="7">
        <f t="shared" si="8"/>
        <v>0</v>
      </c>
      <c r="K122" s="7">
        <f>+IFERROR(+VLOOKUP(A122,'TB2019-20'!$A$12:$C$414,2,0),0)</f>
        <v>0</v>
      </c>
      <c r="L122" s="7"/>
      <c r="M122" s="7">
        <f t="shared" si="9"/>
        <v>0</v>
      </c>
      <c r="N122" s="7">
        <f>+IFERROR(+VLOOKUP(A122,'TB2019-20'!$A$12:$C$414,3,0),0)</f>
        <v>0</v>
      </c>
      <c r="O122" s="7"/>
      <c r="P122" s="7">
        <f t="shared" si="10"/>
        <v>0</v>
      </c>
    </row>
    <row r="123" spans="1:16" x14ac:dyDescent="0.25">
      <c r="A123" s="8" t="s">
        <v>24</v>
      </c>
      <c r="B123" s="7">
        <v>15</v>
      </c>
      <c r="C123" s="7" t="s">
        <v>469</v>
      </c>
      <c r="D123" s="7" t="s">
        <v>469</v>
      </c>
      <c r="E123" s="7">
        <f>+IFERROR(+VLOOKUP(A123,'Trial Balance'!$A$12:$C$428,2,0),0)</f>
        <v>1585664</v>
      </c>
      <c r="F123" s="7"/>
      <c r="G123" s="7">
        <f t="shared" si="7"/>
        <v>1585664</v>
      </c>
      <c r="H123" s="7">
        <f>+IFERROR(+VLOOKUP(A123,'Trial Balance'!$A$12:$C$428,3,0),0)</f>
        <v>0</v>
      </c>
      <c r="I123" s="7"/>
      <c r="J123" s="7">
        <f t="shared" si="8"/>
        <v>0</v>
      </c>
      <c r="K123" s="7">
        <f>+IFERROR(+VLOOKUP(A123,'TB2019-20'!$A$12:$C$414,2,0),0)</f>
        <v>0</v>
      </c>
      <c r="L123" s="7"/>
      <c r="M123" s="7">
        <f t="shared" si="9"/>
        <v>0</v>
      </c>
      <c r="N123" s="7">
        <f>+IFERROR(+VLOOKUP(A123,'TB2019-20'!$A$12:$C$414,3,0),0)</f>
        <v>0</v>
      </c>
      <c r="O123" s="7"/>
      <c r="P123" s="7">
        <f t="shared" si="10"/>
        <v>0</v>
      </c>
    </row>
    <row r="124" spans="1:16" x14ac:dyDescent="0.25">
      <c r="A124" s="8" t="s">
        <v>527</v>
      </c>
      <c r="B124" s="7">
        <v>15</v>
      </c>
      <c r="C124" s="7" t="s">
        <v>469</v>
      </c>
      <c r="D124" s="7" t="s">
        <v>469</v>
      </c>
      <c r="E124" s="7">
        <f>+IFERROR(+VLOOKUP(A124,'Trial Balance'!$A$12:$C$428,2,0),0)</f>
        <v>0</v>
      </c>
      <c r="F124" s="7"/>
      <c r="G124" s="7">
        <f t="shared" si="7"/>
        <v>0</v>
      </c>
      <c r="H124" s="7">
        <f>+IFERROR(+VLOOKUP(A124,'Trial Balance'!$A$12:$C$428,3,0),0)</f>
        <v>0</v>
      </c>
      <c r="I124" s="7"/>
      <c r="J124" s="7">
        <f t="shared" si="8"/>
        <v>0</v>
      </c>
      <c r="K124" s="7">
        <f>+IFERROR(+VLOOKUP(A124,'TB2019-20'!$A$12:$C$414,2,0),0)</f>
        <v>0</v>
      </c>
      <c r="L124" s="7"/>
      <c r="M124" s="7">
        <f t="shared" si="9"/>
        <v>0</v>
      </c>
      <c r="N124" s="7">
        <f>+IFERROR(+VLOOKUP(A124,'TB2019-20'!$A$12:$C$414,3,0),0)</f>
        <v>0</v>
      </c>
      <c r="O124" s="7"/>
      <c r="P124" s="7">
        <f t="shared" si="10"/>
        <v>0</v>
      </c>
    </row>
    <row r="125" spans="1:16" x14ac:dyDescent="0.25">
      <c r="A125" s="8" t="s">
        <v>528</v>
      </c>
      <c r="B125" s="7">
        <v>15</v>
      </c>
      <c r="C125" s="7" t="s">
        <v>469</v>
      </c>
      <c r="D125" s="7" t="s">
        <v>469</v>
      </c>
      <c r="E125" s="7">
        <f>+IFERROR(+VLOOKUP(A125,'Trial Balance'!$A$12:$C$428,2,0),0)</f>
        <v>0</v>
      </c>
      <c r="F125" s="7"/>
      <c r="G125" s="7">
        <f t="shared" si="7"/>
        <v>0</v>
      </c>
      <c r="H125" s="7">
        <f>+IFERROR(+VLOOKUP(A125,'Trial Balance'!$A$12:$C$428,3,0),0)</f>
        <v>0</v>
      </c>
      <c r="I125" s="7"/>
      <c r="J125" s="7">
        <f t="shared" si="8"/>
        <v>0</v>
      </c>
      <c r="K125" s="7">
        <f>+IFERROR(+VLOOKUP(A125,'TB2019-20'!$A$12:$C$414,2,0),0)</f>
        <v>0</v>
      </c>
      <c r="L125" s="7"/>
      <c r="M125" s="7">
        <f t="shared" si="9"/>
        <v>0</v>
      </c>
      <c r="N125" s="7">
        <f>+IFERROR(+VLOOKUP(A125,'TB2019-20'!$A$12:$C$414,3,0),0)</f>
        <v>0</v>
      </c>
      <c r="O125" s="7"/>
      <c r="P125" s="7">
        <f t="shared" si="10"/>
        <v>0</v>
      </c>
    </row>
    <row r="126" spans="1:16" x14ac:dyDescent="0.25">
      <c r="A126" s="7" t="s">
        <v>529</v>
      </c>
      <c r="B126" s="7">
        <v>12</v>
      </c>
      <c r="C126" s="7" t="s">
        <v>465</v>
      </c>
      <c r="D126" s="7" t="s">
        <v>478</v>
      </c>
      <c r="E126" s="7">
        <f>+IFERROR(+VLOOKUP(A126,'Trial Balance'!$A$12:$C$428,2,0),0)</f>
        <v>0</v>
      </c>
      <c r="F126" s="7"/>
      <c r="G126" s="7">
        <f t="shared" si="7"/>
        <v>0</v>
      </c>
      <c r="H126" s="7">
        <f>+IFERROR(+VLOOKUP(A126,'Trial Balance'!$A$12:$C$428,3,0),0)</f>
        <v>0</v>
      </c>
      <c r="I126" s="7"/>
      <c r="J126" s="7">
        <f t="shared" si="8"/>
        <v>0</v>
      </c>
      <c r="K126" s="7">
        <f>+IFERROR(+VLOOKUP(A126,'TB2019-20'!$A$12:$C$414,2,0),0)</f>
        <v>2000</v>
      </c>
      <c r="L126" s="7"/>
      <c r="M126" s="7">
        <f t="shared" si="9"/>
        <v>2000</v>
      </c>
      <c r="N126" s="7">
        <f>+IFERROR(+VLOOKUP(A126,'TB2019-20'!$A$12:$C$414,3,0),0)</f>
        <v>0</v>
      </c>
      <c r="O126" s="7"/>
      <c r="P126" s="7">
        <f t="shared" si="10"/>
        <v>0</v>
      </c>
    </row>
    <row r="127" spans="1:16" x14ac:dyDescent="0.25">
      <c r="A127" s="7" t="s">
        <v>40</v>
      </c>
      <c r="B127" s="7">
        <v>26</v>
      </c>
      <c r="C127" s="7" t="s">
        <v>467</v>
      </c>
      <c r="D127" s="7" t="s">
        <v>530</v>
      </c>
      <c r="E127" s="7">
        <f>+IFERROR(+VLOOKUP(A127,'Trial Balance'!$A$12:$C$428,2,0),0)</f>
        <v>3207346</v>
      </c>
      <c r="F127" s="7"/>
      <c r="G127" s="7">
        <f t="shared" si="7"/>
        <v>3207346</v>
      </c>
      <c r="H127" s="7">
        <f>+IFERROR(+VLOOKUP(A127,'Trial Balance'!$A$12:$C$428,3,0),0)</f>
        <v>0</v>
      </c>
      <c r="I127" s="7"/>
      <c r="J127" s="7">
        <f t="shared" si="8"/>
        <v>0</v>
      </c>
      <c r="K127" s="7">
        <f>+IFERROR(+VLOOKUP(A127,'TB2019-20'!$A$12:$C$414,2,0),0)</f>
        <v>3586075</v>
      </c>
      <c r="L127" s="7"/>
      <c r="M127" s="7">
        <f t="shared" si="9"/>
        <v>3586075</v>
      </c>
      <c r="N127" s="7">
        <f>+IFERROR(+VLOOKUP(A127,'TB2019-20'!$A$12:$C$414,3,0),0)</f>
        <v>0</v>
      </c>
      <c r="O127" s="7"/>
      <c r="P127" s="7">
        <f t="shared" si="10"/>
        <v>0</v>
      </c>
    </row>
    <row r="128" spans="1:16" x14ac:dyDescent="0.25">
      <c r="A128" s="8" t="s">
        <v>96</v>
      </c>
      <c r="B128" s="7">
        <v>26</v>
      </c>
      <c r="C128" s="7" t="s">
        <v>467</v>
      </c>
      <c r="D128" s="7" t="s">
        <v>530</v>
      </c>
      <c r="E128" s="7">
        <f>+IFERROR(+VLOOKUP(A128,'Trial Balance'!$A$12:$C$428,2,0),0)</f>
        <v>0</v>
      </c>
      <c r="F128" s="7"/>
      <c r="G128" s="7">
        <f t="shared" si="7"/>
        <v>0</v>
      </c>
      <c r="H128" s="7">
        <f>+IFERROR(+VLOOKUP(A128,'Trial Balance'!$A$12:$C$428,3,0),0)</f>
        <v>0</v>
      </c>
      <c r="I128" s="7"/>
      <c r="J128" s="7">
        <f t="shared" si="8"/>
        <v>0</v>
      </c>
      <c r="K128" s="7">
        <f>+IFERROR(+VLOOKUP(A128,'TB2019-20'!$A$12:$C$414,2,0),0)</f>
        <v>0</v>
      </c>
      <c r="L128" s="7"/>
      <c r="M128" s="7">
        <f t="shared" si="9"/>
        <v>0</v>
      </c>
      <c r="N128" s="7">
        <f>+IFERROR(+VLOOKUP(A128,'TB2019-20'!$A$12:$C$414,3,0),0)</f>
        <v>0</v>
      </c>
      <c r="O128" s="7"/>
      <c r="P128" s="7">
        <f t="shared" si="10"/>
        <v>0</v>
      </c>
    </row>
    <row r="129" spans="1:16" x14ac:dyDescent="0.25">
      <c r="A129" s="7" t="s">
        <v>531</v>
      </c>
      <c r="B129" s="7">
        <v>26</v>
      </c>
      <c r="C129" s="7" t="s">
        <v>467</v>
      </c>
      <c r="D129" s="7" t="s">
        <v>532</v>
      </c>
      <c r="E129" s="7">
        <f>+IFERROR(+VLOOKUP(A129,'Trial Balance'!$A$12:$C$428,2,0),0)</f>
        <v>2575</v>
      </c>
      <c r="F129" s="7"/>
      <c r="G129" s="7">
        <f t="shared" si="7"/>
        <v>2575</v>
      </c>
      <c r="H129" s="7">
        <f>+IFERROR(+VLOOKUP(A129,'Trial Balance'!$A$12:$C$428,3,0),0)</f>
        <v>0</v>
      </c>
      <c r="I129" s="7"/>
      <c r="J129" s="7">
        <f t="shared" si="8"/>
        <v>0</v>
      </c>
      <c r="K129" s="7">
        <f>+IFERROR(+VLOOKUP(A129,'TB2019-20'!$A$12:$C$414,2,0),0)</f>
        <v>3442</v>
      </c>
      <c r="L129" s="7"/>
      <c r="M129" s="7">
        <f t="shared" si="9"/>
        <v>3442</v>
      </c>
      <c r="N129" s="7">
        <f>+IFERROR(+VLOOKUP(A129,'TB2019-20'!$A$12:$C$414,3,0),0)</f>
        <v>0</v>
      </c>
      <c r="O129" s="7"/>
      <c r="P129" s="7">
        <f t="shared" si="10"/>
        <v>0</v>
      </c>
    </row>
    <row r="130" spans="1:16" x14ac:dyDescent="0.25">
      <c r="A130" s="7" t="s">
        <v>533</v>
      </c>
      <c r="B130" s="7">
        <v>10</v>
      </c>
      <c r="C130" s="7" t="s">
        <v>534</v>
      </c>
      <c r="D130" s="7" t="s">
        <v>535</v>
      </c>
      <c r="E130" s="7">
        <f>+IFERROR(+VLOOKUP(A130,'Trial Balance'!$A$12:$C$428,2,0),0)</f>
        <v>58923230.630000003</v>
      </c>
      <c r="F130" s="7"/>
      <c r="G130" s="7">
        <f t="shared" si="7"/>
        <v>58923230.630000003</v>
      </c>
      <c r="H130" s="7">
        <f>+IFERROR(+VLOOKUP(A130,'Trial Balance'!$A$12:$C$428,3,0),0)</f>
        <v>0</v>
      </c>
      <c r="I130" s="7"/>
      <c r="J130" s="7">
        <f t="shared" si="8"/>
        <v>0</v>
      </c>
      <c r="K130" s="7">
        <f>+IFERROR(+VLOOKUP(A130,'TB2019-20'!$A$12:$C$414,2,0),0)</f>
        <v>56016203.549999997</v>
      </c>
      <c r="L130" s="7"/>
      <c r="M130" s="7">
        <f t="shared" si="9"/>
        <v>56016203.549999997</v>
      </c>
      <c r="N130" s="7">
        <f>+IFERROR(+VLOOKUP(A130,'TB2019-20'!$A$12:$C$414,3,0),0)</f>
        <v>0</v>
      </c>
      <c r="O130" s="7"/>
      <c r="P130" s="7">
        <f t="shared" si="10"/>
        <v>0</v>
      </c>
    </row>
    <row r="131" spans="1:16" x14ac:dyDescent="0.25">
      <c r="A131" s="8" t="s">
        <v>536</v>
      </c>
      <c r="B131" s="7">
        <v>10</v>
      </c>
      <c r="C131" s="7" t="s">
        <v>534</v>
      </c>
      <c r="D131" s="7" t="s">
        <v>535</v>
      </c>
      <c r="E131" s="7">
        <f>+IFERROR(+VLOOKUP(A131,'Trial Balance'!$A$12:$C$428,2,0),0)</f>
        <v>0</v>
      </c>
      <c r="F131" s="7"/>
      <c r="G131" s="7">
        <f t="shared" si="7"/>
        <v>0</v>
      </c>
      <c r="H131" s="7">
        <f>+IFERROR(+VLOOKUP(A131,'Trial Balance'!$A$12:$C$428,3,0),0)</f>
        <v>0</v>
      </c>
      <c r="I131" s="7"/>
      <c r="J131" s="7">
        <f t="shared" si="8"/>
        <v>0</v>
      </c>
      <c r="K131" s="7">
        <f>+IFERROR(+VLOOKUP(A131,'TB2019-20'!$A$12:$C$414,2,0),0)</f>
        <v>0</v>
      </c>
      <c r="L131" s="7"/>
      <c r="M131" s="7">
        <f t="shared" si="9"/>
        <v>0</v>
      </c>
      <c r="N131" s="7">
        <f>+IFERROR(+VLOOKUP(A131,'TB2019-20'!$A$12:$C$414,3,0),0)</f>
        <v>0</v>
      </c>
      <c r="O131" s="7"/>
      <c r="P131" s="7">
        <f t="shared" si="10"/>
        <v>0</v>
      </c>
    </row>
    <row r="132" spans="1:16" x14ac:dyDescent="0.25">
      <c r="A132" s="8" t="s">
        <v>537</v>
      </c>
      <c r="B132" s="7">
        <v>10</v>
      </c>
      <c r="C132" s="7" t="s">
        <v>534</v>
      </c>
      <c r="D132" s="7" t="s">
        <v>535</v>
      </c>
      <c r="E132" s="7">
        <f>+IFERROR(+VLOOKUP(A132,'Trial Balance'!$A$12:$C$428,2,0),0)</f>
        <v>0</v>
      </c>
      <c r="F132" s="7"/>
      <c r="G132" s="7">
        <f t="shared" si="7"/>
        <v>0</v>
      </c>
      <c r="H132" s="7">
        <f>+IFERROR(+VLOOKUP(A132,'Trial Balance'!$A$12:$C$428,3,0),0)</f>
        <v>0</v>
      </c>
      <c r="I132" s="7"/>
      <c r="J132" s="7">
        <f t="shared" si="8"/>
        <v>0</v>
      </c>
      <c r="K132" s="7">
        <f>+IFERROR(+VLOOKUP(A132,'TB2019-20'!$A$12:$C$414,2,0),0)</f>
        <v>0</v>
      </c>
      <c r="L132" s="7"/>
      <c r="M132" s="7">
        <f t="shared" si="9"/>
        <v>0</v>
      </c>
      <c r="N132" s="7">
        <f>+IFERROR(+VLOOKUP(A132,'TB2019-20'!$A$12:$C$414,3,0),0)</f>
        <v>0</v>
      </c>
      <c r="O132" s="7"/>
      <c r="P132" s="7">
        <f t="shared" si="10"/>
        <v>0</v>
      </c>
    </row>
    <row r="133" spans="1:16" x14ac:dyDescent="0.25">
      <c r="A133" s="7" t="s">
        <v>45</v>
      </c>
      <c r="B133" s="13">
        <v>3</v>
      </c>
      <c r="C133" s="7" t="s">
        <v>538</v>
      </c>
      <c r="D133" s="7" t="s">
        <v>539</v>
      </c>
      <c r="E133" s="7">
        <f>+IFERROR(+VLOOKUP(A133,'Trial Balance'!$A$12:$C$428,2,0),0)</f>
        <v>0</v>
      </c>
      <c r="F133" s="7"/>
      <c r="G133" s="7">
        <f t="shared" si="7"/>
        <v>0</v>
      </c>
      <c r="H133" s="7">
        <f>+IFERROR(+VLOOKUP(A133,'Trial Balance'!$A$12:$C$428,3,0),0)</f>
        <v>20413989</v>
      </c>
      <c r="I133" s="7"/>
      <c r="J133" s="7">
        <f t="shared" si="8"/>
        <v>20413989</v>
      </c>
      <c r="K133" s="7">
        <f>+IFERROR(+VLOOKUP(A133,'TB2019-20'!$A$12:$C$414,2,0),0)</f>
        <v>0</v>
      </c>
      <c r="L133" s="7"/>
      <c r="M133" s="7">
        <f t="shared" si="9"/>
        <v>0</v>
      </c>
      <c r="N133" s="7">
        <f>+IFERROR(+VLOOKUP(A133,'TB2019-20'!$A$12:$C$414,3,0),0)</f>
        <v>20413989</v>
      </c>
      <c r="O133" s="7"/>
      <c r="P133" s="7">
        <f t="shared" si="10"/>
        <v>20413989</v>
      </c>
    </row>
    <row r="134" spans="1:16" x14ac:dyDescent="0.25">
      <c r="A134" s="8" t="s">
        <v>540</v>
      </c>
      <c r="B134" s="7">
        <v>26</v>
      </c>
      <c r="C134" s="7" t="s">
        <v>467</v>
      </c>
      <c r="D134" s="7" t="s">
        <v>541</v>
      </c>
      <c r="E134" s="7">
        <f>+IFERROR(+VLOOKUP(A134,'Trial Balance'!$A$12:$C$428,2,0),0)</f>
        <v>0</v>
      </c>
      <c r="F134" s="7"/>
      <c r="G134" s="7">
        <f t="shared" ref="G134:G197" si="17">+E134+F134</f>
        <v>0</v>
      </c>
      <c r="H134" s="7">
        <f>+IFERROR(+VLOOKUP(A134,'Trial Balance'!$A$12:$C$428,3,0),0)</f>
        <v>0</v>
      </c>
      <c r="I134" s="7"/>
      <c r="J134" s="7">
        <f t="shared" ref="J134:J197" si="18">+H134+I134</f>
        <v>0</v>
      </c>
      <c r="K134" s="7">
        <f>+IFERROR(+VLOOKUP(A134,'TB2019-20'!$A$12:$C$414,2,0),0)</f>
        <v>6500</v>
      </c>
      <c r="L134" s="7"/>
      <c r="M134" s="7">
        <f t="shared" si="9"/>
        <v>6500</v>
      </c>
      <c r="N134" s="7">
        <f>+IFERROR(+VLOOKUP(A134,'TB2019-20'!$A$12:$C$414,3,0),0)</f>
        <v>0</v>
      </c>
      <c r="O134" s="7"/>
      <c r="P134" s="7">
        <f t="shared" si="10"/>
        <v>0</v>
      </c>
    </row>
    <row r="135" spans="1:16" x14ac:dyDescent="0.25">
      <c r="A135" s="8" t="s">
        <v>193</v>
      </c>
      <c r="B135" s="7">
        <v>26</v>
      </c>
      <c r="C135" s="7" t="s">
        <v>467</v>
      </c>
      <c r="D135" s="7" t="s">
        <v>541</v>
      </c>
      <c r="E135" s="7">
        <f>+IFERROR(+VLOOKUP(A135,'Trial Balance'!$A$12:$C$428,2,0),0)</f>
        <v>5531</v>
      </c>
      <c r="F135" s="7"/>
      <c r="G135" s="7">
        <f t="shared" si="17"/>
        <v>5531</v>
      </c>
      <c r="H135" s="7">
        <f>+IFERROR(+VLOOKUP(A135,'Trial Balance'!$A$12:$C$428,3,0),0)</f>
        <v>0</v>
      </c>
      <c r="I135" s="7"/>
      <c r="J135" s="7">
        <f t="shared" si="18"/>
        <v>0</v>
      </c>
      <c r="K135" s="7">
        <f>+IFERROR(+VLOOKUP(A135,'TB2019-20'!$A$12:$C$414,2,0),0)</f>
        <v>0</v>
      </c>
      <c r="L135" s="7"/>
      <c r="M135" s="7">
        <f t="shared" si="9"/>
        <v>0</v>
      </c>
      <c r="N135" s="7">
        <f>+IFERROR(+VLOOKUP(A135,'TB2019-20'!$A$12:$C$414,3,0),0)</f>
        <v>0</v>
      </c>
      <c r="O135" s="7"/>
      <c r="P135" s="7">
        <f t="shared" si="10"/>
        <v>0</v>
      </c>
    </row>
    <row r="136" spans="1:16" x14ac:dyDescent="0.25">
      <c r="A136" s="8" t="s">
        <v>191</v>
      </c>
      <c r="B136" s="7">
        <v>26</v>
      </c>
      <c r="C136" s="7" t="s">
        <v>467</v>
      </c>
      <c r="D136" s="7" t="s">
        <v>541</v>
      </c>
      <c r="E136" s="7">
        <f>+IFERROR(+VLOOKUP(A136,'Trial Balance'!$A$12:$C$428,2,0),0)</f>
        <v>0</v>
      </c>
      <c r="F136" s="7"/>
      <c r="G136" s="7">
        <f t="shared" si="17"/>
        <v>0</v>
      </c>
      <c r="H136" s="7">
        <f>+IFERROR(+VLOOKUP(A136,'Trial Balance'!$A$12:$C$428,3,0),0)</f>
        <v>0</v>
      </c>
      <c r="I136" s="7"/>
      <c r="J136" s="7">
        <f t="shared" si="18"/>
        <v>0</v>
      </c>
      <c r="K136" s="7">
        <f>+IFERROR(+VLOOKUP(A136,'TB2019-20'!$A$12:$C$414,2,0),0)</f>
        <v>0</v>
      </c>
      <c r="L136" s="7"/>
      <c r="M136" s="7">
        <f t="shared" si="9"/>
        <v>0</v>
      </c>
      <c r="N136" s="7">
        <f>+IFERROR(+VLOOKUP(A136,'TB2019-20'!$A$12:$C$414,3,0),0)</f>
        <v>0</v>
      </c>
      <c r="O136" s="7"/>
      <c r="P136" s="7">
        <f t="shared" si="10"/>
        <v>0</v>
      </c>
    </row>
    <row r="137" spans="1:16" x14ac:dyDescent="0.25">
      <c r="A137" s="6" t="s">
        <v>47</v>
      </c>
      <c r="B137" s="7">
        <v>26</v>
      </c>
      <c r="C137" s="7" t="s">
        <v>467</v>
      </c>
      <c r="D137" s="7" t="s">
        <v>542</v>
      </c>
      <c r="E137" s="7">
        <f>+IFERROR(+VLOOKUP(A137,'Trial Balance'!$A$12:$C$428,2,0),0)</f>
        <v>364309</v>
      </c>
      <c r="F137" s="7"/>
      <c r="G137" s="7">
        <f t="shared" si="17"/>
        <v>364309</v>
      </c>
      <c r="H137" s="7">
        <f>+IFERROR(+VLOOKUP(A137,'Trial Balance'!$A$12:$C$428,3,0),0)</f>
        <v>0</v>
      </c>
      <c r="I137" s="7"/>
      <c r="J137" s="7">
        <f t="shared" si="18"/>
        <v>0</v>
      </c>
      <c r="K137" s="7">
        <f>+IFERROR(+VLOOKUP(A137,'TB2019-20'!$A$12:$C$414,2,0),0)</f>
        <v>373855</v>
      </c>
      <c r="L137" s="7"/>
      <c r="M137" s="7">
        <f t="shared" ref="M137:M200" si="19">+K137+L137</f>
        <v>373855</v>
      </c>
      <c r="N137" s="7">
        <f>+IFERROR(+VLOOKUP(A137,'TB2019-20'!$A$12:$C$414,3,0),0)</f>
        <v>0</v>
      </c>
      <c r="O137" s="7"/>
      <c r="P137" s="7">
        <f t="shared" ref="P137:P200" si="20">+N137+O137</f>
        <v>0</v>
      </c>
    </row>
    <row r="138" spans="1:16" x14ac:dyDescent="0.25">
      <c r="A138" s="12" t="s">
        <v>48</v>
      </c>
      <c r="B138" s="7">
        <v>26</v>
      </c>
      <c r="C138" s="7" t="s">
        <v>467</v>
      </c>
      <c r="D138" s="7" t="s">
        <v>530</v>
      </c>
      <c r="E138" s="7">
        <f>+IFERROR(+VLOOKUP(A138,'Trial Balance'!$A$12:$C$428,2,0),0)</f>
        <v>95263</v>
      </c>
      <c r="F138" s="7"/>
      <c r="G138" s="7">
        <f t="shared" si="17"/>
        <v>95263</v>
      </c>
      <c r="H138" s="7">
        <f>+IFERROR(+VLOOKUP(A138,'Trial Balance'!$A$12:$C$428,3,0),0)</f>
        <v>0</v>
      </c>
      <c r="I138" s="7"/>
      <c r="J138" s="7">
        <f t="shared" si="18"/>
        <v>0</v>
      </c>
      <c r="K138" s="7">
        <f>+IFERROR(+VLOOKUP(A138,'TB2019-20'!$A$12:$C$414,2,0),0)</f>
        <v>95134</v>
      </c>
      <c r="L138" s="7"/>
      <c r="M138" s="7">
        <f t="shared" si="19"/>
        <v>95134</v>
      </c>
      <c r="N138" s="7">
        <f>+IFERROR(+VLOOKUP(A138,'TB2019-20'!$A$12:$C$414,3,0),0)</f>
        <v>0</v>
      </c>
      <c r="O138" s="7"/>
      <c r="P138" s="7">
        <f t="shared" si="20"/>
        <v>0</v>
      </c>
    </row>
    <row r="139" spans="1:16" x14ac:dyDescent="0.25">
      <c r="A139" s="7" t="s">
        <v>49</v>
      </c>
      <c r="B139" s="7">
        <v>26</v>
      </c>
      <c r="C139" s="7" t="s">
        <v>467</v>
      </c>
      <c r="D139" s="7" t="s">
        <v>530</v>
      </c>
      <c r="E139" s="7">
        <f>+IFERROR(+VLOOKUP(A139,'Trial Balance'!$A$12:$C$428,2,0),0)</f>
        <v>81600</v>
      </c>
      <c r="F139" s="7"/>
      <c r="G139" s="7">
        <f t="shared" si="17"/>
        <v>81600</v>
      </c>
      <c r="H139" s="7">
        <f>+IFERROR(+VLOOKUP(A139,'Trial Balance'!$A$12:$C$428,3,0),0)</f>
        <v>0</v>
      </c>
      <c r="I139" s="7"/>
      <c r="J139" s="7">
        <f t="shared" si="18"/>
        <v>0</v>
      </c>
      <c r="K139" s="7">
        <f>+IFERROR(+VLOOKUP(A139,'TB2019-20'!$A$12:$C$414,2,0),0)</f>
        <v>64762</v>
      </c>
      <c r="L139" s="7"/>
      <c r="M139" s="7">
        <f t="shared" si="19"/>
        <v>64762</v>
      </c>
      <c r="N139" s="7">
        <f>+IFERROR(+VLOOKUP(A139,'TB2019-20'!$A$12:$C$414,3,0),0)</f>
        <v>0</v>
      </c>
      <c r="O139" s="7"/>
      <c r="P139" s="7">
        <f t="shared" si="20"/>
        <v>0</v>
      </c>
    </row>
    <row r="140" spans="1:16" x14ac:dyDescent="0.25">
      <c r="A140" s="7" t="s">
        <v>543</v>
      </c>
      <c r="B140" s="7">
        <v>16</v>
      </c>
      <c r="C140" s="7" t="s">
        <v>544</v>
      </c>
      <c r="D140" s="7" t="s">
        <v>545</v>
      </c>
      <c r="E140" s="7">
        <f>+IFERROR(+VLOOKUP(A140,'Trial Balance'!$A$12:$C$428,2,0),0)</f>
        <v>255504</v>
      </c>
      <c r="F140" s="7"/>
      <c r="G140" s="7">
        <f t="shared" si="17"/>
        <v>255504</v>
      </c>
      <c r="H140" s="7">
        <f>+IFERROR(+VLOOKUP(A140,'Trial Balance'!$A$12:$C$428,3,0),0)</f>
        <v>0</v>
      </c>
      <c r="I140" s="7"/>
      <c r="J140" s="7">
        <f t="shared" si="18"/>
        <v>0</v>
      </c>
      <c r="K140" s="7">
        <f>+IFERROR(+VLOOKUP(A140,'TB2019-20'!$A$12:$C$414,2,0),0)</f>
        <v>234166</v>
      </c>
      <c r="L140" s="7">
        <v>0</v>
      </c>
      <c r="M140" s="7">
        <f t="shared" si="19"/>
        <v>234166</v>
      </c>
      <c r="N140" s="7">
        <f>+IFERROR(+VLOOKUP(A140,'TB2019-20'!$A$12:$C$414,3,0),0)</f>
        <v>0</v>
      </c>
      <c r="O140" s="7"/>
      <c r="P140" s="7">
        <f t="shared" si="20"/>
        <v>0</v>
      </c>
    </row>
    <row r="141" spans="1:16" x14ac:dyDescent="0.25">
      <c r="A141" s="7" t="s">
        <v>67</v>
      </c>
      <c r="B141" s="7">
        <v>12</v>
      </c>
      <c r="C141" s="7" t="s">
        <v>465</v>
      </c>
      <c r="D141" s="14" t="s">
        <v>550</v>
      </c>
      <c r="E141" s="7">
        <f>+IFERROR(+VLOOKUP(A141,'Trial Balance'!$A$12:$C$428,2,0),0)</f>
        <v>0</v>
      </c>
      <c r="F141" s="7"/>
      <c r="G141" s="7">
        <f t="shared" si="17"/>
        <v>0</v>
      </c>
      <c r="H141" s="7">
        <f>+IFERROR(+VLOOKUP(A141,'Trial Balance'!$A$12:$C$428,3,0),0)</f>
        <v>0</v>
      </c>
      <c r="I141" s="7"/>
      <c r="J141" s="7">
        <f t="shared" si="18"/>
        <v>0</v>
      </c>
      <c r="K141" s="7">
        <f>+IFERROR(+VLOOKUP(A141,'TB2019-20'!$A$12:$C$414,2,0),0)</f>
        <v>0</v>
      </c>
      <c r="L141" s="7"/>
      <c r="M141" s="7">
        <f t="shared" si="19"/>
        <v>0</v>
      </c>
      <c r="N141" s="7">
        <f>+IFERROR(+VLOOKUP(A141,'TB2019-20'!$A$12:$C$414,3,0),0)</f>
        <v>0</v>
      </c>
      <c r="O141" s="7"/>
      <c r="P141" s="7">
        <f t="shared" si="20"/>
        <v>0</v>
      </c>
    </row>
    <row r="142" spans="1:16" x14ac:dyDescent="0.25">
      <c r="A142" s="8" t="s">
        <v>1366</v>
      </c>
      <c r="B142" s="7">
        <v>12</v>
      </c>
      <c r="C142" s="7" t="s">
        <v>465</v>
      </c>
      <c r="D142" s="14" t="s">
        <v>550</v>
      </c>
      <c r="E142" s="7">
        <f>+IFERROR(+VLOOKUP(A142,'Trial Balance'!$A$12:$C$428,2,0),0)</f>
        <v>0</v>
      </c>
      <c r="F142" s="7"/>
      <c r="G142" s="7">
        <f t="shared" si="17"/>
        <v>0</v>
      </c>
      <c r="H142" s="7">
        <f>+IFERROR(+VLOOKUP(A142,'Trial Balance'!$A$12:$C$428,3,0),0)</f>
        <v>0</v>
      </c>
      <c r="I142" s="7"/>
      <c r="J142" s="7">
        <f t="shared" si="18"/>
        <v>0</v>
      </c>
      <c r="K142" s="7">
        <f>+IFERROR(+VLOOKUP(A142,'TB2019-20'!$A$12:$C$414,2,0),0)</f>
        <v>0</v>
      </c>
      <c r="L142" s="7"/>
      <c r="M142" s="7">
        <f t="shared" si="19"/>
        <v>0</v>
      </c>
      <c r="N142" s="7">
        <f>+IFERROR(+VLOOKUP(A142,'TB2019-20'!$A$12:$C$414,3,0),0)</f>
        <v>0</v>
      </c>
      <c r="O142" s="7"/>
      <c r="P142" s="7">
        <f t="shared" si="20"/>
        <v>0</v>
      </c>
    </row>
    <row r="143" spans="1:16" x14ac:dyDescent="0.25">
      <c r="A143" s="8" t="s">
        <v>1360</v>
      </c>
      <c r="B143" s="7">
        <v>12</v>
      </c>
      <c r="C143" s="7" t="s">
        <v>465</v>
      </c>
      <c r="D143" s="14" t="s">
        <v>550</v>
      </c>
      <c r="E143" s="7">
        <f>+IFERROR(+VLOOKUP(A143,'Trial Balance'!$A$12:$C$428,2,0),0)</f>
        <v>0</v>
      </c>
      <c r="F143" s="7"/>
      <c r="G143" s="7">
        <f t="shared" si="17"/>
        <v>0</v>
      </c>
      <c r="H143" s="7">
        <f>+IFERROR(+VLOOKUP(A143,'Trial Balance'!$A$12:$C$428,3,0),0)</f>
        <v>0</v>
      </c>
      <c r="I143" s="7"/>
      <c r="J143" s="7">
        <f t="shared" si="18"/>
        <v>0</v>
      </c>
      <c r="K143" s="7">
        <f>+IFERROR(+VLOOKUP(A143,'TB2019-20'!$A$12:$C$414,2,0),0)</f>
        <v>0</v>
      </c>
      <c r="L143" s="7"/>
      <c r="M143" s="7">
        <f t="shared" si="19"/>
        <v>0</v>
      </c>
      <c r="N143" s="7">
        <f>+IFERROR(+VLOOKUP(A143,'TB2019-20'!$A$12:$C$414,3,0),0)</f>
        <v>0</v>
      </c>
      <c r="O143" s="7"/>
      <c r="P143" s="7">
        <f t="shared" si="20"/>
        <v>0</v>
      </c>
    </row>
    <row r="144" spans="1:16" x14ac:dyDescent="0.25">
      <c r="A144" s="7" t="s">
        <v>53</v>
      </c>
      <c r="B144" s="7">
        <v>12</v>
      </c>
      <c r="C144" s="7" t="s">
        <v>465</v>
      </c>
      <c r="D144" s="14" t="s">
        <v>550</v>
      </c>
      <c r="E144" s="7">
        <f>+IFERROR(+VLOOKUP(A144,'Trial Balance'!$A$12:$C$428,2,0),0)</f>
        <v>0</v>
      </c>
      <c r="F144" s="7"/>
      <c r="G144" s="7">
        <f t="shared" si="17"/>
        <v>0</v>
      </c>
      <c r="H144" s="7">
        <f>+IFERROR(+VLOOKUP(A144,'Trial Balance'!$A$12:$C$428,3,0),0)</f>
        <v>0</v>
      </c>
      <c r="I144" s="7"/>
      <c r="J144" s="7">
        <f t="shared" si="18"/>
        <v>0</v>
      </c>
      <c r="K144" s="7">
        <f>+IFERROR(+VLOOKUP(A144,'TB2019-20'!$A$12:$C$414,2,0),0)</f>
        <v>0</v>
      </c>
      <c r="L144" s="7"/>
      <c r="M144" s="7">
        <f t="shared" si="19"/>
        <v>0</v>
      </c>
      <c r="N144" s="7">
        <f>+IFERROR(+VLOOKUP(A144,'TB2019-20'!$A$12:$C$414,3,0),0)</f>
        <v>0</v>
      </c>
      <c r="O144" s="7"/>
      <c r="P144" s="7">
        <f t="shared" si="20"/>
        <v>0</v>
      </c>
    </row>
    <row r="145" spans="1:16" x14ac:dyDescent="0.25">
      <c r="A145" s="7" t="s">
        <v>54</v>
      </c>
      <c r="B145" s="7">
        <v>12</v>
      </c>
      <c r="C145" s="7" t="s">
        <v>465</v>
      </c>
      <c r="D145" s="14" t="s">
        <v>550</v>
      </c>
      <c r="E145" s="7">
        <f>+IFERROR(+VLOOKUP(A145,'Trial Balance'!$A$12:$C$428,2,0),0)</f>
        <v>0</v>
      </c>
      <c r="F145" s="7"/>
      <c r="G145" s="7">
        <f t="shared" si="17"/>
        <v>0</v>
      </c>
      <c r="H145" s="7">
        <f>+IFERROR(+VLOOKUP(A145,'Trial Balance'!$A$12:$C$428,3,0),0)</f>
        <v>0</v>
      </c>
      <c r="I145" s="7"/>
      <c r="J145" s="7">
        <f t="shared" si="18"/>
        <v>0</v>
      </c>
      <c r="K145" s="7">
        <f>+IFERROR(+VLOOKUP(A145,'TB2019-20'!$A$12:$C$414,2,0),0)</f>
        <v>0</v>
      </c>
      <c r="L145" s="7"/>
      <c r="M145" s="7">
        <f t="shared" si="19"/>
        <v>0</v>
      </c>
      <c r="N145" s="7">
        <f>+IFERROR(+VLOOKUP(A145,'TB2019-20'!$A$12:$C$414,3,0),0)</f>
        <v>0</v>
      </c>
      <c r="O145" s="7"/>
      <c r="P145" s="7">
        <f t="shared" si="20"/>
        <v>0</v>
      </c>
    </row>
    <row r="146" spans="1:16" x14ac:dyDescent="0.25">
      <c r="A146" s="7" t="s">
        <v>56</v>
      </c>
      <c r="B146" s="7">
        <v>12</v>
      </c>
      <c r="C146" s="7" t="s">
        <v>465</v>
      </c>
      <c r="D146" s="14" t="s">
        <v>550</v>
      </c>
      <c r="E146" s="7">
        <f>+IFERROR(+VLOOKUP(A146,'Trial Balance'!$A$12:$C$428,2,0),0)</f>
        <v>0</v>
      </c>
      <c r="F146" s="7"/>
      <c r="G146" s="7">
        <f t="shared" si="17"/>
        <v>0</v>
      </c>
      <c r="H146" s="7">
        <f>+IFERROR(+VLOOKUP(A146,'Trial Balance'!$A$12:$C$428,3,0),0)</f>
        <v>0</v>
      </c>
      <c r="I146" s="7"/>
      <c r="J146" s="7">
        <f t="shared" si="18"/>
        <v>0</v>
      </c>
      <c r="K146" s="7">
        <f>+IFERROR(+VLOOKUP(A146,'TB2019-20'!$A$12:$C$414,2,0),0)</f>
        <v>0</v>
      </c>
      <c r="L146" s="7"/>
      <c r="M146" s="7">
        <f t="shared" si="19"/>
        <v>0</v>
      </c>
      <c r="N146" s="7">
        <f>+IFERROR(+VLOOKUP(A146,'TB2019-20'!$A$12:$C$414,3,0),0)</f>
        <v>0</v>
      </c>
      <c r="O146" s="7"/>
      <c r="P146" s="7">
        <f t="shared" si="20"/>
        <v>0</v>
      </c>
    </row>
    <row r="147" spans="1:16" x14ac:dyDescent="0.25">
      <c r="A147" s="7" t="s">
        <v>57</v>
      </c>
      <c r="B147" s="7">
        <v>12</v>
      </c>
      <c r="C147" s="7" t="s">
        <v>465</v>
      </c>
      <c r="D147" s="14" t="s">
        <v>550</v>
      </c>
      <c r="E147" s="7">
        <f>+IFERROR(+VLOOKUP(A147,'Trial Balance'!$A$12:$C$428,2,0),0)</f>
        <v>0</v>
      </c>
      <c r="F147" s="7"/>
      <c r="G147" s="7">
        <f t="shared" si="17"/>
        <v>0</v>
      </c>
      <c r="H147" s="7">
        <f>+IFERROR(+VLOOKUP(A147,'Trial Balance'!$A$12:$C$428,3,0),0)</f>
        <v>0</v>
      </c>
      <c r="I147" s="7"/>
      <c r="J147" s="7">
        <f t="shared" si="18"/>
        <v>0</v>
      </c>
      <c r="K147" s="7">
        <f>+IFERROR(+VLOOKUP(A147,'TB2019-20'!$A$12:$C$414,2,0),0)</f>
        <v>0</v>
      </c>
      <c r="L147" s="7"/>
      <c r="M147" s="7">
        <f t="shared" si="19"/>
        <v>0</v>
      </c>
      <c r="N147" s="7">
        <f>+IFERROR(+VLOOKUP(A147,'TB2019-20'!$A$12:$C$414,3,0),0)</f>
        <v>0</v>
      </c>
      <c r="O147" s="7"/>
      <c r="P147" s="7">
        <f t="shared" si="20"/>
        <v>0</v>
      </c>
    </row>
    <row r="148" spans="1:16" x14ac:dyDescent="0.25">
      <c r="A148" s="7" t="s">
        <v>58</v>
      </c>
      <c r="B148" s="7">
        <v>12</v>
      </c>
      <c r="C148" s="7" t="s">
        <v>465</v>
      </c>
      <c r="D148" s="14" t="s">
        <v>550</v>
      </c>
      <c r="E148" s="7">
        <f>+IFERROR(+VLOOKUP(A148,'Trial Balance'!$A$12:$C$428,2,0),0)</f>
        <v>0</v>
      </c>
      <c r="F148" s="7"/>
      <c r="G148" s="7">
        <f t="shared" si="17"/>
        <v>0</v>
      </c>
      <c r="H148" s="7">
        <f>+IFERROR(+VLOOKUP(A148,'Trial Balance'!$A$12:$C$428,3,0),0)</f>
        <v>0</v>
      </c>
      <c r="I148" s="7"/>
      <c r="J148" s="7">
        <f t="shared" si="18"/>
        <v>0</v>
      </c>
      <c r="K148" s="7">
        <f>+IFERROR(+VLOOKUP(A148,'TB2019-20'!$A$12:$C$414,2,0),0)</f>
        <v>0</v>
      </c>
      <c r="L148" s="7"/>
      <c r="M148" s="7">
        <f t="shared" si="19"/>
        <v>0</v>
      </c>
      <c r="N148" s="7">
        <f>+IFERROR(+VLOOKUP(A148,'TB2019-20'!$A$12:$C$414,3,0),0)</f>
        <v>0</v>
      </c>
      <c r="O148" s="7"/>
      <c r="P148" s="7">
        <f t="shared" si="20"/>
        <v>0</v>
      </c>
    </row>
    <row r="149" spans="1:16" x14ac:dyDescent="0.25">
      <c r="A149" s="7" t="s">
        <v>59</v>
      </c>
      <c r="B149" s="7">
        <v>12</v>
      </c>
      <c r="C149" s="7" t="s">
        <v>465</v>
      </c>
      <c r="D149" s="14" t="s">
        <v>550</v>
      </c>
      <c r="E149" s="7">
        <f>+IFERROR(+VLOOKUP(A149,'Trial Balance'!$A$12:$C$428,2,0),0)</f>
        <v>0</v>
      </c>
      <c r="F149" s="7"/>
      <c r="G149" s="7">
        <f t="shared" si="17"/>
        <v>0</v>
      </c>
      <c r="H149" s="7">
        <f>+IFERROR(+VLOOKUP(A149,'Trial Balance'!$A$12:$C$428,3,0),0)</f>
        <v>0</v>
      </c>
      <c r="I149" s="7"/>
      <c r="J149" s="7">
        <f t="shared" si="18"/>
        <v>0</v>
      </c>
      <c r="K149" s="7">
        <f>+IFERROR(+VLOOKUP(A149,'TB2019-20'!$A$12:$C$414,2,0),0)</f>
        <v>0</v>
      </c>
      <c r="L149" s="7"/>
      <c r="M149" s="7">
        <f t="shared" si="19"/>
        <v>0</v>
      </c>
      <c r="N149" s="7">
        <f>+IFERROR(+VLOOKUP(A149,'TB2019-20'!$A$12:$C$414,3,0),0)</f>
        <v>0</v>
      </c>
      <c r="O149" s="7"/>
      <c r="P149" s="7">
        <f t="shared" si="20"/>
        <v>0</v>
      </c>
    </row>
    <row r="150" spans="1:16" x14ac:dyDescent="0.25">
      <c r="A150" s="7" t="s">
        <v>60</v>
      </c>
      <c r="B150" s="7">
        <v>12</v>
      </c>
      <c r="C150" s="7" t="s">
        <v>465</v>
      </c>
      <c r="D150" s="14" t="s">
        <v>550</v>
      </c>
      <c r="E150" s="7">
        <f>+IFERROR(+VLOOKUP(A150,'Trial Balance'!$A$12:$C$428,2,0),0)</f>
        <v>0</v>
      </c>
      <c r="F150" s="7"/>
      <c r="G150" s="7">
        <f t="shared" si="17"/>
        <v>0</v>
      </c>
      <c r="H150" s="7">
        <f>+IFERROR(+VLOOKUP(A150,'Trial Balance'!$A$12:$C$428,3,0),0)</f>
        <v>0</v>
      </c>
      <c r="I150" s="7"/>
      <c r="J150" s="7">
        <f t="shared" si="18"/>
        <v>0</v>
      </c>
      <c r="K150" s="7">
        <f>+IFERROR(+VLOOKUP(A150,'TB2019-20'!$A$12:$C$414,2,0),0)</f>
        <v>0</v>
      </c>
      <c r="L150" s="7"/>
      <c r="M150" s="7">
        <f t="shared" si="19"/>
        <v>0</v>
      </c>
      <c r="N150" s="7">
        <f>+IFERROR(+VLOOKUP(A150,'TB2019-20'!$A$12:$C$414,3,0),0)</f>
        <v>0</v>
      </c>
      <c r="O150" s="7"/>
      <c r="P150" s="7">
        <f t="shared" si="20"/>
        <v>0</v>
      </c>
    </row>
    <row r="151" spans="1:16" x14ac:dyDescent="0.25">
      <c r="A151" s="7" t="s">
        <v>61</v>
      </c>
      <c r="B151" s="7">
        <v>12</v>
      </c>
      <c r="C151" s="7" t="s">
        <v>465</v>
      </c>
      <c r="D151" s="14" t="s">
        <v>550</v>
      </c>
      <c r="E151" s="7">
        <f>+IFERROR(+VLOOKUP(A151,'Trial Balance'!$A$12:$C$428,2,0),0)</f>
        <v>0</v>
      </c>
      <c r="F151" s="7"/>
      <c r="G151" s="7">
        <f t="shared" si="17"/>
        <v>0</v>
      </c>
      <c r="H151" s="7">
        <f>+IFERROR(+VLOOKUP(A151,'Trial Balance'!$A$12:$C$428,3,0),0)</f>
        <v>0</v>
      </c>
      <c r="I151" s="7"/>
      <c r="J151" s="7">
        <f t="shared" si="18"/>
        <v>0</v>
      </c>
      <c r="K151" s="7">
        <f>+IFERROR(+VLOOKUP(A151,'TB2019-20'!$A$12:$C$414,2,0),0)</f>
        <v>0</v>
      </c>
      <c r="L151" s="7"/>
      <c r="M151" s="7">
        <f t="shared" si="19"/>
        <v>0</v>
      </c>
      <c r="N151" s="7">
        <f>+IFERROR(+VLOOKUP(A151,'TB2019-20'!$A$12:$C$414,3,0),0)</f>
        <v>0</v>
      </c>
      <c r="O151" s="7"/>
      <c r="P151" s="7">
        <f t="shared" si="20"/>
        <v>0</v>
      </c>
    </row>
    <row r="152" spans="1:16" x14ac:dyDescent="0.25">
      <c r="A152" s="7" t="s">
        <v>62</v>
      </c>
      <c r="B152" s="7">
        <v>12</v>
      </c>
      <c r="C152" s="7" t="s">
        <v>465</v>
      </c>
      <c r="D152" s="14" t="s">
        <v>550</v>
      </c>
      <c r="E152" s="7">
        <f>+IFERROR(+VLOOKUP(A152,'Trial Balance'!$A$12:$C$428,2,0),0)</f>
        <v>0</v>
      </c>
      <c r="F152" s="7"/>
      <c r="G152" s="7">
        <f t="shared" si="17"/>
        <v>0</v>
      </c>
      <c r="H152" s="7">
        <f>+IFERROR(+VLOOKUP(A152,'Trial Balance'!$A$12:$C$428,3,0),0)</f>
        <v>0</v>
      </c>
      <c r="I152" s="7"/>
      <c r="J152" s="7">
        <f t="shared" si="18"/>
        <v>0</v>
      </c>
      <c r="K152" s="7">
        <f>+IFERROR(+VLOOKUP(A152,'TB2019-20'!$A$12:$C$414,2,0),0)</f>
        <v>0</v>
      </c>
      <c r="L152" s="7"/>
      <c r="M152" s="7">
        <f t="shared" si="19"/>
        <v>0</v>
      </c>
      <c r="N152" s="7">
        <f>+IFERROR(+VLOOKUP(A152,'TB2019-20'!$A$12:$C$414,3,0),0)</f>
        <v>0</v>
      </c>
      <c r="O152" s="7"/>
      <c r="P152" s="7">
        <f t="shared" si="20"/>
        <v>0</v>
      </c>
    </row>
    <row r="153" spans="1:16" x14ac:dyDescent="0.25">
      <c r="A153" s="7" t="s">
        <v>63</v>
      </c>
      <c r="B153" s="7">
        <v>12</v>
      </c>
      <c r="C153" s="7" t="s">
        <v>465</v>
      </c>
      <c r="D153" s="14" t="s">
        <v>550</v>
      </c>
      <c r="E153" s="7">
        <f>+IFERROR(+VLOOKUP(A153,'Trial Balance'!$A$12:$C$428,2,0),0)</f>
        <v>0</v>
      </c>
      <c r="F153" s="7"/>
      <c r="G153" s="7">
        <f t="shared" si="17"/>
        <v>0</v>
      </c>
      <c r="H153" s="7">
        <f>+IFERROR(+VLOOKUP(A153,'Trial Balance'!$A$12:$C$428,3,0),0)</f>
        <v>0</v>
      </c>
      <c r="I153" s="7"/>
      <c r="J153" s="7">
        <f t="shared" si="18"/>
        <v>0</v>
      </c>
      <c r="K153" s="7">
        <f>+IFERROR(+VLOOKUP(A153,'TB2019-20'!$A$12:$C$414,2,0),0)</f>
        <v>0</v>
      </c>
      <c r="L153" s="7"/>
      <c r="M153" s="7">
        <f t="shared" si="19"/>
        <v>0</v>
      </c>
      <c r="N153" s="7">
        <f>+IFERROR(+VLOOKUP(A153,'TB2019-20'!$A$12:$C$414,3,0),0)</f>
        <v>0</v>
      </c>
      <c r="O153" s="7"/>
      <c r="P153" s="7">
        <f t="shared" si="20"/>
        <v>0</v>
      </c>
    </row>
    <row r="154" spans="1:16" x14ac:dyDescent="0.25">
      <c r="A154" s="7" t="s">
        <v>64</v>
      </c>
      <c r="B154" s="7">
        <v>12</v>
      </c>
      <c r="C154" s="7" t="s">
        <v>465</v>
      </c>
      <c r="D154" s="14" t="s">
        <v>550</v>
      </c>
      <c r="E154" s="7">
        <f>+IFERROR(+VLOOKUP(A154,'Trial Balance'!$A$12:$C$428,2,0),0)</f>
        <v>0</v>
      </c>
      <c r="F154" s="7"/>
      <c r="G154" s="7">
        <f t="shared" si="17"/>
        <v>0</v>
      </c>
      <c r="H154" s="7">
        <f>+IFERROR(+VLOOKUP(A154,'Trial Balance'!$A$12:$C$428,3,0),0)</f>
        <v>0</v>
      </c>
      <c r="I154" s="7"/>
      <c r="J154" s="7">
        <f t="shared" si="18"/>
        <v>0</v>
      </c>
      <c r="K154" s="7">
        <f>+IFERROR(+VLOOKUP(A154,'TB2019-20'!$A$12:$C$414,2,0),0)</f>
        <v>0</v>
      </c>
      <c r="L154" s="7"/>
      <c r="M154" s="7">
        <f t="shared" si="19"/>
        <v>0</v>
      </c>
      <c r="N154" s="7">
        <f>+IFERROR(+VLOOKUP(A154,'TB2019-20'!$A$12:$C$414,3,0),0)</f>
        <v>0</v>
      </c>
      <c r="O154" s="7"/>
      <c r="P154" s="7">
        <f t="shared" si="20"/>
        <v>0</v>
      </c>
    </row>
    <row r="155" spans="1:16" x14ac:dyDescent="0.25">
      <c r="A155" s="7" t="s">
        <v>65</v>
      </c>
      <c r="B155" s="7">
        <v>12</v>
      </c>
      <c r="C155" s="7" t="s">
        <v>465</v>
      </c>
      <c r="D155" s="14" t="s">
        <v>550</v>
      </c>
      <c r="E155" s="7">
        <f>+IFERROR(+VLOOKUP(A155,'Trial Balance'!$A$12:$C$428,2,0),0)</f>
        <v>0</v>
      </c>
      <c r="F155" s="7"/>
      <c r="G155" s="7">
        <f t="shared" si="17"/>
        <v>0</v>
      </c>
      <c r="H155" s="7">
        <f>+IFERROR(+VLOOKUP(A155,'Trial Balance'!$A$12:$C$428,3,0),0)</f>
        <v>0</v>
      </c>
      <c r="I155" s="7"/>
      <c r="J155" s="7">
        <f t="shared" si="18"/>
        <v>0</v>
      </c>
      <c r="K155" s="7">
        <f>+IFERROR(+VLOOKUP(A155,'TB2019-20'!$A$12:$C$414,2,0),0)</f>
        <v>0</v>
      </c>
      <c r="L155" s="7"/>
      <c r="M155" s="7">
        <f t="shared" si="19"/>
        <v>0</v>
      </c>
      <c r="N155" s="7">
        <f>+IFERROR(+VLOOKUP(A155,'TB2019-20'!$A$12:$C$414,3,0),0)</f>
        <v>0</v>
      </c>
      <c r="O155" s="7"/>
      <c r="P155" s="7">
        <f t="shared" si="20"/>
        <v>0</v>
      </c>
    </row>
    <row r="156" spans="1:16" x14ac:dyDescent="0.25">
      <c r="A156" s="7" t="s">
        <v>68</v>
      </c>
      <c r="B156" s="7">
        <v>12</v>
      </c>
      <c r="C156" s="7" t="s">
        <v>465</v>
      </c>
      <c r="D156" s="14" t="s">
        <v>550</v>
      </c>
      <c r="E156" s="7">
        <f>+IFERROR(+VLOOKUP(A156,'Trial Balance'!$A$12:$C$428,2,0),0)</f>
        <v>0</v>
      </c>
      <c r="F156" s="7"/>
      <c r="G156" s="7">
        <f t="shared" si="17"/>
        <v>0</v>
      </c>
      <c r="H156" s="7">
        <f>+IFERROR(+VLOOKUP(A156,'Trial Balance'!$A$12:$C$428,3,0),0)</f>
        <v>0</v>
      </c>
      <c r="I156" s="7"/>
      <c r="J156" s="7">
        <f t="shared" si="18"/>
        <v>0</v>
      </c>
      <c r="K156" s="7">
        <f>+IFERROR(+VLOOKUP(A156,'TB2019-20'!$A$12:$C$414,2,0),0)</f>
        <v>0</v>
      </c>
      <c r="L156" s="7"/>
      <c r="M156" s="7">
        <f t="shared" si="19"/>
        <v>0</v>
      </c>
      <c r="N156" s="7">
        <f>+IFERROR(+VLOOKUP(A156,'TB2019-20'!$A$12:$C$414,3,0),0)</f>
        <v>0</v>
      </c>
      <c r="O156" s="7"/>
      <c r="P156" s="7">
        <f t="shared" si="20"/>
        <v>0</v>
      </c>
    </row>
    <row r="157" spans="1:16" x14ac:dyDescent="0.25">
      <c r="A157" s="7" t="s">
        <v>69</v>
      </c>
      <c r="B157" s="7">
        <v>12</v>
      </c>
      <c r="C157" s="7" t="s">
        <v>465</v>
      </c>
      <c r="D157" s="14" t="s">
        <v>550</v>
      </c>
      <c r="E157" s="7">
        <f>+IFERROR(+VLOOKUP(A157,'Trial Balance'!$A$12:$C$428,2,0),0)</f>
        <v>0</v>
      </c>
      <c r="F157" s="7"/>
      <c r="G157" s="7">
        <f t="shared" si="17"/>
        <v>0</v>
      </c>
      <c r="H157" s="7">
        <f>+IFERROR(+VLOOKUP(A157,'Trial Balance'!$A$12:$C$428,3,0),0)</f>
        <v>0</v>
      </c>
      <c r="I157" s="7"/>
      <c r="J157" s="7">
        <f t="shared" si="18"/>
        <v>0</v>
      </c>
      <c r="K157" s="7">
        <f>+IFERROR(+VLOOKUP(A157,'TB2019-20'!$A$12:$C$414,2,0),0)</f>
        <v>0</v>
      </c>
      <c r="L157" s="7"/>
      <c r="M157" s="7">
        <f t="shared" si="19"/>
        <v>0</v>
      </c>
      <c r="N157" s="7">
        <f>+IFERROR(+VLOOKUP(A157,'TB2019-20'!$A$12:$C$414,3,0),0)</f>
        <v>0</v>
      </c>
      <c r="O157" s="7"/>
      <c r="P157" s="7">
        <f t="shared" si="20"/>
        <v>0</v>
      </c>
    </row>
    <row r="158" spans="1:16" x14ac:dyDescent="0.25">
      <c r="A158" s="7" t="s">
        <v>70</v>
      </c>
      <c r="B158" s="7">
        <v>12</v>
      </c>
      <c r="C158" s="7" t="s">
        <v>465</v>
      </c>
      <c r="D158" s="14" t="s">
        <v>550</v>
      </c>
      <c r="E158" s="7">
        <f>+IFERROR(+VLOOKUP(A158,'Trial Balance'!$A$12:$C$428,2,0),0)</f>
        <v>0</v>
      </c>
      <c r="F158" s="7"/>
      <c r="G158" s="7">
        <f t="shared" si="17"/>
        <v>0</v>
      </c>
      <c r="H158" s="7">
        <f>+IFERROR(+VLOOKUP(A158,'Trial Balance'!$A$12:$C$428,3,0),0)</f>
        <v>0</v>
      </c>
      <c r="I158" s="7"/>
      <c r="J158" s="7">
        <f t="shared" si="18"/>
        <v>0</v>
      </c>
      <c r="K158" s="7">
        <f>+IFERROR(+VLOOKUP(A158,'TB2019-20'!$A$12:$C$414,2,0),0)</f>
        <v>0</v>
      </c>
      <c r="L158" s="7"/>
      <c r="M158" s="7">
        <f t="shared" si="19"/>
        <v>0</v>
      </c>
      <c r="N158" s="7">
        <f>+IFERROR(+VLOOKUP(A158,'TB2019-20'!$A$12:$C$414,3,0),0)</f>
        <v>0</v>
      </c>
      <c r="O158" s="7"/>
      <c r="P158" s="7">
        <f t="shared" si="20"/>
        <v>0</v>
      </c>
    </row>
    <row r="159" spans="1:16" x14ac:dyDescent="0.25">
      <c r="A159" s="7" t="s">
        <v>547</v>
      </c>
      <c r="B159" s="7">
        <v>12</v>
      </c>
      <c r="C159" s="7" t="s">
        <v>465</v>
      </c>
      <c r="D159" s="14" t="s">
        <v>550</v>
      </c>
      <c r="E159" s="7">
        <f>+IFERROR(+VLOOKUP(A159,'Trial Balance'!$A$12:$C$428,2,0),0)</f>
        <v>0</v>
      </c>
      <c r="F159" s="7"/>
      <c r="G159" s="7">
        <f t="shared" si="17"/>
        <v>0</v>
      </c>
      <c r="H159" s="7">
        <f>+IFERROR(+VLOOKUP(A159,'Trial Balance'!$A$12:$C$428,3,0),0)</f>
        <v>0</v>
      </c>
      <c r="I159" s="7"/>
      <c r="J159" s="7">
        <f t="shared" si="18"/>
        <v>0</v>
      </c>
      <c r="K159" s="7">
        <f>+IFERROR(+VLOOKUP(A159,'TB2019-20'!$A$12:$C$414,2,0),0)</f>
        <v>0</v>
      </c>
      <c r="L159" s="7"/>
      <c r="M159" s="7">
        <f t="shared" si="19"/>
        <v>0</v>
      </c>
      <c r="N159" s="7">
        <f>+IFERROR(+VLOOKUP(A159,'TB2019-20'!$A$12:$C$414,3,0),0)</f>
        <v>0</v>
      </c>
      <c r="O159" s="7"/>
      <c r="P159" s="7">
        <f t="shared" si="20"/>
        <v>0</v>
      </c>
    </row>
    <row r="160" spans="1:16" x14ac:dyDescent="0.25">
      <c r="A160" s="8" t="s">
        <v>352</v>
      </c>
      <c r="B160" s="7">
        <v>12</v>
      </c>
      <c r="C160" s="7" t="s">
        <v>465</v>
      </c>
      <c r="D160" s="14" t="s">
        <v>550</v>
      </c>
      <c r="E160" s="7">
        <f>+IFERROR(+VLOOKUP(A160,'Trial Balance'!$A$12:$C$428,2,0),0)</f>
        <v>0</v>
      </c>
      <c r="F160" s="7"/>
      <c r="G160" s="7">
        <f t="shared" si="17"/>
        <v>0</v>
      </c>
      <c r="H160" s="7">
        <f>+IFERROR(+VLOOKUP(A160,'Trial Balance'!$A$12:$C$428,3,0),0)</f>
        <v>0</v>
      </c>
      <c r="I160" s="7"/>
      <c r="J160" s="7">
        <f t="shared" si="18"/>
        <v>0</v>
      </c>
      <c r="K160" s="7">
        <f>+IFERROR(+VLOOKUP(A160,'TB2019-20'!$A$12:$C$414,2,0),0)</f>
        <v>0</v>
      </c>
      <c r="L160" s="7"/>
      <c r="M160" s="7">
        <f t="shared" si="19"/>
        <v>0</v>
      </c>
      <c r="N160" s="7">
        <f>+IFERROR(+VLOOKUP(A160,'TB2019-20'!$A$12:$C$414,3,0),0)</f>
        <v>0</v>
      </c>
      <c r="O160" s="7"/>
      <c r="P160" s="7">
        <f t="shared" si="20"/>
        <v>0</v>
      </c>
    </row>
    <row r="161" spans="1:16" x14ac:dyDescent="0.25">
      <c r="A161" s="8" t="s">
        <v>350</v>
      </c>
      <c r="B161" s="7">
        <v>12</v>
      </c>
      <c r="C161" s="7" t="s">
        <v>465</v>
      </c>
      <c r="D161" s="14" t="s">
        <v>550</v>
      </c>
      <c r="E161" s="7">
        <f>+IFERROR(+VLOOKUP(A161,'Trial Balance'!$A$12:$C$428,2,0),0)</f>
        <v>0</v>
      </c>
      <c r="F161" s="7"/>
      <c r="G161" s="7">
        <f t="shared" si="17"/>
        <v>0</v>
      </c>
      <c r="H161" s="7">
        <f>+IFERROR(+VLOOKUP(A161,'Trial Balance'!$A$12:$C$428,3,0),0)</f>
        <v>0</v>
      </c>
      <c r="I161" s="7"/>
      <c r="J161" s="7">
        <f t="shared" si="18"/>
        <v>0</v>
      </c>
      <c r="K161" s="7">
        <f>+IFERROR(+VLOOKUP(A161,'TB2019-20'!$A$12:$C$414,2,0),0)</f>
        <v>0</v>
      </c>
      <c r="L161" s="7"/>
      <c r="M161" s="7">
        <f t="shared" si="19"/>
        <v>0</v>
      </c>
      <c r="N161" s="7">
        <f>+IFERROR(+VLOOKUP(A161,'TB2019-20'!$A$12:$C$414,3,0),0)</f>
        <v>0</v>
      </c>
      <c r="O161" s="7"/>
      <c r="P161" s="7">
        <f t="shared" si="20"/>
        <v>0</v>
      </c>
    </row>
    <row r="162" spans="1:16" x14ac:dyDescent="0.25">
      <c r="A162" s="8" t="s">
        <v>351</v>
      </c>
      <c r="B162" s="7">
        <v>12</v>
      </c>
      <c r="C162" s="7" t="s">
        <v>465</v>
      </c>
      <c r="D162" s="14" t="s">
        <v>550</v>
      </c>
      <c r="E162" s="7">
        <f>+IFERROR(+VLOOKUP(A162,'Trial Balance'!$A$12:$C$428,2,0),0)</f>
        <v>0</v>
      </c>
      <c r="F162" s="7"/>
      <c r="G162" s="7">
        <f t="shared" si="17"/>
        <v>0</v>
      </c>
      <c r="H162" s="7">
        <f>+IFERROR(+VLOOKUP(A162,'Trial Balance'!$A$12:$C$428,3,0),0)</f>
        <v>0</v>
      </c>
      <c r="I162" s="7"/>
      <c r="J162" s="7">
        <f t="shared" si="18"/>
        <v>0</v>
      </c>
      <c r="K162" s="7">
        <f>+IFERROR(+VLOOKUP(A162,'TB2019-20'!$A$12:$C$414,2,0),0)</f>
        <v>0</v>
      </c>
      <c r="L162" s="7"/>
      <c r="M162" s="7">
        <f t="shared" si="19"/>
        <v>0</v>
      </c>
      <c r="N162" s="7">
        <f>+IFERROR(+VLOOKUP(A162,'TB2019-20'!$A$12:$C$414,3,0),0)</f>
        <v>0</v>
      </c>
      <c r="O162" s="7"/>
      <c r="P162" s="7">
        <f t="shared" si="20"/>
        <v>0</v>
      </c>
    </row>
    <row r="163" spans="1:16" x14ac:dyDescent="0.25">
      <c r="A163" s="8" t="s">
        <v>353</v>
      </c>
      <c r="B163" s="7">
        <v>12</v>
      </c>
      <c r="C163" s="7" t="s">
        <v>465</v>
      </c>
      <c r="D163" s="14" t="s">
        <v>550</v>
      </c>
      <c r="E163" s="7">
        <f>+IFERROR(+VLOOKUP(A163,'Trial Balance'!$A$12:$C$428,2,0),0)</f>
        <v>0</v>
      </c>
      <c r="F163" s="7"/>
      <c r="G163" s="7">
        <f t="shared" si="17"/>
        <v>0</v>
      </c>
      <c r="H163" s="7">
        <f>+IFERROR(+VLOOKUP(A163,'Trial Balance'!$A$12:$C$428,3,0),0)</f>
        <v>0</v>
      </c>
      <c r="I163" s="7"/>
      <c r="J163" s="7">
        <f t="shared" si="18"/>
        <v>0</v>
      </c>
      <c r="K163" s="7">
        <f>+IFERROR(+VLOOKUP(A163,'TB2019-20'!$A$12:$C$414,2,0),0)</f>
        <v>0</v>
      </c>
      <c r="L163" s="7"/>
      <c r="M163" s="7">
        <f t="shared" si="19"/>
        <v>0</v>
      </c>
      <c r="N163" s="7">
        <f>+IFERROR(+VLOOKUP(A163,'TB2019-20'!$A$12:$C$414,3,0),0)</f>
        <v>0</v>
      </c>
      <c r="O163" s="7"/>
      <c r="P163" s="7">
        <f t="shared" si="20"/>
        <v>0</v>
      </c>
    </row>
    <row r="164" spans="1:16" x14ac:dyDescent="0.25">
      <c r="A164" s="8" t="s">
        <v>354</v>
      </c>
      <c r="B164" s="7">
        <v>12</v>
      </c>
      <c r="C164" s="7" t="s">
        <v>465</v>
      </c>
      <c r="D164" s="14" t="s">
        <v>550</v>
      </c>
      <c r="E164" s="7">
        <f>+IFERROR(+VLOOKUP(A164,'Trial Balance'!$A$12:$C$428,2,0),0)</f>
        <v>0</v>
      </c>
      <c r="F164" s="7"/>
      <c r="G164" s="7">
        <f t="shared" si="17"/>
        <v>0</v>
      </c>
      <c r="H164" s="7">
        <f>+IFERROR(+VLOOKUP(A164,'Trial Balance'!$A$12:$C$428,3,0),0)</f>
        <v>0</v>
      </c>
      <c r="I164" s="7"/>
      <c r="J164" s="7">
        <f t="shared" si="18"/>
        <v>0</v>
      </c>
      <c r="K164" s="7">
        <f>+IFERROR(+VLOOKUP(A164,'TB2019-20'!$A$12:$C$414,2,0),0)</f>
        <v>0</v>
      </c>
      <c r="L164" s="7"/>
      <c r="M164" s="7">
        <f t="shared" si="19"/>
        <v>0</v>
      </c>
      <c r="N164" s="7">
        <f>+IFERROR(+VLOOKUP(A164,'TB2019-20'!$A$12:$C$414,3,0),0)</f>
        <v>0</v>
      </c>
      <c r="O164" s="7"/>
      <c r="P164" s="7">
        <f t="shared" si="20"/>
        <v>0</v>
      </c>
    </row>
    <row r="165" spans="1:16" x14ac:dyDescent="0.25">
      <c r="A165" s="8" t="s">
        <v>355</v>
      </c>
      <c r="B165" s="7">
        <v>12</v>
      </c>
      <c r="C165" s="7" t="s">
        <v>465</v>
      </c>
      <c r="D165" s="14" t="s">
        <v>550</v>
      </c>
      <c r="E165" s="7">
        <f>+IFERROR(+VLOOKUP(A165,'Trial Balance'!$A$12:$C$428,2,0),0)</f>
        <v>0</v>
      </c>
      <c r="F165" s="7"/>
      <c r="G165" s="7">
        <f t="shared" si="17"/>
        <v>0</v>
      </c>
      <c r="H165" s="7">
        <f>+IFERROR(+VLOOKUP(A165,'Trial Balance'!$A$12:$C$428,3,0),0)</f>
        <v>0</v>
      </c>
      <c r="I165" s="7"/>
      <c r="J165" s="7">
        <f t="shared" si="18"/>
        <v>0</v>
      </c>
      <c r="K165" s="7">
        <f>+IFERROR(+VLOOKUP(A165,'TB2019-20'!$A$12:$C$414,2,0),0)</f>
        <v>0</v>
      </c>
      <c r="L165" s="7"/>
      <c r="M165" s="7">
        <f t="shared" si="19"/>
        <v>0</v>
      </c>
      <c r="N165" s="7">
        <f>+IFERROR(+VLOOKUP(A165,'TB2019-20'!$A$12:$C$414,3,0),0)</f>
        <v>0</v>
      </c>
      <c r="O165" s="7"/>
      <c r="P165" s="7">
        <f t="shared" si="20"/>
        <v>0</v>
      </c>
    </row>
    <row r="166" spans="1:16" x14ac:dyDescent="0.25">
      <c r="A166" s="8" t="s">
        <v>356</v>
      </c>
      <c r="B166" s="7">
        <v>12</v>
      </c>
      <c r="C166" s="7" t="s">
        <v>465</v>
      </c>
      <c r="D166" s="14" t="s">
        <v>550</v>
      </c>
      <c r="E166" s="7">
        <f>+IFERROR(+VLOOKUP(A166,'Trial Balance'!$A$12:$C$428,2,0),0)</f>
        <v>0</v>
      </c>
      <c r="F166" s="7"/>
      <c r="G166" s="7">
        <f t="shared" si="17"/>
        <v>0</v>
      </c>
      <c r="H166" s="7">
        <f>+IFERROR(+VLOOKUP(A166,'Trial Balance'!$A$12:$C$428,3,0),0)</f>
        <v>0</v>
      </c>
      <c r="I166" s="7"/>
      <c r="J166" s="7">
        <f t="shared" si="18"/>
        <v>0</v>
      </c>
      <c r="K166" s="7">
        <f>+IFERROR(+VLOOKUP(A166,'TB2019-20'!$A$12:$C$414,2,0),0)</f>
        <v>0</v>
      </c>
      <c r="L166" s="7"/>
      <c r="M166" s="7">
        <f t="shared" si="19"/>
        <v>0</v>
      </c>
      <c r="N166" s="7">
        <f>+IFERROR(+VLOOKUP(A166,'TB2019-20'!$A$12:$C$414,3,0),0)</f>
        <v>0</v>
      </c>
      <c r="O166" s="7"/>
      <c r="P166" s="7">
        <f t="shared" si="20"/>
        <v>0</v>
      </c>
    </row>
    <row r="167" spans="1:16" x14ac:dyDescent="0.25">
      <c r="A167" s="8" t="s">
        <v>357</v>
      </c>
      <c r="B167" s="7">
        <v>12</v>
      </c>
      <c r="C167" s="7" t="s">
        <v>465</v>
      </c>
      <c r="D167" s="14" t="s">
        <v>550</v>
      </c>
      <c r="E167" s="7">
        <f>+IFERROR(+VLOOKUP(A167,'Trial Balance'!$A$12:$C$428,2,0),0)</f>
        <v>0</v>
      </c>
      <c r="F167" s="7"/>
      <c r="G167" s="7">
        <f t="shared" si="17"/>
        <v>0</v>
      </c>
      <c r="H167" s="7">
        <f>+IFERROR(+VLOOKUP(A167,'Trial Balance'!$A$12:$C$428,3,0),0)</f>
        <v>0</v>
      </c>
      <c r="I167" s="7"/>
      <c r="J167" s="7">
        <f t="shared" si="18"/>
        <v>0</v>
      </c>
      <c r="K167" s="7">
        <f>+IFERROR(+VLOOKUP(A167,'TB2019-20'!$A$12:$C$414,2,0),0)</f>
        <v>0</v>
      </c>
      <c r="L167" s="7"/>
      <c r="M167" s="7">
        <f t="shared" si="19"/>
        <v>0</v>
      </c>
      <c r="N167" s="7">
        <f>+IFERROR(+VLOOKUP(A167,'TB2019-20'!$A$12:$C$414,3,0),0)</f>
        <v>0</v>
      </c>
      <c r="O167" s="7"/>
      <c r="P167" s="7">
        <f t="shared" si="20"/>
        <v>0</v>
      </c>
    </row>
    <row r="168" spans="1:16" x14ac:dyDescent="0.25">
      <c r="A168" s="8" t="s">
        <v>358</v>
      </c>
      <c r="B168" s="7">
        <v>12</v>
      </c>
      <c r="C168" s="7" t="s">
        <v>465</v>
      </c>
      <c r="D168" s="14" t="s">
        <v>550</v>
      </c>
      <c r="E168" s="7">
        <f>+IFERROR(+VLOOKUP(A168,'Trial Balance'!$A$12:$C$428,2,0),0)</f>
        <v>0</v>
      </c>
      <c r="F168" s="7"/>
      <c r="G168" s="7">
        <f t="shared" si="17"/>
        <v>0</v>
      </c>
      <c r="H168" s="7">
        <f>+IFERROR(+VLOOKUP(A168,'Trial Balance'!$A$12:$C$428,3,0),0)</f>
        <v>0</v>
      </c>
      <c r="I168" s="7"/>
      <c r="J168" s="7">
        <f t="shared" si="18"/>
        <v>0</v>
      </c>
      <c r="K168" s="7">
        <f>+IFERROR(+VLOOKUP(A168,'TB2019-20'!$A$12:$C$414,2,0),0)</f>
        <v>0</v>
      </c>
      <c r="L168" s="7"/>
      <c r="M168" s="7">
        <f t="shared" si="19"/>
        <v>0</v>
      </c>
      <c r="N168" s="7">
        <f>+IFERROR(+VLOOKUP(A168,'TB2019-20'!$A$12:$C$414,3,0),0)</f>
        <v>0</v>
      </c>
      <c r="O168" s="7"/>
      <c r="P168" s="7">
        <f t="shared" si="20"/>
        <v>0</v>
      </c>
    </row>
    <row r="169" spans="1:16" x14ac:dyDescent="0.25">
      <c r="A169" s="8" t="s">
        <v>359</v>
      </c>
      <c r="B169" s="7">
        <v>12</v>
      </c>
      <c r="C169" s="7" t="s">
        <v>465</v>
      </c>
      <c r="D169" s="14" t="s">
        <v>550</v>
      </c>
      <c r="E169" s="7">
        <f>+IFERROR(+VLOOKUP(A169,'Trial Balance'!$A$12:$C$428,2,0),0)</f>
        <v>0</v>
      </c>
      <c r="F169" s="7"/>
      <c r="G169" s="7">
        <f t="shared" si="17"/>
        <v>0</v>
      </c>
      <c r="H169" s="7">
        <f>+IFERROR(+VLOOKUP(A169,'Trial Balance'!$A$12:$C$428,3,0),0)</f>
        <v>0</v>
      </c>
      <c r="I169" s="7"/>
      <c r="J169" s="7">
        <f t="shared" si="18"/>
        <v>0</v>
      </c>
      <c r="K169" s="7">
        <f>+IFERROR(+VLOOKUP(A169,'TB2019-20'!$A$12:$C$414,2,0),0)</f>
        <v>0</v>
      </c>
      <c r="L169" s="7"/>
      <c r="M169" s="7">
        <f t="shared" si="19"/>
        <v>0</v>
      </c>
      <c r="N169" s="7">
        <f>+IFERROR(+VLOOKUP(A169,'TB2019-20'!$A$12:$C$414,3,0),0)</f>
        <v>0</v>
      </c>
      <c r="O169" s="7"/>
      <c r="P169" s="7">
        <f t="shared" si="20"/>
        <v>0</v>
      </c>
    </row>
    <row r="170" spans="1:16" x14ac:dyDescent="0.25">
      <c r="A170" s="8" t="s">
        <v>360</v>
      </c>
      <c r="B170" s="7">
        <v>12</v>
      </c>
      <c r="C170" s="7" t="s">
        <v>465</v>
      </c>
      <c r="D170" s="14" t="s">
        <v>550</v>
      </c>
      <c r="E170" s="7">
        <f>+IFERROR(+VLOOKUP(A170,'Trial Balance'!$A$12:$C$428,2,0),0)</f>
        <v>0</v>
      </c>
      <c r="F170" s="7"/>
      <c r="G170" s="7">
        <f t="shared" si="17"/>
        <v>0</v>
      </c>
      <c r="H170" s="7">
        <f>+IFERROR(+VLOOKUP(A170,'Trial Balance'!$A$12:$C$428,3,0),0)</f>
        <v>0</v>
      </c>
      <c r="I170" s="7"/>
      <c r="J170" s="7">
        <f t="shared" si="18"/>
        <v>0</v>
      </c>
      <c r="K170" s="7">
        <f>+IFERROR(+VLOOKUP(A170,'TB2019-20'!$A$12:$C$414,2,0),0)</f>
        <v>0</v>
      </c>
      <c r="L170" s="7"/>
      <c r="M170" s="7">
        <f t="shared" si="19"/>
        <v>0</v>
      </c>
      <c r="N170" s="7">
        <f>+IFERROR(+VLOOKUP(A170,'TB2019-20'!$A$12:$C$414,3,0),0)</f>
        <v>0</v>
      </c>
      <c r="O170" s="7"/>
      <c r="P170" s="7">
        <f t="shared" si="20"/>
        <v>0</v>
      </c>
    </row>
    <row r="171" spans="1:16" x14ac:dyDescent="0.25">
      <c r="A171" s="8" t="s">
        <v>361</v>
      </c>
      <c r="B171" s="7">
        <v>12</v>
      </c>
      <c r="C171" s="7" t="s">
        <v>465</v>
      </c>
      <c r="D171" s="14" t="s">
        <v>550</v>
      </c>
      <c r="E171" s="7">
        <f>+IFERROR(+VLOOKUP(A171,'Trial Balance'!$A$12:$C$428,2,0),0)</f>
        <v>0</v>
      </c>
      <c r="F171" s="7"/>
      <c r="G171" s="7">
        <f t="shared" si="17"/>
        <v>0</v>
      </c>
      <c r="H171" s="7">
        <f>+IFERROR(+VLOOKUP(A171,'Trial Balance'!$A$12:$C$428,3,0),0)</f>
        <v>0</v>
      </c>
      <c r="I171" s="7"/>
      <c r="J171" s="7">
        <f t="shared" si="18"/>
        <v>0</v>
      </c>
      <c r="K171" s="7">
        <f>+IFERROR(+VLOOKUP(A171,'TB2019-20'!$A$12:$C$414,2,0),0)</f>
        <v>0</v>
      </c>
      <c r="L171" s="7"/>
      <c r="M171" s="7">
        <f t="shared" si="19"/>
        <v>0</v>
      </c>
      <c r="N171" s="7">
        <f>+IFERROR(+VLOOKUP(A171,'TB2019-20'!$A$12:$C$414,3,0),0)</f>
        <v>0</v>
      </c>
      <c r="O171" s="7"/>
      <c r="P171" s="7">
        <f t="shared" si="20"/>
        <v>0</v>
      </c>
    </row>
    <row r="172" spans="1:16" x14ac:dyDescent="0.25">
      <c r="A172" s="8" t="s">
        <v>362</v>
      </c>
      <c r="B172" s="7">
        <v>12</v>
      </c>
      <c r="C172" s="7" t="s">
        <v>465</v>
      </c>
      <c r="D172" s="14" t="s">
        <v>550</v>
      </c>
      <c r="E172" s="7">
        <f>+IFERROR(+VLOOKUP(A172,'Trial Balance'!$A$12:$C$428,2,0),0)</f>
        <v>0</v>
      </c>
      <c r="F172" s="7"/>
      <c r="G172" s="7">
        <f t="shared" si="17"/>
        <v>0</v>
      </c>
      <c r="H172" s="7">
        <f>+IFERROR(+VLOOKUP(A172,'Trial Balance'!$A$12:$C$428,3,0),0)</f>
        <v>0</v>
      </c>
      <c r="I172" s="7"/>
      <c r="J172" s="7">
        <f t="shared" si="18"/>
        <v>0</v>
      </c>
      <c r="K172" s="7">
        <f>+IFERROR(+VLOOKUP(A172,'TB2019-20'!$A$12:$C$414,2,0),0)</f>
        <v>0</v>
      </c>
      <c r="L172" s="7"/>
      <c r="M172" s="7">
        <f t="shared" si="19"/>
        <v>0</v>
      </c>
      <c r="N172" s="7">
        <f>+IFERROR(+VLOOKUP(A172,'TB2019-20'!$A$12:$C$414,3,0),0)</f>
        <v>0</v>
      </c>
      <c r="O172" s="7"/>
      <c r="P172" s="7">
        <f t="shared" si="20"/>
        <v>0</v>
      </c>
    </row>
    <row r="173" spans="1:16" x14ac:dyDescent="0.25">
      <c r="A173" s="8" t="s">
        <v>365</v>
      </c>
      <c r="B173" s="7">
        <v>12</v>
      </c>
      <c r="C173" s="7" t="s">
        <v>465</v>
      </c>
      <c r="D173" s="14" t="s">
        <v>550</v>
      </c>
      <c r="E173" s="7">
        <f>+IFERROR(+VLOOKUP(A173,'Trial Balance'!$A$12:$C$428,2,0),0)</f>
        <v>0</v>
      </c>
      <c r="F173" s="7"/>
      <c r="G173" s="7">
        <f t="shared" si="17"/>
        <v>0</v>
      </c>
      <c r="H173" s="7">
        <f>+IFERROR(+VLOOKUP(A173,'Trial Balance'!$A$12:$C$428,3,0),0)</f>
        <v>0</v>
      </c>
      <c r="I173" s="7"/>
      <c r="J173" s="7">
        <f t="shared" si="18"/>
        <v>0</v>
      </c>
      <c r="K173" s="7">
        <f>+IFERROR(+VLOOKUP(A173,'TB2019-20'!$A$12:$C$414,2,0),0)</f>
        <v>0</v>
      </c>
      <c r="L173" s="7"/>
      <c r="M173" s="7">
        <f t="shared" si="19"/>
        <v>0</v>
      </c>
      <c r="N173" s="7">
        <f>+IFERROR(+VLOOKUP(A173,'TB2019-20'!$A$12:$C$414,3,0),0)</f>
        <v>0</v>
      </c>
      <c r="O173" s="7"/>
      <c r="P173" s="7">
        <f t="shared" si="20"/>
        <v>0</v>
      </c>
    </row>
    <row r="174" spans="1:16" x14ac:dyDescent="0.25">
      <c r="A174" s="8" t="s">
        <v>366</v>
      </c>
      <c r="B174" s="7">
        <v>12</v>
      </c>
      <c r="C174" s="7" t="s">
        <v>465</v>
      </c>
      <c r="D174" s="14" t="s">
        <v>550</v>
      </c>
      <c r="E174" s="7">
        <f>+IFERROR(+VLOOKUP(A174,'Trial Balance'!$A$12:$C$428,2,0),0)</f>
        <v>0</v>
      </c>
      <c r="F174" s="7"/>
      <c r="G174" s="7">
        <f t="shared" si="17"/>
        <v>0</v>
      </c>
      <c r="H174" s="7">
        <f>+IFERROR(+VLOOKUP(A174,'Trial Balance'!$A$12:$C$428,3,0),0)</f>
        <v>0</v>
      </c>
      <c r="I174" s="7"/>
      <c r="J174" s="7">
        <f t="shared" si="18"/>
        <v>0</v>
      </c>
      <c r="K174" s="7">
        <f>+IFERROR(+VLOOKUP(A174,'TB2019-20'!$A$12:$C$414,2,0),0)</f>
        <v>0</v>
      </c>
      <c r="L174" s="7"/>
      <c r="M174" s="7">
        <f t="shared" si="19"/>
        <v>0</v>
      </c>
      <c r="N174" s="7">
        <f>+IFERROR(+VLOOKUP(A174,'TB2019-20'!$A$12:$C$414,3,0),0)</f>
        <v>0</v>
      </c>
      <c r="O174" s="7"/>
      <c r="P174" s="7">
        <f t="shared" si="20"/>
        <v>0</v>
      </c>
    </row>
    <row r="175" spans="1:16" x14ac:dyDescent="0.25">
      <c r="A175" s="8" t="s">
        <v>367</v>
      </c>
      <c r="B175" s="7">
        <v>12</v>
      </c>
      <c r="C175" s="7" t="s">
        <v>465</v>
      </c>
      <c r="D175" s="14" t="s">
        <v>550</v>
      </c>
      <c r="E175" s="7">
        <f>+IFERROR(+VLOOKUP(A175,'Trial Balance'!$A$12:$C$428,2,0),0)</f>
        <v>0</v>
      </c>
      <c r="F175" s="7"/>
      <c r="G175" s="7">
        <f t="shared" si="17"/>
        <v>0</v>
      </c>
      <c r="H175" s="7">
        <f>+IFERROR(+VLOOKUP(A175,'Trial Balance'!$A$12:$C$428,3,0),0)</f>
        <v>0</v>
      </c>
      <c r="I175" s="7"/>
      <c r="J175" s="7">
        <f t="shared" si="18"/>
        <v>0</v>
      </c>
      <c r="K175" s="7">
        <f>+IFERROR(+VLOOKUP(A175,'TB2019-20'!$A$12:$C$414,2,0),0)</f>
        <v>0</v>
      </c>
      <c r="L175" s="7"/>
      <c r="M175" s="7">
        <f t="shared" si="19"/>
        <v>0</v>
      </c>
      <c r="N175" s="7">
        <f>+IFERROR(+VLOOKUP(A175,'TB2019-20'!$A$12:$C$414,3,0),0)</f>
        <v>0</v>
      </c>
      <c r="O175" s="7"/>
      <c r="P175" s="7">
        <f t="shared" si="20"/>
        <v>0</v>
      </c>
    </row>
    <row r="176" spans="1:16" x14ac:dyDescent="0.25">
      <c r="A176" s="8" t="s">
        <v>55</v>
      </c>
      <c r="B176" s="7">
        <v>12</v>
      </c>
      <c r="C176" s="7" t="s">
        <v>465</v>
      </c>
      <c r="D176" s="14" t="s">
        <v>550</v>
      </c>
      <c r="E176" s="7">
        <f>+IFERROR(+VLOOKUP(A176,'Trial Balance'!$A$12:$C$428,2,0),0)</f>
        <v>0</v>
      </c>
      <c r="F176" s="7"/>
      <c r="G176" s="7">
        <f t="shared" si="17"/>
        <v>0</v>
      </c>
      <c r="H176" s="7">
        <f>+IFERROR(+VLOOKUP(A176,'Trial Balance'!$A$12:$C$428,3,0),0)</f>
        <v>0</v>
      </c>
      <c r="I176" s="7"/>
      <c r="J176" s="7">
        <f t="shared" si="18"/>
        <v>0</v>
      </c>
      <c r="K176" s="7">
        <f>+IFERROR(+VLOOKUP(A176,'TB2019-20'!$A$12:$C$414,2,0),0)</f>
        <v>0</v>
      </c>
      <c r="L176" s="7"/>
      <c r="M176" s="7">
        <f t="shared" si="19"/>
        <v>0</v>
      </c>
      <c r="N176" s="7">
        <f>+IFERROR(+VLOOKUP(A176,'TB2019-20'!$A$12:$C$414,3,0),0)</f>
        <v>0</v>
      </c>
      <c r="O176" s="7"/>
      <c r="P176" s="7">
        <f t="shared" si="20"/>
        <v>0</v>
      </c>
    </row>
    <row r="177" spans="1:16" x14ac:dyDescent="0.25">
      <c r="A177" s="7" t="s">
        <v>548</v>
      </c>
      <c r="B177" s="7">
        <v>12</v>
      </c>
      <c r="C177" s="7" t="s">
        <v>465</v>
      </c>
      <c r="D177" s="14" t="s">
        <v>550</v>
      </c>
      <c r="E177" s="7">
        <f>+IFERROR(+VLOOKUP(A177,'Trial Balance'!$A$12:$C$428,2,0),0)</f>
        <v>0</v>
      </c>
      <c r="F177" s="7"/>
      <c r="G177" s="7">
        <f t="shared" si="17"/>
        <v>0</v>
      </c>
      <c r="H177" s="7">
        <f>+IFERROR(+VLOOKUP(A177,'Trial Balance'!$A$12:$C$428,3,0),0)</f>
        <v>0</v>
      </c>
      <c r="I177" s="7"/>
      <c r="J177" s="7">
        <f t="shared" si="18"/>
        <v>0</v>
      </c>
      <c r="K177" s="7">
        <f>+IFERROR(+VLOOKUP(A177,'TB2019-20'!$A$12:$C$414,2,0),0)</f>
        <v>0</v>
      </c>
      <c r="L177" s="7"/>
      <c r="M177" s="7">
        <f t="shared" si="19"/>
        <v>0</v>
      </c>
      <c r="N177" s="7">
        <f>+IFERROR(+VLOOKUP(A177,'TB2019-20'!$A$12:$C$414,3,0),0)</f>
        <v>0</v>
      </c>
      <c r="O177" s="7"/>
      <c r="P177" s="7">
        <f t="shared" si="20"/>
        <v>0</v>
      </c>
    </row>
    <row r="178" spans="1:16" x14ac:dyDescent="0.25">
      <c r="A178" s="7" t="s">
        <v>549</v>
      </c>
      <c r="B178" s="7">
        <v>12</v>
      </c>
      <c r="C178" s="7" t="s">
        <v>465</v>
      </c>
      <c r="D178" s="14" t="s">
        <v>550</v>
      </c>
      <c r="E178" s="7">
        <f>+IFERROR(+VLOOKUP(A178,'Trial Balance'!$A$12:$C$428,2,0),0)</f>
        <v>0</v>
      </c>
      <c r="F178" s="7"/>
      <c r="G178" s="7">
        <f t="shared" si="17"/>
        <v>0</v>
      </c>
      <c r="H178" s="7">
        <f>+IFERROR(+VLOOKUP(A178,'Trial Balance'!$A$12:$C$428,3,0),0)</f>
        <v>0</v>
      </c>
      <c r="I178" s="7"/>
      <c r="J178" s="7">
        <f t="shared" si="18"/>
        <v>0</v>
      </c>
      <c r="K178" s="7">
        <f>+IFERROR(+VLOOKUP(A178,'TB2019-20'!$A$12:$C$414,2,0),0)</f>
        <v>0</v>
      </c>
      <c r="L178" s="7"/>
      <c r="M178" s="7">
        <f t="shared" si="19"/>
        <v>0</v>
      </c>
      <c r="N178" s="7">
        <f>+IFERROR(+VLOOKUP(A178,'TB2019-20'!$A$12:$C$414,3,0),0)</f>
        <v>0</v>
      </c>
      <c r="O178" s="7"/>
      <c r="P178" s="7">
        <f t="shared" si="20"/>
        <v>0</v>
      </c>
    </row>
    <row r="179" spans="1:16" x14ac:dyDescent="0.25">
      <c r="A179" s="7" t="s">
        <v>551</v>
      </c>
      <c r="B179" s="7">
        <v>12</v>
      </c>
      <c r="C179" s="7" t="s">
        <v>465</v>
      </c>
      <c r="D179" s="14" t="s">
        <v>550</v>
      </c>
      <c r="E179" s="7">
        <f>+IFERROR(+VLOOKUP(A179,'Trial Balance'!$A$12:$C$428,2,0),0)</f>
        <v>0</v>
      </c>
      <c r="F179" s="7"/>
      <c r="G179" s="7">
        <f t="shared" si="17"/>
        <v>0</v>
      </c>
      <c r="H179" s="7">
        <f>+IFERROR(+VLOOKUP(A179,'Trial Balance'!$A$12:$C$428,3,0),0)</f>
        <v>0</v>
      </c>
      <c r="I179" s="7"/>
      <c r="J179" s="7">
        <f t="shared" si="18"/>
        <v>0</v>
      </c>
      <c r="K179" s="7">
        <f>+IFERROR(+VLOOKUP(A179,'TB2019-20'!$A$12:$C$414,2,0),0)</f>
        <v>0</v>
      </c>
      <c r="L179" s="7"/>
      <c r="M179" s="7">
        <f t="shared" si="19"/>
        <v>0</v>
      </c>
      <c r="N179" s="7">
        <f>+IFERROR(+VLOOKUP(A179,'TB2019-20'!$A$12:$C$414,3,0),0)</f>
        <v>0</v>
      </c>
      <c r="O179" s="7"/>
      <c r="P179" s="7">
        <f t="shared" si="20"/>
        <v>0</v>
      </c>
    </row>
    <row r="180" spans="1:16" x14ac:dyDescent="0.25">
      <c r="A180" s="8" t="s">
        <v>552</v>
      </c>
      <c r="B180" s="7">
        <v>12</v>
      </c>
      <c r="C180" s="7" t="s">
        <v>465</v>
      </c>
      <c r="D180" s="14" t="s">
        <v>550</v>
      </c>
      <c r="E180" s="7">
        <f>+IFERROR(+VLOOKUP(A180,'Trial Balance'!$A$12:$C$428,2,0),0)</f>
        <v>0</v>
      </c>
      <c r="F180" s="7"/>
      <c r="G180" s="7">
        <f t="shared" si="17"/>
        <v>0</v>
      </c>
      <c r="H180" s="7">
        <f>+IFERROR(+VLOOKUP(A180,'Trial Balance'!$A$12:$C$428,3,0),0)</f>
        <v>0</v>
      </c>
      <c r="I180" s="7"/>
      <c r="J180" s="7">
        <f t="shared" si="18"/>
        <v>0</v>
      </c>
      <c r="K180" s="7">
        <f>+IFERROR(+VLOOKUP(A180,'TB2019-20'!$A$12:$C$414,2,0),0)</f>
        <v>0</v>
      </c>
      <c r="L180" s="7"/>
      <c r="M180" s="7">
        <f t="shared" si="19"/>
        <v>0</v>
      </c>
      <c r="N180" s="7">
        <f>+IFERROR(+VLOOKUP(A180,'TB2019-20'!$A$12:$C$414,3,0),0)</f>
        <v>0</v>
      </c>
      <c r="O180" s="7"/>
      <c r="P180" s="7">
        <f t="shared" si="20"/>
        <v>0</v>
      </c>
    </row>
    <row r="181" spans="1:16" x14ac:dyDescent="0.25">
      <c r="A181" s="7" t="s">
        <v>72</v>
      </c>
      <c r="B181" s="7">
        <v>12</v>
      </c>
      <c r="C181" s="7" t="s">
        <v>465</v>
      </c>
      <c r="D181" s="14" t="s">
        <v>550</v>
      </c>
      <c r="E181" s="7">
        <f>+IFERROR(+VLOOKUP(A181,'Trial Balance'!$A$12:$C$428,2,0),0)</f>
        <v>61274.11</v>
      </c>
      <c r="F181" s="7"/>
      <c r="G181" s="7">
        <f t="shared" si="17"/>
        <v>61274.11</v>
      </c>
      <c r="H181" s="7">
        <f>+IFERROR(+VLOOKUP(A181,'Trial Balance'!$A$12:$C$428,3,0),0)</f>
        <v>0</v>
      </c>
      <c r="I181" s="7"/>
      <c r="J181" s="7">
        <f t="shared" si="18"/>
        <v>0</v>
      </c>
      <c r="K181" s="7">
        <f>+IFERROR(+VLOOKUP(A181,'TB2019-20'!$A$12:$C$414,2,0),0)</f>
        <v>0</v>
      </c>
      <c r="L181" s="7"/>
      <c r="M181" s="7">
        <f t="shared" si="19"/>
        <v>0</v>
      </c>
      <c r="N181" s="7">
        <f>+IFERROR(+VLOOKUP(A181,'TB2019-20'!$A$12:$C$414,3,0),0)</f>
        <v>0</v>
      </c>
      <c r="O181" s="7"/>
      <c r="P181" s="7">
        <f t="shared" si="20"/>
        <v>0</v>
      </c>
    </row>
    <row r="182" spans="1:16" x14ac:dyDescent="0.25">
      <c r="A182" s="7" t="s">
        <v>553</v>
      </c>
      <c r="B182" s="7">
        <v>12</v>
      </c>
      <c r="C182" s="7" t="s">
        <v>465</v>
      </c>
      <c r="D182" s="14" t="s">
        <v>550</v>
      </c>
      <c r="E182" s="7">
        <f>+IFERROR(+VLOOKUP(A182,'Trial Balance'!$A$12:$C$428,2,0),0)</f>
        <v>0</v>
      </c>
      <c r="F182" s="7"/>
      <c r="G182" s="7">
        <f t="shared" si="17"/>
        <v>0</v>
      </c>
      <c r="H182" s="7">
        <f>+IFERROR(+VLOOKUP(A182,'Trial Balance'!$A$12:$C$428,3,0),0)</f>
        <v>0</v>
      </c>
      <c r="I182" s="7"/>
      <c r="J182" s="7">
        <f t="shared" si="18"/>
        <v>0</v>
      </c>
      <c r="K182" s="7">
        <f>+IFERROR(+VLOOKUP(A182,'TB2019-20'!$A$12:$C$414,2,0),0)</f>
        <v>1108272.6399999999</v>
      </c>
      <c r="L182" s="7"/>
      <c r="M182" s="7">
        <f t="shared" si="19"/>
        <v>1108272.6399999999</v>
      </c>
      <c r="N182" s="7">
        <f>+IFERROR(+VLOOKUP(A182,'TB2019-20'!$A$12:$C$414,3,0),0)</f>
        <v>0</v>
      </c>
      <c r="O182" s="7"/>
      <c r="P182" s="7">
        <f t="shared" si="20"/>
        <v>0</v>
      </c>
    </row>
    <row r="183" spans="1:16" x14ac:dyDescent="0.25">
      <c r="A183" s="8" t="s">
        <v>554</v>
      </c>
      <c r="B183" s="7">
        <v>7</v>
      </c>
      <c r="C183" s="7" t="s">
        <v>460</v>
      </c>
      <c r="D183" s="7" t="s">
        <v>462</v>
      </c>
      <c r="E183" s="7">
        <f>+IFERROR(+VLOOKUP(A183,'Trial Balance'!$A$12:$C$428,2,0),0)</f>
        <v>0</v>
      </c>
      <c r="F183" s="7"/>
      <c r="G183" s="7">
        <f t="shared" si="17"/>
        <v>0</v>
      </c>
      <c r="H183" s="7">
        <f>+IFERROR(+VLOOKUP(A183,'Trial Balance'!$A$12:$C$428,3,0),0)</f>
        <v>0</v>
      </c>
      <c r="I183" s="7"/>
      <c r="J183" s="7">
        <f t="shared" si="18"/>
        <v>0</v>
      </c>
      <c r="K183" s="7">
        <f>+IFERROR(+VLOOKUP(A183,'TB2019-20'!$A$12:$C$414,2,0),0)</f>
        <v>0</v>
      </c>
      <c r="L183" s="7"/>
      <c r="M183" s="7">
        <f t="shared" si="19"/>
        <v>0</v>
      </c>
      <c r="N183" s="7">
        <f>+IFERROR(+VLOOKUP(A183,'TB2019-20'!$A$12:$C$414,3,0),0)</f>
        <v>0</v>
      </c>
      <c r="O183" s="7"/>
      <c r="P183" s="7">
        <f t="shared" si="20"/>
        <v>0</v>
      </c>
    </row>
    <row r="184" spans="1:16" x14ac:dyDescent="0.25">
      <c r="A184" s="6" t="s">
        <v>555</v>
      </c>
      <c r="B184" s="7">
        <v>7</v>
      </c>
      <c r="C184" s="7" t="s">
        <v>460</v>
      </c>
      <c r="D184" s="7" t="s">
        <v>462</v>
      </c>
      <c r="E184" s="7">
        <f>+IFERROR(+VLOOKUP(A184,'Trial Balance'!$A$12:$C$428,2,0),0)</f>
        <v>0</v>
      </c>
      <c r="F184" s="7"/>
      <c r="G184" s="7">
        <f t="shared" si="17"/>
        <v>0</v>
      </c>
      <c r="H184" s="7">
        <f>+IFERROR(+VLOOKUP(A184,'Trial Balance'!$A$12:$C$428,3,0),0)</f>
        <v>0</v>
      </c>
      <c r="I184" s="7"/>
      <c r="J184" s="7">
        <f t="shared" si="18"/>
        <v>0</v>
      </c>
      <c r="K184" s="7">
        <f>+IFERROR(+VLOOKUP(A184,'TB2019-20'!$A$12:$C$414,2,0),0)</f>
        <v>0</v>
      </c>
      <c r="L184" s="7"/>
      <c r="M184" s="7">
        <f t="shared" si="19"/>
        <v>0</v>
      </c>
      <c r="N184" s="7">
        <f>+IFERROR(+VLOOKUP(A184,'TB2019-20'!$A$12:$C$414,3,0),0)</f>
        <v>7300</v>
      </c>
      <c r="O184" s="7"/>
      <c r="P184" s="7">
        <f t="shared" si="20"/>
        <v>7300</v>
      </c>
    </row>
    <row r="185" spans="1:16" x14ac:dyDescent="0.25">
      <c r="A185" s="8" t="s">
        <v>73</v>
      </c>
      <c r="B185" s="7">
        <v>15</v>
      </c>
      <c r="C185" s="7" t="s">
        <v>469</v>
      </c>
      <c r="D185" s="7" t="s">
        <v>470</v>
      </c>
      <c r="E185" s="7">
        <f>+IFERROR(+VLOOKUP(A185,'Trial Balance'!$A$12:$C$428,2,0),0)</f>
        <v>19377618</v>
      </c>
      <c r="F185" s="7"/>
      <c r="G185" s="7">
        <f t="shared" si="17"/>
        <v>19377618</v>
      </c>
      <c r="H185" s="7">
        <f>+IFERROR(+VLOOKUP(A185,'Trial Balance'!$A$12:$C$428,3,0),0)</f>
        <v>0</v>
      </c>
      <c r="I185" s="7"/>
      <c r="J185" s="7">
        <f t="shared" si="18"/>
        <v>0</v>
      </c>
      <c r="K185" s="7">
        <f>+IFERROR(+VLOOKUP(A185,'TB2019-20'!$A$12:$C$414,2,0),0)</f>
        <v>2655823</v>
      </c>
      <c r="L185" s="7"/>
      <c r="M185" s="7">
        <f t="shared" si="19"/>
        <v>2655823</v>
      </c>
      <c r="N185" s="7">
        <f>+IFERROR(+VLOOKUP(A185,'TB2019-20'!$A$12:$C$414,3,0),0)</f>
        <v>0</v>
      </c>
      <c r="O185" s="7"/>
      <c r="P185" s="7">
        <f t="shared" si="20"/>
        <v>0</v>
      </c>
    </row>
    <row r="186" spans="1:16" x14ac:dyDescent="0.25">
      <c r="A186" s="8" t="s">
        <v>556</v>
      </c>
      <c r="B186" s="7">
        <v>7</v>
      </c>
      <c r="C186" s="7" t="s">
        <v>460</v>
      </c>
      <c r="D186" s="7" t="s">
        <v>460</v>
      </c>
      <c r="E186" s="7">
        <f>+IFERROR(+VLOOKUP(A186,'Trial Balance'!$A$12:$C$428,2,0),0)</f>
        <v>0</v>
      </c>
      <c r="F186" s="7"/>
      <c r="G186" s="7">
        <f t="shared" si="17"/>
        <v>0</v>
      </c>
      <c r="H186" s="7">
        <f>+IFERROR(+VLOOKUP(A186,'Trial Balance'!$A$12:$C$428,3,0),0)</f>
        <v>0</v>
      </c>
      <c r="I186" s="7"/>
      <c r="J186" s="7">
        <f t="shared" si="18"/>
        <v>0</v>
      </c>
      <c r="K186" s="7">
        <f>+IFERROR(+VLOOKUP(A186,'TB2019-20'!$A$12:$C$414,2,0),0)</f>
        <v>0</v>
      </c>
      <c r="L186" s="7"/>
      <c r="M186" s="7">
        <f t="shared" si="19"/>
        <v>0</v>
      </c>
      <c r="N186" s="7">
        <f>+IFERROR(+VLOOKUP(A186,'TB2019-20'!$A$12:$C$414,3,0),0)</f>
        <v>173652</v>
      </c>
      <c r="O186" s="7"/>
      <c r="P186" s="7">
        <f t="shared" si="20"/>
        <v>173652</v>
      </c>
    </row>
    <row r="187" spans="1:16" x14ac:dyDescent="0.25">
      <c r="A187" s="6" t="s">
        <v>75</v>
      </c>
      <c r="B187" s="11">
        <v>7</v>
      </c>
      <c r="C187" s="7" t="s">
        <v>460</v>
      </c>
      <c r="D187" s="7" t="s">
        <v>460</v>
      </c>
      <c r="E187" s="7">
        <f>+IFERROR(+VLOOKUP(A187,'Trial Balance'!$A$12:$C$428,2,0),0)</f>
        <v>0</v>
      </c>
      <c r="F187" s="7"/>
      <c r="G187" s="7">
        <f t="shared" si="17"/>
        <v>0</v>
      </c>
      <c r="H187" s="7">
        <f>+IFERROR(+VLOOKUP(A187,'Trial Balance'!$A$12:$C$428,3,0),0)</f>
        <v>638291</v>
      </c>
      <c r="I187" s="7"/>
      <c r="J187" s="7">
        <f t="shared" si="18"/>
        <v>638291</v>
      </c>
      <c r="K187" s="7">
        <f>+IFERROR(+VLOOKUP(A187,'TB2019-20'!$A$12:$C$414,2,0),0)</f>
        <v>0</v>
      </c>
      <c r="L187" s="7"/>
      <c r="M187" s="7">
        <f t="shared" si="19"/>
        <v>0</v>
      </c>
      <c r="N187" s="7">
        <f>+IFERROR(+VLOOKUP(A187,'TB2019-20'!$A$12:$C$414,3,0),0)</f>
        <v>0</v>
      </c>
      <c r="O187" s="7"/>
      <c r="P187" s="7">
        <f t="shared" si="20"/>
        <v>0</v>
      </c>
    </row>
    <row r="188" spans="1:16" x14ac:dyDescent="0.25">
      <c r="A188" s="7" t="s">
        <v>74</v>
      </c>
      <c r="B188" s="7">
        <v>15</v>
      </c>
      <c r="C188" s="7" t="s">
        <v>469</v>
      </c>
      <c r="D188" s="7" t="s">
        <v>470</v>
      </c>
      <c r="E188" s="7">
        <f>+IFERROR(+VLOOKUP(A188,'Trial Balance'!$A$12:$C$428,2,0),0)</f>
        <v>396306</v>
      </c>
      <c r="F188" s="7"/>
      <c r="G188" s="7">
        <f t="shared" si="17"/>
        <v>396306</v>
      </c>
      <c r="H188" s="7">
        <f>+IFERROR(+VLOOKUP(A188,'Trial Balance'!$A$12:$C$428,3,0),0)</f>
        <v>0</v>
      </c>
      <c r="I188" s="7"/>
      <c r="J188" s="7">
        <f t="shared" si="18"/>
        <v>0</v>
      </c>
      <c r="K188" s="7">
        <f>+IFERROR(+VLOOKUP(A188,'TB2019-20'!$A$12:$C$414,2,0),0)</f>
        <v>4304700</v>
      </c>
      <c r="L188" s="7"/>
      <c r="M188" s="7">
        <f t="shared" si="19"/>
        <v>4304700</v>
      </c>
      <c r="N188" s="7">
        <f>+IFERROR(+VLOOKUP(A188,'TB2019-20'!$A$12:$C$414,3,0),0)</f>
        <v>0</v>
      </c>
      <c r="O188" s="7"/>
      <c r="P188" s="7">
        <f t="shared" si="20"/>
        <v>0</v>
      </c>
    </row>
    <row r="189" spans="1:16" x14ac:dyDescent="0.25">
      <c r="A189" s="12" t="s">
        <v>76</v>
      </c>
      <c r="B189" s="7">
        <v>12</v>
      </c>
      <c r="C189" s="7" t="s">
        <v>465</v>
      </c>
      <c r="D189" s="7" t="s">
        <v>478</v>
      </c>
      <c r="E189" s="7">
        <f>+IFERROR(+VLOOKUP(A189,'Trial Balance'!$A$12:$C$428,2,0),0)</f>
        <v>4000</v>
      </c>
      <c r="F189" s="7"/>
      <c r="G189" s="7">
        <f t="shared" si="17"/>
        <v>4000</v>
      </c>
      <c r="H189" s="7">
        <f>+IFERROR(+VLOOKUP(A189,'Trial Balance'!$A$12:$C$428,3,0),0)</f>
        <v>0</v>
      </c>
      <c r="I189" s="7"/>
      <c r="J189" s="7">
        <f t="shared" si="18"/>
        <v>0</v>
      </c>
      <c r="K189" s="7">
        <f>+IFERROR(+VLOOKUP(A189,'TB2019-20'!$A$12:$C$414,2,0),0)</f>
        <v>7000</v>
      </c>
      <c r="L189" s="7"/>
      <c r="M189" s="7">
        <f t="shared" si="19"/>
        <v>7000</v>
      </c>
      <c r="N189" s="7">
        <f>+IFERROR(+VLOOKUP(A189,'TB2019-20'!$A$12:$C$414,3,0),0)</f>
        <v>0</v>
      </c>
      <c r="O189" s="7"/>
      <c r="P189" s="7">
        <f t="shared" si="20"/>
        <v>0</v>
      </c>
    </row>
    <row r="190" spans="1:16" x14ac:dyDescent="0.25">
      <c r="A190" s="7" t="s">
        <v>77</v>
      </c>
      <c r="B190" s="7">
        <v>22</v>
      </c>
      <c r="C190" s="7" t="s">
        <v>557</v>
      </c>
      <c r="D190" s="7" t="s">
        <v>558</v>
      </c>
      <c r="E190" s="7">
        <f>+IFERROR(+VLOOKUP(A190,'Trial Balance'!$A$12:$C$428,2,0),0)</f>
        <v>34675595</v>
      </c>
      <c r="F190" s="7"/>
      <c r="G190" s="7">
        <f t="shared" si="17"/>
        <v>34675595</v>
      </c>
      <c r="H190" s="7">
        <f>+IFERROR(+VLOOKUP(A190,'Trial Balance'!$A$12:$C$428,3,0),0)</f>
        <v>0</v>
      </c>
      <c r="I190" s="7"/>
      <c r="J190" s="7">
        <f t="shared" si="18"/>
        <v>0</v>
      </c>
      <c r="K190" s="7">
        <f>+IFERROR(+VLOOKUP(A190,'TB2019-20'!$A$12:$C$414,2,0),0)</f>
        <v>41533028.75</v>
      </c>
      <c r="L190" s="7"/>
      <c r="M190" s="7">
        <f t="shared" si="19"/>
        <v>41533028.75</v>
      </c>
      <c r="N190" s="7">
        <f>+IFERROR(+VLOOKUP(A190,'TB2019-20'!$A$12:$C$414,3,0),0)</f>
        <v>0</v>
      </c>
      <c r="O190" s="7"/>
      <c r="P190" s="7">
        <f t="shared" si="20"/>
        <v>0</v>
      </c>
    </row>
    <row r="191" spans="1:16" x14ac:dyDescent="0.25">
      <c r="A191" s="7" t="s">
        <v>559</v>
      </c>
      <c r="B191" s="7">
        <v>15</v>
      </c>
      <c r="C191" s="7" t="s">
        <v>469</v>
      </c>
      <c r="D191" s="7" t="s">
        <v>470</v>
      </c>
      <c r="E191" s="7">
        <f>+IFERROR(+VLOOKUP(A191,'Trial Balance'!$A$12:$C$428,2,0),0)</f>
        <v>614111</v>
      </c>
      <c r="F191" s="7"/>
      <c r="G191" s="7">
        <f t="shared" si="17"/>
        <v>614111</v>
      </c>
      <c r="H191" s="7">
        <f>+IFERROR(+VLOOKUP(A191,'Trial Balance'!$A$12:$C$428,3,0),0)</f>
        <v>0</v>
      </c>
      <c r="I191" s="7"/>
      <c r="J191" s="7">
        <f t="shared" si="18"/>
        <v>0</v>
      </c>
      <c r="K191" s="7">
        <f>+IFERROR(+VLOOKUP(A191,'TB2019-20'!$A$12:$C$414,2,0),0)</f>
        <v>886060</v>
      </c>
      <c r="L191" s="7"/>
      <c r="M191" s="7">
        <f t="shared" si="19"/>
        <v>886060</v>
      </c>
      <c r="N191" s="7">
        <f>+IFERROR(+VLOOKUP(A191,'TB2019-20'!$A$12:$C$414,3,0),0)</f>
        <v>0</v>
      </c>
      <c r="O191" s="7"/>
      <c r="P191" s="7">
        <f t="shared" si="20"/>
        <v>0</v>
      </c>
    </row>
    <row r="192" spans="1:16" x14ac:dyDescent="0.25">
      <c r="A192" s="11" t="s">
        <v>560</v>
      </c>
      <c r="B192" s="7">
        <v>7</v>
      </c>
      <c r="C192" s="7" t="s">
        <v>460</v>
      </c>
      <c r="D192" s="7" t="s">
        <v>460</v>
      </c>
      <c r="E192" s="7">
        <f>+IFERROR(+VLOOKUP(A192,'Trial Balance'!$A$12:$C$428,2,0),0)</f>
        <v>0</v>
      </c>
      <c r="F192" s="7"/>
      <c r="G192" s="7">
        <f t="shared" si="17"/>
        <v>0</v>
      </c>
      <c r="H192" s="7">
        <f>+IFERROR(+VLOOKUP(A192,'Trial Balance'!$A$12:$C$428,3,0),0)</f>
        <v>0</v>
      </c>
      <c r="I192" s="7"/>
      <c r="J192" s="7">
        <f t="shared" si="18"/>
        <v>0</v>
      </c>
      <c r="K192" s="7">
        <f>+IFERROR(+VLOOKUP(A192,'TB2019-20'!$A$12:$C$414,2,0),0)</f>
        <v>0</v>
      </c>
      <c r="L192" s="7"/>
      <c r="M192" s="7">
        <f t="shared" si="19"/>
        <v>0</v>
      </c>
      <c r="N192" s="7">
        <f>+IFERROR(+VLOOKUP(A192,'TB2019-20'!$A$12:$C$414,3,0),0)</f>
        <v>0</v>
      </c>
      <c r="O192" s="7"/>
      <c r="P192" s="7">
        <f t="shared" si="20"/>
        <v>0</v>
      </c>
    </row>
    <row r="193" spans="1:16" x14ac:dyDescent="0.25">
      <c r="A193" s="7" t="s">
        <v>79</v>
      </c>
      <c r="B193" s="7">
        <v>22</v>
      </c>
      <c r="C193" s="7" t="s">
        <v>557</v>
      </c>
      <c r="D193" s="7" t="s">
        <v>558</v>
      </c>
      <c r="E193" s="7">
        <f>+IFERROR(+VLOOKUP(A193,'Trial Balance'!$A$12:$C$428,2,0),0)</f>
        <v>25835930</v>
      </c>
      <c r="F193" s="7"/>
      <c r="G193" s="7">
        <f t="shared" si="17"/>
        <v>25835930</v>
      </c>
      <c r="H193" s="7">
        <f>+IFERROR(+VLOOKUP(A193,'Trial Balance'!$A$12:$C$428,3,0),0)</f>
        <v>0</v>
      </c>
      <c r="I193" s="7"/>
      <c r="J193" s="7">
        <f t="shared" si="18"/>
        <v>0</v>
      </c>
      <c r="K193" s="7">
        <f>+IFERROR(+VLOOKUP(A193,'TB2019-20'!$A$12:$C$414,2,0),0)</f>
        <v>48514808.600000001</v>
      </c>
      <c r="L193" s="7"/>
      <c r="M193" s="7">
        <f t="shared" si="19"/>
        <v>48514808.600000001</v>
      </c>
      <c r="N193" s="7">
        <f>+IFERROR(+VLOOKUP(A193,'TB2019-20'!$A$12:$C$414,3,0),0)</f>
        <v>0</v>
      </c>
      <c r="O193" s="7"/>
      <c r="P193" s="7">
        <f t="shared" si="20"/>
        <v>0</v>
      </c>
    </row>
    <row r="194" spans="1:16" x14ac:dyDescent="0.25">
      <c r="A194" s="7" t="s">
        <v>561</v>
      </c>
      <c r="B194" s="7">
        <v>26</v>
      </c>
      <c r="C194" s="7" t="s">
        <v>467</v>
      </c>
      <c r="D194" s="7" t="s">
        <v>542</v>
      </c>
      <c r="E194" s="7">
        <f>+IFERROR(+VLOOKUP(A194,'Trial Balance'!$A$12:$C$428,2,0),0)</f>
        <v>171625</v>
      </c>
      <c r="F194" s="7"/>
      <c r="G194" s="7">
        <f t="shared" si="17"/>
        <v>171625</v>
      </c>
      <c r="H194" s="7">
        <f>+IFERROR(+VLOOKUP(A194,'Trial Balance'!$A$12:$C$428,3,0),0)</f>
        <v>0</v>
      </c>
      <c r="I194" s="7"/>
      <c r="J194" s="7">
        <f t="shared" si="18"/>
        <v>0</v>
      </c>
      <c r="K194" s="7">
        <f>+IFERROR(+VLOOKUP(A194,'TB2019-20'!$A$12:$C$414,2,0),0)</f>
        <v>219361</v>
      </c>
      <c r="L194" s="7"/>
      <c r="M194" s="7">
        <f t="shared" si="19"/>
        <v>219361</v>
      </c>
      <c r="N194" s="7">
        <f>+IFERROR(+VLOOKUP(A194,'TB2019-20'!$A$12:$C$414,3,0),0)</f>
        <v>0</v>
      </c>
      <c r="O194" s="7"/>
      <c r="P194" s="7">
        <f t="shared" si="20"/>
        <v>0</v>
      </c>
    </row>
    <row r="195" spans="1:16" x14ac:dyDescent="0.25">
      <c r="A195" s="7" t="s">
        <v>81</v>
      </c>
      <c r="B195" s="7">
        <v>26</v>
      </c>
      <c r="C195" s="7" t="s">
        <v>467</v>
      </c>
      <c r="D195" s="7" t="s">
        <v>562</v>
      </c>
      <c r="E195" s="7">
        <f>+IFERROR(+VLOOKUP(A195,'Trial Balance'!$A$12:$C$428,2,0),0)</f>
        <v>61275</v>
      </c>
      <c r="F195" s="7"/>
      <c r="G195" s="7">
        <f t="shared" si="17"/>
        <v>61275</v>
      </c>
      <c r="H195" s="7">
        <f>+IFERROR(+VLOOKUP(A195,'Trial Balance'!$A$12:$C$428,3,0),0)</f>
        <v>0</v>
      </c>
      <c r="I195" s="7"/>
      <c r="J195" s="7">
        <f t="shared" si="18"/>
        <v>0</v>
      </c>
      <c r="K195" s="7">
        <f>+IFERROR(+VLOOKUP(A195,'TB2019-20'!$A$12:$C$414,2,0),0)</f>
        <v>923225</v>
      </c>
      <c r="L195" s="7"/>
      <c r="M195" s="7">
        <f t="shared" si="19"/>
        <v>923225</v>
      </c>
      <c r="N195" s="7">
        <f>+IFERROR(+VLOOKUP(A195,'TB2019-20'!$A$12:$C$414,3,0),0)</f>
        <v>0</v>
      </c>
      <c r="O195" s="7"/>
      <c r="P195" s="7">
        <f t="shared" si="20"/>
        <v>0</v>
      </c>
    </row>
    <row r="196" spans="1:16" x14ac:dyDescent="0.25">
      <c r="A196" s="7" t="s">
        <v>82</v>
      </c>
      <c r="B196" s="7">
        <v>26</v>
      </c>
      <c r="C196" s="7" t="s">
        <v>467</v>
      </c>
      <c r="D196" s="7" t="s">
        <v>562</v>
      </c>
      <c r="E196" s="7">
        <f>+IFERROR(+VLOOKUP(A196,'Trial Balance'!$A$12:$C$428,2,0),0)</f>
        <v>38717565.439999998</v>
      </c>
      <c r="F196" s="7"/>
      <c r="G196" s="7">
        <f t="shared" si="17"/>
        <v>38717565.439999998</v>
      </c>
      <c r="H196" s="7">
        <f>+IFERROR(+VLOOKUP(A196,'Trial Balance'!$A$12:$C$428,3,0),0)</f>
        <v>0</v>
      </c>
      <c r="I196" s="7"/>
      <c r="J196" s="7">
        <f t="shared" si="18"/>
        <v>0</v>
      </c>
      <c r="K196" s="7">
        <f>+IFERROR(+VLOOKUP(A196,'TB2019-20'!$A$12:$C$414,2,0),0)</f>
        <v>44460025.039999999</v>
      </c>
      <c r="L196" s="7"/>
      <c r="M196" s="7">
        <f t="shared" si="19"/>
        <v>44460025.039999999</v>
      </c>
      <c r="N196" s="7">
        <f>+IFERROR(+VLOOKUP(A196,'TB2019-20'!$A$12:$C$414,3,0),0)</f>
        <v>0</v>
      </c>
      <c r="O196" s="7"/>
      <c r="P196" s="7">
        <f t="shared" si="20"/>
        <v>0</v>
      </c>
    </row>
    <row r="197" spans="1:16" x14ac:dyDescent="0.25">
      <c r="A197" s="7" t="s">
        <v>85</v>
      </c>
      <c r="B197" s="7">
        <v>26</v>
      </c>
      <c r="C197" s="7" t="s">
        <v>467</v>
      </c>
      <c r="D197" s="7" t="s">
        <v>563</v>
      </c>
      <c r="E197" s="7">
        <f>+IFERROR(+VLOOKUP(A197,'Trial Balance'!$A$12:$C$428,2,0),0)</f>
        <v>1806809</v>
      </c>
      <c r="F197" s="7"/>
      <c r="G197" s="7">
        <f t="shared" si="17"/>
        <v>1806809</v>
      </c>
      <c r="H197" s="7">
        <f>+IFERROR(+VLOOKUP(A197,'Trial Balance'!$A$12:$C$428,3,0),0)</f>
        <v>0</v>
      </c>
      <c r="I197" s="7"/>
      <c r="J197" s="7">
        <f t="shared" si="18"/>
        <v>0</v>
      </c>
      <c r="K197" s="7">
        <f>+IFERROR(+VLOOKUP(A197,'TB2019-20'!$A$12:$C$414,2,0),0)</f>
        <v>1723504</v>
      </c>
      <c r="L197" s="7"/>
      <c r="M197" s="7">
        <f t="shared" si="19"/>
        <v>1723504</v>
      </c>
      <c r="N197" s="7">
        <f>+IFERROR(+VLOOKUP(A197,'TB2019-20'!$A$12:$C$414,3,0),0)</f>
        <v>0</v>
      </c>
      <c r="O197" s="7"/>
      <c r="P197" s="7">
        <f t="shared" si="20"/>
        <v>0</v>
      </c>
    </row>
    <row r="198" spans="1:16" x14ac:dyDescent="0.25">
      <c r="A198" s="7" t="s">
        <v>564</v>
      </c>
      <c r="B198" s="7">
        <v>26</v>
      </c>
      <c r="C198" s="7" t="s">
        <v>467</v>
      </c>
      <c r="D198" s="7" t="s">
        <v>563</v>
      </c>
      <c r="E198" s="7">
        <f>+IFERROR(+VLOOKUP(A198,'Trial Balance'!$A$12:$C$428,2,0),0)</f>
        <v>81671</v>
      </c>
      <c r="F198" s="7"/>
      <c r="G198" s="7">
        <f t="shared" ref="G198:G261" si="21">+E198+F198</f>
        <v>81671</v>
      </c>
      <c r="H198" s="7">
        <f>+IFERROR(+VLOOKUP(A198,'Trial Balance'!$A$12:$C$428,3,0),0)</f>
        <v>0</v>
      </c>
      <c r="I198" s="7"/>
      <c r="J198" s="7">
        <f t="shared" ref="J198:J261" si="22">+H198+I198</f>
        <v>0</v>
      </c>
      <c r="K198" s="7">
        <f>+IFERROR(+VLOOKUP(A198,'TB2019-20'!$A$12:$C$414,2,0),0)</f>
        <v>38030</v>
      </c>
      <c r="L198" s="7"/>
      <c r="M198" s="7">
        <f t="shared" si="19"/>
        <v>38030</v>
      </c>
      <c r="N198" s="7">
        <f>+IFERROR(+VLOOKUP(A198,'TB2019-20'!$A$12:$C$414,3,0),0)</f>
        <v>0</v>
      </c>
      <c r="O198" s="7"/>
      <c r="P198" s="7">
        <f t="shared" si="20"/>
        <v>0</v>
      </c>
    </row>
    <row r="199" spans="1:16" x14ac:dyDescent="0.25">
      <c r="A199" s="7" t="s">
        <v>86</v>
      </c>
      <c r="B199" s="7">
        <v>10</v>
      </c>
      <c r="C199" s="7" t="s">
        <v>534</v>
      </c>
      <c r="D199" s="7" t="s">
        <v>535</v>
      </c>
      <c r="E199" s="7">
        <f>+IFERROR(+VLOOKUP(A199,'Trial Balance'!$A$12:$C$428,2,0),0)</f>
        <v>744525.7</v>
      </c>
      <c r="F199" s="7"/>
      <c r="G199" s="7">
        <f t="shared" si="21"/>
        <v>744525.7</v>
      </c>
      <c r="H199" s="7">
        <f>+IFERROR(+VLOOKUP(A199,'Trial Balance'!$A$12:$C$428,3,0),0)</f>
        <v>0</v>
      </c>
      <c r="I199" s="7"/>
      <c r="J199" s="7">
        <f t="shared" si="22"/>
        <v>0</v>
      </c>
      <c r="K199" s="7">
        <f>+IFERROR(+VLOOKUP(A199,'TB2019-20'!$A$12:$C$414,2,0),0)</f>
        <v>1057200.7</v>
      </c>
      <c r="L199" s="7"/>
      <c r="M199" s="7">
        <f t="shared" si="19"/>
        <v>1057200.7</v>
      </c>
      <c r="N199" s="7">
        <f>+IFERROR(+VLOOKUP(A199,'TB2019-20'!$A$12:$C$414,3,0),0)</f>
        <v>0</v>
      </c>
      <c r="O199" s="7"/>
      <c r="P199" s="7">
        <f t="shared" si="20"/>
        <v>0</v>
      </c>
    </row>
    <row r="200" spans="1:16" x14ac:dyDescent="0.25">
      <c r="A200" s="7" t="s">
        <v>87</v>
      </c>
      <c r="B200" s="7">
        <v>26</v>
      </c>
      <c r="C200" s="7" t="s">
        <v>467</v>
      </c>
      <c r="D200" s="15" t="s">
        <v>565</v>
      </c>
      <c r="E200" s="7">
        <f>+IFERROR(+VLOOKUP(A200,'Trial Balance'!$A$12:$C$428,2,0),0)</f>
        <v>7000</v>
      </c>
      <c r="F200" s="7"/>
      <c r="G200" s="7">
        <f t="shared" si="21"/>
        <v>7000</v>
      </c>
      <c r="H200" s="7">
        <f>+IFERROR(+VLOOKUP(A200,'Trial Balance'!$A$12:$C$428,3,0),0)</f>
        <v>0</v>
      </c>
      <c r="I200" s="7"/>
      <c r="J200" s="7">
        <f t="shared" si="22"/>
        <v>0</v>
      </c>
      <c r="K200" s="7">
        <f>+IFERROR(+VLOOKUP(A200,'TB2019-20'!$A$12:$C$414,2,0),0)</f>
        <v>7000</v>
      </c>
      <c r="L200" s="7"/>
      <c r="M200" s="7">
        <f t="shared" si="19"/>
        <v>7000</v>
      </c>
      <c r="N200" s="7">
        <f>+IFERROR(+VLOOKUP(A200,'TB2019-20'!$A$12:$C$414,3,0),0)</f>
        <v>0</v>
      </c>
      <c r="O200" s="7"/>
      <c r="P200" s="7">
        <f t="shared" si="20"/>
        <v>0</v>
      </c>
    </row>
    <row r="201" spans="1:16" x14ac:dyDescent="0.25">
      <c r="A201" s="7" t="s">
        <v>566</v>
      </c>
      <c r="B201" s="7">
        <v>17</v>
      </c>
      <c r="C201" s="7" t="s">
        <v>474</v>
      </c>
      <c r="D201" s="7" t="s">
        <v>475</v>
      </c>
      <c r="E201" s="7">
        <f>+IFERROR(+VLOOKUP(A201,'Trial Balance'!$A$12:$C$428,2,0),0)</f>
        <v>0</v>
      </c>
      <c r="F201" s="7"/>
      <c r="G201" s="7">
        <f t="shared" si="21"/>
        <v>0</v>
      </c>
      <c r="H201" s="7">
        <f>+IFERROR(+VLOOKUP(A201,'Trial Balance'!$A$12:$C$428,3,0),0)</f>
        <v>0</v>
      </c>
      <c r="I201" s="7"/>
      <c r="J201" s="7">
        <f t="shared" si="22"/>
        <v>0</v>
      </c>
      <c r="K201" s="7">
        <f>+IFERROR(+VLOOKUP(A201,'TB2019-20'!$A$12:$C$414,2,0),0)</f>
        <v>42915.89</v>
      </c>
      <c r="L201" s="7"/>
      <c r="M201" s="7">
        <f t="shared" ref="M201:M265" si="23">+K201+L201</f>
        <v>42915.89</v>
      </c>
      <c r="N201" s="7">
        <f>+IFERROR(+VLOOKUP(A201,'TB2019-20'!$A$12:$C$414,3,0),0)</f>
        <v>0</v>
      </c>
      <c r="O201" s="7"/>
      <c r="P201" s="7">
        <f t="shared" ref="P201:P265" si="24">+N201+O201</f>
        <v>0</v>
      </c>
    </row>
    <row r="202" spans="1:16" x14ac:dyDescent="0.25">
      <c r="A202" s="8" t="s">
        <v>89</v>
      </c>
      <c r="B202" s="7">
        <v>8</v>
      </c>
      <c r="C202" s="7" t="s">
        <v>497</v>
      </c>
      <c r="D202" s="7" t="s">
        <v>567</v>
      </c>
      <c r="E202" s="7">
        <f>+IFERROR(+VLOOKUP(A202,'Trial Balance'!$A$12:$C$428,2,0),0)</f>
        <v>0</v>
      </c>
      <c r="F202" s="7"/>
      <c r="G202" s="7">
        <f t="shared" si="21"/>
        <v>0</v>
      </c>
      <c r="H202" s="7">
        <f>+IFERROR(+VLOOKUP(A202,'Trial Balance'!$A$12:$C$428,3,0),0)</f>
        <v>23574</v>
      </c>
      <c r="I202" s="7"/>
      <c r="J202" s="7">
        <f t="shared" si="22"/>
        <v>23574</v>
      </c>
      <c r="K202" s="7">
        <f>+IFERROR(+VLOOKUP(A202,'TB2019-20'!$A$12:$C$414,2,0),0)</f>
        <v>0</v>
      </c>
      <c r="L202" s="7"/>
      <c r="M202" s="7">
        <f t="shared" si="23"/>
        <v>0</v>
      </c>
      <c r="N202" s="7">
        <f>+IFERROR(+VLOOKUP(A202,'TB2019-20'!$A$12:$C$414,3,0),0)</f>
        <v>21838</v>
      </c>
      <c r="O202" s="7"/>
      <c r="P202" s="7">
        <f t="shared" si="24"/>
        <v>21838</v>
      </c>
    </row>
    <row r="203" spans="1:16" x14ac:dyDescent="0.25">
      <c r="A203" s="7" t="s">
        <v>568</v>
      </c>
      <c r="B203" s="7">
        <v>8</v>
      </c>
      <c r="C203" s="7" t="s">
        <v>497</v>
      </c>
      <c r="D203" s="7" t="s">
        <v>567</v>
      </c>
      <c r="E203" s="7">
        <f>+IFERROR(+VLOOKUP(A203,'Trial Balance'!$A$12:$C$428,2,0),0)</f>
        <v>0</v>
      </c>
      <c r="F203" s="7"/>
      <c r="G203" s="7">
        <f t="shared" si="21"/>
        <v>0</v>
      </c>
      <c r="H203" s="7">
        <f>+IFERROR(+VLOOKUP(A203,'Trial Balance'!$A$12:$C$428,3,0),0)</f>
        <v>206714</v>
      </c>
      <c r="I203" s="7"/>
      <c r="J203" s="7">
        <f t="shared" si="22"/>
        <v>206714</v>
      </c>
      <c r="K203" s="7">
        <f>+IFERROR(+VLOOKUP(A203,'TB2019-20'!$A$12:$C$414,2,0),0)</f>
        <v>0</v>
      </c>
      <c r="L203" s="7"/>
      <c r="M203" s="7">
        <f t="shared" si="23"/>
        <v>0</v>
      </c>
      <c r="N203" s="7">
        <f>+IFERROR(+VLOOKUP(A203,'TB2019-20'!$A$12:$C$414,3,0),0)</f>
        <v>184366</v>
      </c>
      <c r="O203" s="7"/>
      <c r="P203" s="7">
        <f t="shared" si="24"/>
        <v>184366</v>
      </c>
    </row>
    <row r="204" spans="1:16" x14ac:dyDescent="0.25">
      <c r="A204" s="7" t="s">
        <v>569</v>
      </c>
      <c r="B204" s="7">
        <v>26</v>
      </c>
      <c r="C204" s="7" t="s">
        <v>467</v>
      </c>
      <c r="D204" s="7" t="s">
        <v>570</v>
      </c>
      <c r="E204" s="7">
        <f>+IFERROR(+VLOOKUP(A204,'Trial Balance'!$A$12:$C$428,2,0),0)</f>
        <v>30655</v>
      </c>
      <c r="F204" s="7"/>
      <c r="G204" s="7">
        <f t="shared" si="21"/>
        <v>30655</v>
      </c>
      <c r="H204" s="7">
        <f>+IFERROR(+VLOOKUP(A204,'Trial Balance'!$A$12:$C$428,3,0),0)</f>
        <v>0</v>
      </c>
      <c r="I204" s="7"/>
      <c r="J204" s="7">
        <f t="shared" si="22"/>
        <v>0</v>
      </c>
      <c r="K204" s="7">
        <f>+IFERROR(+VLOOKUP(A204,'TB2019-20'!$A$12:$C$414,2,0),0)</f>
        <v>28640</v>
      </c>
      <c r="L204" s="7"/>
      <c r="M204" s="7">
        <f t="shared" si="23"/>
        <v>28640</v>
      </c>
      <c r="N204" s="7">
        <f>+IFERROR(+VLOOKUP(A204,'TB2019-20'!$A$12:$C$414,3,0),0)</f>
        <v>0</v>
      </c>
      <c r="O204" s="7"/>
      <c r="P204" s="7">
        <f t="shared" si="24"/>
        <v>0</v>
      </c>
    </row>
    <row r="205" spans="1:16" x14ac:dyDescent="0.25">
      <c r="A205" s="7" t="s">
        <v>571</v>
      </c>
      <c r="B205" s="7">
        <v>26</v>
      </c>
      <c r="C205" s="7" t="s">
        <v>467</v>
      </c>
      <c r="D205" s="7" t="s">
        <v>570</v>
      </c>
      <c r="E205" s="7">
        <f>+IFERROR(+VLOOKUP(A205,'Trial Balance'!$A$12:$C$428,2,0),0)</f>
        <v>25835</v>
      </c>
      <c r="F205" s="7"/>
      <c r="G205" s="7">
        <f t="shared" si="21"/>
        <v>25835</v>
      </c>
      <c r="H205" s="7">
        <f>+IFERROR(+VLOOKUP(A205,'Trial Balance'!$A$12:$C$428,3,0),0)</f>
        <v>0</v>
      </c>
      <c r="I205" s="7"/>
      <c r="J205" s="7">
        <f t="shared" si="22"/>
        <v>0</v>
      </c>
      <c r="K205" s="7">
        <f>+IFERROR(+VLOOKUP(A205,'TB2019-20'!$A$12:$C$414,2,0),0)</f>
        <v>45845</v>
      </c>
      <c r="L205" s="7"/>
      <c r="M205" s="7">
        <f t="shared" si="23"/>
        <v>45845</v>
      </c>
      <c r="N205" s="7">
        <f>+IFERROR(+VLOOKUP(A205,'TB2019-20'!$A$12:$C$414,3,0),0)</f>
        <v>0</v>
      </c>
      <c r="O205" s="7"/>
      <c r="P205" s="7">
        <f t="shared" si="24"/>
        <v>0</v>
      </c>
    </row>
    <row r="206" spans="1:16" x14ac:dyDescent="0.25">
      <c r="A206" s="10" t="s">
        <v>93</v>
      </c>
      <c r="B206" s="7">
        <v>15</v>
      </c>
      <c r="C206" s="7" t="s">
        <v>469</v>
      </c>
      <c r="D206" s="7" t="s">
        <v>470</v>
      </c>
      <c r="E206" s="7">
        <f>+IFERROR(+VLOOKUP(A206,'Trial Balance'!$A$12:$C$428,2,0),0)</f>
        <v>62901</v>
      </c>
      <c r="F206" s="7"/>
      <c r="G206" s="7">
        <f t="shared" si="21"/>
        <v>62901</v>
      </c>
      <c r="H206" s="7">
        <f>+IFERROR(+VLOOKUP(A206,'Trial Balance'!$A$12:$C$428,3,0),0)</f>
        <v>0</v>
      </c>
      <c r="I206" s="7"/>
      <c r="J206" s="7">
        <f t="shared" si="22"/>
        <v>0</v>
      </c>
      <c r="K206" s="7">
        <f>+IFERROR(+VLOOKUP(A206,'TB2019-20'!$A$12:$C$414,2,0),0)</f>
        <v>2786944</v>
      </c>
      <c r="L206" s="7"/>
      <c r="M206" s="7">
        <f t="shared" si="23"/>
        <v>2786944</v>
      </c>
      <c r="N206" s="7">
        <f>+IFERROR(+VLOOKUP(A206,'TB2019-20'!$A$12:$C$414,3,0),0)</f>
        <v>0</v>
      </c>
      <c r="O206" s="7"/>
      <c r="P206" s="7">
        <f t="shared" si="24"/>
        <v>0</v>
      </c>
    </row>
    <row r="207" spans="1:16" x14ac:dyDescent="0.25">
      <c r="A207" s="7" t="s">
        <v>572</v>
      </c>
      <c r="B207" s="7">
        <v>26</v>
      </c>
      <c r="C207" s="7" t="s">
        <v>467</v>
      </c>
      <c r="D207" s="7" t="s">
        <v>493</v>
      </c>
      <c r="E207" s="7">
        <f>+IFERROR(+VLOOKUP(A207,'Trial Balance'!$A$12:$C$428,2,0),0)</f>
        <v>44221.5</v>
      </c>
      <c r="F207" s="7"/>
      <c r="G207" s="7">
        <f t="shared" si="21"/>
        <v>44221.5</v>
      </c>
      <c r="H207" s="7">
        <f>+IFERROR(+VLOOKUP(A207,'Trial Balance'!$A$12:$C$428,3,0),0)</f>
        <v>0</v>
      </c>
      <c r="I207" s="7"/>
      <c r="J207" s="7">
        <f t="shared" si="22"/>
        <v>0</v>
      </c>
      <c r="K207" s="7">
        <f>+IFERROR(+VLOOKUP(A207,'TB2019-20'!$A$12:$C$414,2,0),0)</f>
        <v>60454</v>
      </c>
      <c r="L207" s="7"/>
      <c r="M207" s="7">
        <f t="shared" si="23"/>
        <v>60454</v>
      </c>
      <c r="N207" s="7">
        <f>+IFERROR(+VLOOKUP(A207,'TB2019-20'!$A$12:$C$414,3,0),0)</f>
        <v>0</v>
      </c>
      <c r="O207" s="7"/>
      <c r="P207" s="7">
        <f t="shared" si="24"/>
        <v>0</v>
      </c>
    </row>
    <row r="208" spans="1:16" x14ac:dyDescent="0.25">
      <c r="A208" s="8" t="s">
        <v>1437</v>
      </c>
      <c r="B208" s="7">
        <v>26</v>
      </c>
      <c r="C208" s="7" t="s">
        <v>467</v>
      </c>
      <c r="D208" s="7" t="s">
        <v>493</v>
      </c>
      <c r="E208" s="7">
        <f>+IFERROR(+VLOOKUP(A208,'Trial Balance'!$A$12:$C$428,2,0),0)</f>
        <v>500</v>
      </c>
      <c r="F208" s="7"/>
      <c r="G208" s="7">
        <f t="shared" si="21"/>
        <v>500</v>
      </c>
      <c r="H208" s="7">
        <f>+IFERROR(+VLOOKUP(A208,'Trial Balance'!$A$12:$C$428,3,0),0)</f>
        <v>0</v>
      </c>
      <c r="I208" s="7"/>
      <c r="J208" s="7">
        <f t="shared" si="22"/>
        <v>0</v>
      </c>
      <c r="K208" s="7">
        <f>+IFERROR(+VLOOKUP(A208,'TB2019-20'!$A$12:$C$414,2,0),0)</f>
        <v>0</v>
      </c>
      <c r="L208" s="7"/>
      <c r="M208" s="7">
        <f t="shared" ref="M208" si="25">+K208+L208</f>
        <v>0</v>
      </c>
      <c r="N208" s="7">
        <f>+IFERROR(+VLOOKUP(A208,'TB2019-20'!$A$12:$C$414,3,0),0)</f>
        <v>0</v>
      </c>
      <c r="O208" s="7"/>
      <c r="P208" s="7">
        <f t="shared" ref="P208" si="26">+N208+O208</f>
        <v>0</v>
      </c>
    </row>
    <row r="209" spans="1:16" x14ac:dyDescent="0.25">
      <c r="A209" s="7" t="s">
        <v>573</v>
      </c>
      <c r="B209" s="7">
        <v>12</v>
      </c>
      <c r="C209" s="7" t="s">
        <v>465</v>
      </c>
      <c r="D209" s="14" t="s">
        <v>550</v>
      </c>
      <c r="E209" s="7">
        <f>+IFERROR(+VLOOKUP(A209,'Trial Balance'!$A$12:$C$428,2,0),0)</f>
        <v>0</v>
      </c>
      <c r="F209" s="7"/>
      <c r="G209" s="7">
        <f t="shared" si="21"/>
        <v>0</v>
      </c>
      <c r="H209" s="7">
        <f>+IFERROR(+VLOOKUP(A209,'Trial Balance'!$A$12:$C$428,3,0),0)</f>
        <v>0</v>
      </c>
      <c r="I209" s="7"/>
      <c r="J209" s="7">
        <f t="shared" si="22"/>
        <v>0</v>
      </c>
      <c r="K209" s="7">
        <f>+IFERROR(+VLOOKUP(A209,'TB2019-20'!$A$12:$C$414,2,0),0)</f>
        <v>0</v>
      </c>
      <c r="L209" s="7"/>
      <c r="M209" s="7">
        <f t="shared" si="23"/>
        <v>0</v>
      </c>
      <c r="N209" s="7">
        <f>+IFERROR(+VLOOKUP(A209,'TB2019-20'!$A$12:$C$414,3,0),0)</f>
        <v>0</v>
      </c>
      <c r="O209" s="7"/>
      <c r="P209" s="7">
        <f t="shared" si="24"/>
        <v>0</v>
      </c>
    </row>
    <row r="210" spans="1:16" x14ac:dyDescent="0.25">
      <c r="A210" s="8" t="s">
        <v>574</v>
      </c>
      <c r="B210" s="7">
        <v>26</v>
      </c>
      <c r="C210" s="7" t="s">
        <v>467</v>
      </c>
      <c r="D210" s="7" t="s">
        <v>541</v>
      </c>
      <c r="E210" s="7">
        <f>+IFERROR(+VLOOKUP(A210,'Trial Balance'!$A$12:$C$428,2,0),0)</f>
        <v>0</v>
      </c>
      <c r="F210" s="7"/>
      <c r="G210" s="7">
        <f t="shared" si="21"/>
        <v>0</v>
      </c>
      <c r="H210" s="7">
        <f>+IFERROR(+VLOOKUP(A210,'Trial Balance'!$A$12:$C$428,3,0),0)</f>
        <v>0</v>
      </c>
      <c r="I210" s="7"/>
      <c r="J210" s="7">
        <f t="shared" si="22"/>
        <v>0</v>
      </c>
      <c r="K210" s="7">
        <f>+IFERROR(+VLOOKUP(A210,'TB2019-20'!$A$12:$C$414,2,0),0)</f>
        <v>0</v>
      </c>
      <c r="L210" s="7"/>
      <c r="M210" s="7">
        <f t="shared" si="23"/>
        <v>0</v>
      </c>
      <c r="N210" s="7">
        <f>+IFERROR(+VLOOKUP(A210,'TB2019-20'!$A$12:$C$414,3,0),0)</f>
        <v>0</v>
      </c>
      <c r="O210" s="7"/>
      <c r="P210" s="7">
        <f t="shared" si="24"/>
        <v>0</v>
      </c>
    </row>
    <row r="211" spans="1:16" x14ac:dyDescent="0.25">
      <c r="A211" s="10" t="s">
        <v>575</v>
      </c>
      <c r="B211" s="7">
        <v>12</v>
      </c>
      <c r="C211" s="7" t="s">
        <v>465</v>
      </c>
      <c r="D211" s="14" t="s">
        <v>546</v>
      </c>
      <c r="E211" s="7">
        <f>+IFERROR(+VLOOKUP(A211,'Trial Balance'!$A$12:$C$428,2,0),0)</f>
        <v>0</v>
      </c>
      <c r="F211" s="7"/>
      <c r="G211" s="7">
        <f t="shared" si="21"/>
        <v>0</v>
      </c>
      <c r="H211" s="7">
        <f>+IFERROR(+VLOOKUP(A211,'Trial Balance'!$A$12:$C$428,3,0),0)</f>
        <v>0</v>
      </c>
      <c r="I211" s="7"/>
      <c r="J211" s="7">
        <f t="shared" si="22"/>
        <v>0</v>
      </c>
      <c r="K211" s="7">
        <f>+IFERROR(+VLOOKUP(A211,'TB2019-20'!$A$12:$C$414,2,0),0)</f>
        <v>0</v>
      </c>
      <c r="L211" s="7"/>
      <c r="M211" s="7">
        <f t="shared" si="23"/>
        <v>0</v>
      </c>
      <c r="N211" s="7">
        <f>+IFERROR(+VLOOKUP(A211,'TB2019-20'!$A$12:$C$414,3,0),0)</f>
        <v>0</v>
      </c>
      <c r="O211" s="7"/>
      <c r="P211" s="7">
        <f t="shared" si="24"/>
        <v>0</v>
      </c>
    </row>
    <row r="212" spans="1:16" x14ac:dyDescent="0.25">
      <c r="A212" s="7" t="s">
        <v>576</v>
      </c>
      <c r="B212" s="7">
        <v>26</v>
      </c>
      <c r="C212" s="7" t="s">
        <v>467</v>
      </c>
      <c r="D212" s="7" t="s">
        <v>541</v>
      </c>
      <c r="E212" s="7">
        <f>+IFERROR(+VLOOKUP(A212,'Trial Balance'!$A$12:$C$428,2,0),0)</f>
        <v>0</v>
      </c>
      <c r="F212" s="7"/>
      <c r="G212" s="7">
        <f t="shared" si="21"/>
        <v>0</v>
      </c>
      <c r="H212" s="7">
        <f>+IFERROR(+VLOOKUP(A212,'Trial Balance'!$A$12:$C$428,3,0),0)</f>
        <v>0</v>
      </c>
      <c r="I212" s="7"/>
      <c r="J212" s="7">
        <f t="shared" si="22"/>
        <v>0</v>
      </c>
      <c r="K212" s="7">
        <f>+IFERROR(+VLOOKUP(A212,'TB2019-20'!$A$12:$C$414,2,0),0)</f>
        <v>2500</v>
      </c>
      <c r="L212" s="7"/>
      <c r="M212" s="7">
        <f t="shared" si="23"/>
        <v>2500</v>
      </c>
      <c r="N212" s="7">
        <f>+IFERROR(+VLOOKUP(A212,'TB2019-20'!$A$12:$C$414,3,0),0)</f>
        <v>0</v>
      </c>
      <c r="O212" s="7"/>
      <c r="P212" s="7">
        <f t="shared" si="24"/>
        <v>0</v>
      </c>
    </row>
    <row r="213" spans="1:16" x14ac:dyDescent="0.25">
      <c r="A213" s="7" t="s">
        <v>577</v>
      </c>
      <c r="B213" s="7">
        <v>17</v>
      </c>
      <c r="C213" s="7" t="s">
        <v>474</v>
      </c>
      <c r="D213" s="7" t="s">
        <v>475</v>
      </c>
      <c r="E213" s="7">
        <f>+IFERROR(+VLOOKUP(A213,'Trial Balance'!$A$12:$C$428,2,0),0)</f>
        <v>0</v>
      </c>
      <c r="F213" s="7"/>
      <c r="G213" s="7">
        <f t="shared" si="21"/>
        <v>0</v>
      </c>
      <c r="H213" s="7">
        <f>+IFERROR(+VLOOKUP(A213,'Trial Balance'!$A$12:$C$428,3,0),0)</f>
        <v>0</v>
      </c>
      <c r="I213" s="7"/>
      <c r="J213" s="7">
        <f t="shared" si="22"/>
        <v>0</v>
      </c>
      <c r="K213" s="7">
        <f>+IFERROR(+VLOOKUP(A213,'TB2019-20'!$A$12:$C$414,2,0),0)</f>
        <v>0</v>
      </c>
      <c r="L213" s="7"/>
      <c r="M213" s="7">
        <f t="shared" si="23"/>
        <v>0</v>
      </c>
      <c r="N213" s="7">
        <f>+IFERROR(+VLOOKUP(A213,'TB2019-20'!$A$12:$C$414,3,0),0)</f>
        <v>0</v>
      </c>
      <c r="O213" s="7"/>
      <c r="P213" s="7">
        <f t="shared" si="24"/>
        <v>0</v>
      </c>
    </row>
    <row r="214" spans="1:16" x14ac:dyDescent="0.25">
      <c r="A214" s="6" t="s">
        <v>98</v>
      </c>
      <c r="B214" s="7">
        <v>7</v>
      </c>
      <c r="C214" s="7" t="s">
        <v>460</v>
      </c>
      <c r="D214" s="7" t="s">
        <v>460</v>
      </c>
      <c r="E214" s="7">
        <f>+IFERROR(+VLOOKUP(A214,'Trial Balance'!$A$12:$C$428,2,0),0)</f>
        <v>0</v>
      </c>
      <c r="F214" s="7"/>
      <c r="G214" s="7">
        <f t="shared" si="21"/>
        <v>0</v>
      </c>
      <c r="H214" s="7">
        <f>+IFERROR(+VLOOKUP(A214,'Trial Balance'!$A$12:$C$428,3,0),0)</f>
        <v>2151570</v>
      </c>
      <c r="I214" s="7"/>
      <c r="J214" s="7">
        <f t="shared" si="22"/>
        <v>2151570</v>
      </c>
      <c r="K214" s="7">
        <f>+IFERROR(+VLOOKUP(A214,'TB2019-20'!$A$12:$C$414,2,0),0)</f>
        <v>0</v>
      </c>
      <c r="L214" s="7"/>
      <c r="M214" s="7">
        <f t="shared" si="23"/>
        <v>0</v>
      </c>
      <c r="N214" s="7">
        <f>+IFERROR(+VLOOKUP(A214,'TB2019-20'!$A$12:$C$414,3,0),0)</f>
        <v>2430503</v>
      </c>
      <c r="O214" s="7"/>
      <c r="P214" s="7">
        <f t="shared" si="24"/>
        <v>2430503</v>
      </c>
    </row>
    <row r="215" spans="1:16" x14ac:dyDescent="0.25">
      <c r="A215" s="7" t="s">
        <v>578</v>
      </c>
      <c r="B215" s="7">
        <v>15</v>
      </c>
      <c r="C215" s="7" t="s">
        <v>469</v>
      </c>
      <c r="D215" s="7" t="s">
        <v>470</v>
      </c>
      <c r="E215" s="7">
        <f>+IFERROR(+VLOOKUP(A215,'Trial Balance'!$A$12:$C$428,2,0),0)</f>
        <v>0</v>
      </c>
      <c r="F215" s="7"/>
      <c r="G215" s="7">
        <f t="shared" si="21"/>
        <v>0</v>
      </c>
      <c r="H215" s="7">
        <f>+IFERROR(+VLOOKUP(A215,'Trial Balance'!$A$12:$C$428,3,0),0)</f>
        <v>0</v>
      </c>
      <c r="I215" s="7"/>
      <c r="J215" s="7">
        <f t="shared" si="22"/>
        <v>0</v>
      </c>
      <c r="K215" s="7">
        <f>+IFERROR(+VLOOKUP(A215,'TB2019-20'!$A$12:$C$414,2,0),0)</f>
        <v>0</v>
      </c>
      <c r="L215" s="7"/>
      <c r="M215" s="7">
        <f t="shared" si="23"/>
        <v>0</v>
      </c>
      <c r="N215" s="7">
        <f>+IFERROR(+VLOOKUP(A215,'TB2019-20'!$A$12:$C$414,3,0),0)</f>
        <v>0</v>
      </c>
      <c r="O215" s="7"/>
      <c r="P215" s="7">
        <f t="shared" si="24"/>
        <v>0</v>
      </c>
    </row>
    <row r="216" spans="1:16" x14ac:dyDescent="0.25">
      <c r="A216" s="7" t="s">
        <v>99</v>
      </c>
      <c r="B216" s="7">
        <v>5</v>
      </c>
      <c r="C216" s="7" t="s">
        <v>579</v>
      </c>
      <c r="D216" s="7" t="s">
        <v>580</v>
      </c>
      <c r="E216" s="7">
        <f>+IFERROR(+VLOOKUP(A216,'Trial Balance'!$A$12:$C$428,2,0),0)</f>
        <v>0</v>
      </c>
      <c r="F216" s="7"/>
      <c r="G216" s="7">
        <f t="shared" si="21"/>
        <v>0</v>
      </c>
      <c r="H216" s="7">
        <f>+IFERROR(+VLOOKUP(A216,'Trial Balance'!$A$12:$C$428,3,0),0)</f>
        <v>20264926</v>
      </c>
      <c r="I216" s="7"/>
      <c r="J216" s="7">
        <f t="shared" si="22"/>
        <v>20264926</v>
      </c>
      <c r="K216" s="7">
        <f>+IFERROR(+VLOOKUP(A216,'TB2019-20'!$A$12:$C$414,2,0),0)</f>
        <v>0</v>
      </c>
      <c r="L216" s="7"/>
      <c r="M216" s="7">
        <f t="shared" si="23"/>
        <v>0</v>
      </c>
      <c r="N216" s="7">
        <f>+IFERROR(+VLOOKUP(A216,'TB2019-20'!$A$12:$C$414,3,0),0)</f>
        <v>20113961</v>
      </c>
      <c r="O216" s="7"/>
      <c r="P216" s="7">
        <f t="shared" si="24"/>
        <v>20113961</v>
      </c>
    </row>
    <row r="217" spans="1:16" x14ac:dyDescent="0.25">
      <c r="A217" s="12" t="s">
        <v>100</v>
      </c>
      <c r="B217" s="7">
        <v>18</v>
      </c>
      <c r="C217" s="7" t="s">
        <v>584</v>
      </c>
      <c r="D217" s="7" t="s">
        <v>3326</v>
      </c>
      <c r="E217" s="7">
        <f>+IFERROR(+VLOOKUP(A217,'Trial Balance'!$A$12:$C$428,2,0),0)</f>
        <v>1137100</v>
      </c>
      <c r="F217" s="7"/>
      <c r="G217" s="7">
        <f t="shared" si="21"/>
        <v>1137100</v>
      </c>
      <c r="H217" s="7">
        <f>+IFERROR(+VLOOKUP(A217,'Trial Balance'!$A$12:$C$428,3,0),0)</f>
        <v>0</v>
      </c>
      <c r="I217" s="7"/>
      <c r="J217" s="7">
        <f t="shared" si="22"/>
        <v>0</v>
      </c>
      <c r="K217" s="7">
        <f>+IFERROR(+VLOOKUP(A217,'TB2019-20'!$A$12:$C$414,2,0),0)</f>
        <v>1137100</v>
      </c>
      <c r="L217" s="7"/>
      <c r="M217" s="7">
        <f t="shared" si="23"/>
        <v>1137100</v>
      </c>
      <c r="N217" s="7">
        <f>+IFERROR(+VLOOKUP(A217,'TB2019-20'!$A$12:$C$414,3,0),0)</f>
        <v>0</v>
      </c>
      <c r="O217" s="7"/>
      <c r="P217" s="7">
        <f t="shared" si="24"/>
        <v>0</v>
      </c>
    </row>
    <row r="218" spans="1:16" x14ac:dyDescent="0.25">
      <c r="A218" s="7" t="s">
        <v>101</v>
      </c>
      <c r="B218" s="7">
        <v>12</v>
      </c>
      <c r="C218" s="7" t="s">
        <v>465</v>
      </c>
      <c r="D218" s="7" t="s">
        <v>581</v>
      </c>
      <c r="E218" s="7">
        <f>+IFERROR(+VLOOKUP(A218,'Trial Balance'!$A$12:$C$428,2,0),0)</f>
        <v>6800</v>
      </c>
      <c r="F218" s="7"/>
      <c r="G218" s="7">
        <f t="shared" si="21"/>
        <v>6800</v>
      </c>
      <c r="H218" s="7">
        <f>+IFERROR(+VLOOKUP(A218,'Trial Balance'!$A$12:$C$428,3,0),0)</f>
        <v>0</v>
      </c>
      <c r="I218" s="7"/>
      <c r="J218" s="7">
        <f t="shared" si="22"/>
        <v>0</v>
      </c>
      <c r="K218" s="7">
        <f>+IFERROR(+VLOOKUP(A218,'TB2019-20'!$A$12:$C$414,2,0),0)</f>
        <v>6800</v>
      </c>
      <c r="L218" s="7"/>
      <c r="M218" s="7">
        <f t="shared" si="23"/>
        <v>6800</v>
      </c>
      <c r="N218" s="7">
        <f>+IFERROR(+VLOOKUP(A218,'TB2019-20'!$A$12:$C$414,3,0),0)</f>
        <v>0</v>
      </c>
      <c r="O218" s="7"/>
      <c r="P218" s="7">
        <f t="shared" si="24"/>
        <v>0</v>
      </c>
    </row>
    <row r="219" spans="1:16" x14ac:dyDescent="0.25">
      <c r="A219" s="7" t="s">
        <v>582</v>
      </c>
      <c r="B219" s="7">
        <v>13</v>
      </c>
      <c r="C219" s="7" t="s">
        <v>1440</v>
      </c>
      <c r="D219" s="7" t="s">
        <v>583</v>
      </c>
      <c r="E219" s="7">
        <f>+IFERROR(+VLOOKUP(A219,'Trial Balance'!$A$12:$C$428,2,0),0)</f>
        <v>0</v>
      </c>
      <c r="F219" s="7"/>
      <c r="G219" s="7">
        <f t="shared" si="21"/>
        <v>0</v>
      </c>
      <c r="H219" s="7">
        <f>+IFERROR(+VLOOKUP(A219,'Trial Balance'!$A$12:$C$428,3,0),0)</f>
        <v>0</v>
      </c>
      <c r="I219" s="7"/>
      <c r="J219" s="7">
        <f t="shared" si="22"/>
        <v>0</v>
      </c>
      <c r="K219" s="7">
        <f>+IFERROR(+VLOOKUP(A219,'TB2019-20'!$A$12:$C$414,2,0),0)</f>
        <v>0</v>
      </c>
      <c r="L219" s="7"/>
      <c r="M219" s="7">
        <f t="shared" si="23"/>
        <v>0</v>
      </c>
      <c r="N219" s="7">
        <f>+IFERROR(+VLOOKUP(A219,'TB2019-20'!$A$12:$C$414,3,0),0)</f>
        <v>0</v>
      </c>
      <c r="O219" s="7"/>
      <c r="P219" s="7">
        <f t="shared" si="24"/>
        <v>0</v>
      </c>
    </row>
    <row r="220" spans="1:16" x14ac:dyDescent="0.25">
      <c r="A220" s="8" t="s">
        <v>107</v>
      </c>
      <c r="B220" s="7">
        <v>13</v>
      </c>
      <c r="C220" s="7" t="s">
        <v>1440</v>
      </c>
      <c r="D220" s="7" t="s">
        <v>583</v>
      </c>
      <c r="E220" s="7">
        <f>+IFERROR(+VLOOKUP(A220,'Trial Balance'!$A$12:$C$428,2,0),0)</f>
        <v>206250</v>
      </c>
      <c r="F220" s="7"/>
      <c r="G220" s="7">
        <f t="shared" si="21"/>
        <v>206250</v>
      </c>
      <c r="H220" s="7">
        <f>+IFERROR(+VLOOKUP(A220,'Trial Balance'!$A$12:$C$428,3,0),0)</f>
        <v>0</v>
      </c>
      <c r="I220" s="7"/>
      <c r="J220" s="7">
        <f t="shared" si="22"/>
        <v>0</v>
      </c>
      <c r="K220" s="7">
        <f>+IFERROR(+VLOOKUP(A220,'TB2019-20'!$A$12:$C$414,2,0),0)</f>
        <v>0</v>
      </c>
      <c r="L220" s="7"/>
      <c r="M220" s="7">
        <f t="shared" si="23"/>
        <v>0</v>
      </c>
      <c r="N220" s="7">
        <f>+IFERROR(+VLOOKUP(A220,'TB2019-20'!$A$12:$C$414,3,0),0)</f>
        <v>0</v>
      </c>
      <c r="O220" s="7"/>
      <c r="P220" s="7">
        <f t="shared" si="24"/>
        <v>0</v>
      </c>
    </row>
    <row r="221" spans="1:16" x14ac:dyDescent="0.25">
      <c r="A221" s="7" t="s">
        <v>105</v>
      </c>
      <c r="B221" s="7">
        <v>18</v>
      </c>
      <c r="C221" s="7" t="s">
        <v>584</v>
      </c>
      <c r="D221" s="7" t="s">
        <v>3326</v>
      </c>
      <c r="E221" s="7">
        <f>+IFERROR(+VLOOKUP(A221,'Trial Balance'!$A$12:$C$428,2,0),0)</f>
        <v>50000</v>
      </c>
      <c r="F221" s="7"/>
      <c r="G221" s="7">
        <f t="shared" si="21"/>
        <v>50000</v>
      </c>
      <c r="H221" s="7">
        <f>+IFERROR(+VLOOKUP(A221,'Trial Balance'!$A$12:$C$428,3,0),0)</f>
        <v>0</v>
      </c>
      <c r="I221" s="7"/>
      <c r="J221" s="7">
        <f t="shared" si="22"/>
        <v>0</v>
      </c>
      <c r="K221" s="7">
        <f>+IFERROR(+VLOOKUP(A221,'TB2019-20'!$A$12:$C$414,2,0),0)</f>
        <v>470000</v>
      </c>
      <c r="L221" s="7"/>
      <c r="M221" s="7">
        <f t="shared" si="23"/>
        <v>470000</v>
      </c>
      <c r="N221" s="7">
        <f>+IFERROR(+VLOOKUP(A221,'TB2019-20'!$A$12:$C$414,3,0),0)</f>
        <v>0</v>
      </c>
      <c r="O221" s="7"/>
      <c r="P221" s="7">
        <f t="shared" si="24"/>
        <v>0</v>
      </c>
    </row>
    <row r="222" spans="1:16" x14ac:dyDescent="0.25">
      <c r="A222" s="12" t="s">
        <v>106</v>
      </c>
      <c r="B222" s="7">
        <v>12</v>
      </c>
      <c r="C222" s="7" t="s">
        <v>465</v>
      </c>
      <c r="D222" s="7" t="s">
        <v>581</v>
      </c>
      <c r="E222" s="7">
        <f>+IFERROR(+VLOOKUP(A222,'Trial Balance'!$A$12:$C$428,2,0),0)</f>
        <v>248200</v>
      </c>
      <c r="F222" s="7"/>
      <c r="G222" s="7">
        <f t="shared" si="21"/>
        <v>248200</v>
      </c>
      <c r="H222" s="7">
        <f>+IFERROR(+VLOOKUP(A222,'Trial Balance'!$A$12:$C$428,3,0),0)</f>
        <v>0</v>
      </c>
      <c r="I222" s="7"/>
      <c r="J222" s="7">
        <f t="shared" si="22"/>
        <v>0</v>
      </c>
      <c r="K222" s="7">
        <f>+IFERROR(+VLOOKUP(A222,'TB2019-20'!$A$12:$C$414,2,0),0)</f>
        <v>248200</v>
      </c>
      <c r="L222" s="7"/>
      <c r="M222" s="7">
        <f t="shared" si="23"/>
        <v>248200</v>
      </c>
      <c r="N222" s="7">
        <f>+IFERROR(+VLOOKUP(A222,'TB2019-20'!$A$12:$C$414,3,0),0)</f>
        <v>0</v>
      </c>
      <c r="O222" s="7"/>
      <c r="P222" s="7">
        <f t="shared" si="24"/>
        <v>0</v>
      </c>
    </row>
    <row r="223" spans="1:16" x14ac:dyDescent="0.25">
      <c r="A223" s="16" t="s">
        <v>108</v>
      </c>
      <c r="B223" s="7">
        <v>13</v>
      </c>
      <c r="C223" s="7" t="s">
        <v>1440</v>
      </c>
      <c r="D223" s="7" t="s">
        <v>583</v>
      </c>
      <c r="E223" s="7">
        <f>+IFERROR(+VLOOKUP(A223,'Trial Balance'!$A$12:$C$428,2,0),0)</f>
        <v>125000</v>
      </c>
      <c r="F223" s="7"/>
      <c r="G223" s="7">
        <f t="shared" si="21"/>
        <v>125000</v>
      </c>
      <c r="H223" s="7">
        <f>+IFERROR(+VLOOKUP(A223,'Trial Balance'!$A$12:$C$428,3,0),0)</f>
        <v>0</v>
      </c>
      <c r="I223" s="7"/>
      <c r="J223" s="7">
        <f t="shared" si="22"/>
        <v>0</v>
      </c>
      <c r="K223" s="7">
        <f>+IFERROR(+VLOOKUP(A223,'TB2019-20'!$A$12:$C$414,2,0),0)</f>
        <v>125000</v>
      </c>
      <c r="L223" s="7"/>
      <c r="M223" s="7">
        <f t="shared" si="23"/>
        <v>125000</v>
      </c>
      <c r="N223" s="7">
        <f>+IFERROR(+VLOOKUP(A223,'TB2019-20'!$A$12:$C$414,3,0),0)</f>
        <v>0</v>
      </c>
      <c r="O223" s="7"/>
      <c r="P223" s="7">
        <f t="shared" si="24"/>
        <v>0</v>
      </c>
    </row>
    <row r="224" spans="1:16" x14ac:dyDescent="0.25">
      <c r="A224" s="7" t="s">
        <v>585</v>
      </c>
      <c r="B224" s="7">
        <v>12</v>
      </c>
      <c r="C224" s="7" t="s">
        <v>465</v>
      </c>
      <c r="D224" s="7" t="s">
        <v>581</v>
      </c>
      <c r="E224" s="7">
        <f>+IFERROR(+VLOOKUP(A224,'Trial Balance'!$A$12:$C$428,2,0),0)</f>
        <v>200000</v>
      </c>
      <c r="F224" s="7"/>
      <c r="G224" s="7">
        <f t="shared" si="21"/>
        <v>200000</v>
      </c>
      <c r="H224" s="7">
        <f>+IFERROR(+VLOOKUP(A224,'Trial Balance'!$A$12:$C$428,3,0),0)</f>
        <v>0</v>
      </c>
      <c r="I224" s="7"/>
      <c r="J224" s="7">
        <f t="shared" si="22"/>
        <v>0</v>
      </c>
      <c r="K224" s="7">
        <f>+IFERROR(+VLOOKUP(A224,'TB2019-20'!$A$12:$C$414,2,0),0)</f>
        <v>200000</v>
      </c>
      <c r="L224" s="7"/>
      <c r="M224" s="7">
        <f t="shared" si="23"/>
        <v>200000</v>
      </c>
      <c r="N224" s="7">
        <f>+IFERROR(+VLOOKUP(A224,'TB2019-20'!$A$12:$C$414,3,0),0)</f>
        <v>0</v>
      </c>
      <c r="O224" s="7"/>
      <c r="P224" s="7">
        <f t="shared" si="24"/>
        <v>0</v>
      </c>
    </row>
    <row r="225" spans="1:16" x14ac:dyDescent="0.25">
      <c r="A225" s="7" t="s">
        <v>586</v>
      </c>
      <c r="B225" s="7">
        <v>12</v>
      </c>
      <c r="C225" s="7" t="s">
        <v>465</v>
      </c>
      <c r="D225" s="7" t="s">
        <v>581</v>
      </c>
      <c r="E225" s="7">
        <f>+IFERROR(+VLOOKUP(A225,'Trial Balance'!$A$12:$C$428,2,0),0)</f>
        <v>10777</v>
      </c>
      <c r="F225" s="7"/>
      <c r="G225" s="7">
        <f t="shared" si="21"/>
        <v>10777</v>
      </c>
      <c r="H225" s="7">
        <f>+IFERROR(+VLOOKUP(A225,'Trial Balance'!$A$12:$C$428,3,0),0)</f>
        <v>0</v>
      </c>
      <c r="I225" s="7"/>
      <c r="J225" s="7">
        <f t="shared" si="22"/>
        <v>0</v>
      </c>
      <c r="K225" s="7">
        <f>+IFERROR(+VLOOKUP(A225,'TB2019-20'!$A$12:$C$414,2,0),0)</f>
        <v>9500</v>
      </c>
      <c r="L225" s="7"/>
      <c r="M225" s="7">
        <f t="shared" si="23"/>
        <v>9500</v>
      </c>
      <c r="N225" s="7">
        <f>+IFERROR(+VLOOKUP(A225,'TB2019-20'!$A$12:$C$414,3,0),0)</f>
        <v>0</v>
      </c>
      <c r="O225" s="7"/>
      <c r="P225" s="7">
        <f t="shared" si="24"/>
        <v>0</v>
      </c>
    </row>
    <row r="226" spans="1:16" x14ac:dyDescent="0.25">
      <c r="A226" s="7" t="s">
        <v>104</v>
      </c>
      <c r="B226" s="7">
        <v>9</v>
      </c>
      <c r="C226" s="7" t="s">
        <v>587</v>
      </c>
      <c r="D226" s="7" t="s">
        <v>588</v>
      </c>
      <c r="E226" s="7">
        <f>+IFERROR(+VLOOKUP(A226,'Trial Balance'!$A$12:$C$428,2,0),0)</f>
        <v>4778693</v>
      </c>
      <c r="F226" s="7"/>
      <c r="G226" s="7">
        <f t="shared" si="21"/>
        <v>4778693</v>
      </c>
      <c r="H226" s="7">
        <f>+IFERROR(+VLOOKUP(A226,'Trial Balance'!$A$12:$C$428,3,0),0)</f>
        <v>0</v>
      </c>
      <c r="I226" s="7"/>
      <c r="J226" s="7">
        <f t="shared" si="22"/>
        <v>0</v>
      </c>
      <c r="K226" s="7">
        <f>+IFERROR(+VLOOKUP(A226,'TB2019-20'!$A$12:$C$414,2,0),0)</f>
        <v>4494616</v>
      </c>
      <c r="L226" s="7"/>
      <c r="M226" s="7">
        <f t="shared" si="23"/>
        <v>4494616</v>
      </c>
      <c r="N226" s="7">
        <f>+IFERROR(+VLOOKUP(A226,'TB2019-20'!$A$12:$C$414,3,0),0)</f>
        <v>0</v>
      </c>
      <c r="O226" s="7"/>
      <c r="P226" s="7">
        <f t="shared" si="24"/>
        <v>0</v>
      </c>
    </row>
    <row r="227" spans="1:16" x14ac:dyDescent="0.25">
      <c r="A227" s="7" t="s">
        <v>589</v>
      </c>
      <c r="B227" s="7">
        <v>13</v>
      </c>
      <c r="C227" s="7" t="s">
        <v>1440</v>
      </c>
      <c r="D227" s="7" t="s">
        <v>583</v>
      </c>
      <c r="E227" s="7">
        <f>+IFERROR(+VLOOKUP(A227,'Trial Balance'!$A$12:$C$428,2,0),0)</f>
        <v>0</v>
      </c>
      <c r="F227" s="7"/>
      <c r="G227" s="7">
        <f t="shared" si="21"/>
        <v>0</v>
      </c>
      <c r="H227" s="7">
        <f>+IFERROR(+VLOOKUP(A227,'Trial Balance'!$A$12:$C$428,3,0),0)</f>
        <v>0</v>
      </c>
      <c r="I227" s="7"/>
      <c r="J227" s="7">
        <f t="shared" si="22"/>
        <v>0</v>
      </c>
      <c r="K227" s="7">
        <f>+IFERROR(+VLOOKUP(A227,'TB2019-20'!$A$12:$C$414,2,0),0)</f>
        <v>0</v>
      </c>
      <c r="L227" s="7"/>
      <c r="M227" s="7">
        <f t="shared" si="23"/>
        <v>0</v>
      </c>
      <c r="N227" s="7">
        <f>+IFERROR(+VLOOKUP(A227,'TB2019-20'!$A$12:$C$414,3,0),0)</f>
        <v>0</v>
      </c>
      <c r="O227" s="7"/>
      <c r="P227" s="7">
        <f t="shared" si="24"/>
        <v>0</v>
      </c>
    </row>
    <row r="228" spans="1:16" x14ac:dyDescent="0.25">
      <c r="A228" s="7" t="s">
        <v>109</v>
      </c>
      <c r="B228" s="7">
        <v>10</v>
      </c>
      <c r="C228" s="7" t="s">
        <v>590</v>
      </c>
      <c r="D228" s="7" t="s">
        <v>591</v>
      </c>
      <c r="E228" s="7">
        <f>+IFERROR(+VLOOKUP(A228,'Trial Balance'!$A$12:$C$428,2,0),0)</f>
        <v>1861537</v>
      </c>
      <c r="F228" s="7"/>
      <c r="G228" s="7">
        <f t="shared" si="21"/>
        <v>1861537</v>
      </c>
      <c r="H228" s="7">
        <f>+IFERROR(+VLOOKUP(A228,'Trial Balance'!$A$12:$C$428,3,0),0)</f>
        <v>0</v>
      </c>
      <c r="I228" s="7"/>
      <c r="J228" s="7">
        <f t="shared" si="22"/>
        <v>0</v>
      </c>
      <c r="K228" s="7">
        <f>+IFERROR(+VLOOKUP(A228,'TB2019-20'!$A$12:$C$414,2,0),0)</f>
        <v>1885458</v>
      </c>
      <c r="L228" s="7"/>
      <c r="M228" s="7">
        <f t="shared" si="23"/>
        <v>1885458</v>
      </c>
      <c r="N228" s="7">
        <f>+IFERROR(+VLOOKUP(A228,'TB2019-20'!$A$12:$C$414,3,0),0)</f>
        <v>0</v>
      </c>
      <c r="O228" s="7"/>
      <c r="P228" s="7">
        <f t="shared" si="24"/>
        <v>0</v>
      </c>
    </row>
    <row r="229" spans="1:16" x14ac:dyDescent="0.25">
      <c r="A229" s="7" t="s">
        <v>592</v>
      </c>
      <c r="B229" s="7">
        <v>10</v>
      </c>
      <c r="C229" s="7" t="s">
        <v>590</v>
      </c>
      <c r="D229" s="7" t="s">
        <v>591</v>
      </c>
      <c r="E229" s="7">
        <f>+IFERROR(+VLOOKUP(A229,'Trial Balance'!$A$12:$C$428,2,0),0)</f>
        <v>1834185</v>
      </c>
      <c r="F229" s="7"/>
      <c r="G229" s="7">
        <f t="shared" si="21"/>
        <v>1834185</v>
      </c>
      <c r="H229" s="7">
        <f>+IFERROR(+VLOOKUP(A229,'Trial Balance'!$A$12:$C$428,3,0),0)</f>
        <v>0</v>
      </c>
      <c r="I229" s="7"/>
      <c r="J229" s="7">
        <f t="shared" si="22"/>
        <v>0</v>
      </c>
      <c r="K229" s="7">
        <f>+IFERROR(+VLOOKUP(A229,'TB2019-20'!$A$12:$C$414,2,0),0)</f>
        <v>1743151</v>
      </c>
      <c r="L229" s="7"/>
      <c r="M229" s="7">
        <f t="shared" si="23"/>
        <v>1743151</v>
      </c>
      <c r="N229" s="7">
        <f>+IFERROR(+VLOOKUP(A229,'TB2019-20'!$A$12:$C$414,3,0),0)</f>
        <v>0</v>
      </c>
      <c r="O229" s="7"/>
      <c r="P229" s="7">
        <f t="shared" si="24"/>
        <v>0</v>
      </c>
    </row>
    <row r="230" spans="1:16" x14ac:dyDescent="0.25">
      <c r="A230" s="7" t="s">
        <v>593</v>
      </c>
      <c r="B230" s="7">
        <v>10</v>
      </c>
      <c r="C230" s="7" t="s">
        <v>590</v>
      </c>
      <c r="D230" s="7" t="s">
        <v>591</v>
      </c>
      <c r="E230" s="7">
        <f>+IFERROR(+VLOOKUP(A230,'Trial Balance'!$A$12:$C$428,2,0),0)</f>
        <v>46790</v>
      </c>
      <c r="F230" s="7"/>
      <c r="G230" s="7">
        <f t="shared" si="21"/>
        <v>46790</v>
      </c>
      <c r="H230" s="7">
        <f>+IFERROR(+VLOOKUP(A230,'Trial Balance'!$A$12:$C$428,3,0),0)</f>
        <v>0</v>
      </c>
      <c r="I230" s="7"/>
      <c r="J230" s="7">
        <f t="shared" si="22"/>
        <v>0</v>
      </c>
      <c r="K230" s="7">
        <f>+IFERROR(+VLOOKUP(A230,'TB2019-20'!$A$12:$C$414,2,0),0)</f>
        <v>92736</v>
      </c>
      <c r="L230" s="7"/>
      <c r="M230" s="7">
        <f t="shared" si="23"/>
        <v>92736</v>
      </c>
      <c r="N230" s="7">
        <f>+IFERROR(+VLOOKUP(A230,'TB2019-20'!$A$12:$C$414,3,0),0)</f>
        <v>0</v>
      </c>
      <c r="O230" s="7"/>
      <c r="P230" s="7">
        <f t="shared" si="24"/>
        <v>0</v>
      </c>
    </row>
    <row r="231" spans="1:16" x14ac:dyDescent="0.25">
      <c r="A231" s="7" t="s">
        <v>112</v>
      </c>
      <c r="B231" s="7">
        <v>10</v>
      </c>
      <c r="C231" s="7" t="s">
        <v>590</v>
      </c>
      <c r="D231" s="7" t="s">
        <v>591</v>
      </c>
      <c r="E231" s="7">
        <f>+IFERROR(+VLOOKUP(A231,'Trial Balance'!$A$12:$C$428,2,0),0)</f>
        <v>46907</v>
      </c>
      <c r="F231" s="7"/>
      <c r="G231" s="7">
        <f t="shared" si="21"/>
        <v>46907</v>
      </c>
      <c r="H231" s="7">
        <f>+IFERROR(+VLOOKUP(A231,'Trial Balance'!$A$12:$C$428,3,0),0)</f>
        <v>0</v>
      </c>
      <c r="I231" s="7"/>
      <c r="J231" s="7">
        <f t="shared" si="22"/>
        <v>0</v>
      </c>
      <c r="K231" s="7">
        <f>+IFERROR(+VLOOKUP(A231,'TB2019-20'!$A$12:$C$414,2,0),0)</f>
        <v>57979</v>
      </c>
      <c r="L231" s="7"/>
      <c r="M231" s="7">
        <f t="shared" si="23"/>
        <v>57979</v>
      </c>
      <c r="N231" s="7">
        <f>+IFERROR(+VLOOKUP(A231,'TB2019-20'!$A$12:$C$414,3,0),0)</f>
        <v>0</v>
      </c>
      <c r="O231" s="7"/>
      <c r="P231" s="7">
        <f t="shared" si="24"/>
        <v>0</v>
      </c>
    </row>
    <row r="232" spans="1:16" x14ac:dyDescent="0.25">
      <c r="A232" s="7" t="s">
        <v>113</v>
      </c>
      <c r="B232" s="7">
        <v>10</v>
      </c>
      <c r="C232" s="7" t="s">
        <v>590</v>
      </c>
      <c r="D232" s="7" t="s">
        <v>591</v>
      </c>
      <c r="E232" s="7">
        <f>+IFERROR(+VLOOKUP(A232,'Trial Balance'!$A$12:$C$428,2,0),0)</f>
        <v>103253</v>
      </c>
      <c r="F232" s="7"/>
      <c r="G232" s="7">
        <f t="shared" si="21"/>
        <v>103253</v>
      </c>
      <c r="H232" s="7">
        <f>+IFERROR(+VLOOKUP(A232,'Trial Balance'!$A$12:$C$428,3,0),0)</f>
        <v>0</v>
      </c>
      <c r="I232" s="7"/>
      <c r="J232" s="7">
        <f t="shared" si="22"/>
        <v>0</v>
      </c>
      <c r="K232" s="7">
        <f>+IFERROR(+VLOOKUP(A232,'TB2019-20'!$A$12:$C$414,2,0),0)</f>
        <v>24077</v>
      </c>
      <c r="L232" s="7"/>
      <c r="M232" s="7">
        <f t="shared" si="23"/>
        <v>24077</v>
      </c>
      <c r="N232" s="7">
        <f>+IFERROR(+VLOOKUP(A232,'TB2019-20'!$A$12:$C$414,3,0),0)</f>
        <v>0</v>
      </c>
      <c r="O232" s="7"/>
      <c r="P232" s="7">
        <f t="shared" si="24"/>
        <v>0</v>
      </c>
    </row>
    <row r="233" spans="1:16" x14ac:dyDescent="0.25">
      <c r="A233" s="7" t="s">
        <v>594</v>
      </c>
      <c r="B233" s="7">
        <v>10</v>
      </c>
      <c r="C233" s="7" t="s">
        <v>590</v>
      </c>
      <c r="D233" s="7" t="s">
        <v>591</v>
      </c>
      <c r="E233" s="7">
        <f>+IFERROR(+VLOOKUP(A233,'Trial Balance'!$A$12:$C$428,2,0),0)</f>
        <v>13466161</v>
      </c>
      <c r="F233" s="7"/>
      <c r="G233" s="7">
        <f t="shared" si="21"/>
        <v>13466161</v>
      </c>
      <c r="H233" s="7">
        <f>+IFERROR(+VLOOKUP(A233,'Trial Balance'!$A$12:$C$428,3,0),0)</f>
        <v>0</v>
      </c>
      <c r="I233" s="7"/>
      <c r="J233" s="7">
        <f t="shared" si="22"/>
        <v>0</v>
      </c>
      <c r="K233" s="7">
        <f>+IFERROR(+VLOOKUP(A233,'TB2019-20'!$A$12:$C$414,2,0),0)</f>
        <v>13101740</v>
      </c>
      <c r="L233" s="7"/>
      <c r="M233" s="7">
        <f t="shared" si="23"/>
        <v>13101740</v>
      </c>
      <c r="N233" s="7">
        <f>+IFERROR(+VLOOKUP(A233,'TB2019-20'!$A$12:$C$414,3,0),0)</f>
        <v>0</v>
      </c>
      <c r="O233" s="7"/>
      <c r="P233" s="7">
        <f t="shared" si="24"/>
        <v>0</v>
      </c>
    </row>
    <row r="234" spans="1:16" x14ac:dyDescent="0.25">
      <c r="A234" s="7" t="s">
        <v>115</v>
      </c>
      <c r="B234" s="7">
        <v>10</v>
      </c>
      <c r="C234" s="7" t="s">
        <v>590</v>
      </c>
      <c r="D234" s="7" t="s">
        <v>591</v>
      </c>
      <c r="E234" s="7">
        <f>+IFERROR(+VLOOKUP(A234,'Trial Balance'!$A$12:$C$428,2,0),0)</f>
        <v>369149</v>
      </c>
      <c r="F234" s="7"/>
      <c r="G234" s="7">
        <f t="shared" si="21"/>
        <v>369149</v>
      </c>
      <c r="H234" s="7">
        <f>+IFERROR(+VLOOKUP(A234,'Trial Balance'!$A$12:$C$428,3,0),0)</f>
        <v>0</v>
      </c>
      <c r="I234" s="7"/>
      <c r="J234" s="7">
        <f t="shared" si="22"/>
        <v>0</v>
      </c>
      <c r="K234" s="7">
        <f>+IFERROR(+VLOOKUP(A234,'TB2019-20'!$A$12:$C$414,2,0),0)</f>
        <v>287798</v>
      </c>
      <c r="L234" s="7"/>
      <c r="M234" s="7">
        <f t="shared" si="23"/>
        <v>287798</v>
      </c>
      <c r="N234" s="7">
        <f>+IFERROR(+VLOOKUP(A234,'TB2019-20'!$A$12:$C$414,3,0),0)</f>
        <v>0</v>
      </c>
      <c r="O234" s="7"/>
      <c r="P234" s="7">
        <f t="shared" si="24"/>
        <v>0</v>
      </c>
    </row>
    <row r="235" spans="1:16" x14ac:dyDescent="0.25">
      <c r="A235" s="10" t="s">
        <v>595</v>
      </c>
      <c r="B235" s="7">
        <v>15</v>
      </c>
      <c r="C235" s="7" t="s">
        <v>469</v>
      </c>
      <c r="D235" s="7" t="s">
        <v>470</v>
      </c>
      <c r="E235" s="7">
        <f>+IFERROR(+VLOOKUP(A235,'Trial Balance'!$A$12:$C$428,2,0),0)</f>
        <v>0</v>
      </c>
      <c r="F235" s="7"/>
      <c r="G235" s="7">
        <f t="shared" si="21"/>
        <v>0</v>
      </c>
      <c r="H235" s="7">
        <f>+IFERROR(+VLOOKUP(A235,'Trial Balance'!$A$12:$C$428,3,0),0)</f>
        <v>0</v>
      </c>
      <c r="I235" s="7"/>
      <c r="J235" s="7">
        <f t="shared" si="22"/>
        <v>0</v>
      </c>
      <c r="K235" s="7">
        <f>+IFERROR(+VLOOKUP(A235,'TB2019-20'!$A$12:$C$414,2,0),0)</f>
        <v>0</v>
      </c>
      <c r="L235" s="7"/>
      <c r="M235" s="7">
        <f t="shared" si="23"/>
        <v>0</v>
      </c>
      <c r="N235" s="7">
        <f>+IFERROR(+VLOOKUP(A235,'TB2019-20'!$A$12:$C$414,3,0),0)</f>
        <v>10037</v>
      </c>
      <c r="O235" s="7"/>
      <c r="P235" s="7">
        <f t="shared" si="24"/>
        <v>10037</v>
      </c>
    </row>
    <row r="236" spans="1:16" x14ac:dyDescent="0.25">
      <c r="A236" s="7" t="s">
        <v>596</v>
      </c>
      <c r="B236" s="7">
        <v>12</v>
      </c>
      <c r="C236" s="7" t="s">
        <v>465</v>
      </c>
      <c r="D236" s="7" t="s">
        <v>478</v>
      </c>
      <c r="E236" s="7">
        <f>+IFERROR(+VLOOKUP(A236,'Trial Balance'!$A$12:$C$428,2,0),0)</f>
        <v>0</v>
      </c>
      <c r="F236" s="7"/>
      <c r="G236" s="7">
        <f t="shared" si="21"/>
        <v>0</v>
      </c>
      <c r="H236" s="7">
        <f>+IFERROR(+VLOOKUP(A236,'Trial Balance'!$A$12:$C$428,3,0),0)</f>
        <v>0</v>
      </c>
      <c r="I236" s="7"/>
      <c r="J236" s="7">
        <f t="shared" si="22"/>
        <v>0</v>
      </c>
      <c r="K236" s="7">
        <f>+IFERROR(+VLOOKUP(A236,'TB2019-20'!$A$12:$C$414,2,0),0)</f>
        <v>0</v>
      </c>
      <c r="L236" s="7"/>
      <c r="M236" s="7">
        <f t="shared" si="23"/>
        <v>0</v>
      </c>
      <c r="N236" s="7">
        <f>+IFERROR(+VLOOKUP(A236,'TB2019-20'!$A$12:$C$414,3,0),0)</f>
        <v>0</v>
      </c>
      <c r="O236" s="7"/>
      <c r="P236" s="7">
        <f t="shared" si="24"/>
        <v>0</v>
      </c>
    </row>
    <row r="237" spans="1:16" x14ac:dyDescent="0.25">
      <c r="A237" s="8" t="s">
        <v>597</v>
      </c>
      <c r="B237" s="7">
        <v>12</v>
      </c>
      <c r="C237" s="7" t="s">
        <v>465</v>
      </c>
      <c r="D237" s="7" t="s">
        <v>478</v>
      </c>
      <c r="E237" s="7">
        <f>+IFERROR(+VLOOKUP(A237,'Trial Balance'!$A$12:$C$428,2,0),0)</f>
        <v>0</v>
      </c>
      <c r="F237" s="7"/>
      <c r="G237" s="7">
        <f t="shared" si="21"/>
        <v>0</v>
      </c>
      <c r="H237" s="7">
        <f>+IFERROR(+VLOOKUP(A237,'Trial Balance'!$A$12:$C$428,3,0),0)</f>
        <v>0</v>
      </c>
      <c r="I237" s="7"/>
      <c r="J237" s="7">
        <f t="shared" si="22"/>
        <v>0</v>
      </c>
      <c r="K237" s="7">
        <f>+IFERROR(+VLOOKUP(A237,'TB2019-20'!$A$12:$C$414,2,0),0)</f>
        <v>0</v>
      </c>
      <c r="L237" s="7"/>
      <c r="M237" s="7">
        <f t="shared" si="23"/>
        <v>0</v>
      </c>
      <c r="N237" s="7">
        <f>+IFERROR(+VLOOKUP(A237,'TB2019-20'!$A$12:$C$414,3,0),0)</f>
        <v>0</v>
      </c>
      <c r="O237" s="7"/>
      <c r="P237" s="7">
        <f t="shared" si="24"/>
        <v>0</v>
      </c>
    </row>
    <row r="238" spans="1:16" x14ac:dyDescent="0.25">
      <c r="A238" s="8" t="s">
        <v>117</v>
      </c>
      <c r="B238" s="7">
        <v>12</v>
      </c>
      <c r="C238" s="7" t="s">
        <v>465</v>
      </c>
      <c r="D238" s="7" t="s">
        <v>478</v>
      </c>
      <c r="E238" s="7">
        <f>+IFERROR(+VLOOKUP(A238,'Trial Balance'!$A$12:$C$428,2,0),0)</f>
        <v>6000</v>
      </c>
      <c r="F238" s="7"/>
      <c r="G238" s="7">
        <f t="shared" si="21"/>
        <v>6000</v>
      </c>
      <c r="H238" s="7">
        <f>+IFERROR(+VLOOKUP(A238,'Trial Balance'!$A$12:$C$428,3,0),0)</f>
        <v>0</v>
      </c>
      <c r="I238" s="7"/>
      <c r="J238" s="7">
        <f t="shared" si="22"/>
        <v>0</v>
      </c>
      <c r="K238" s="7">
        <f>+IFERROR(+VLOOKUP(A238,'TB2019-20'!$A$12:$C$414,2,0),0)</f>
        <v>0</v>
      </c>
      <c r="L238" s="7"/>
      <c r="M238" s="7">
        <f t="shared" si="23"/>
        <v>0</v>
      </c>
      <c r="N238" s="7">
        <f>+IFERROR(+VLOOKUP(A238,'TB2019-20'!$A$12:$C$414,3,0),0)</f>
        <v>0</v>
      </c>
      <c r="O238" s="7"/>
      <c r="P238" s="7">
        <f t="shared" si="24"/>
        <v>0</v>
      </c>
    </row>
    <row r="239" spans="1:16" x14ac:dyDescent="0.25">
      <c r="A239" s="7" t="s">
        <v>598</v>
      </c>
      <c r="B239" s="7">
        <v>7</v>
      </c>
      <c r="C239" s="7" t="s">
        <v>460</v>
      </c>
      <c r="D239" s="7" t="s">
        <v>460</v>
      </c>
      <c r="E239" s="7">
        <f>+IFERROR(+VLOOKUP(A239,'Trial Balance'!$A$12:$C$428,2,0),0)</f>
        <v>0</v>
      </c>
      <c r="F239" s="7"/>
      <c r="G239" s="7">
        <f t="shared" si="21"/>
        <v>0</v>
      </c>
      <c r="H239" s="7">
        <f>+IFERROR(+VLOOKUP(A239,'Trial Balance'!$A$12:$C$428,3,0),0)</f>
        <v>24300</v>
      </c>
      <c r="I239" s="7"/>
      <c r="J239" s="7">
        <f t="shared" si="22"/>
        <v>24300</v>
      </c>
      <c r="K239" s="7">
        <f>+IFERROR(+VLOOKUP(A239,'TB2019-20'!$A$12:$C$414,2,0),0)</f>
        <v>0</v>
      </c>
      <c r="L239" s="7"/>
      <c r="M239" s="7">
        <f t="shared" si="23"/>
        <v>0</v>
      </c>
      <c r="N239" s="7">
        <f>+IFERROR(+VLOOKUP(A239,'TB2019-20'!$A$12:$C$414,3,0),0)</f>
        <v>29160</v>
      </c>
      <c r="O239" s="7"/>
      <c r="P239" s="7">
        <f t="shared" si="24"/>
        <v>29160</v>
      </c>
    </row>
    <row r="240" spans="1:16" x14ac:dyDescent="0.25">
      <c r="A240" s="8" t="s">
        <v>599</v>
      </c>
      <c r="B240" s="7">
        <v>12</v>
      </c>
      <c r="C240" s="7" t="s">
        <v>465</v>
      </c>
      <c r="D240" s="7" t="s">
        <v>478</v>
      </c>
      <c r="E240" s="7">
        <f>+IFERROR(+VLOOKUP(A240,'Trial Balance'!$A$12:$C$428,2,0),0)</f>
        <v>0</v>
      </c>
      <c r="F240" s="7"/>
      <c r="G240" s="7">
        <f t="shared" si="21"/>
        <v>0</v>
      </c>
      <c r="H240" s="7">
        <f>+IFERROR(+VLOOKUP(A240,'Trial Balance'!$A$12:$C$428,3,0),0)</f>
        <v>0</v>
      </c>
      <c r="I240" s="7"/>
      <c r="J240" s="7">
        <f t="shared" si="22"/>
        <v>0</v>
      </c>
      <c r="K240" s="7">
        <f>+IFERROR(+VLOOKUP(A240,'TB2019-20'!$A$12:$C$414,2,0),0)</f>
        <v>0</v>
      </c>
      <c r="L240" s="7"/>
      <c r="M240" s="7">
        <f t="shared" si="23"/>
        <v>0</v>
      </c>
      <c r="N240" s="7">
        <f>+IFERROR(+VLOOKUP(A240,'TB2019-20'!$A$12:$C$414,3,0),0)</f>
        <v>0</v>
      </c>
      <c r="O240" s="7"/>
      <c r="P240" s="7">
        <f t="shared" si="24"/>
        <v>0</v>
      </c>
    </row>
    <row r="241" spans="1:16" x14ac:dyDescent="0.25">
      <c r="A241" s="7" t="s">
        <v>119</v>
      </c>
      <c r="B241" s="7">
        <v>24</v>
      </c>
      <c r="C241" s="7" t="s">
        <v>600</v>
      </c>
      <c r="D241" s="7" t="s">
        <v>601</v>
      </c>
      <c r="E241" s="7">
        <f>+IFERROR(+VLOOKUP(A241,'Trial Balance'!$A$12:$C$428,2,0),0)</f>
        <v>28500</v>
      </c>
      <c r="F241" s="7"/>
      <c r="G241" s="7">
        <f t="shared" si="21"/>
        <v>28500</v>
      </c>
      <c r="H241" s="7">
        <f>+IFERROR(+VLOOKUP(A241,'Trial Balance'!$A$12:$C$428,3,0),0)</f>
        <v>0</v>
      </c>
      <c r="I241" s="7"/>
      <c r="J241" s="7">
        <f t="shared" si="22"/>
        <v>0</v>
      </c>
      <c r="K241" s="7">
        <f>+IFERROR(+VLOOKUP(A241,'TB2019-20'!$A$12:$C$414,2,0),0)</f>
        <v>15000</v>
      </c>
      <c r="L241" s="7"/>
      <c r="M241" s="7">
        <f t="shared" si="23"/>
        <v>15000</v>
      </c>
      <c r="N241" s="7">
        <f>+IFERROR(+VLOOKUP(A241,'TB2019-20'!$A$12:$C$414,3,0),0)</f>
        <v>0</v>
      </c>
      <c r="O241" s="7"/>
      <c r="P241" s="7">
        <f t="shared" si="24"/>
        <v>0</v>
      </c>
    </row>
    <row r="242" spans="1:16" x14ac:dyDescent="0.25">
      <c r="A242" s="7" t="s">
        <v>120</v>
      </c>
      <c r="B242" s="7">
        <v>19</v>
      </c>
      <c r="C242" s="7" t="s">
        <v>602</v>
      </c>
      <c r="D242" s="7" t="s">
        <v>603</v>
      </c>
      <c r="E242" s="7">
        <f>+IFERROR(+VLOOKUP(A242,'Trial Balance'!$A$12:$C$428,2,0),0)</f>
        <v>30200530</v>
      </c>
      <c r="F242" s="7"/>
      <c r="G242" s="7">
        <f t="shared" si="21"/>
        <v>30200530</v>
      </c>
      <c r="H242" s="7">
        <f>+IFERROR(+VLOOKUP(A242,'Trial Balance'!$A$12:$C$428,3,0),0)</f>
        <v>0</v>
      </c>
      <c r="I242" s="7"/>
      <c r="J242" s="7">
        <f t="shared" si="22"/>
        <v>0</v>
      </c>
      <c r="K242" s="7">
        <f>+IFERROR(+VLOOKUP(A242,'TB2019-20'!$A$12:$C$414,2,0),0)</f>
        <v>30585779</v>
      </c>
      <c r="L242" s="7"/>
      <c r="M242" s="7">
        <f t="shared" si="23"/>
        <v>30585779</v>
      </c>
      <c r="N242" s="7">
        <f>+IFERROR(+VLOOKUP(A242,'TB2019-20'!$A$12:$C$414,3,0),0)</f>
        <v>0</v>
      </c>
      <c r="O242" s="7"/>
      <c r="P242" s="7">
        <f t="shared" si="24"/>
        <v>0</v>
      </c>
    </row>
    <row r="243" spans="1:16" x14ac:dyDescent="0.25">
      <c r="A243" s="8" t="s">
        <v>1436</v>
      </c>
      <c r="B243" s="7">
        <v>19</v>
      </c>
      <c r="C243" s="7" t="s">
        <v>602</v>
      </c>
      <c r="D243" s="7" t="s">
        <v>603</v>
      </c>
      <c r="E243" s="7">
        <f>+IFERROR(+VLOOKUP(A243,'Trial Balance'!$A$12:$C$428,2,0),0)</f>
        <v>0</v>
      </c>
      <c r="F243" s="7"/>
      <c r="G243" s="7">
        <f t="shared" si="21"/>
        <v>0</v>
      </c>
      <c r="H243" s="7">
        <f>+IFERROR(+VLOOKUP(A243,'Trial Balance'!$A$12:$C$428,3,0),0)</f>
        <v>80530681.049999997</v>
      </c>
      <c r="I243" s="7"/>
      <c r="J243" s="7">
        <f t="shared" si="22"/>
        <v>80530681.049999997</v>
      </c>
      <c r="K243" s="7">
        <f>+IFERROR(+VLOOKUP(A243,'TB2019-20'!$A$12:$C$414,2,0),0)</f>
        <v>0</v>
      </c>
      <c r="L243" s="7"/>
      <c r="M243" s="7">
        <f t="shared" si="23"/>
        <v>0</v>
      </c>
      <c r="N243" s="7">
        <f>+IFERROR(+VLOOKUP(A243,'TB2019-20'!$A$12:$C$414,3,0),0)</f>
        <v>77113878.299999997</v>
      </c>
      <c r="O243" s="7"/>
      <c r="P243" s="7">
        <f t="shared" si="24"/>
        <v>77113878.299999997</v>
      </c>
    </row>
    <row r="244" spans="1:16" x14ac:dyDescent="0.25">
      <c r="A244" s="8" t="s">
        <v>118</v>
      </c>
      <c r="B244" s="7">
        <v>19</v>
      </c>
      <c r="C244" s="7" t="s">
        <v>602</v>
      </c>
      <c r="D244" s="7" t="s">
        <v>603</v>
      </c>
      <c r="E244" s="7">
        <f>+IFERROR(+VLOOKUP(A244,'Trial Balance'!$A$12:$C$428,2,0),0)</f>
        <v>0</v>
      </c>
      <c r="F244" s="7"/>
      <c r="G244" s="7">
        <f t="shared" si="21"/>
        <v>0</v>
      </c>
      <c r="H244" s="7">
        <f>+IFERROR(+VLOOKUP(A244,'Trial Balance'!$A$12:$C$428,3,0),0)</f>
        <v>16211566</v>
      </c>
      <c r="I244" s="7"/>
      <c r="J244" s="7">
        <f t="shared" si="22"/>
        <v>16211566</v>
      </c>
      <c r="K244" s="7">
        <f>+IFERROR(+VLOOKUP(A244,'TB2019-20'!$A$12:$C$414,2,0),0)</f>
        <v>0</v>
      </c>
      <c r="L244" s="7"/>
      <c r="M244" s="7">
        <f t="shared" si="23"/>
        <v>0</v>
      </c>
      <c r="N244" s="7">
        <f>+IFERROR(+VLOOKUP(A244,'TB2019-20'!$A$12:$C$414,3,0),0)</f>
        <v>0</v>
      </c>
      <c r="O244" s="7"/>
      <c r="P244" s="7">
        <f t="shared" si="24"/>
        <v>0</v>
      </c>
    </row>
    <row r="245" spans="1:16" x14ac:dyDescent="0.25">
      <c r="A245" s="8" t="s">
        <v>121</v>
      </c>
      <c r="B245" s="7">
        <v>7</v>
      </c>
      <c r="C245" s="7" t="s">
        <v>460</v>
      </c>
      <c r="D245" s="7" t="s">
        <v>462</v>
      </c>
      <c r="E245" s="7">
        <f>+IFERROR(+VLOOKUP(A245,'Trial Balance'!$A$12:$C$428,2,0),0)</f>
        <v>811474.84</v>
      </c>
      <c r="F245" s="7"/>
      <c r="G245" s="7">
        <f t="shared" si="21"/>
        <v>811474.84</v>
      </c>
      <c r="H245" s="7">
        <f>+IFERROR(+VLOOKUP(A245,'Trial Balance'!$A$12:$C$428,3,0),0)</f>
        <v>0</v>
      </c>
      <c r="I245" s="7"/>
      <c r="J245" s="7">
        <f t="shared" si="22"/>
        <v>0</v>
      </c>
      <c r="K245" s="7">
        <f>+IFERROR(+VLOOKUP(A245,'TB2019-20'!$A$12:$C$414,2,0),0)</f>
        <v>0</v>
      </c>
      <c r="L245" s="7"/>
      <c r="M245" s="7">
        <f t="shared" si="23"/>
        <v>0</v>
      </c>
      <c r="N245" s="7">
        <f>+IFERROR(+VLOOKUP(A245,'TB2019-20'!$A$12:$C$414,3,0),0)</f>
        <v>49644.76</v>
      </c>
      <c r="O245" s="7"/>
      <c r="P245" s="7">
        <f t="shared" si="24"/>
        <v>49644.76</v>
      </c>
    </row>
    <row r="246" spans="1:16" x14ac:dyDescent="0.25">
      <c r="A246" s="7" t="s">
        <v>604</v>
      </c>
      <c r="B246" s="7">
        <v>8</v>
      </c>
      <c r="C246" s="7" t="s">
        <v>497</v>
      </c>
      <c r="D246" s="7" t="s">
        <v>604</v>
      </c>
      <c r="E246" s="7">
        <f>+IFERROR(+VLOOKUP(A246,'Trial Balance'!$A$12:$C$428,2,0),0)</f>
        <v>0</v>
      </c>
      <c r="F246" s="7"/>
      <c r="G246" s="7">
        <f t="shared" si="21"/>
        <v>0</v>
      </c>
      <c r="H246" s="7">
        <f>+IFERROR(+VLOOKUP(A246,'Trial Balance'!$A$12:$C$428,3,0),0)</f>
        <v>0</v>
      </c>
      <c r="I246" s="7"/>
      <c r="J246" s="7">
        <f t="shared" si="22"/>
        <v>0</v>
      </c>
      <c r="K246" s="7">
        <f>+IFERROR(+VLOOKUP(A246,'TB2019-20'!$A$12:$C$414,2,0),0)</f>
        <v>0</v>
      </c>
      <c r="L246" s="7"/>
      <c r="M246" s="7">
        <f t="shared" si="23"/>
        <v>0</v>
      </c>
      <c r="N246" s="7">
        <f>+IFERROR(+VLOOKUP(A246,'TB2019-20'!$A$12:$C$414,3,0),0)</f>
        <v>0</v>
      </c>
      <c r="O246" s="7"/>
      <c r="P246" s="7">
        <f t="shared" si="24"/>
        <v>0</v>
      </c>
    </row>
    <row r="247" spans="1:16" x14ac:dyDescent="0.25">
      <c r="A247" s="7" t="s">
        <v>605</v>
      </c>
      <c r="B247" s="7">
        <v>8</v>
      </c>
      <c r="C247" s="7" t="s">
        <v>497</v>
      </c>
      <c r="D247" s="7" t="s">
        <v>604</v>
      </c>
      <c r="E247" s="7">
        <f>+IFERROR(+VLOOKUP(A247,'Trial Balance'!$A$12:$C$428,2,0),0)</f>
        <v>0</v>
      </c>
      <c r="F247" s="7"/>
      <c r="G247" s="7">
        <f t="shared" si="21"/>
        <v>0</v>
      </c>
      <c r="H247" s="7">
        <f>+IFERROR(+VLOOKUP(A247,'Trial Balance'!$A$12:$C$428,3,0),0)</f>
        <v>0</v>
      </c>
      <c r="I247" s="7"/>
      <c r="J247" s="7">
        <f t="shared" si="22"/>
        <v>0</v>
      </c>
      <c r="K247" s="7">
        <f>+IFERROR(+VLOOKUP(A247,'TB2019-20'!$A$12:$C$414,2,0),0)</f>
        <v>0</v>
      </c>
      <c r="L247" s="7"/>
      <c r="M247" s="7">
        <f t="shared" si="23"/>
        <v>0</v>
      </c>
      <c r="N247" s="7">
        <f>+IFERROR(+VLOOKUP(A247,'TB2019-20'!$A$12:$C$414,3,0),0)</f>
        <v>85050</v>
      </c>
      <c r="O247" s="7">
        <v>-750</v>
      </c>
      <c r="P247" s="7">
        <f t="shared" si="24"/>
        <v>84300</v>
      </c>
    </row>
    <row r="248" spans="1:16" x14ac:dyDescent="0.25">
      <c r="A248" s="6" t="s">
        <v>123</v>
      </c>
      <c r="B248" s="7">
        <v>26</v>
      </c>
      <c r="C248" s="7" t="s">
        <v>467</v>
      </c>
      <c r="D248" s="7" t="s">
        <v>606</v>
      </c>
      <c r="E248" s="7">
        <f>+IFERROR(+VLOOKUP(A248,'Trial Balance'!$A$12:$C$428,2,0),0)</f>
        <v>56000</v>
      </c>
      <c r="F248" s="7"/>
      <c r="G248" s="7">
        <f t="shared" si="21"/>
        <v>56000</v>
      </c>
      <c r="H248" s="7">
        <f>+IFERROR(+VLOOKUP(A248,'Trial Balance'!$A$12:$C$428,3,0),0)</f>
        <v>0</v>
      </c>
      <c r="I248" s="7"/>
      <c r="J248" s="7">
        <f t="shared" si="22"/>
        <v>0</v>
      </c>
      <c r="K248" s="7">
        <f>+IFERROR(+VLOOKUP(A248,'TB2019-20'!$A$12:$C$414,2,0),0)</f>
        <v>13002</v>
      </c>
      <c r="L248" s="7"/>
      <c r="M248" s="7">
        <f t="shared" si="23"/>
        <v>13002</v>
      </c>
      <c r="N248" s="7">
        <f>+IFERROR(+VLOOKUP(A248,'TB2019-20'!$A$12:$C$414,3,0),0)</f>
        <v>0</v>
      </c>
      <c r="O248" s="7"/>
      <c r="P248" s="7">
        <f t="shared" si="24"/>
        <v>0</v>
      </c>
    </row>
    <row r="249" spans="1:16" x14ac:dyDescent="0.25">
      <c r="A249" s="10" t="s">
        <v>607</v>
      </c>
      <c r="B249" s="7">
        <v>17</v>
      </c>
      <c r="C249" s="7" t="s">
        <v>474</v>
      </c>
      <c r="D249" s="7" t="s">
        <v>475</v>
      </c>
      <c r="E249" s="7">
        <f>+IFERROR(+VLOOKUP(A249,'Trial Balance'!$A$12:$C$428,2,0),0)</f>
        <v>0</v>
      </c>
      <c r="F249" s="7"/>
      <c r="G249" s="7">
        <f t="shared" si="21"/>
        <v>0</v>
      </c>
      <c r="H249" s="7">
        <f>+IFERROR(+VLOOKUP(A249,'Trial Balance'!$A$12:$C$428,3,0),0)</f>
        <v>0</v>
      </c>
      <c r="I249" s="7"/>
      <c r="J249" s="7">
        <f t="shared" si="22"/>
        <v>0</v>
      </c>
      <c r="K249" s="7">
        <f>+IFERROR(+VLOOKUP(A249,'TB2019-20'!$A$12:$C$414,2,0),0)</f>
        <v>18000</v>
      </c>
      <c r="L249" s="7"/>
      <c r="M249" s="7">
        <f t="shared" si="23"/>
        <v>18000</v>
      </c>
      <c r="N249" s="7">
        <f>+IFERROR(+VLOOKUP(A249,'TB2019-20'!$A$12:$C$414,3,0),0)</f>
        <v>0</v>
      </c>
      <c r="O249" s="7"/>
      <c r="P249" s="7">
        <f t="shared" si="24"/>
        <v>0</v>
      </c>
    </row>
    <row r="250" spans="1:16" x14ac:dyDescent="0.25">
      <c r="A250" s="7" t="s">
        <v>608</v>
      </c>
      <c r="B250" s="7">
        <v>7</v>
      </c>
      <c r="C250" s="7" t="s">
        <v>460</v>
      </c>
      <c r="D250" s="7" t="s">
        <v>460</v>
      </c>
      <c r="E250" s="7">
        <f>+IFERROR(+VLOOKUP(A250,'Trial Balance'!$A$12:$C$428,2,0),0)</f>
        <v>0</v>
      </c>
      <c r="F250" s="7"/>
      <c r="G250" s="7">
        <f t="shared" si="21"/>
        <v>0</v>
      </c>
      <c r="H250" s="7">
        <f>+IFERROR(+VLOOKUP(A250,'Trial Balance'!$A$12:$C$428,3,0),0)</f>
        <v>0</v>
      </c>
      <c r="I250" s="7"/>
      <c r="J250" s="7">
        <f t="shared" si="22"/>
        <v>0</v>
      </c>
      <c r="K250" s="7">
        <f>+IFERROR(+VLOOKUP(A250,'TB2019-20'!$A$12:$C$414,2,0),0)</f>
        <v>0</v>
      </c>
      <c r="L250" s="7"/>
      <c r="M250" s="7">
        <f t="shared" si="23"/>
        <v>0</v>
      </c>
      <c r="N250" s="7">
        <f>+IFERROR(+VLOOKUP(A250,'TB2019-20'!$A$12:$C$414,3,0),0)</f>
        <v>56640</v>
      </c>
      <c r="O250" s="7"/>
      <c r="P250" s="7">
        <f t="shared" si="24"/>
        <v>56640</v>
      </c>
    </row>
    <row r="251" spans="1:16" x14ac:dyDescent="0.25">
      <c r="A251" s="7" t="s">
        <v>124</v>
      </c>
      <c r="B251" s="7">
        <v>7</v>
      </c>
      <c r="C251" s="7" t="s">
        <v>460</v>
      </c>
      <c r="D251" s="7" t="s">
        <v>460</v>
      </c>
      <c r="E251" s="7">
        <f>+IFERROR(+VLOOKUP(A251,'Trial Balance'!$A$12:$C$428,2,0),0)</f>
        <v>0</v>
      </c>
      <c r="F251" s="7"/>
      <c r="G251" s="7">
        <f t="shared" si="21"/>
        <v>0</v>
      </c>
      <c r="H251" s="7">
        <f>+IFERROR(+VLOOKUP(A251,'Trial Balance'!$A$12:$C$428,3,0),0)</f>
        <v>4423234</v>
      </c>
      <c r="I251" s="7"/>
      <c r="J251" s="7">
        <f t="shared" si="22"/>
        <v>4423234</v>
      </c>
      <c r="K251" s="7">
        <f>+IFERROR(+VLOOKUP(A251,'TB2019-20'!$A$12:$C$414,2,0),0)</f>
        <v>0</v>
      </c>
      <c r="L251" s="7"/>
      <c r="M251" s="7">
        <f t="shared" si="23"/>
        <v>0</v>
      </c>
      <c r="N251" s="7">
        <f>+IFERROR(+VLOOKUP(A251,'TB2019-20'!$A$12:$C$414,3,0),0)</f>
        <v>5099431</v>
      </c>
      <c r="O251" s="7"/>
      <c r="P251" s="7">
        <f t="shared" si="24"/>
        <v>5099431</v>
      </c>
    </row>
    <row r="252" spans="1:16" x14ac:dyDescent="0.25">
      <c r="A252" s="8" t="s">
        <v>609</v>
      </c>
      <c r="B252" s="7">
        <v>7</v>
      </c>
      <c r="C252" s="7" t="s">
        <v>460</v>
      </c>
      <c r="D252" s="7" t="s">
        <v>460</v>
      </c>
      <c r="E252" s="7">
        <f>+IFERROR(+VLOOKUP(A252,'Trial Balance'!$A$12:$C$428,2,0),0)</f>
        <v>0</v>
      </c>
      <c r="F252" s="7"/>
      <c r="G252" s="7">
        <f t="shared" si="21"/>
        <v>0</v>
      </c>
      <c r="H252" s="7">
        <f>+IFERROR(+VLOOKUP(A252,'Trial Balance'!$A$12:$C$428,3,0),0)</f>
        <v>0</v>
      </c>
      <c r="I252" s="7"/>
      <c r="J252" s="7">
        <f t="shared" si="22"/>
        <v>0</v>
      </c>
      <c r="K252" s="7">
        <f>+IFERROR(+VLOOKUP(A252,'TB2019-20'!$A$12:$C$414,2,0),0)</f>
        <v>0</v>
      </c>
      <c r="L252" s="7"/>
      <c r="M252" s="7">
        <f t="shared" si="23"/>
        <v>0</v>
      </c>
      <c r="N252" s="7">
        <f>+IFERROR(+VLOOKUP(A252,'TB2019-20'!$A$12:$C$414,3,0),0)</f>
        <v>0</v>
      </c>
      <c r="O252" s="7"/>
      <c r="P252" s="7">
        <f t="shared" si="24"/>
        <v>0</v>
      </c>
    </row>
    <row r="253" spans="1:16" x14ac:dyDescent="0.25">
      <c r="A253" s="8" t="s">
        <v>610</v>
      </c>
      <c r="B253" s="7">
        <v>15</v>
      </c>
      <c r="C253" s="7" t="s">
        <v>469</v>
      </c>
      <c r="D253" s="7" t="s">
        <v>470</v>
      </c>
      <c r="E253" s="7">
        <f>+IFERROR(+VLOOKUP(A253,'Trial Balance'!$A$12:$C$428,2,0),0)</f>
        <v>0</v>
      </c>
      <c r="F253" s="7"/>
      <c r="G253" s="7">
        <f t="shared" si="21"/>
        <v>0</v>
      </c>
      <c r="H253" s="7">
        <f>+IFERROR(+VLOOKUP(A253,'Trial Balance'!$A$12:$C$428,3,0),0)</f>
        <v>0</v>
      </c>
      <c r="I253" s="7"/>
      <c r="J253" s="7">
        <f t="shared" si="22"/>
        <v>0</v>
      </c>
      <c r="K253" s="7">
        <f>+IFERROR(+VLOOKUP(A253,'TB2019-20'!$A$12:$C$414,2,0),0)</f>
        <v>0</v>
      </c>
      <c r="L253" s="7"/>
      <c r="M253" s="7">
        <f t="shared" si="23"/>
        <v>0</v>
      </c>
      <c r="N253" s="7">
        <f>+IFERROR(+VLOOKUP(A253,'TB2019-20'!$A$12:$C$414,3,0),0)</f>
        <v>0</v>
      </c>
      <c r="O253" s="7"/>
      <c r="P253" s="7">
        <f t="shared" si="24"/>
        <v>0</v>
      </c>
    </row>
    <row r="254" spans="1:16" x14ac:dyDescent="0.25">
      <c r="A254" s="7" t="s">
        <v>125</v>
      </c>
      <c r="B254" s="7">
        <v>10</v>
      </c>
      <c r="C254" s="7" t="s">
        <v>534</v>
      </c>
      <c r="D254" s="7" t="s">
        <v>535</v>
      </c>
      <c r="E254" s="7">
        <f>+IFERROR(+VLOOKUP(A254,'Trial Balance'!$A$12:$C$428,2,0),0)</f>
        <v>26188107.010000002</v>
      </c>
      <c r="F254" s="7"/>
      <c r="G254" s="7">
        <f t="shared" si="21"/>
        <v>26188107.010000002</v>
      </c>
      <c r="H254" s="7">
        <f>+IFERROR(+VLOOKUP(A254,'Trial Balance'!$A$12:$C$428,3,0),0)</f>
        <v>0</v>
      </c>
      <c r="I254" s="7"/>
      <c r="J254" s="7">
        <f t="shared" si="22"/>
        <v>0</v>
      </c>
      <c r="K254" s="7">
        <f>+IFERROR(+VLOOKUP(A254,'TB2019-20'!$A$12:$C$414,2,0),0)</f>
        <v>28473033.399999999</v>
      </c>
      <c r="L254" s="7"/>
      <c r="M254" s="7">
        <f t="shared" si="23"/>
        <v>28473033.399999999</v>
      </c>
      <c r="N254" s="7">
        <f>+IFERROR(+VLOOKUP(A254,'TB2019-20'!$A$12:$C$414,3,0),0)</f>
        <v>0</v>
      </c>
      <c r="O254" s="7"/>
      <c r="P254" s="7">
        <f t="shared" si="24"/>
        <v>0</v>
      </c>
    </row>
    <row r="255" spans="1:16" x14ac:dyDescent="0.25">
      <c r="A255" s="7" t="s">
        <v>126</v>
      </c>
      <c r="B255" s="7">
        <v>2</v>
      </c>
      <c r="C255" s="7" t="s">
        <v>611</v>
      </c>
      <c r="D255" s="7" t="s">
        <v>612</v>
      </c>
      <c r="E255" s="7">
        <f>+IFERROR(+VLOOKUP(A255,'Trial Balance'!$A$12:$C$428,2,0),0)</f>
        <v>0</v>
      </c>
      <c r="F255" s="7"/>
      <c r="G255" s="7">
        <f t="shared" si="21"/>
        <v>0</v>
      </c>
      <c r="H255" s="7">
        <f>+IFERROR(+VLOOKUP(A255,'Trial Balance'!$A$12:$C$428,3,0),0)</f>
        <v>26922650</v>
      </c>
      <c r="I255" s="7"/>
      <c r="J255" s="7">
        <f t="shared" si="22"/>
        <v>26922650</v>
      </c>
      <c r="K255" s="7">
        <f>+IFERROR(+VLOOKUP(A255,'TB2019-20'!$A$12:$C$414,2,0),0)</f>
        <v>0</v>
      </c>
      <c r="L255" s="7"/>
      <c r="M255" s="7">
        <f t="shared" si="23"/>
        <v>0</v>
      </c>
      <c r="N255" s="7">
        <f>+IFERROR(+VLOOKUP(A255,'TB2019-20'!$A$12:$C$414,3,0),0)</f>
        <v>26922650</v>
      </c>
      <c r="O255" s="7"/>
      <c r="P255" s="7">
        <f t="shared" si="24"/>
        <v>26922650</v>
      </c>
    </row>
    <row r="256" spans="1:16" x14ac:dyDescent="0.25">
      <c r="A256" s="10" t="s">
        <v>127</v>
      </c>
      <c r="B256" s="7">
        <v>24</v>
      </c>
      <c r="C256" s="7" t="s">
        <v>600</v>
      </c>
      <c r="D256" s="7" t="s">
        <v>613</v>
      </c>
      <c r="E256" s="7">
        <f>+IFERROR(+VLOOKUP(A256,'Trial Balance'!$A$12:$C$428,2,0),0)</f>
        <v>212650</v>
      </c>
      <c r="F256" s="7"/>
      <c r="G256" s="7">
        <f t="shared" si="21"/>
        <v>212650</v>
      </c>
      <c r="H256" s="7">
        <f>+IFERROR(+VLOOKUP(A256,'Trial Balance'!$A$12:$C$428,3,0),0)</f>
        <v>0</v>
      </c>
      <c r="I256" s="7"/>
      <c r="J256" s="7">
        <f t="shared" si="22"/>
        <v>0</v>
      </c>
      <c r="K256" s="7">
        <f>+IFERROR(+VLOOKUP(A256,'TB2019-20'!$A$12:$C$414,2,0),0)</f>
        <v>236394</v>
      </c>
      <c r="L256" s="7"/>
      <c r="M256" s="7">
        <f t="shared" si="23"/>
        <v>236394</v>
      </c>
      <c r="N256" s="7">
        <f>+IFERROR(+VLOOKUP(A256,'TB2019-20'!$A$12:$C$414,3,0),0)</f>
        <v>0</v>
      </c>
      <c r="O256" s="7"/>
      <c r="P256" s="7">
        <f t="shared" si="24"/>
        <v>0</v>
      </c>
    </row>
    <row r="257" spans="1:16" x14ac:dyDescent="0.25">
      <c r="A257" s="6" t="s">
        <v>614</v>
      </c>
      <c r="B257" s="7">
        <v>26</v>
      </c>
      <c r="C257" s="7" t="s">
        <v>467</v>
      </c>
      <c r="D257" s="7" t="s">
        <v>541</v>
      </c>
      <c r="E257" s="7">
        <f>+IFERROR(+VLOOKUP(A257,'Trial Balance'!$A$12:$C$428,2,0),0)</f>
        <v>0</v>
      </c>
      <c r="F257" s="7"/>
      <c r="G257" s="7">
        <f t="shared" si="21"/>
        <v>0</v>
      </c>
      <c r="H257" s="7">
        <f>+IFERROR(+VLOOKUP(A257,'Trial Balance'!$A$12:$C$428,3,0),0)</f>
        <v>0</v>
      </c>
      <c r="I257" s="7"/>
      <c r="J257" s="7">
        <f t="shared" si="22"/>
        <v>0</v>
      </c>
      <c r="K257" s="7">
        <f>+IFERROR(+VLOOKUP(A257,'TB2019-20'!$A$12:$C$414,2,0),0)</f>
        <v>0</v>
      </c>
      <c r="L257" s="7"/>
      <c r="M257" s="7">
        <f t="shared" si="23"/>
        <v>0</v>
      </c>
      <c r="N257" s="7">
        <f>+IFERROR(+VLOOKUP(A257,'TB2019-20'!$A$12:$C$414,3,0),0)</f>
        <v>0</v>
      </c>
      <c r="O257" s="7"/>
      <c r="P257" s="7">
        <f t="shared" si="24"/>
        <v>0</v>
      </c>
    </row>
    <row r="258" spans="1:16" x14ac:dyDescent="0.25">
      <c r="A258" s="8" t="s">
        <v>128</v>
      </c>
      <c r="B258" s="7">
        <v>26</v>
      </c>
      <c r="C258" s="7" t="s">
        <v>467</v>
      </c>
      <c r="D258" s="7" t="s">
        <v>541</v>
      </c>
      <c r="E258" s="7">
        <f>+IFERROR(+VLOOKUP(A258,'Trial Balance'!$A$12:$C$428,2,0),0)</f>
        <v>15900</v>
      </c>
      <c r="F258" s="7"/>
      <c r="G258" s="7">
        <f t="shared" si="21"/>
        <v>15900</v>
      </c>
      <c r="H258" s="7">
        <f>+IFERROR(+VLOOKUP(A258,'Trial Balance'!$A$12:$C$428,3,0),0)</f>
        <v>0</v>
      </c>
      <c r="I258" s="7"/>
      <c r="J258" s="7">
        <f t="shared" si="22"/>
        <v>0</v>
      </c>
      <c r="K258" s="7">
        <f>+IFERROR(+VLOOKUP(A258,'TB2019-20'!$A$12:$C$414,2,0),0)</f>
        <v>57414</v>
      </c>
      <c r="L258" s="7"/>
      <c r="M258" s="7">
        <f t="shared" si="23"/>
        <v>57414</v>
      </c>
      <c r="N258" s="7">
        <f>+IFERROR(+VLOOKUP(A258,'TB2019-20'!$A$12:$C$414,3,0),0)</f>
        <v>0</v>
      </c>
      <c r="O258" s="7"/>
      <c r="P258" s="7">
        <f t="shared" si="24"/>
        <v>0</v>
      </c>
    </row>
    <row r="259" spans="1:16" x14ac:dyDescent="0.25">
      <c r="A259" s="7" t="s">
        <v>615</v>
      </c>
      <c r="B259" s="7">
        <v>24</v>
      </c>
      <c r="C259" s="7" t="s">
        <v>600</v>
      </c>
      <c r="D259" s="7" t="s">
        <v>601</v>
      </c>
      <c r="E259" s="7">
        <f>+IFERROR(+VLOOKUP(A259,'Trial Balance'!$A$12:$C$428,2,0),0)</f>
        <v>0</v>
      </c>
      <c r="F259" s="7"/>
      <c r="G259" s="7">
        <f t="shared" si="21"/>
        <v>0</v>
      </c>
      <c r="H259" s="7">
        <f>+IFERROR(+VLOOKUP(A259,'Trial Balance'!$A$12:$C$428,3,0),0)</f>
        <v>0</v>
      </c>
      <c r="I259" s="7"/>
      <c r="J259" s="7">
        <f t="shared" si="22"/>
        <v>0</v>
      </c>
      <c r="K259" s="7">
        <f>+IFERROR(+VLOOKUP(A259,'TB2019-20'!$A$12:$C$414,2,0),0)</f>
        <v>0</v>
      </c>
      <c r="L259" s="7"/>
      <c r="M259" s="7">
        <f t="shared" si="23"/>
        <v>0</v>
      </c>
      <c r="N259" s="7">
        <f>+IFERROR(+VLOOKUP(A259,'TB2019-20'!$A$12:$C$414,3,0),0)</f>
        <v>0</v>
      </c>
      <c r="O259" s="7"/>
      <c r="P259" s="7">
        <f t="shared" si="24"/>
        <v>0</v>
      </c>
    </row>
    <row r="260" spans="1:16" x14ac:dyDescent="0.25">
      <c r="A260" s="7" t="s">
        <v>616</v>
      </c>
      <c r="B260" s="7">
        <v>26</v>
      </c>
      <c r="C260" s="7" t="s">
        <v>467</v>
      </c>
      <c r="D260" s="7" t="s">
        <v>541</v>
      </c>
      <c r="E260" s="7">
        <f>+IFERROR(+VLOOKUP(A260,'Trial Balance'!$A$12:$C$428,2,0),0)</f>
        <v>0</v>
      </c>
      <c r="F260" s="7"/>
      <c r="G260" s="7">
        <f t="shared" si="21"/>
        <v>0</v>
      </c>
      <c r="H260" s="7">
        <f>+IFERROR(+VLOOKUP(A260,'Trial Balance'!$A$12:$C$428,3,0),0)</f>
        <v>0</v>
      </c>
      <c r="I260" s="7"/>
      <c r="J260" s="7">
        <f t="shared" si="22"/>
        <v>0</v>
      </c>
      <c r="K260" s="7">
        <f>+IFERROR(+VLOOKUP(A260,'TB2019-20'!$A$12:$C$414,2,0),0)</f>
        <v>0</v>
      </c>
      <c r="L260" s="7"/>
      <c r="M260" s="7">
        <f t="shared" si="23"/>
        <v>0</v>
      </c>
      <c r="N260" s="7">
        <f>+IFERROR(+VLOOKUP(A260,'TB2019-20'!$A$12:$C$414,3,0),0)</f>
        <v>0</v>
      </c>
      <c r="O260" s="7"/>
      <c r="P260" s="7">
        <f t="shared" si="24"/>
        <v>0</v>
      </c>
    </row>
    <row r="261" spans="1:16" x14ac:dyDescent="0.25">
      <c r="A261" s="7" t="s">
        <v>617</v>
      </c>
      <c r="B261" s="7">
        <v>22</v>
      </c>
      <c r="C261" s="7" t="s">
        <v>557</v>
      </c>
      <c r="D261" s="7" t="s">
        <v>558</v>
      </c>
      <c r="E261" s="7">
        <f>+IFERROR(+VLOOKUP(A261,'Trial Balance'!$A$12:$C$428,2,0),0)</f>
        <v>0</v>
      </c>
      <c r="F261" s="7"/>
      <c r="G261" s="7">
        <f t="shared" si="21"/>
        <v>0</v>
      </c>
      <c r="H261" s="7">
        <f>+IFERROR(+VLOOKUP(A261,'Trial Balance'!$A$12:$C$428,3,0),0)</f>
        <v>0</v>
      </c>
      <c r="I261" s="7"/>
      <c r="J261" s="7">
        <f t="shared" si="22"/>
        <v>0</v>
      </c>
      <c r="K261" s="7">
        <f>+IFERROR(+VLOOKUP(A261,'TB2019-20'!$A$12:$C$414,2,0),0)</f>
        <v>0</v>
      </c>
      <c r="L261" s="7"/>
      <c r="M261" s="7">
        <f t="shared" si="23"/>
        <v>0</v>
      </c>
      <c r="N261" s="7">
        <f>+IFERROR(+VLOOKUP(A261,'TB2019-20'!$A$12:$C$414,3,0),0)</f>
        <v>0</v>
      </c>
      <c r="O261" s="7"/>
      <c r="P261" s="7">
        <f t="shared" si="24"/>
        <v>0</v>
      </c>
    </row>
    <row r="262" spans="1:16" x14ac:dyDescent="0.25">
      <c r="A262" s="7" t="s">
        <v>129</v>
      </c>
      <c r="B262" s="7">
        <v>26</v>
      </c>
      <c r="C262" s="7" t="s">
        <v>467</v>
      </c>
      <c r="D262" s="7" t="s">
        <v>3473</v>
      </c>
      <c r="E262" s="7">
        <f>+IFERROR(+VLOOKUP(A262,'Trial Balance'!$A$12:$C$428,2,0),0)</f>
        <v>2277589</v>
      </c>
      <c r="F262" s="7"/>
      <c r="G262" s="7">
        <f t="shared" ref="G262:G325" si="27">+E262+F262</f>
        <v>2277589</v>
      </c>
      <c r="H262" s="7">
        <f>+IFERROR(+VLOOKUP(A262,'Trial Balance'!$A$12:$C$428,3,0),0)</f>
        <v>0</v>
      </c>
      <c r="I262" s="7"/>
      <c r="J262" s="7">
        <f t="shared" ref="J262:J325" si="28">+H262+I262</f>
        <v>0</v>
      </c>
      <c r="K262" s="7">
        <f>+IFERROR(+VLOOKUP(A262,'TB2019-20'!$A$12:$C$414,2,0),0)</f>
        <v>491501</v>
      </c>
      <c r="L262" s="7"/>
      <c r="M262" s="7">
        <f t="shared" si="23"/>
        <v>491501</v>
      </c>
      <c r="N262" s="7">
        <f>+IFERROR(+VLOOKUP(A262,'TB2019-20'!$A$12:$C$414,3,0),0)</f>
        <v>0</v>
      </c>
      <c r="O262" s="7"/>
      <c r="P262" s="7">
        <f t="shared" si="24"/>
        <v>0</v>
      </c>
    </row>
    <row r="263" spans="1:16" x14ac:dyDescent="0.25">
      <c r="A263" s="7" t="s">
        <v>130</v>
      </c>
      <c r="B263" s="7">
        <v>19</v>
      </c>
      <c r="C263" s="7" t="s">
        <v>602</v>
      </c>
      <c r="D263" s="7" t="s">
        <v>603</v>
      </c>
      <c r="E263" s="7">
        <f>+IFERROR(+VLOOKUP(A263,'Trial Balance'!$A$12:$C$428,2,0),0)</f>
        <v>0</v>
      </c>
      <c r="F263" s="7"/>
      <c r="G263" s="7">
        <f t="shared" si="27"/>
        <v>0</v>
      </c>
      <c r="H263" s="7">
        <f>+IFERROR(+VLOOKUP(A263,'Trial Balance'!$A$12:$C$428,3,0),0)</f>
        <v>0</v>
      </c>
      <c r="I263" s="7"/>
      <c r="J263" s="7">
        <f t="shared" si="28"/>
        <v>0</v>
      </c>
      <c r="K263" s="7">
        <f>+IFERROR(+VLOOKUP(A263,'TB2019-20'!$A$12:$C$414,2,0),0)</f>
        <v>0</v>
      </c>
      <c r="L263" s="7"/>
      <c r="M263" s="7">
        <f t="shared" si="23"/>
        <v>0</v>
      </c>
      <c r="N263" s="7">
        <f>+IFERROR(+VLOOKUP(A263,'TB2019-20'!$A$12:$C$414,3,0),0)</f>
        <v>10652264</v>
      </c>
      <c r="O263" s="7"/>
      <c r="P263" s="7">
        <f t="shared" si="24"/>
        <v>10652264</v>
      </c>
    </row>
    <row r="264" spans="1:16" x14ac:dyDescent="0.25">
      <c r="A264" s="7" t="s">
        <v>131</v>
      </c>
      <c r="B264" s="7">
        <v>26</v>
      </c>
      <c r="C264" s="7" t="s">
        <v>467</v>
      </c>
      <c r="D264" s="7" t="s">
        <v>530</v>
      </c>
      <c r="E264" s="7">
        <f>+IFERROR(+VLOOKUP(A264,'Trial Balance'!$A$12:$C$428,2,0),0)</f>
        <v>64575</v>
      </c>
      <c r="F264" s="7"/>
      <c r="G264" s="7">
        <f t="shared" si="27"/>
        <v>64575</v>
      </c>
      <c r="H264" s="7">
        <f>+IFERROR(+VLOOKUP(A264,'Trial Balance'!$A$12:$C$428,3,0),0)</f>
        <v>0</v>
      </c>
      <c r="I264" s="7"/>
      <c r="J264" s="7">
        <f t="shared" si="28"/>
        <v>0</v>
      </c>
      <c r="K264" s="7">
        <f>+IFERROR(+VLOOKUP(A264,'TB2019-20'!$A$12:$C$414,2,0),0)</f>
        <v>58090</v>
      </c>
      <c r="L264" s="7"/>
      <c r="M264" s="7">
        <f t="shared" si="23"/>
        <v>58090</v>
      </c>
      <c r="N264" s="7">
        <f>+IFERROR(+VLOOKUP(A264,'TB2019-20'!$A$12:$C$414,3,0),0)</f>
        <v>0</v>
      </c>
      <c r="O264" s="7"/>
      <c r="P264" s="7">
        <f t="shared" si="24"/>
        <v>0</v>
      </c>
    </row>
    <row r="265" spans="1:16" x14ac:dyDescent="0.25">
      <c r="A265" s="7" t="s">
        <v>132</v>
      </c>
      <c r="B265" s="7">
        <v>26</v>
      </c>
      <c r="C265" s="7" t="s">
        <v>467</v>
      </c>
      <c r="D265" s="7" t="s">
        <v>530</v>
      </c>
      <c r="E265" s="7">
        <f>+IFERROR(+VLOOKUP(A265,'Trial Balance'!$A$12:$C$428,2,0),0)</f>
        <v>244646.5</v>
      </c>
      <c r="F265" s="7"/>
      <c r="G265" s="7">
        <f t="shared" si="27"/>
        <v>244646.5</v>
      </c>
      <c r="H265" s="7">
        <f>+IFERROR(+VLOOKUP(A265,'Trial Balance'!$A$12:$C$428,3,0),0)</f>
        <v>0</v>
      </c>
      <c r="I265" s="7"/>
      <c r="J265" s="7">
        <f t="shared" si="28"/>
        <v>0</v>
      </c>
      <c r="K265" s="7">
        <f>+IFERROR(+VLOOKUP(A265,'TB2019-20'!$A$12:$C$414,2,0),0)</f>
        <v>242450</v>
      </c>
      <c r="L265" s="7"/>
      <c r="M265" s="7">
        <f t="shared" si="23"/>
        <v>242450</v>
      </c>
      <c r="N265" s="7">
        <f>+IFERROR(+VLOOKUP(A265,'TB2019-20'!$A$12:$C$414,3,0),0)</f>
        <v>0</v>
      </c>
      <c r="O265" s="7"/>
      <c r="P265" s="7">
        <f t="shared" si="24"/>
        <v>0</v>
      </c>
    </row>
    <row r="266" spans="1:16" x14ac:dyDescent="0.25">
      <c r="A266" s="7" t="s">
        <v>133</v>
      </c>
      <c r="B266" s="7">
        <v>26</v>
      </c>
      <c r="C266" s="7" t="s">
        <v>467</v>
      </c>
      <c r="D266" s="7" t="s">
        <v>562</v>
      </c>
      <c r="E266" s="7">
        <f>+IFERROR(+VLOOKUP(A266,'Trial Balance'!$A$12:$C$428,2,0),0)</f>
        <v>66582536</v>
      </c>
      <c r="F266" s="7"/>
      <c r="G266" s="7">
        <f t="shared" si="27"/>
        <v>66582536</v>
      </c>
      <c r="H266" s="7">
        <f>+IFERROR(+VLOOKUP(A266,'Trial Balance'!$A$12:$C$428,3,0),0)</f>
        <v>0</v>
      </c>
      <c r="I266" s="7"/>
      <c r="J266" s="7">
        <f t="shared" si="28"/>
        <v>0</v>
      </c>
      <c r="K266" s="7">
        <f>+IFERROR(+VLOOKUP(A266,'TB2019-20'!$A$12:$C$414,2,0),0)</f>
        <v>70499746</v>
      </c>
      <c r="L266" s="7"/>
      <c r="M266" s="7">
        <f t="shared" ref="M266:M329" si="29">+K266+L266</f>
        <v>70499746</v>
      </c>
      <c r="N266" s="7">
        <f>+IFERROR(+VLOOKUP(A266,'TB2019-20'!$A$12:$C$414,3,0),0)</f>
        <v>0</v>
      </c>
      <c r="O266" s="7"/>
      <c r="P266" s="7">
        <f t="shared" ref="P266:P329" si="30">+N266+O266</f>
        <v>0</v>
      </c>
    </row>
    <row r="267" spans="1:16" x14ac:dyDescent="0.25">
      <c r="A267" s="7" t="s">
        <v>134</v>
      </c>
      <c r="B267" s="7">
        <v>26</v>
      </c>
      <c r="C267" s="7" t="s">
        <v>467</v>
      </c>
      <c r="D267" s="7" t="s">
        <v>530</v>
      </c>
      <c r="E267" s="7">
        <f>+IFERROR(+VLOOKUP(A267,'Trial Balance'!$A$12:$C$428,2,0),0)</f>
        <v>218259</v>
      </c>
      <c r="F267" s="7"/>
      <c r="G267" s="7">
        <f t="shared" si="27"/>
        <v>218259</v>
      </c>
      <c r="H267" s="7">
        <f>+IFERROR(+VLOOKUP(A267,'Trial Balance'!$A$12:$C$428,3,0),0)</f>
        <v>0</v>
      </c>
      <c r="I267" s="7"/>
      <c r="J267" s="7">
        <f t="shared" si="28"/>
        <v>0</v>
      </c>
      <c r="K267" s="7">
        <f>+IFERROR(+VLOOKUP(A267,'TB2019-20'!$A$12:$C$414,2,0),0)</f>
        <v>289245</v>
      </c>
      <c r="L267" s="7"/>
      <c r="M267" s="7">
        <f t="shared" si="29"/>
        <v>289245</v>
      </c>
      <c r="N267" s="7">
        <f>+IFERROR(+VLOOKUP(A267,'TB2019-20'!$A$12:$C$414,3,0),0)</f>
        <v>0</v>
      </c>
      <c r="O267" s="7"/>
      <c r="P267" s="7">
        <f t="shared" si="30"/>
        <v>0</v>
      </c>
    </row>
    <row r="268" spans="1:16" x14ac:dyDescent="0.25">
      <c r="A268" s="7" t="s">
        <v>618</v>
      </c>
      <c r="B268" s="7">
        <v>26</v>
      </c>
      <c r="C268" s="7" t="s">
        <v>467</v>
      </c>
      <c r="D268" s="7" t="s">
        <v>541</v>
      </c>
      <c r="E268" s="7">
        <f>+IFERROR(+VLOOKUP(A268,'Trial Balance'!$A$12:$C$428,2,0),0)</f>
        <v>50000</v>
      </c>
      <c r="F268" s="7"/>
      <c r="G268" s="7">
        <f t="shared" si="27"/>
        <v>50000</v>
      </c>
      <c r="H268" s="7">
        <f>+IFERROR(+VLOOKUP(A268,'Trial Balance'!$A$12:$C$428,3,0),0)</f>
        <v>0</v>
      </c>
      <c r="I268" s="7"/>
      <c r="J268" s="7">
        <f t="shared" si="28"/>
        <v>0</v>
      </c>
      <c r="K268" s="7">
        <f>+IFERROR(+VLOOKUP(A268,'TB2019-20'!$A$12:$C$414,2,0),0)</f>
        <v>50000</v>
      </c>
      <c r="L268" s="7"/>
      <c r="M268" s="7">
        <f t="shared" si="29"/>
        <v>50000</v>
      </c>
      <c r="N268" s="7">
        <f>+IFERROR(+VLOOKUP(A268,'TB2019-20'!$A$12:$C$414,3,0),0)</f>
        <v>0</v>
      </c>
      <c r="O268" s="7"/>
      <c r="P268" s="7">
        <f t="shared" si="30"/>
        <v>0</v>
      </c>
    </row>
    <row r="269" spans="1:16" x14ac:dyDescent="0.25">
      <c r="A269" s="7" t="s">
        <v>137</v>
      </c>
      <c r="B269" s="7">
        <v>26</v>
      </c>
      <c r="C269" s="7" t="s">
        <v>467</v>
      </c>
      <c r="D269" s="7" t="s">
        <v>530</v>
      </c>
      <c r="E269" s="7">
        <f>+IFERROR(+VLOOKUP(A269,'Trial Balance'!$A$12:$C$428,2,0),0)</f>
        <v>7700</v>
      </c>
      <c r="F269" s="7"/>
      <c r="G269" s="7">
        <f t="shared" si="27"/>
        <v>7700</v>
      </c>
      <c r="H269" s="7">
        <f>+IFERROR(+VLOOKUP(A269,'Trial Balance'!$A$12:$C$428,3,0),0)</f>
        <v>0</v>
      </c>
      <c r="I269" s="7"/>
      <c r="J269" s="7">
        <f t="shared" si="28"/>
        <v>0</v>
      </c>
      <c r="K269" s="7">
        <f>+IFERROR(+VLOOKUP(A269,'TB2019-20'!$A$12:$C$414,2,0),0)</f>
        <v>28970.799999999999</v>
      </c>
      <c r="L269" s="7"/>
      <c r="M269" s="7">
        <f t="shared" si="29"/>
        <v>28970.799999999999</v>
      </c>
      <c r="N269" s="7">
        <f>+IFERROR(+VLOOKUP(A269,'TB2019-20'!$A$12:$C$414,3,0),0)</f>
        <v>0</v>
      </c>
      <c r="O269" s="7"/>
      <c r="P269" s="7">
        <f t="shared" si="30"/>
        <v>0</v>
      </c>
    </row>
    <row r="270" spans="1:16" x14ac:dyDescent="0.25">
      <c r="A270" s="7" t="s">
        <v>138</v>
      </c>
      <c r="B270" s="7">
        <v>26</v>
      </c>
      <c r="C270" s="7" t="s">
        <v>467</v>
      </c>
      <c r="D270" s="7" t="s">
        <v>619</v>
      </c>
      <c r="E270" s="7">
        <f>+IFERROR(+VLOOKUP(A270,'Trial Balance'!$A$12:$C$428,2,0),0)</f>
        <v>2854617</v>
      </c>
      <c r="F270" s="7"/>
      <c r="G270" s="7">
        <f t="shared" si="27"/>
        <v>2854617</v>
      </c>
      <c r="H270" s="7">
        <f>+IFERROR(+VLOOKUP(A270,'Trial Balance'!$A$12:$C$428,3,0),0)</f>
        <v>0</v>
      </c>
      <c r="I270" s="7"/>
      <c r="J270" s="7">
        <f t="shared" si="28"/>
        <v>0</v>
      </c>
      <c r="K270" s="7">
        <f>+IFERROR(+VLOOKUP(A270,'TB2019-20'!$A$12:$C$414,2,0),0)</f>
        <v>2841598</v>
      </c>
      <c r="L270" s="7"/>
      <c r="M270" s="7">
        <f t="shared" si="29"/>
        <v>2841598</v>
      </c>
      <c r="N270" s="7">
        <f>+IFERROR(+VLOOKUP(A270,'TB2019-20'!$A$12:$C$414,3,0),0)</f>
        <v>0</v>
      </c>
      <c r="O270" s="7"/>
      <c r="P270" s="7">
        <f t="shared" si="30"/>
        <v>0</v>
      </c>
    </row>
    <row r="271" spans="1:16" x14ac:dyDescent="0.25">
      <c r="A271" s="7" t="s">
        <v>620</v>
      </c>
      <c r="B271" s="7">
        <v>7</v>
      </c>
      <c r="C271" s="7" t="s">
        <v>460</v>
      </c>
      <c r="D271" s="7" t="s">
        <v>462</v>
      </c>
      <c r="E271" s="7">
        <f>+IFERROR(+VLOOKUP(A271,'Trial Balance'!$A$12:$C$428,2,0),0)</f>
        <v>0</v>
      </c>
      <c r="F271" s="7"/>
      <c r="G271" s="7">
        <f t="shared" si="27"/>
        <v>0</v>
      </c>
      <c r="H271" s="7">
        <f>+IFERROR(+VLOOKUP(A271,'Trial Balance'!$A$12:$C$428,3,0),0)</f>
        <v>279076</v>
      </c>
      <c r="I271" s="7"/>
      <c r="J271" s="7">
        <f t="shared" si="28"/>
        <v>279076</v>
      </c>
      <c r="K271" s="7">
        <f>+IFERROR(+VLOOKUP(A271,'TB2019-20'!$A$12:$C$414,2,0),0)</f>
        <v>0</v>
      </c>
      <c r="L271" s="7"/>
      <c r="M271" s="7">
        <f t="shared" si="29"/>
        <v>0</v>
      </c>
      <c r="N271" s="7">
        <f>+IFERROR(+VLOOKUP(A271,'TB2019-20'!$A$12:$C$414,3,0),0)</f>
        <v>303501</v>
      </c>
      <c r="O271" s="7"/>
      <c r="P271" s="7">
        <f t="shared" si="30"/>
        <v>303501</v>
      </c>
    </row>
    <row r="272" spans="1:16" x14ac:dyDescent="0.25">
      <c r="A272" s="7" t="s">
        <v>621</v>
      </c>
      <c r="B272" s="7">
        <v>7</v>
      </c>
      <c r="C272" s="7" t="s">
        <v>460</v>
      </c>
      <c r="D272" s="7" t="s">
        <v>460</v>
      </c>
      <c r="E272" s="7">
        <f>+IFERROR(+VLOOKUP(A272,'Trial Balance'!$A$12:$C$428,2,0),0)</f>
        <v>0</v>
      </c>
      <c r="F272" s="7"/>
      <c r="G272" s="7">
        <f t="shared" si="27"/>
        <v>0</v>
      </c>
      <c r="H272" s="7">
        <f>+IFERROR(+VLOOKUP(A272,'Trial Balance'!$A$12:$C$428,3,0),0)</f>
        <v>0</v>
      </c>
      <c r="I272" s="7"/>
      <c r="J272" s="7">
        <f t="shared" si="28"/>
        <v>0</v>
      </c>
      <c r="K272" s="7">
        <f>+IFERROR(+VLOOKUP(A272,'TB2019-20'!$A$12:$C$414,2,0),0)</f>
        <v>0</v>
      </c>
      <c r="L272" s="7"/>
      <c r="M272" s="7">
        <f t="shared" si="29"/>
        <v>0</v>
      </c>
      <c r="N272" s="7">
        <f>+IFERROR(+VLOOKUP(A272,'TB2019-20'!$A$12:$C$414,3,0),0)</f>
        <v>0</v>
      </c>
      <c r="O272" s="7"/>
      <c r="P272" s="7">
        <f t="shared" si="30"/>
        <v>0</v>
      </c>
    </row>
    <row r="273" spans="1:16" x14ac:dyDescent="0.25">
      <c r="A273" s="7" t="s">
        <v>622</v>
      </c>
      <c r="B273" s="11">
        <v>7</v>
      </c>
      <c r="C273" s="11" t="s">
        <v>460</v>
      </c>
      <c r="D273" s="11" t="s">
        <v>460</v>
      </c>
      <c r="E273" s="7">
        <f>+IFERROR(+VLOOKUP(A273,'Trial Balance'!$A$12:$C$428,2,0),0)</f>
        <v>0</v>
      </c>
      <c r="F273" s="7"/>
      <c r="G273" s="7">
        <f t="shared" si="27"/>
        <v>0</v>
      </c>
      <c r="H273" s="7">
        <f>+IFERROR(+VLOOKUP(A273,'Trial Balance'!$A$12:$C$428,3,0),0)</f>
        <v>0</v>
      </c>
      <c r="I273" s="7"/>
      <c r="J273" s="7">
        <f t="shared" si="28"/>
        <v>0</v>
      </c>
      <c r="K273" s="7">
        <f>+IFERROR(+VLOOKUP(A273,'TB2019-20'!$A$12:$C$414,2,0),0)</f>
        <v>0</v>
      </c>
      <c r="L273" s="7"/>
      <c r="M273" s="7">
        <f t="shared" si="29"/>
        <v>0</v>
      </c>
      <c r="N273" s="7">
        <f>+IFERROR(+VLOOKUP(A273,'TB2019-20'!$A$12:$C$414,3,0),0)</f>
        <v>0</v>
      </c>
      <c r="O273" s="7"/>
      <c r="P273" s="7">
        <f t="shared" si="30"/>
        <v>0</v>
      </c>
    </row>
    <row r="274" spans="1:16" x14ac:dyDescent="0.25">
      <c r="A274" s="16" t="s">
        <v>623</v>
      </c>
      <c r="B274" s="7">
        <v>13</v>
      </c>
      <c r="C274" s="7" t="s">
        <v>1440</v>
      </c>
      <c r="D274" s="7" t="s">
        <v>583</v>
      </c>
      <c r="E274" s="7">
        <f>+IFERROR(+VLOOKUP(A274,'Trial Balance'!$A$12:$C$428,2,0),0)</f>
        <v>0</v>
      </c>
      <c r="F274" s="7"/>
      <c r="G274" s="7">
        <f t="shared" si="27"/>
        <v>0</v>
      </c>
      <c r="H274" s="7">
        <f>+IFERROR(+VLOOKUP(A274,'Trial Balance'!$A$12:$C$428,3,0),0)</f>
        <v>0</v>
      </c>
      <c r="I274" s="7"/>
      <c r="J274" s="7">
        <f t="shared" si="28"/>
        <v>0</v>
      </c>
      <c r="K274" s="7">
        <f>+IFERROR(+VLOOKUP(A274,'TB2019-20'!$A$12:$C$414,2,0),0)</f>
        <v>0</v>
      </c>
      <c r="L274" s="7"/>
      <c r="M274" s="7">
        <f t="shared" si="29"/>
        <v>0</v>
      </c>
      <c r="N274" s="7">
        <f>+IFERROR(+VLOOKUP(A274,'TB2019-20'!$A$12:$C$414,3,0),0)</f>
        <v>0</v>
      </c>
      <c r="O274" s="7"/>
      <c r="P274" s="7">
        <f t="shared" si="30"/>
        <v>0</v>
      </c>
    </row>
    <row r="275" spans="1:16" x14ac:dyDescent="0.25">
      <c r="A275" s="16" t="s">
        <v>624</v>
      </c>
      <c r="B275" s="7">
        <v>13</v>
      </c>
      <c r="C275" s="7" t="s">
        <v>1440</v>
      </c>
      <c r="D275" s="7" t="s">
        <v>583</v>
      </c>
      <c r="E275" s="7">
        <f>+IFERROR(+VLOOKUP(A275,'Trial Balance'!$A$12:$C$428,2,0),0)</f>
        <v>0</v>
      </c>
      <c r="F275" s="7"/>
      <c r="G275" s="7">
        <f t="shared" si="27"/>
        <v>0</v>
      </c>
      <c r="H275" s="7">
        <f>+IFERROR(+VLOOKUP(A275,'Trial Balance'!$A$12:$C$428,3,0),0)</f>
        <v>0</v>
      </c>
      <c r="I275" s="7"/>
      <c r="J275" s="7">
        <f t="shared" si="28"/>
        <v>0</v>
      </c>
      <c r="K275" s="7">
        <f>+IFERROR(+VLOOKUP(A275,'TB2019-20'!$A$12:$C$414,2,0),0)</f>
        <v>447710</v>
      </c>
      <c r="L275" s="7"/>
      <c r="M275" s="7">
        <f t="shared" si="29"/>
        <v>447710</v>
      </c>
      <c r="N275" s="7">
        <f>+IFERROR(+VLOOKUP(A275,'TB2019-20'!$A$12:$C$414,3,0),0)</f>
        <v>0</v>
      </c>
      <c r="O275" s="7"/>
      <c r="P275" s="7">
        <f t="shared" si="30"/>
        <v>0</v>
      </c>
    </row>
    <row r="276" spans="1:16" x14ac:dyDescent="0.25">
      <c r="A276" s="16" t="s">
        <v>140</v>
      </c>
      <c r="B276" s="7">
        <v>13</v>
      </c>
      <c r="C276" s="7" t="s">
        <v>1440</v>
      </c>
      <c r="D276" s="7" t="s">
        <v>583</v>
      </c>
      <c r="E276" s="7">
        <f>+IFERROR(+VLOOKUP(A276,'Trial Balance'!$A$12:$C$428,2,0),0)</f>
        <v>1654054</v>
      </c>
      <c r="F276" s="7"/>
      <c r="G276" s="7">
        <f t="shared" si="27"/>
        <v>1654054</v>
      </c>
      <c r="H276" s="7">
        <f>+IFERROR(+VLOOKUP(A276,'Trial Balance'!$A$12:$C$428,3,0),0)</f>
        <v>0</v>
      </c>
      <c r="I276" s="7"/>
      <c r="J276" s="7">
        <f t="shared" si="28"/>
        <v>0</v>
      </c>
      <c r="K276" s="7">
        <f>+IFERROR(+VLOOKUP(A276,'TB2019-20'!$A$12:$C$414,2,0),0)</f>
        <v>1508572</v>
      </c>
      <c r="L276" s="7"/>
      <c r="M276" s="7">
        <f t="shared" si="29"/>
        <v>1508572</v>
      </c>
      <c r="N276" s="7">
        <f>+IFERROR(+VLOOKUP(A276,'TB2019-20'!$A$12:$C$414,3,0),0)</f>
        <v>0</v>
      </c>
      <c r="O276" s="7"/>
      <c r="P276" s="7">
        <f t="shared" si="30"/>
        <v>0</v>
      </c>
    </row>
    <row r="277" spans="1:16" x14ac:dyDescent="0.25">
      <c r="A277" s="7" t="s">
        <v>141</v>
      </c>
      <c r="B277" s="7">
        <v>20</v>
      </c>
      <c r="C277" s="7" t="s">
        <v>266</v>
      </c>
      <c r="D277" s="7" t="s">
        <v>625</v>
      </c>
      <c r="E277" s="7">
        <f>+IFERROR(+VLOOKUP(A277,'Trial Balance'!$A$12:$C$428,2,0),0)</f>
        <v>0</v>
      </c>
      <c r="F277" s="7"/>
      <c r="G277" s="7">
        <f t="shared" si="27"/>
        <v>0</v>
      </c>
      <c r="H277" s="7">
        <f>+IFERROR(+VLOOKUP(A277,'Trial Balance'!$A$12:$C$428,3,0),0)</f>
        <v>1088007</v>
      </c>
      <c r="I277" s="7"/>
      <c r="J277" s="7">
        <f t="shared" si="28"/>
        <v>1088007</v>
      </c>
      <c r="K277" s="7">
        <f>+IFERROR(+VLOOKUP(A277,'TB2019-20'!$A$12:$C$414,2,0),0)</f>
        <v>0</v>
      </c>
      <c r="L277" s="7"/>
      <c r="M277" s="7">
        <f t="shared" si="29"/>
        <v>0</v>
      </c>
      <c r="N277" s="7">
        <f>+IFERROR(+VLOOKUP(A277,'TB2019-20'!$A$12:$C$414,3,0),0)</f>
        <v>588805</v>
      </c>
      <c r="O277" s="7"/>
      <c r="P277" s="7">
        <f t="shared" si="30"/>
        <v>588805</v>
      </c>
    </row>
    <row r="278" spans="1:16" x14ac:dyDescent="0.25">
      <c r="A278" s="6" t="s">
        <v>142</v>
      </c>
      <c r="B278" s="7">
        <v>22</v>
      </c>
      <c r="C278" s="7" t="s">
        <v>557</v>
      </c>
      <c r="D278" s="7" t="s">
        <v>558</v>
      </c>
      <c r="E278" s="7">
        <f>+IFERROR(+VLOOKUP(A278,'Trial Balance'!$A$12:$C$428,2,0),0)</f>
        <v>202312.89</v>
      </c>
      <c r="F278" s="7"/>
      <c r="G278" s="7">
        <f t="shared" si="27"/>
        <v>202312.89</v>
      </c>
      <c r="H278" s="7">
        <f>+IFERROR(+VLOOKUP(A278,'Trial Balance'!$A$12:$C$428,3,0),0)</f>
        <v>0</v>
      </c>
      <c r="I278" s="7"/>
      <c r="J278" s="7">
        <f t="shared" si="28"/>
        <v>0</v>
      </c>
      <c r="K278" s="7">
        <f>+IFERROR(+VLOOKUP(A278,'TB2019-20'!$A$12:$C$414,2,0),0)</f>
        <v>358420</v>
      </c>
      <c r="L278" s="7"/>
      <c r="M278" s="7">
        <f t="shared" si="29"/>
        <v>358420</v>
      </c>
      <c r="N278" s="7">
        <f>+IFERROR(+VLOOKUP(A278,'TB2019-20'!$A$12:$C$414,3,0),0)</f>
        <v>0</v>
      </c>
      <c r="O278" s="7"/>
      <c r="P278" s="7">
        <f t="shared" si="30"/>
        <v>0</v>
      </c>
    </row>
    <row r="279" spans="1:16" x14ac:dyDescent="0.25">
      <c r="A279" s="6" t="s">
        <v>626</v>
      </c>
      <c r="B279" s="7">
        <v>7</v>
      </c>
      <c r="C279" s="7" t="s">
        <v>460</v>
      </c>
      <c r="D279" s="7" t="s">
        <v>462</v>
      </c>
      <c r="E279" s="7">
        <f>+IFERROR(+VLOOKUP(A279,'Trial Balance'!$A$12:$C$428,2,0),0)</f>
        <v>0</v>
      </c>
      <c r="F279" s="7"/>
      <c r="G279" s="7">
        <f t="shared" si="27"/>
        <v>0</v>
      </c>
      <c r="H279" s="7">
        <f>+IFERROR(+VLOOKUP(A279,'Trial Balance'!$A$12:$C$428,3,0),0)</f>
        <v>0</v>
      </c>
      <c r="I279" s="7"/>
      <c r="J279" s="7">
        <f t="shared" si="28"/>
        <v>0</v>
      </c>
      <c r="K279" s="7">
        <f>+IFERROR(+VLOOKUP(A279,'TB2019-20'!$A$12:$C$414,2,0),0)</f>
        <v>0</v>
      </c>
      <c r="L279" s="7"/>
      <c r="M279" s="7">
        <f t="shared" si="29"/>
        <v>0</v>
      </c>
      <c r="N279" s="7">
        <f>+IFERROR(+VLOOKUP(A279,'TB2019-20'!$A$12:$C$414,3,0),0)</f>
        <v>83450</v>
      </c>
      <c r="O279" s="7"/>
      <c r="P279" s="7">
        <f t="shared" si="30"/>
        <v>83450</v>
      </c>
    </row>
    <row r="280" spans="1:16" x14ac:dyDescent="0.25">
      <c r="A280" s="7" t="s">
        <v>143</v>
      </c>
      <c r="B280" s="7">
        <v>10</v>
      </c>
      <c r="C280" s="7" t="s">
        <v>534</v>
      </c>
      <c r="D280" s="7" t="s">
        <v>535</v>
      </c>
      <c r="E280" s="7">
        <f>+IFERROR(+VLOOKUP(A280,'Trial Balance'!$A$12:$C$428,2,0),0)</f>
        <v>33965000</v>
      </c>
      <c r="F280" s="7"/>
      <c r="G280" s="7">
        <f t="shared" si="27"/>
        <v>33965000</v>
      </c>
      <c r="H280" s="7">
        <f>+IFERROR(+VLOOKUP(A280,'Trial Balance'!$A$12:$C$428,3,0),0)</f>
        <v>0</v>
      </c>
      <c r="I280" s="7"/>
      <c r="J280" s="7">
        <f t="shared" si="28"/>
        <v>0</v>
      </c>
      <c r="K280" s="7">
        <f>+IFERROR(+VLOOKUP(A280,'TB2019-20'!$A$12:$C$414,2,0),0)</f>
        <v>33965000</v>
      </c>
      <c r="L280" s="7"/>
      <c r="M280" s="7">
        <f t="shared" si="29"/>
        <v>33965000</v>
      </c>
      <c r="N280" s="7">
        <f>+IFERROR(+VLOOKUP(A280,'TB2019-20'!$A$12:$C$414,3,0),0)</f>
        <v>0</v>
      </c>
      <c r="O280" s="7"/>
      <c r="P280" s="7">
        <f t="shared" si="30"/>
        <v>0</v>
      </c>
    </row>
    <row r="281" spans="1:16" x14ac:dyDescent="0.25">
      <c r="A281" s="7" t="s">
        <v>144</v>
      </c>
      <c r="B281" s="7">
        <v>19</v>
      </c>
      <c r="C281" s="7" t="s">
        <v>602</v>
      </c>
      <c r="D281" s="7" t="s">
        <v>603</v>
      </c>
      <c r="E281" s="7">
        <f>+IFERROR(+VLOOKUP(A281,'Trial Balance'!$A$12:$C$428,2,0),0)</f>
        <v>8000</v>
      </c>
      <c r="F281" s="7"/>
      <c r="G281" s="7">
        <f t="shared" si="27"/>
        <v>8000</v>
      </c>
      <c r="H281" s="7">
        <f>+IFERROR(+VLOOKUP(A281,'Trial Balance'!$A$12:$C$428,3,0),0)</f>
        <v>0</v>
      </c>
      <c r="I281" s="7"/>
      <c r="J281" s="7">
        <f t="shared" si="28"/>
        <v>0</v>
      </c>
      <c r="K281" s="7">
        <f>+IFERROR(+VLOOKUP(A281,'TB2019-20'!$A$12:$C$414,2,0),0)</f>
        <v>0</v>
      </c>
      <c r="L281" s="7"/>
      <c r="M281" s="7">
        <f t="shared" si="29"/>
        <v>0</v>
      </c>
      <c r="N281" s="7">
        <f>+IFERROR(+VLOOKUP(A281,'TB2019-20'!$A$12:$C$414,3,0),0)</f>
        <v>1160</v>
      </c>
      <c r="O281" s="7"/>
      <c r="P281" s="7">
        <f t="shared" si="30"/>
        <v>1160</v>
      </c>
    </row>
    <row r="282" spans="1:16" x14ac:dyDescent="0.25">
      <c r="A282" s="7" t="s">
        <v>145</v>
      </c>
      <c r="B282" s="7">
        <v>10</v>
      </c>
      <c r="C282" s="7" t="s">
        <v>534</v>
      </c>
      <c r="D282" s="7" t="s">
        <v>535</v>
      </c>
      <c r="E282" s="7">
        <f>+IFERROR(+VLOOKUP(A282,'Trial Balance'!$A$12:$C$428,2,0),0)</f>
        <v>1330213.03</v>
      </c>
      <c r="F282" s="7"/>
      <c r="G282" s="7">
        <f t="shared" si="27"/>
        <v>1330213.03</v>
      </c>
      <c r="H282" s="7">
        <f>+IFERROR(+VLOOKUP(A282,'Trial Balance'!$A$12:$C$428,3,0),0)</f>
        <v>0</v>
      </c>
      <c r="I282" s="7"/>
      <c r="J282" s="7">
        <f t="shared" si="28"/>
        <v>0</v>
      </c>
      <c r="K282" s="7">
        <f>+IFERROR(+VLOOKUP(A282,'TB2019-20'!$A$12:$C$414,2,0),0)</f>
        <v>1820294</v>
      </c>
      <c r="L282" s="7"/>
      <c r="M282" s="7">
        <f t="shared" si="29"/>
        <v>1820294</v>
      </c>
      <c r="N282" s="7">
        <f>+IFERROR(+VLOOKUP(A282,'TB2019-20'!$A$12:$C$414,3,0),0)</f>
        <v>0</v>
      </c>
      <c r="O282" s="7"/>
      <c r="P282" s="7">
        <f t="shared" si="30"/>
        <v>0</v>
      </c>
    </row>
    <row r="283" spans="1:16" x14ac:dyDescent="0.25">
      <c r="A283" s="7" t="s">
        <v>146</v>
      </c>
      <c r="B283" s="7">
        <v>7</v>
      </c>
      <c r="C283" s="7" t="s">
        <v>460</v>
      </c>
      <c r="D283" s="7" t="s">
        <v>460</v>
      </c>
      <c r="E283" s="7">
        <f>+IFERROR(+VLOOKUP(A283,'Trial Balance'!$A$12:$C$428,2,0),0)</f>
        <v>0</v>
      </c>
      <c r="F283" s="7"/>
      <c r="G283" s="7">
        <f t="shared" si="27"/>
        <v>0</v>
      </c>
      <c r="H283" s="7">
        <f>+IFERROR(+VLOOKUP(A283,'Trial Balance'!$A$12:$C$428,3,0),0)</f>
        <v>57671</v>
      </c>
      <c r="I283" s="7"/>
      <c r="J283" s="7">
        <f t="shared" si="28"/>
        <v>57671</v>
      </c>
      <c r="K283" s="7">
        <f>+IFERROR(+VLOOKUP(A283,'TB2019-20'!$A$12:$C$414,2,0),0)</f>
        <v>0</v>
      </c>
      <c r="L283" s="7"/>
      <c r="M283" s="7">
        <f t="shared" si="29"/>
        <v>0</v>
      </c>
      <c r="N283" s="7">
        <f>+IFERROR(+VLOOKUP(A283,'TB2019-20'!$A$12:$C$414,3,0),0)</f>
        <v>136007</v>
      </c>
      <c r="O283" s="7"/>
      <c r="P283" s="7">
        <f t="shared" si="30"/>
        <v>136007</v>
      </c>
    </row>
    <row r="284" spans="1:16" x14ac:dyDescent="0.25">
      <c r="A284" s="7" t="s">
        <v>627</v>
      </c>
      <c r="B284" s="11">
        <v>7</v>
      </c>
      <c r="C284" s="11" t="s">
        <v>460</v>
      </c>
      <c r="D284" s="11" t="s">
        <v>460</v>
      </c>
      <c r="E284" s="7">
        <f>+IFERROR(+VLOOKUP(A284,'Trial Balance'!$A$12:$C$428,2,0),0)</f>
        <v>0</v>
      </c>
      <c r="F284" s="7"/>
      <c r="G284" s="7">
        <f t="shared" si="27"/>
        <v>0</v>
      </c>
      <c r="H284" s="7">
        <f>+IFERROR(+VLOOKUP(A284,'Trial Balance'!$A$12:$C$428,3,0),0)</f>
        <v>0</v>
      </c>
      <c r="I284" s="7"/>
      <c r="J284" s="7">
        <f t="shared" si="28"/>
        <v>0</v>
      </c>
      <c r="K284" s="7">
        <f>+IFERROR(+VLOOKUP(A284,'TB2019-20'!$A$12:$C$414,2,0),0)</f>
        <v>0</v>
      </c>
      <c r="L284" s="7"/>
      <c r="M284" s="7">
        <f t="shared" si="29"/>
        <v>0</v>
      </c>
      <c r="N284" s="7">
        <f>+IFERROR(+VLOOKUP(A284,'TB2019-20'!$A$12:$C$414,3,0),0)</f>
        <v>0</v>
      </c>
      <c r="O284" s="7"/>
      <c r="P284" s="7">
        <f t="shared" si="30"/>
        <v>0</v>
      </c>
    </row>
    <row r="285" spans="1:16" x14ac:dyDescent="0.25">
      <c r="A285" s="7" t="s">
        <v>147</v>
      </c>
      <c r="B285" s="13">
        <v>3</v>
      </c>
      <c r="C285" s="7" t="s">
        <v>538</v>
      </c>
      <c r="D285" s="7" t="s">
        <v>628</v>
      </c>
      <c r="E285" s="7">
        <f>+IFERROR(+VLOOKUP(A285,'Trial Balance'!$A$12:$C$428,2,0),0)</f>
        <v>0</v>
      </c>
      <c r="F285" s="7"/>
      <c r="G285" s="7">
        <f t="shared" si="27"/>
        <v>0</v>
      </c>
      <c r="H285" s="7">
        <f>+IFERROR(+VLOOKUP(A285,'Trial Balance'!$A$12:$C$428,3,0),0)</f>
        <v>1800000</v>
      </c>
      <c r="I285" s="7"/>
      <c r="J285" s="7">
        <f t="shared" si="28"/>
        <v>1800000</v>
      </c>
      <c r="K285" s="7">
        <f>+IFERROR(+VLOOKUP(A285,'TB2019-20'!$A$12:$C$414,2,0),0)</f>
        <v>0</v>
      </c>
      <c r="L285" s="7"/>
      <c r="M285" s="7">
        <f t="shared" si="29"/>
        <v>0</v>
      </c>
      <c r="N285" s="7">
        <f>+IFERROR(+VLOOKUP(A285,'TB2019-20'!$A$12:$C$414,3,0),0)</f>
        <v>1800000</v>
      </c>
      <c r="O285" s="7"/>
      <c r="P285" s="7">
        <f t="shared" si="30"/>
        <v>1800000</v>
      </c>
    </row>
    <row r="286" spans="1:16" x14ac:dyDescent="0.25">
      <c r="A286" s="11" t="s">
        <v>629</v>
      </c>
      <c r="B286" s="11">
        <v>7</v>
      </c>
      <c r="C286" s="11" t="s">
        <v>460</v>
      </c>
      <c r="D286" s="11" t="s">
        <v>460</v>
      </c>
      <c r="E286" s="7">
        <f>+IFERROR(+VLOOKUP(A286,'Trial Balance'!$A$12:$C$428,2,0),0)</f>
        <v>0</v>
      </c>
      <c r="F286" s="7"/>
      <c r="G286" s="7">
        <f t="shared" si="27"/>
        <v>0</v>
      </c>
      <c r="H286" s="7">
        <f>+IFERROR(+VLOOKUP(A286,'Trial Balance'!$A$12:$C$428,3,0),0)</f>
        <v>0</v>
      </c>
      <c r="I286" s="7"/>
      <c r="J286" s="7">
        <f t="shared" si="28"/>
        <v>0</v>
      </c>
      <c r="K286" s="7">
        <f>+IFERROR(+VLOOKUP(A286,'TB2019-20'!$A$12:$C$414,2,0),0)</f>
        <v>0</v>
      </c>
      <c r="L286" s="7"/>
      <c r="M286" s="7">
        <f t="shared" si="29"/>
        <v>0</v>
      </c>
      <c r="N286" s="7">
        <f>+IFERROR(+VLOOKUP(A286,'TB2019-20'!$A$12:$C$414,3,0),0)</f>
        <v>0</v>
      </c>
      <c r="O286" s="7"/>
      <c r="P286" s="7">
        <f t="shared" si="30"/>
        <v>0</v>
      </c>
    </row>
    <row r="287" spans="1:16" x14ac:dyDescent="0.25">
      <c r="A287" s="7" t="s">
        <v>630</v>
      </c>
      <c r="B287" s="7">
        <v>24</v>
      </c>
      <c r="C287" s="7" t="s">
        <v>600</v>
      </c>
      <c r="D287" s="7" t="s">
        <v>613</v>
      </c>
      <c r="E287" s="7">
        <f>+IFERROR(+VLOOKUP(A287,'Trial Balance'!$A$12:$C$428,2,0),0)</f>
        <v>921661</v>
      </c>
      <c r="F287" s="7">
        <f>-333919-E287</f>
        <v>-1255580</v>
      </c>
      <c r="G287" s="7">
        <f t="shared" si="27"/>
        <v>-333919</v>
      </c>
      <c r="H287" s="7">
        <f>+IFERROR(+VLOOKUP(A287,'Trial Balance'!$A$12:$C$428,3,0),0)</f>
        <v>0</v>
      </c>
      <c r="I287" s="7"/>
      <c r="J287" s="7">
        <f t="shared" si="28"/>
        <v>0</v>
      </c>
      <c r="K287" s="7">
        <f>+IFERROR(+VLOOKUP(A287,'TB2019-20'!$A$12:$C$414,2,0),0)</f>
        <v>850764</v>
      </c>
      <c r="L287" s="7"/>
      <c r="M287" s="7">
        <f t="shared" si="29"/>
        <v>850764</v>
      </c>
      <c r="N287" s="7">
        <f>+IFERROR(+VLOOKUP(A287,'TB2019-20'!$A$12:$C$414,3,0),0)</f>
        <v>0</v>
      </c>
      <c r="O287" s="7"/>
      <c r="P287" s="7">
        <f t="shared" si="30"/>
        <v>0</v>
      </c>
    </row>
    <row r="288" spans="1:16" x14ac:dyDescent="0.25">
      <c r="A288" s="6" t="s">
        <v>631</v>
      </c>
      <c r="B288" s="7">
        <v>7</v>
      </c>
      <c r="C288" s="7" t="s">
        <v>460</v>
      </c>
      <c r="D288" s="7" t="s">
        <v>462</v>
      </c>
      <c r="E288" s="7">
        <f>+IFERROR(+VLOOKUP(A288,'Trial Balance'!$A$12:$C$428,2,0),0)</f>
        <v>0</v>
      </c>
      <c r="F288" s="7"/>
      <c r="G288" s="7">
        <f t="shared" si="27"/>
        <v>0</v>
      </c>
      <c r="H288" s="7">
        <f>+IFERROR(+VLOOKUP(A288,'Trial Balance'!$A$12:$C$428,3,0),0)</f>
        <v>0</v>
      </c>
      <c r="I288" s="7"/>
      <c r="J288" s="7">
        <f t="shared" si="28"/>
        <v>0</v>
      </c>
      <c r="K288" s="7">
        <f>+IFERROR(+VLOOKUP(A288,'TB2019-20'!$A$12:$C$414,2,0),0)</f>
        <v>0</v>
      </c>
      <c r="L288" s="7"/>
      <c r="M288" s="7">
        <f t="shared" si="29"/>
        <v>0</v>
      </c>
      <c r="N288" s="7">
        <f>+IFERROR(+VLOOKUP(A288,'TB2019-20'!$A$12:$C$414,3,0),0)</f>
        <v>175820</v>
      </c>
      <c r="O288" s="7"/>
      <c r="P288" s="7">
        <f t="shared" si="30"/>
        <v>175820</v>
      </c>
    </row>
    <row r="289" spans="1:16" x14ac:dyDescent="0.25">
      <c r="A289" s="8" t="s">
        <v>153</v>
      </c>
      <c r="B289" s="7">
        <v>7</v>
      </c>
      <c r="C289" s="7" t="s">
        <v>460</v>
      </c>
      <c r="D289" s="7" t="s">
        <v>462</v>
      </c>
      <c r="E289" s="7">
        <f>+IFERROR(+VLOOKUP(A289,'Trial Balance'!$A$12:$C$428,2,0),0)</f>
        <v>0</v>
      </c>
      <c r="F289" s="7"/>
      <c r="G289" s="7">
        <f t="shared" si="27"/>
        <v>0</v>
      </c>
      <c r="H289" s="7">
        <f>+IFERROR(+VLOOKUP(A289,'Trial Balance'!$A$12:$C$428,3,0),0)</f>
        <v>116424</v>
      </c>
      <c r="I289" s="7"/>
      <c r="J289" s="7">
        <f t="shared" si="28"/>
        <v>116424</v>
      </c>
      <c r="K289" s="7">
        <f>+IFERROR(+VLOOKUP(A289,'TB2019-20'!$A$12:$C$414,2,0),0)</f>
        <v>0</v>
      </c>
      <c r="L289" s="7"/>
      <c r="M289" s="7">
        <f t="shared" si="29"/>
        <v>0</v>
      </c>
      <c r="N289" s="7">
        <f>+IFERROR(+VLOOKUP(A289,'TB2019-20'!$A$12:$C$414,3,0),0)</f>
        <v>0</v>
      </c>
      <c r="O289" s="7"/>
      <c r="P289" s="7">
        <f t="shared" si="30"/>
        <v>0</v>
      </c>
    </row>
    <row r="290" spans="1:16" x14ac:dyDescent="0.25">
      <c r="A290" s="7" t="s">
        <v>632</v>
      </c>
      <c r="B290" s="7">
        <v>26</v>
      </c>
      <c r="C290" s="7" t="s">
        <v>467</v>
      </c>
      <c r="D290" s="7" t="s">
        <v>493</v>
      </c>
      <c r="E290" s="7">
        <f>+IFERROR(+VLOOKUP(A290,'Trial Balance'!$A$12:$C$428,2,0),0)</f>
        <v>0</v>
      </c>
      <c r="F290" s="7"/>
      <c r="G290" s="7">
        <f t="shared" si="27"/>
        <v>0</v>
      </c>
      <c r="H290" s="7">
        <f>+IFERROR(+VLOOKUP(A290,'Trial Balance'!$A$12:$C$428,3,0),0)</f>
        <v>0</v>
      </c>
      <c r="I290" s="7"/>
      <c r="J290" s="7">
        <f t="shared" si="28"/>
        <v>0</v>
      </c>
      <c r="K290" s="7">
        <f>+IFERROR(+VLOOKUP(A290,'TB2019-20'!$A$12:$C$414,2,0),0)</f>
        <v>25123</v>
      </c>
      <c r="L290" s="7"/>
      <c r="M290" s="7">
        <f t="shared" si="29"/>
        <v>25123</v>
      </c>
      <c r="N290" s="7">
        <f>+IFERROR(+VLOOKUP(A290,'TB2019-20'!$A$12:$C$414,3,0),0)</f>
        <v>0</v>
      </c>
      <c r="O290" s="7"/>
      <c r="P290" s="7">
        <f t="shared" si="30"/>
        <v>0</v>
      </c>
    </row>
    <row r="291" spans="1:16" x14ac:dyDescent="0.25">
      <c r="A291" s="7" t="s">
        <v>633</v>
      </c>
      <c r="B291" s="7">
        <v>26</v>
      </c>
      <c r="C291" s="7" t="s">
        <v>467</v>
      </c>
      <c r="D291" s="7" t="s">
        <v>565</v>
      </c>
      <c r="E291" s="7">
        <f>+IFERROR(+VLOOKUP(A291,'Trial Balance'!$A$12:$C$428,2,0),0)</f>
        <v>45000</v>
      </c>
      <c r="F291" s="7"/>
      <c r="G291" s="7">
        <f t="shared" si="27"/>
        <v>45000</v>
      </c>
      <c r="H291" s="7">
        <f>+IFERROR(+VLOOKUP(A291,'Trial Balance'!$A$12:$C$428,3,0),0)</f>
        <v>0</v>
      </c>
      <c r="I291" s="7"/>
      <c r="J291" s="7">
        <f t="shared" si="28"/>
        <v>0</v>
      </c>
      <c r="K291" s="7">
        <f>+IFERROR(+VLOOKUP(A291,'TB2019-20'!$A$12:$C$414,2,0),0)</f>
        <v>10000</v>
      </c>
      <c r="L291" s="7"/>
      <c r="M291" s="7">
        <f t="shared" si="29"/>
        <v>10000</v>
      </c>
      <c r="N291" s="7">
        <f>+IFERROR(+VLOOKUP(A291,'TB2019-20'!$A$12:$C$414,3,0),0)</f>
        <v>0</v>
      </c>
      <c r="O291" s="7"/>
      <c r="P291" s="7">
        <f t="shared" si="30"/>
        <v>0</v>
      </c>
    </row>
    <row r="292" spans="1:16" x14ac:dyDescent="0.25">
      <c r="A292" s="8" t="s">
        <v>148</v>
      </c>
      <c r="B292" s="7">
        <v>26</v>
      </c>
      <c r="C292" s="7" t="s">
        <v>467</v>
      </c>
      <c r="D292" s="7" t="s">
        <v>565</v>
      </c>
      <c r="E292" s="7">
        <f>+IFERROR(+VLOOKUP(A292,'Trial Balance'!$A$12:$C$428,2,0),0)</f>
        <v>0</v>
      </c>
      <c r="F292" s="7"/>
      <c r="G292" s="7">
        <f t="shared" si="27"/>
        <v>0</v>
      </c>
      <c r="H292" s="7">
        <f>+IFERROR(+VLOOKUP(A292,'Trial Balance'!$A$12:$C$428,3,0),0)</f>
        <v>0</v>
      </c>
      <c r="I292" s="7"/>
      <c r="J292" s="7">
        <f t="shared" si="28"/>
        <v>0</v>
      </c>
      <c r="K292" s="7">
        <f>+IFERROR(+VLOOKUP(A292,'TB2019-20'!$A$12:$C$414,2,0),0)</f>
        <v>0</v>
      </c>
      <c r="L292" s="7"/>
      <c r="M292" s="7">
        <f t="shared" si="29"/>
        <v>0</v>
      </c>
      <c r="N292" s="7">
        <f>+IFERROR(+VLOOKUP(A292,'TB2019-20'!$A$12:$C$414,3,0),0)</f>
        <v>0</v>
      </c>
      <c r="O292" s="7"/>
      <c r="P292" s="7">
        <f t="shared" si="30"/>
        <v>0</v>
      </c>
    </row>
    <row r="293" spans="1:16" x14ac:dyDescent="0.25">
      <c r="A293" s="7" t="s">
        <v>634</v>
      </c>
      <c r="B293" s="7">
        <v>26</v>
      </c>
      <c r="C293" s="7" t="s">
        <v>467</v>
      </c>
      <c r="D293" s="7" t="s">
        <v>565</v>
      </c>
      <c r="E293" s="7">
        <f>+IFERROR(+VLOOKUP(A293,'Trial Balance'!$A$12:$C$428,2,0),0)</f>
        <v>0</v>
      </c>
      <c r="F293" s="7"/>
      <c r="G293" s="7">
        <f t="shared" si="27"/>
        <v>0</v>
      </c>
      <c r="H293" s="7">
        <f>+IFERROR(+VLOOKUP(A293,'Trial Balance'!$A$12:$C$428,3,0),0)</f>
        <v>0</v>
      </c>
      <c r="I293" s="7"/>
      <c r="J293" s="7">
        <f t="shared" si="28"/>
        <v>0</v>
      </c>
      <c r="K293" s="7">
        <f>+IFERROR(+VLOOKUP(A293,'TB2019-20'!$A$12:$C$414,2,0),0)</f>
        <v>45000</v>
      </c>
      <c r="L293" s="7"/>
      <c r="M293" s="7">
        <f t="shared" si="29"/>
        <v>45000</v>
      </c>
      <c r="N293" s="7">
        <f>+IFERROR(+VLOOKUP(A293,'TB2019-20'!$A$12:$C$414,3,0),0)</f>
        <v>0</v>
      </c>
      <c r="O293" s="7"/>
      <c r="P293" s="7">
        <f t="shared" si="30"/>
        <v>0</v>
      </c>
    </row>
    <row r="294" spans="1:16" x14ac:dyDescent="0.25">
      <c r="A294" s="7" t="s">
        <v>635</v>
      </c>
      <c r="B294" s="7">
        <v>26</v>
      </c>
      <c r="C294" s="7" t="s">
        <v>467</v>
      </c>
      <c r="D294" s="7" t="s">
        <v>565</v>
      </c>
      <c r="E294" s="7">
        <f>+IFERROR(+VLOOKUP(A294,'Trial Balance'!$A$12:$C$428,2,0),0)</f>
        <v>0</v>
      </c>
      <c r="F294" s="7"/>
      <c r="G294" s="7">
        <f t="shared" si="27"/>
        <v>0</v>
      </c>
      <c r="H294" s="7">
        <f>+IFERROR(+VLOOKUP(A294,'Trial Balance'!$A$12:$C$428,3,0),0)</f>
        <v>0</v>
      </c>
      <c r="I294" s="7"/>
      <c r="J294" s="7">
        <f t="shared" si="28"/>
        <v>0</v>
      </c>
      <c r="K294" s="7">
        <f>+IFERROR(+VLOOKUP(A294,'TB2019-20'!$A$12:$C$414,2,0),0)</f>
        <v>40000</v>
      </c>
      <c r="L294" s="7"/>
      <c r="M294" s="7">
        <f t="shared" si="29"/>
        <v>40000</v>
      </c>
      <c r="N294" s="7">
        <f>+IFERROR(+VLOOKUP(A294,'TB2019-20'!$A$12:$C$414,3,0),0)</f>
        <v>0</v>
      </c>
      <c r="O294" s="7"/>
      <c r="P294" s="7">
        <f t="shared" si="30"/>
        <v>0</v>
      </c>
    </row>
    <row r="295" spans="1:16" x14ac:dyDescent="0.25">
      <c r="A295" s="7" t="s">
        <v>636</v>
      </c>
      <c r="B295" s="7">
        <v>26</v>
      </c>
      <c r="C295" s="7" t="s">
        <v>467</v>
      </c>
      <c r="D295" s="7" t="s">
        <v>565</v>
      </c>
      <c r="E295" s="7">
        <f>+IFERROR(+VLOOKUP(A295,'Trial Balance'!$A$12:$C$428,2,0),0)</f>
        <v>0</v>
      </c>
      <c r="F295" s="7"/>
      <c r="G295" s="7">
        <f t="shared" si="27"/>
        <v>0</v>
      </c>
      <c r="H295" s="7">
        <f>+IFERROR(+VLOOKUP(A295,'Trial Balance'!$A$12:$C$428,3,0),0)</f>
        <v>0</v>
      </c>
      <c r="I295" s="7"/>
      <c r="J295" s="7">
        <f t="shared" si="28"/>
        <v>0</v>
      </c>
      <c r="K295" s="7">
        <f>+IFERROR(+VLOOKUP(A295,'TB2019-20'!$A$12:$C$414,2,0),0)</f>
        <v>0</v>
      </c>
      <c r="L295" s="7"/>
      <c r="M295" s="7">
        <f t="shared" si="29"/>
        <v>0</v>
      </c>
      <c r="N295" s="7">
        <f>+IFERROR(+VLOOKUP(A295,'TB2019-20'!$A$12:$C$414,3,0),0)</f>
        <v>0</v>
      </c>
      <c r="O295" s="7"/>
      <c r="P295" s="7">
        <f t="shared" si="30"/>
        <v>0</v>
      </c>
    </row>
    <row r="296" spans="1:16" x14ac:dyDescent="0.25">
      <c r="A296" s="7" t="s">
        <v>150</v>
      </c>
      <c r="B296" s="7">
        <v>7</v>
      </c>
      <c r="C296" s="7" t="s">
        <v>460</v>
      </c>
      <c r="D296" s="7" t="s">
        <v>462</v>
      </c>
      <c r="E296" s="7">
        <f>+IFERROR(+VLOOKUP(A296,'Trial Balance'!$A$12:$C$428,2,0),0)</f>
        <v>0</v>
      </c>
      <c r="F296" s="7"/>
      <c r="G296" s="7">
        <f t="shared" si="27"/>
        <v>0</v>
      </c>
      <c r="H296" s="7">
        <f>+IFERROR(+VLOOKUP(A296,'Trial Balance'!$A$12:$C$428,3,0),0)</f>
        <v>0</v>
      </c>
      <c r="I296" s="7"/>
      <c r="J296" s="7">
        <f t="shared" si="28"/>
        <v>0</v>
      </c>
      <c r="K296" s="7">
        <f>+IFERROR(+VLOOKUP(A296,'TB2019-20'!$A$12:$C$414,2,0),0)</f>
        <v>0</v>
      </c>
      <c r="L296" s="7"/>
      <c r="M296" s="7">
        <f t="shared" si="29"/>
        <v>0</v>
      </c>
      <c r="N296" s="7">
        <f>+IFERROR(+VLOOKUP(A296,'TB2019-20'!$A$12:$C$414,3,0),0)</f>
        <v>76500</v>
      </c>
      <c r="O296" s="7"/>
      <c r="P296" s="7">
        <f t="shared" si="30"/>
        <v>76500</v>
      </c>
    </row>
    <row r="297" spans="1:16" x14ac:dyDescent="0.25">
      <c r="A297" s="7" t="s">
        <v>151</v>
      </c>
      <c r="B297" s="7">
        <v>26</v>
      </c>
      <c r="C297" s="7" t="s">
        <v>467</v>
      </c>
      <c r="D297" s="7" t="s">
        <v>493</v>
      </c>
      <c r="E297" s="7">
        <f>+IFERROR(+VLOOKUP(A297,'Trial Balance'!$A$12:$C$428,2,0),0)</f>
        <v>36000</v>
      </c>
      <c r="F297" s="7"/>
      <c r="G297" s="7">
        <f t="shared" si="27"/>
        <v>36000</v>
      </c>
      <c r="H297" s="7">
        <f>+IFERROR(+VLOOKUP(A297,'Trial Balance'!$A$12:$C$428,3,0),0)</f>
        <v>0</v>
      </c>
      <c r="I297" s="7"/>
      <c r="J297" s="7">
        <f t="shared" si="28"/>
        <v>0</v>
      </c>
      <c r="K297" s="7">
        <f>+IFERROR(+VLOOKUP(A297,'TB2019-20'!$A$12:$C$414,2,0),0)</f>
        <v>36000</v>
      </c>
      <c r="L297" s="7"/>
      <c r="M297" s="7">
        <f t="shared" si="29"/>
        <v>36000</v>
      </c>
      <c r="N297" s="7">
        <f>+IFERROR(+VLOOKUP(A297,'TB2019-20'!$A$12:$C$414,3,0),0)</f>
        <v>0</v>
      </c>
      <c r="O297" s="7"/>
      <c r="P297" s="7">
        <f t="shared" si="30"/>
        <v>0</v>
      </c>
    </row>
    <row r="298" spans="1:16" x14ac:dyDescent="0.25">
      <c r="A298" s="7" t="s">
        <v>637</v>
      </c>
      <c r="B298" s="7">
        <v>7</v>
      </c>
      <c r="C298" s="7" t="s">
        <v>460</v>
      </c>
      <c r="D298" s="7" t="s">
        <v>460</v>
      </c>
      <c r="E298" s="7">
        <f>+IFERROR(+VLOOKUP(A298,'Trial Balance'!$A$12:$C$428,2,0),0)</f>
        <v>0</v>
      </c>
      <c r="F298" s="7"/>
      <c r="G298" s="7">
        <f t="shared" si="27"/>
        <v>0</v>
      </c>
      <c r="H298" s="7">
        <f>+IFERROR(+VLOOKUP(A298,'Trial Balance'!$A$12:$C$428,3,0),0)</f>
        <v>0</v>
      </c>
      <c r="I298" s="7"/>
      <c r="J298" s="7">
        <f t="shared" si="28"/>
        <v>0</v>
      </c>
      <c r="K298" s="7">
        <f>+IFERROR(+VLOOKUP(A298,'TB2019-20'!$A$12:$C$414,2,0),0)</f>
        <v>0</v>
      </c>
      <c r="L298" s="7"/>
      <c r="M298" s="7">
        <f t="shared" si="29"/>
        <v>0</v>
      </c>
      <c r="N298" s="7">
        <f>+IFERROR(+VLOOKUP(A298,'TB2019-20'!$A$12:$C$414,3,0),0)</f>
        <v>2016000</v>
      </c>
      <c r="O298" s="7"/>
      <c r="P298" s="7">
        <f t="shared" si="30"/>
        <v>2016000</v>
      </c>
    </row>
    <row r="299" spans="1:16" x14ac:dyDescent="0.25">
      <c r="A299" s="6" t="s">
        <v>152</v>
      </c>
      <c r="B299" s="7">
        <v>7</v>
      </c>
      <c r="C299" s="7" t="s">
        <v>460</v>
      </c>
      <c r="D299" s="7" t="s">
        <v>462</v>
      </c>
      <c r="E299" s="7">
        <f>+IFERROR(+VLOOKUP(A299,'Trial Balance'!$A$12:$C$428,2,0),0)</f>
        <v>0</v>
      </c>
      <c r="F299" s="7"/>
      <c r="G299" s="7">
        <f t="shared" si="27"/>
        <v>0</v>
      </c>
      <c r="H299" s="7">
        <f>+IFERROR(+VLOOKUP(A299,'Trial Balance'!$A$12:$C$428,3,0),0)</f>
        <v>8459</v>
      </c>
      <c r="I299" s="7"/>
      <c r="J299" s="7">
        <f t="shared" si="28"/>
        <v>8459</v>
      </c>
      <c r="K299" s="7">
        <f>+IFERROR(+VLOOKUP(A299,'TB2019-20'!$A$12:$C$414,2,0),0)</f>
        <v>0</v>
      </c>
      <c r="L299" s="7"/>
      <c r="M299" s="7">
        <f t="shared" si="29"/>
        <v>0</v>
      </c>
      <c r="N299" s="7">
        <f>+IFERROR(+VLOOKUP(A299,'TB2019-20'!$A$12:$C$414,3,0),0)</f>
        <v>7608</v>
      </c>
      <c r="O299" s="7"/>
      <c r="P299" s="7">
        <f t="shared" si="30"/>
        <v>7608</v>
      </c>
    </row>
    <row r="300" spans="1:16" x14ac:dyDescent="0.25">
      <c r="A300" s="7" t="s">
        <v>154</v>
      </c>
      <c r="B300" s="7">
        <v>4</v>
      </c>
      <c r="C300" s="7" t="s">
        <v>489</v>
      </c>
      <c r="D300" s="7" t="s">
        <v>490</v>
      </c>
      <c r="E300" s="7">
        <f>+IFERROR(+VLOOKUP(A300,'Trial Balance'!$A$12:$C$428,2,0),0)</f>
        <v>0</v>
      </c>
      <c r="F300" s="7"/>
      <c r="G300" s="7">
        <f t="shared" si="27"/>
        <v>0</v>
      </c>
      <c r="H300" s="7">
        <f>+IFERROR(+VLOOKUP(A300,'Trial Balance'!$A$12:$C$428,3,0),0)</f>
        <v>1176528</v>
      </c>
      <c r="I300" s="7"/>
      <c r="J300" s="7">
        <f t="shared" si="28"/>
        <v>1176528</v>
      </c>
      <c r="K300" s="7">
        <f>+IFERROR(+VLOOKUP(A300,'TB2019-20'!$A$12:$C$414,2,0),0)</f>
        <v>0</v>
      </c>
      <c r="L300" s="7"/>
      <c r="M300" s="7">
        <f t="shared" si="29"/>
        <v>0</v>
      </c>
      <c r="N300" s="7">
        <f>+IFERROR(+VLOOKUP(A300,'TB2019-20'!$A$12:$C$414,3,0),0)</f>
        <v>1093348</v>
      </c>
      <c r="O300" s="7"/>
      <c r="P300" s="7">
        <f t="shared" si="30"/>
        <v>1093348</v>
      </c>
    </row>
    <row r="301" spans="1:16" x14ac:dyDescent="0.25">
      <c r="A301" s="11" t="s">
        <v>638</v>
      </c>
      <c r="B301" s="7">
        <v>12</v>
      </c>
      <c r="C301" s="7" t="s">
        <v>465</v>
      </c>
      <c r="D301" s="7" t="s">
        <v>478</v>
      </c>
      <c r="E301" s="7">
        <f>+IFERROR(+VLOOKUP(A301,'Trial Balance'!$A$12:$C$428,2,0),0)</f>
        <v>27000</v>
      </c>
      <c r="F301" s="7"/>
      <c r="G301" s="7">
        <f t="shared" si="27"/>
        <v>27000</v>
      </c>
      <c r="H301" s="7">
        <f>+IFERROR(+VLOOKUP(A301,'Trial Balance'!$A$12:$C$428,3,0),0)</f>
        <v>0</v>
      </c>
      <c r="I301" s="7"/>
      <c r="J301" s="7">
        <f t="shared" si="28"/>
        <v>0</v>
      </c>
      <c r="K301" s="7">
        <f>+IFERROR(+VLOOKUP(A301,'TB2019-20'!$A$12:$C$414,2,0),0)</f>
        <v>38000</v>
      </c>
      <c r="L301" s="7"/>
      <c r="M301" s="7">
        <f t="shared" si="29"/>
        <v>38000</v>
      </c>
      <c r="N301" s="7">
        <f>+IFERROR(+VLOOKUP(A301,'TB2019-20'!$A$12:$C$414,3,0),0)</f>
        <v>0</v>
      </c>
      <c r="O301" s="7"/>
      <c r="P301" s="7">
        <f t="shared" si="30"/>
        <v>0</v>
      </c>
    </row>
    <row r="302" spans="1:16" x14ac:dyDescent="0.25">
      <c r="A302" s="6" t="s">
        <v>156</v>
      </c>
      <c r="B302" s="7">
        <v>7</v>
      </c>
      <c r="C302" s="7" t="s">
        <v>460</v>
      </c>
      <c r="D302" s="7" t="s">
        <v>460</v>
      </c>
      <c r="E302" s="7">
        <f>+IFERROR(+VLOOKUP(A302,'Trial Balance'!$A$12:$C$428,2,0),0)</f>
        <v>0</v>
      </c>
      <c r="F302" s="7"/>
      <c r="G302" s="7">
        <f t="shared" si="27"/>
        <v>0</v>
      </c>
      <c r="H302" s="7">
        <f>+IFERROR(+VLOOKUP(A302,'Trial Balance'!$A$12:$C$428,3,0),0)</f>
        <v>67381.600000000006</v>
      </c>
      <c r="I302" s="7"/>
      <c r="J302" s="7">
        <f t="shared" si="28"/>
        <v>67381.600000000006</v>
      </c>
      <c r="K302" s="7">
        <f>+IFERROR(+VLOOKUP(A302,'TB2019-20'!$A$12:$C$414,2,0),0)</f>
        <v>0</v>
      </c>
      <c r="L302" s="7"/>
      <c r="M302" s="7">
        <f t="shared" si="29"/>
        <v>0</v>
      </c>
      <c r="N302" s="7">
        <f>+IFERROR(+VLOOKUP(A302,'TB2019-20'!$A$12:$C$414,3,0),0)</f>
        <v>67845.8</v>
      </c>
      <c r="O302" s="7"/>
      <c r="P302" s="7">
        <f t="shared" si="30"/>
        <v>67845.8</v>
      </c>
    </row>
    <row r="303" spans="1:16" x14ac:dyDescent="0.25">
      <c r="A303" s="8" t="s">
        <v>157</v>
      </c>
      <c r="B303" s="7">
        <v>15</v>
      </c>
      <c r="C303" s="7" t="s">
        <v>469</v>
      </c>
      <c r="D303" s="7" t="s">
        <v>469</v>
      </c>
      <c r="E303" s="7">
        <f>+IFERROR(+VLOOKUP(A303,'Trial Balance'!$A$12:$C$428,2,0),0)</f>
        <v>1753713</v>
      </c>
      <c r="F303" s="7"/>
      <c r="G303" s="7">
        <f t="shared" si="27"/>
        <v>1753713</v>
      </c>
      <c r="H303" s="7">
        <f>+IFERROR(+VLOOKUP(A303,'Trial Balance'!$A$12:$C$428,3,0),0)</f>
        <v>0</v>
      </c>
      <c r="I303" s="7"/>
      <c r="J303" s="7">
        <f t="shared" si="28"/>
        <v>0</v>
      </c>
      <c r="K303" s="7">
        <f>+IFERROR(+VLOOKUP(A303,'TB2019-20'!$A$12:$C$414,2,0),0)</f>
        <v>0</v>
      </c>
      <c r="L303" s="7"/>
      <c r="M303" s="7">
        <f t="shared" si="29"/>
        <v>0</v>
      </c>
      <c r="N303" s="7">
        <f>+IFERROR(+VLOOKUP(A303,'TB2019-20'!$A$12:$C$414,3,0),0)</f>
        <v>0</v>
      </c>
      <c r="O303" s="7"/>
      <c r="P303" s="7">
        <f t="shared" si="30"/>
        <v>0</v>
      </c>
    </row>
    <row r="304" spans="1:16" x14ac:dyDescent="0.25">
      <c r="A304" s="8" t="s">
        <v>639</v>
      </c>
      <c r="B304" s="7">
        <v>15</v>
      </c>
      <c r="C304" s="7" t="s">
        <v>469</v>
      </c>
      <c r="D304" s="7" t="s">
        <v>469</v>
      </c>
      <c r="E304" s="7">
        <f>+IFERROR(+VLOOKUP(A304,'Trial Balance'!$A$12:$C$428,2,0),0)</f>
        <v>0</v>
      </c>
      <c r="F304" s="7"/>
      <c r="G304" s="7">
        <f t="shared" si="27"/>
        <v>0</v>
      </c>
      <c r="H304" s="7">
        <f>+IFERROR(+VLOOKUP(A304,'Trial Balance'!$A$12:$C$428,3,0),0)</f>
        <v>0</v>
      </c>
      <c r="I304" s="7"/>
      <c r="J304" s="7">
        <f t="shared" si="28"/>
        <v>0</v>
      </c>
      <c r="K304" s="7">
        <f>+IFERROR(+VLOOKUP(A304,'TB2019-20'!$A$12:$C$414,2,0),0)</f>
        <v>0</v>
      </c>
      <c r="L304" s="7"/>
      <c r="M304" s="7">
        <f t="shared" si="29"/>
        <v>0</v>
      </c>
      <c r="N304" s="7">
        <f>+IFERROR(+VLOOKUP(A304,'TB2019-20'!$A$12:$C$414,3,0),0)</f>
        <v>0</v>
      </c>
      <c r="O304" s="7"/>
      <c r="P304" s="7">
        <f t="shared" si="30"/>
        <v>0</v>
      </c>
    </row>
    <row r="305" spans="1:16" x14ac:dyDescent="0.25">
      <c r="A305" s="8" t="s">
        <v>640</v>
      </c>
      <c r="B305" s="7">
        <v>15</v>
      </c>
      <c r="C305" s="7" t="s">
        <v>469</v>
      </c>
      <c r="D305" s="7" t="s">
        <v>469</v>
      </c>
      <c r="E305" s="7">
        <f>+IFERROR(+VLOOKUP(A305,'Trial Balance'!$A$12:$C$428,2,0),0)</f>
        <v>0</v>
      </c>
      <c r="F305" s="7"/>
      <c r="G305" s="7">
        <f t="shared" si="27"/>
        <v>0</v>
      </c>
      <c r="H305" s="7">
        <f>+IFERROR(+VLOOKUP(A305,'Trial Balance'!$A$12:$C$428,3,0),0)</f>
        <v>0</v>
      </c>
      <c r="I305" s="7"/>
      <c r="J305" s="7">
        <f t="shared" si="28"/>
        <v>0</v>
      </c>
      <c r="K305" s="7">
        <f>+IFERROR(+VLOOKUP(A305,'TB2019-20'!$A$12:$C$414,2,0),0)</f>
        <v>0</v>
      </c>
      <c r="L305" s="7"/>
      <c r="M305" s="7">
        <f t="shared" si="29"/>
        <v>0</v>
      </c>
      <c r="N305" s="7">
        <f>+IFERROR(+VLOOKUP(A305,'TB2019-20'!$A$12:$C$414,3,0),0)</f>
        <v>0</v>
      </c>
      <c r="O305" s="7"/>
      <c r="P305" s="7">
        <f t="shared" si="30"/>
        <v>0</v>
      </c>
    </row>
    <row r="306" spans="1:16" x14ac:dyDescent="0.25">
      <c r="A306" s="7" t="s">
        <v>158</v>
      </c>
      <c r="B306" s="7">
        <v>26</v>
      </c>
      <c r="C306" s="7" t="s">
        <v>467</v>
      </c>
      <c r="D306" s="7" t="s">
        <v>641</v>
      </c>
      <c r="E306" s="7">
        <f>+IFERROR(+VLOOKUP(A306,'Trial Balance'!$A$12:$C$428,2,0),0)</f>
        <v>8000</v>
      </c>
      <c r="F306" s="7"/>
      <c r="G306" s="7">
        <f t="shared" si="27"/>
        <v>8000</v>
      </c>
      <c r="H306" s="7">
        <f>+IFERROR(+VLOOKUP(A306,'Trial Balance'!$A$12:$C$428,3,0),0)</f>
        <v>0</v>
      </c>
      <c r="I306" s="7"/>
      <c r="J306" s="7">
        <f t="shared" si="28"/>
        <v>0</v>
      </c>
      <c r="K306" s="7">
        <f>+IFERROR(+VLOOKUP(A306,'TB2019-20'!$A$12:$C$414,2,0),0)</f>
        <v>0</v>
      </c>
      <c r="L306" s="7"/>
      <c r="M306" s="7">
        <f t="shared" si="29"/>
        <v>0</v>
      </c>
      <c r="N306" s="7">
        <f>+IFERROR(+VLOOKUP(A306,'TB2019-20'!$A$12:$C$414,3,0),0)</f>
        <v>0</v>
      </c>
      <c r="O306" s="7"/>
      <c r="P306" s="7">
        <f t="shared" si="30"/>
        <v>0</v>
      </c>
    </row>
    <row r="307" spans="1:16" x14ac:dyDescent="0.25">
      <c r="A307" s="7" t="s">
        <v>642</v>
      </c>
      <c r="B307" s="7">
        <v>12</v>
      </c>
      <c r="C307" s="7" t="s">
        <v>465</v>
      </c>
      <c r="D307" s="14" t="s">
        <v>550</v>
      </c>
      <c r="E307" s="7">
        <f>+IFERROR(+VLOOKUP(A307,'Trial Balance'!$A$12:$C$428,2,0),0)</f>
        <v>0</v>
      </c>
      <c r="F307" s="7"/>
      <c r="G307" s="7">
        <f t="shared" si="27"/>
        <v>0</v>
      </c>
      <c r="H307" s="7">
        <f>+IFERROR(+VLOOKUP(A307,'Trial Balance'!$A$12:$C$428,3,0),0)</f>
        <v>0</v>
      </c>
      <c r="I307" s="7"/>
      <c r="J307" s="7">
        <f t="shared" si="28"/>
        <v>0</v>
      </c>
      <c r="K307" s="7">
        <f>+IFERROR(+VLOOKUP(A307,'TB2019-20'!$A$12:$C$414,2,0),0)</f>
        <v>0</v>
      </c>
      <c r="L307" s="7"/>
      <c r="M307" s="7">
        <f t="shared" si="29"/>
        <v>0</v>
      </c>
      <c r="N307" s="7">
        <f>+IFERROR(+VLOOKUP(A307,'TB2019-20'!$A$12:$C$414,3,0),0)</f>
        <v>0</v>
      </c>
      <c r="O307" s="7"/>
      <c r="P307" s="7">
        <f t="shared" si="30"/>
        <v>0</v>
      </c>
    </row>
    <row r="308" spans="1:16" x14ac:dyDescent="0.25">
      <c r="A308" s="8" t="s">
        <v>159</v>
      </c>
      <c r="B308" s="7">
        <v>12</v>
      </c>
      <c r="C308" s="7" t="s">
        <v>465</v>
      </c>
      <c r="D308" s="14" t="s">
        <v>550</v>
      </c>
      <c r="E308" s="7">
        <f>+IFERROR(+VLOOKUP(A308,'Trial Balance'!$A$12:$C$428,2,0),0)</f>
        <v>0</v>
      </c>
      <c r="F308" s="7"/>
      <c r="G308" s="7">
        <f t="shared" si="27"/>
        <v>0</v>
      </c>
      <c r="H308" s="7">
        <f>+IFERROR(+VLOOKUP(A308,'Trial Balance'!$A$12:$C$428,3,0),0)</f>
        <v>0</v>
      </c>
      <c r="I308" s="7"/>
      <c r="J308" s="7">
        <f t="shared" si="28"/>
        <v>0</v>
      </c>
      <c r="K308" s="7">
        <f>+IFERROR(+VLOOKUP(A308,'TB2019-20'!$A$12:$C$414,2,0),0)</f>
        <v>0</v>
      </c>
      <c r="L308" s="7"/>
      <c r="M308" s="7">
        <f t="shared" si="29"/>
        <v>0</v>
      </c>
      <c r="N308" s="7">
        <f>+IFERROR(+VLOOKUP(A308,'TB2019-20'!$A$12:$C$414,3,0),0)</f>
        <v>0</v>
      </c>
      <c r="O308" s="7"/>
      <c r="P308" s="7">
        <f t="shared" si="30"/>
        <v>0</v>
      </c>
    </row>
    <row r="309" spans="1:16" x14ac:dyDescent="0.25">
      <c r="A309" s="8" t="s">
        <v>160</v>
      </c>
      <c r="B309" s="7">
        <v>12</v>
      </c>
      <c r="C309" s="7" t="s">
        <v>465</v>
      </c>
      <c r="D309" s="14" t="s">
        <v>550</v>
      </c>
      <c r="E309" s="7">
        <f>+IFERROR(+VLOOKUP(A309,'Trial Balance'!$A$12:$C$428,2,0),0)</f>
        <v>0</v>
      </c>
      <c r="F309" s="7"/>
      <c r="G309" s="7">
        <f t="shared" si="27"/>
        <v>0</v>
      </c>
      <c r="H309" s="7">
        <f>+IFERROR(+VLOOKUP(A309,'Trial Balance'!$A$12:$C$428,3,0),0)</f>
        <v>0</v>
      </c>
      <c r="I309" s="7"/>
      <c r="J309" s="7">
        <f t="shared" si="28"/>
        <v>0</v>
      </c>
      <c r="K309" s="7">
        <f>+IFERROR(+VLOOKUP(A309,'TB2019-20'!$A$12:$C$414,2,0),0)</f>
        <v>0</v>
      </c>
      <c r="L309" s="7"/>
      <c r="M309" s="7">
        <f t="shared" si="29"/>
        <v>0</v>
      </c>
      <c r="N309" s="7">
        <f>+IFERROR(+VLOOKUP(A309,'TB2019-20'!$A$12:$C$414,3,0),0)</f>
        <v>0</v>
      </c>
      <c r="O309" s="7"/>
      <c r="P309" s="7">
        <f t="shared" si="30"/>
        <v>0</v>
      </c>
    </row>
    <row r="310" spans="1:16" x14ac:dyDescent="0.25">
      <c r="A310" s="8" t="s">
        <v>161</v>
      </c>
      <c r="B310" s="7">
        <v>12</v>
      </c>
      <c r="C310" s="7" t="s">
        <v>465</v>
      </c>
      <c r="D310" s="14" t="s">
        <v>550</v>
      </c>
      <c r="E310" s="7">
        <f>+IFERROR(+VLOOKUP(A310,'Trial Balance'!$A$12:$C$428,2,0),0)</f>
        <v>0</v>
      </c>
      <c r="F310" s="7"/>
      <c r="G310" s="7">
        <f t="shared" si="27"/>
        <v>0</v>
      </c>
      <c r="H310" s="7">
        <f>+IFERROR(+VLOOKUP(A310,'Trial Balance'!$A$12:$C$428,3,0),0)</f>
        <v>0</v>
      </c>
      <c r="I310" s="7"/>
      <c r="J310" s="7">
        <f t="shared" si="28"/>
        <v>0</v>
      </c>
      <c r="K310" s="7">
        <f>+IFERROR(+VLOOKUP(A310,'TB2019-20'!$A$12:$C$414,2,0),0)</f>
        <v>0</v>
      </c>
      <c r="L310" s="7"/>
      <c r="M310" s="7">
        <f t="shared" si="29"/>
        <v>0</v>
      </c>
      <c r="N310" s="7">
        <f>+IFERROR(+VLOOKUP(A310,'TB2019-20'!$A$12:$C$414,3,0),0)</f>
        <v>0</v>
      </c>
      <c r="O310" s="7"/>
      <c r="P310" s="7">
        <f t="shared" si="30"/>
        <v>0</v>
      </c>
    </row>
    <row r="311" spans="1:16" x14ac:dyDescent="0.25">
      <c r="A311" s="8" t="s">
        <v>162</v>
      </c>
      <c r="B311" s="7">
        <v>12</v>
      </c>
      <c r="C311" s="7" t="s">
        <v>465</v>
      </c>
      <c r="D311" s="14" t="s">
        <v>550</v>
      </c>
      <c r="E311" s="7">
        <f>+IFERROR(+VLOOKUP(A311,'Trial Balance'!$A$12:$C$428,2,0),0)</f>
        <v>0</v>
      </c>
      <c r="F311" s="7"/>
      <c r="G311" s="7">
        <f t="shared" si="27"/>
        <v>0</v>
      </c>
      <c r="H311" s="7">
        <f>+IFERROR(+VLOOKUP(A311,'Trial Balance'!$A$12:$C$428,3,0),0)</f>
        <v>0</v>
      </c>
      <c r="I311" s="7"/>
      <c r="J311" s="7">
        <f t="shared" si="28"/>
        <v>0</v>
      </c>
      <c r="K311" s="7">
        <f>+IFERROR(+VLOOKUP(A311,'TB2019-20'!$A$12:$C$414,2,0),0)</f>
        <v>0</v>
      </c>
      <c r="L311" s="7"/>
      <c r="M311" s="7">
        <f t="shared" si="29"/>
        <v>0</v>
      </c>
      <c r="N311" s="7">
        <f>+IFERROR(+VLOOKUP(A311,'TB2019-20'!$A$12:$C$414,3,0),0)</f>
        <v>0</v>
      </c>
      <c r="O311" s="7"/>
      <c r="P311" s="7">
        <f t="shared" si="30"/>
        <v>0</v>
      </c>
    </row>
    <row r="312" spans="1:16" x14ac:dyDescent="0.25">
      <c r="A312" s="8" t="s">
        <v>163</v>
      </c>
      <c r="B312" s="7">
        <v>12</v>
      </c>
      <c r="C312" s="7" t="s">
        <v>465</v>
      </c>
      <c r="D312" s="14" t="s">
        <v>550</v>
      </c>
      <c r="E312" s="7">
        <f>+IFERROR(+VLOOKUP(A312,'Trial Balance'!$A$12:$C$428,2,0),0)</f>
        <v>0</v>
      </c>
      <c r="F312" s="7"/>
      <c r="G312" s="7">
        <f t="shared" si="27"/>
        <v>0</v>
      </c>
      <c r="H312" s="7">
        <f>+IFERROR(+VLOOKUP(A312,'Trial Balance'!$A$12:$C$428,3,0),0)</f>
        <v>0</v>
      </c>
      <c r="I312" s="7"/>
      <c r="J312" s="7">
        <f t="shared" si="28"/>
        <v>0</v>
      </c>
      <c r="K312" s="7">
        <f>+IFERROR(+VLOOKUP(A312,'TB2019-20'!$A$12:$C$414,2,0),0)</f>
        <v>0</v>
      </c>
      <c r="L312" s="7"/>
      <c r="M312" s="7">
        <f t="shared" si="29"/>
        <v>0</v>
      </c>
      <c r="N312" s="7">
        <f>+IFERROR(+VLOOKUP(A312,'TB2019-20'!$A$12:$C$414,3,0),0)</f>
        <v>0</v>
      </c>
      <c r="O312" s="7"/>
      <c r="P312" s="7">
        <f t="shared" si="30"/>
        <v>0</v>
      </c>
    </row>
    <row r="313" spans="1:16" x14ac:dyDescent="0.25">
      <c r="A313" s="8" t="s">
        <v>164</v>
      </c>
      <c r="B313" s="7">
        <v>12</v>
      </c>
      <c r="C313" s="7" t="s">
        <v>465</v>
      </c>
      <c r="D313" s="14" t="s">
        <v>550</v>
      </c>
      <c r="E313" s="7">
        <f>+IFERROR(+VLOOKUP(A313,'Trial Balance'!$A$12:$C$428,2,0),0)</f>
        <v>0</v>
      </c>
      <c r="F313" s="7"/>
      <c r="G313" s="7">
        <f t="shared" si="27"/>
        <v>0</v>
      </c>
      <c r="H313" s="7">
        <f>+IFERROR(+VLOOKUP(A313,'Trial Balance'!$A$12:$C$428,3,0),0)</f>
        <v>0</v>
      </c>
      <c r="I313" s="7"/>
      <c r="J313" s="7">
        <f t="shared" si="28"/>
        <v>0</v>
      </c>
      <c r="K313" s="7">
        <f>+IFERROR(+VLOOKUP(A313,'TB2019-20'!$A$12:$C$414,2,0),0)</f>
        <v>0</v>
      </c>
      <c r="L313" s="7"/>
      <c r="M313" s="7">
        <f t="shared" si="29"/>
        <v>0</v>
      </c>
      <c r="N313" s="7">
        <f>+IFERROR(+VLOOKUP(A313,'TB2019-20'!$A$12:$C$414,3,0),0)</f>
        <v>0</v>
      </c>
      <c r="O313" s="7"/>
      <c r="P313" s="7">
        <f t="shared" si="30"/>
        <v>0</v>
      </c>
    </row>
    <row r="314" spans="1:16" x14ac:dyDescent="0.25">
      <c r="A314" s="8" t="s">
        <v>165</v>
      </c>
      <c r="B314" s="7">
        <v>12</v>
      </c>
      <c r="C314" s="7" t="s">
        <v>465</v>
      </c>
      <c r="D314" s="14" t="s">
        <v>550</v>
      </c>
      <c r="E314" s="7">
        <f>+IFERROR(+VLOOKUP(A314,'Trial Balance'!$A$12:$C$428,2,0),0)</f>
        <v>0</v>
      </c>
      <c r="F314" s="7"/>
      <c r="G314" s="7">
        <f t="shared" si="27"/>
        <v>0</v>
      </c>
      <c r="H314" s="7">
        <f>+IFERROR(+VLOOKUP(A314,'Trial Balance'!$A$12:$C$428,3,0),0)</f>
        <v>0</v>
      </c>
      <c r="I314" s="7"/>
      <c r="J314" s="7">
        <f t="shared" si="28"/>
        <v>0</v>
      </c>
      <c r="K314" s="7">
        <f>+IFERROR(+VLOOKUP(A314,'TB2019-20'!$A$12:$C$414,2,0),0)</f>
        <v>0</v>
      </c>
      <c r="L314" s="7"/>
      <c r="M314" s="7">
        <f t="shared" si="29"/>
        <v>0</v>
      </c>
      <c r="N314" s="7">
        <f>+IFERROR(+VLOOKUP(A314,'TB2019-20'!$A$12:$C$414,3,0),0)</f>
        <v>0</v>
      </c>
      <c r="O314" s="7"/>
      <c r="P314" s="7">
        <f t="shared" si="30"/>
        <v>0</v>
      </c>
    </row>
    <row r="315" spans="1:16" x14ac:dyDescent="0.25">
      <c r="A315" s="8" t="s">
        <v>166</v>
      </c>
      <c r="B315" s="7">
        <v>12</v>
      </c>
      <c r="C315" s="7" t="s">
        <v>465</v>
      </c>
      <c r="D315" s="14" t="s">
        <v>550</v>
      </c>
      <c r="E315" s="7">
        <f>+IFERROR(+VLOOKUP(A315,'Trial Balance'!$A$12:$C$428,2,0),0)</f>
        <v>0</v>
      </c>
      <c r="F315" s="7"/>
      <c r="G315" s="7">
        <f t="shared" si="27"/>
        <v>0</v>
      </c>
      <c r="H315" s="7">
        <f>+IFERROR(+VLOOKUP(A315,'Trial Balance'!$A$12:$C$428,3,0),0)</f>
        <v>0</v>
      </c>
      <c r="I315" s="7"/>
      <c r="J315" s="7">
        <f t="shared" si="28"/>
        <v>0</v>
      </c>
      <c r="K315" s="7">
        <f>+IFERROR(+VLOOKUP(A315,'TB2019-20'!$A$12:$C$414,2,0),0)</f>
        <v>0</v>
      </c>
      <c r="L315" s="7"/>
      <c r="M315" s="7">
        <f t="shared" si="29"/>
        <v>0</v>
      </c>
      <c r="N315" s="7">
        <f>+IFERROR(+VLOOKUP(A315,'TB2019-20'!$A$12:$C$414,3,0),0)</f>
        <v>0</v>
      </c>
      <c r="O315" s="7"/>
      <c r="P315" s="7">
        <f t="shared" si="30"/>
        <v>0</v>
      </c>
    </row>
    <row r="316" spans="1:16" x14ac:dyDescent="0.25">
      <c r="A316" s="7" t="s">
        <v>643</v>
      </c>
      <c r="B316" s="7">
        <v>12</v>
      </c>
      <c r="C316" s="7" t="s">
        <v>465</v>
      </c>
      <c r="D316" s="14" t="s">
        <v>550</v>
      </c>
      <c r="E316" s="7">
        <f>+IFERROR(+VLOOKUP(A316,'Trial Balance'!$A$12:$C$428,2,0),0)</f>
        <v>0</v>
      </c>
      <c r="F316" s="7"/>
      <c r="G316" s="7">
        <f t="shared" si="27"/>
        <v>0</v>
      </c>
      <c r="H316" s="7">
        <f>+IFERROR(+VLOOKUP(A316,'Trial Balance'!$A$12:$C$428,3,0),0)</f>
        <v>0</v>
      </c>
      <c r="I316" s="7"/>
      <c r="J316" s="7">
        <f t="shared" si="28"/>
        <v>0</v>
      </c>
      <c r="K316" s="7">
        <f>+IFERROR(+VLOOKUP(A316,'TB2019-20'!$A$12:$C$414,2,0),0)</f>
        <v>0</v>
      </c>
      <c r="L316" s="7"/>
      <c r="M316" s="7">
        <f t="shared" si="29"/>
        <v>0</v>
      </c>
      <c r="N316" s="7">
        <f>+IFERROR(+VLOOKUP(A316,'TB2019-20'!$A$12:$C$414,3,0),0)</f>
        <v>208713.56</v>
      </c>
      <c r="O316" s="7"/>
      <c r="P316" s="7">
        <f t="shared" si="30"/>
        <v>208713.56</v>
      </c>
    </row>
    <row r="317" spans="1:16" x14ac:dyDescent="0.25">
      <c r="A317" s="8" t="s">
        <v>168</v>
      </c>
      <c r="B317" s="7">
        <v>12</v>
      </c>
      <c r="C317" s="7" t="s">
        <v>465</v>
      </c>
      <c r="D317" s="14" t="s">
        <v>550</v>
      </c>
      <c r="E317" s="7">
        <f>+IFERROR(+VLOOKUP(A317,'Trial Balance'!$A$12:$C$428,2,0),0)</f>
        <v>74562</v>
      </c>
      <c r="F317" s="7"/>
      <c r="G317" s="7">
        <f t="shared" si="27"/>
        <v>74562</v>
      </c>
      <c r="H317" s="7">
        <f>+IFERROR(+VLOOKUP(A317,'Trial Balance'!$A$12:$C$428,3,0),0)</f>
        <v>0</v>
      </c>
      <c r="I317" s="7"/>
      <c r="J317" s="7">
        <f t="shared" si="28"/>
        <v>0</v>
      </c>
      <c r="K317" s="7">
        <f>+IFERROR(+VLOOKUP(A317,'TB2019-20'!$A$12:$C$414,2,0),0)</f>
        <v>0</v>
      </c>
      <c r="L317" s="7"/>
      <c r="M317" s="7">
        <f t="shared" si="29"/>
        <v>0</v>
      </c>
      <c r="N317" s="7">
        <f>+IFERROR(+VLOOKUP(A317,'TB2019-20'!$A$12:$C$414,3,0),0)</f>
        <v>0</v>
      </c>
      <c r="O317" s="7"/>
      <c r="P317" s="7">
        <f t="shared" si="30"/>
        <v>0</v>
      </c>
    </row>
    <row r="318" spans="1:16" x14ac:dyDescent="0.25">
      <c r="A318" s="8" t="s">
        <v>644</v>
      </c>
      <c r="B318" s="7">
        <v>12</v>
      </c>
      <c r="C318" s="7" t="s">
        <v>465</v>
      </c>
      <c r="D318" s="14" t="s">
        <v>550</v>
      </c>
      <c r="E318" s="7">
        <f>+IFERROR(+VLOOKUP(A318,'Trial Balance'!$A$12:$C$428,2,0),0)</f>
        <v>0</v>
      </c>
      <c r="F318" s="7"/>
      <c r="G318" s="7">
        <f t="shared" si="27"/>
        <v>0</v>
      </c>
      <c r="H318" s="7">
        <f>+IFERROR(+VLOOKUP(A318,'Trial Balance'!$A$12:$C$428,3,0),0)</f>
        <v>0</v>
      </c>
      <c r="I318" s="7"/>
      <c r="J318" s="7">
        <f t="shared" si="28"/>
        <v>0</v>
      </c>
      <c r="K318" s="7">
        <f>+IFERROR(+VLOOKUP(A318,'TB2019-20'!$A$12:$C$414,2,0),0)</f>
        <v>0</v>
      </c>
      <c r="L318" s="7"/>
      <c r="M318" s="7">
        <f t="shared" si="29"/>
        <v>0</v>
      </c>
      <c r="N318" s="7">
        <f>+IFERROR(+VLOOKUP(A318,'TB2019-20'!$A$12:$C$414,3,0),0)</f>
        <v>0</v>
      </c>
      <c r="O318" s="7"/>
      <c r="P318" s="7">
        <f t="shared" si="30"/>
        <v>0</v>
      </c>
    </row>
    <row r="319" spans="1:16" x14ac:dyDescent="0.25">
      <c r="A319" s="6" t="s">
        <v>645</v>
      </c>
      <c r="B319" s="7">
        <v>7</v>
      </c>
      <c r="C319" s="7" t="s">
        <v>460</v>
      </c>
      <c r="D319" s="7" t="s">
        <v>460</v>
      </c>
      <c r="E319" s="7">
        <f>+IFERROR(+VLOOKUP(A319,'Trial Balance'!$A$12:$C$428,2,0),0)</f>
        <v>0</v>
      </c>
      <c r="F319" s="7"/>
      <c r="G319" s="7">
        <f t="shared" si="27"/>
        <v>0</v>
      </c>
      <c r="H319" s="7">
        <f>+IFERROR(+VLOOKUP(A319,'Trial Balance'!$A$12:$C$428,3,0),0)</f>
        <v>0</v>
      </c>
      <c r="I319" s="7"/>
      <c r="J319" s="7">
        <f t="shared" si="28"/>
        <v>0</v>
      </c>
      <c r="K319" s="7">
        <f>+IFERROR(+VLOOKUP(A319,'TB2019-20'!$A$12:$C$414,2,0),0)</f>
        <v>0</v>
      </c>
      <c r="L319" s="7"/>
      <c r="M319" s="7">
        <f t="shared" si="29"/>
        <v>0</v>
      </c>
      <c r="N319" s="7">
        <f>+IFERROR(+VLOOKUP(A319,'TB2019-20'!$A$12:$C$414,3,0),0)</f>
        <v>1762042</v>
      </c>
      <c r="O319" s="7"/>
      <c r="P319" s="7">
        <f t="shared" si="30"/>
        <v>1762042</v>
      </c>
    </row>
    <row r="320" spans="1:16" x14ac:dyDescent="0.25">
      <c r="A320" s="7" t="s">
        <v>169</v>
      </c>
      <c r="B320" s="7">
        <v>22</v>
      </c>
      <c r="C320" s="7" t="s">
        <v>557</v>
      </c>
      <c r="D320" s="7" t="s">
        <v>558</v>
      </c>
      <c r="E320" s="7">
        <f>+IFERROR(+VLOOKUP(A320,'Trial Balance'!$A$12:$C$428,2,0),0)</f>
        <v>97418771</v>
      </c>
      <c r="F320" s="7"/>
      <c r="G320" s="7">
        <f t="shared" si="27"/>
        <v>97418771</v>
      </c>
      <c r="H320" s="7">
        <f>+IFERROR(+VLOOKUP(A320,'Trial Balance'!$A$12:$C$428,3,0),0)</f>
        <v>0</v>
      </c>
      <c r="I320" s="7"/>
      <c r="J320" s="7">
        <f t="shared" si="28"/>
        <v>0</v>
      </c>
      <c r="K320" s="7">
        <f>+IFERROR(+VLOOKUP(A320,'TB2019-20'!$A$12:$C$414,2,0),0)</f>
        <v>119902440.14</v>
      </c>
      <c r="L320" s="7"/>
      <c r="M320" s="7">
        <f t="shared" si="29"/>
        <v>119902440.14</v>
      </c>
      <c r="N320" s="7">
        <f>+IFERROR(+VLOOKUP(A320,'TB2019-20'!$A$12:$C$414,3,0),0)</f>
        <v>0</v>
      </c>
      <c r="O320" s="7"/>
      <c r="P320" s="7">
        <f t="shared" si="30"/>
        <v>0</v>
      </c>
    </row>
    <row r="321" spans="1:16" x14ac:dyDescent="0.25">
      <c r="A321" s="7" t="s">
        <v>170</v>
      </c>
      <c r="B321" s="7">
        <v>9</v>
      </c>
      <c r="C321" s="7" t="s">
        <v>587</v>
      </c>
      <c r="D321" s="7" t="s">
        <v>588</v>
      </c>
      <c r="E321" s="7">
        <f>+IFERROR(+VLOOKUP(A321,'Trial Balance'!$A$12:$C$428,2,0),0)</f>
        <v>0</v>
      </c>
      <c r="F321" s="7"/>
      <c r="G321" s="7">
        <f t="shared" si="27"/>
        <v>0</v>
      </c>
      <c r="H321" s="7">
        <f>+IFERROR(+VLOOKUP(A321,'Trial Balance'!$A$12:$C$428,3,0),0)</f>
        <v>1301094</v>
      </c>
      <c r="I321" s="7"/>
      <c r="J321" s="7">
        <f t="shared" si="28"/>
        <v>1301094</v>
      </c>
      <c r="K321" s="7">
        <f>+IFERROR(+VLOOKUP(A321,'TB2019-20'!$A$12:$C$414,2,0),0)</f>
        <v>0</v>
      </c>
      <c r="L321" s="7"/>
      <c r="M321" s="7">
        <f t="shared" si="29"/>
        <v>0</v>
      </c>
      <c r="N321" s="7">
        <f>+IFERROR(+VLOOKUP(A321,'TB2019-20'!$A$12:$C$414,3,0),0)</f>
        <v>1259230</v>
      </c>
      <c r="O321" s="7"/>
      <c r="P321" s="7">
        <f t="shared" si="30"/>
        <v>1259230</v>
      </c>
    </row>
    <row r="322" spans="1:16" x14ac:dyDescent="0.25">
      <c r="A322" s="7" t="s">
        <v>646</v>
      </c>
      <c r="B322" s="7">
        <v>24</v>
      </c>
      <c r="C322" s="7" t="s">
        <v>600</v>
      </c>
      <c r="D322" s="7" t="s">
        <v>601</v>
      </c>
      <c r="E322" s="7">
        <f>+IFERROR(+VLOOKUP(A322,'Trial Balance'!$A$12:$C$428,2,0),0)</f>
        <v>1301094</v>
      </c>
      <c r="F322" s="7"/>
      <c r="G322" s="7">
        <f t="shared" si="27"/>
        <v>1301094</v>
      </c>
      <c r="H322" s="7">
        <f>+IFERROR(+VLOOKUP(A322,'Trial Balance'!$A$12:$C$428,3,0),0)</f>
        <v>0</v>
      </c>
      <c r="I322" s="7"/>
      <c r="J322" s="7">
        <f t="shared" si="28"/>
        <v>0</v>
      </c>
      <c r="K322" s="7">
        <f>+IFERROR(+VLOOKUP(A322,'TB2019-20'!$A$12:$C$414,2,0),0)</f>
        <v>1259230</v>
      </c>
      <c r="L322" s="7"/>
      <c r="M322" s="7">
        <f t="shared" si="29"/>
        <v>1259230</v>
      </c>
      <c r="N322" s="7">
        <f>+IFERROR(+VLOOKUP(A322,'TB2019-20'!$A$12:$C$414,3,0),0)</f>
        <v>0</v>
      </c>
      <c r="O322" s="7"/>
      <c r="P322" s="7">
        <f t="shared" si="30"/>
        <v>0</v>
      </c>
    </row>
    <row r="323" spans="1:16" x14ac:dyDescent="0.25">
      <c r="A323" s="7" t="s">
        <v>647</v>
      </c>
      <c r="B323" s="7">
        <v>7</v>
      </c>
      <c r="C323" s="7" t="s">
        <v>460</v>
      </c>
      <c r="D323" s="7" t="s">
        <v>460</v>
      </c>
      <c r="E323" s="7">
        <f>+IFERROR(+VLOOKUP(A323,'Trial Balance'!$A$12:$C$428,2,0),0)</f>
        <v>0</v>
      </c>
      <c r="F323" s="7"/>
      <c r="G323" s="7">
        <f t="shared" si="27"/>
        <v>0</v>
      </c>
      <c r="H323" s="7">
        <f>+IFERROR(+VLOOKUP(A323,'Trial Balance'!$A$12:$C$428,3,0),0)</f>
        <v>0</v>
      </c>
      <c r="I323" s="7"/>
      <c r="J323" s="7">
        <f t="shared" si="28"/>
        <v>0</v>
      </c>
      <c r="K323" s="7">
        <f>+IFERROR(+VLOOKUP(A323,'TB2019-20'!$A$12:$C$414,2,0),0)</f>
        <v>0</v>
      </c>
      <c r="L323" s="7"/>
      <c r="M323" s="7">
        <f t="shared" si="29"/>
        <v>0</v>
      </c>
      <c r="N323" s="7">
        <f>+IFERROR(+VLOOKUP(A323,'TB2019-20'!$A$12:$C$414,3,0),0)</f>
        <v>0</v>
      </c>
      <c r="O323" s="7"/>
      <c r="P323" s="7">
        <f t="shared" si="30"/>
        <v>0</v>
      </c>
    </row>
    <row r="324" spans="1:16" x14ac:dyDescent="0.25">
      <c r="A324" s="7" t="s">
        <v>172</v>
      </c>
      <c r="B324" s="7">
        <v>7</v>
      </c>
      <c r="C324" s="7" t="s">
        <v>460</v>
      </c>
      <c r="D324" s="7" t="s">
        <v>460</v>
      </c>
      <c r="E324" s="7">
        <f>+IFERROR(+VLOOKUP(A324,'Trial Balance'!$A$12:$C$428,2,0),0)</f>
        <v>0</v>
      </c>
      <c r="F324" s="7"/>
      <c r="G324" s="7">
        <f t="shared" si="27"/>
        <v>0</v>
      </c>
      <c r="H324" s="7">
        <f>+IFERROR(+VLOOKUP(A324,'Trial Balance'!$A$12:$C$428,3,0),0)</f>
        <v>11630</v>
      </c>
      <c r="I324" s="7"/>
      <c r="J324" s="7">
        <f t="shared" si="28"/>
        <v>11630</v>
      </c>
      <c r="K324" s="7">
        <f>+IFERROR(+VLOOKUP(A324,'TB2019-20'!$A$12:$C$414,2,0),0)</f>
        <v>0</v>
      </c>
      <c r="L324" s="7"/>
      <c r="M324" s="7">
        <f t="shared" si="29"/>
        <v>0</v>
      </c>
      <c r="N324" s="7">
        <f>+IFERROR(+VLOOKUP(A324,'TB2019-20'!$A$12:$C$414,3,0),0)</f>
        <v>102556</v>
      </c>
      <c r="O324" s="7"/>
      <c r="P324" s="7">
        <f t="shared" si="30"/>
        <v>102556</v>
      </c>
    </row>
    <row r="325" spans="1:16" x14ac:dyDescent="0.25">
      <c r="A325" s="9" t="s">
        <v>173</v>
      </c>
      <c r="B325" s="7">
        <v>15</v>
      </c>
      <c r="C325" s="7" t="s">
        <v>469</v>
      </c>
      <c r="D325" s="7" t="s">
        <v>470</v>
      </c>
      <c r="E325" s="7">
        <f>+IFERROR(+VLOOKUP(A325,'Trial Balance'!$A$12:$C$428,2,0),0)</f>
        <v>330414</v>
      </c>
      <c r="F325" s="7"/>
      <c r="G325" s="7">
        <f t="shared" si="27"/>
        <v>330414</v>
      </c>
      <c r="H325" s="7">
        <f>+IFERROR(+VLOOKUP(A325,'Trial Balance'!$A$12:$C$428,3,0),0)</f>
        <v>0</v>
      </c>
      <c r="I325" s="7"/>
      <c r="J325" s="7">
        <f t="shared" si="28"/>
        <v>0</v>
      </c>
      <c r="K325" s="7">
        <f>+IFERROR(+VLOOKUP(A325,'TB2019-20'!$A$12:$C$414,2,0),0)</f>
        <v>238781</v>
      </c>
      <c r="L325" s="7"/>
      <c r="M325" s="7">
        <f t="shared" si="29"/>
        <v>238781</v>
      </c>
      <c r="N325" s="7">
        <f>+IFERROR(+VLOOKUP(A325,'TB2019-20'!$A$12:$C$414,3,0),0)</f>
        <v>0</v>
      </c>
      <c r="O325" s="7"/>
      <c r="P325" s="7">
        <f t="shared" si="30"/>
        <v>0</v>
      </c>
    </row>
    <row r="326" spans="1:16" x14ac:dyDescent="0.25">
      <c r="A326" s="7" t="s">
        <v>648</v>
      </c>
      <c r="B326" s="7">
        <v>17</v>
      </c>
      <c r="C326" s="7" t="s">
        <v>474</v>
      </c>
      <c r="D326" s="7" t="s">
        <v>475</v>
      </c>
      <c r="E326" s="7">
        <f>+IFERROR(+VLOOKUP(A326,'Trial Balance'!$A$12:$C$428,2,0),0)</f>
        <v>0</v>
      </c>
      <c r="F326" s="7"/>
      <c r="G326" s="7">
        <f t="shared" ref="G326:G389" si="31">+E326+F326</f>
        <v>0</v>
      </c>
      <c r="H326" s="7">
        <f>+IFERROR(+VLOOKUP(A326,'Trial Balance'!$A$12:$C$428,3,0),0)</f>
        <v>0</v>
      </c>
      <c r="I326" s="7"/>
      <c r="J326" s="7">
        <f t="shared" ref="J326:J389" si="32">+H326+I326</f>
        <v>0</v>
      </c>
      <c r="K326" s="7">
        <f>+IFERROR(+VLOOKUP(A326,'TB2019-20'!$A$12:$C$414,2,0),0)</f>
        <v>932</v>
      </c>
      <c r="L326" s="7"/>
      <c r="M326" s="7">
        <f t="shared" si="29"/>
        <v>932</v>
      </c>
      <c r="N326" s="7">
        <f>+IFERROR(+VLOOKUP(A326,'TB2019-20'!$A$12:$C$414,3,0),0)</f>
        <v>0</v>
      </c>
      <c r="O326" s="7"/>
      <c r="P326" s="7">
        <f t="shared" si="30"/>
        <v>0</v>
      </c>
    </row>
    <row r="327" spans="1:16" x14ac:dyDescent="0.25">
      <c r="A327" s="7" t="s">
        <v>649</v>
      </c>
      <c r="B327" s="7">
        <v>26</v>
      </c>
      <c r="C327" s="7" t="s">
        <v>467</v>
      </c>
      <c r="D327" s="7" t="s">
        <v>650</v>
      </c>
      <c r="E327" s="7">
        <f>+IFERROR(+VLOOKUP(A327,'Trial Balance'!$A$12:$C$428,2,0),0)</f>
        <v>295193</v>
      </c>
      <c r="F327" s="7"/>
      <c r="G327" s="7">
        <f t="shared" si="31"/>
        <v>295193</v>
      </c>
      <c r="H327" s="7">
        <f>+IFERROR(+VLOOKUP(A327,'Trial Balance'!$A$12:$C$428,3,0),0)</f>
        <v>0</v>
      </c>
      <c r="I327" s="7"/>
      <c r="J327" s="7">
        <f t="shared" si="32"/>
        <v>0</v>
      </c>
      <c r="K327" s="7">
        <f>+IFERROR(+VLOOKUP(A327,'TB2019-20'!$A$12:$C$414,2,0),0)</f>
        <v>86275</v>
      </c>
      <c r="L327" s="7"/>
      <c r="M327" s="7">
        <f t="shared" si="29"/>
        <v>86275</v>
      </c>
      <c r="N327" s="7">
        <f>+IFERROR(+VLOOKUP(A327,'TB2019-20'!$A$12:$C$414,3,0),0)</f>
        <v>0</v>
      </c>
      <c r="O327" s="7"/>
      <c r="P327" s="7">
        <f t="shared" si="30"/>
        <v>0</v>
      </c>
    </row>
    <row r="328" spans="1:16" x14ac:dyDescent="0.25">
      <c r="A328" s="7" t="s">
        <v>179</v>
      </c>
      <c r="B328" s="7">
        <v>26</v>
      </c>
      <c r="C328" s="7" t="s">
        <v>467</v>
      </c>
      <c r="D328" s="7" t="s">
        <v>468</v>
      </c>
      <c r="E328" s="7">
        <f>+IFERROR(+VLOOKUP(A328,'Trial Balance'!$A$12:$C$428,2,0),0)</f>
        <v>45574</v>
      </c>
      <c r="F328" s="7"/>
      <c r="G328" s="7">
        <f t="shared" si="31"/>
        <v>45574</v>
      </c>
      <c r="H328" s="7">
        <f>+IFERROR(+VLOOKUP(A328,'Trial Balance'!$A$12:$C$428,3,0),0)</f>
        <v>0</v>
      </c>
      <c r="I328" s="7"/>
      <c r="J328" s="7">
        <f t="shared" si="32"/>
        <v>0</v>
      </c>
      <c r="K328" s="7">
        <f>+IFERROR(+VLOOKUP(A328,'TB2019-20'!$A$12:$C$414,2,0),0)</f>
        <v>25000</v>
      </c>
      <c r="L328" s="7"/>
      <c r="M328" s="7">
        <f t="shared" si="29"/>
        <v>25000</v>
      </c>
      <c r="N328" s="7">
        <f>+IFERROR(+VLOOKUP(A328,'TB2019-20'!$A$12:$C$414,3,0),0)</f>
        <v>0</v>
      </c>
      <c r="O328" s="7"/>
      <c r="P328" s="7">
        <f t="shared" si="30"/>
        <v>0</v>
      </c>
    </row>
    <row r="329" spans="1:16" x14ac:dyDescent="0.25">
      <c r="A329" s="7" t="s">
        <v>651</v>
      </c>
      <c r="B329" s="7">
        <v>26</v>
      </c>
      <c r="C329" s="7" t="s">
        <v>467</v>
      </c>
      <c r="D329" s="7" t="s">
        <v>652</v>
      </c>
      <c r="E329" s="7">
        <f>+IFERROR(+VLOOKUP(A329,'Trial Balance'!$A$12:$C$428,2,0),0)</f>
        <v>907184</v>
      </c>
      <c r="F329" s="7"/>
      <c r="G329" s="7">
        <f t="shared" si="31"/>
        <v>907184</v>
      </c>
      <c r="H329" s="7">
        <f>+IFERROR(+VLOOKUP(A329,'Trial Balance'!$A$12:$C$428,3,0),0)</f>
        <v>0</v>
      </c>
      <c r="I329" s="7"/>
      <c r="J329" s="7">
        <f t="shared" si="32"/>
        <v>0</v>
      </c>
      <c r="K329" s="7">
        <f>+IFERROR(+VLOOKUP(A329,'TB2019-20'!$A$12:$C$414,2,0),0)</f>
        <v>944137</v>
      </c>
      <c r="L329" s="7"/>
      <c r="M329" s="7">
        <f t="shared" si="29"/>
        <v>944137</v>
      </c>
      <c r="N329" s="7">
        <f>+IFERROR(+VLOOKUP(A329,'TB2019-20'!$A$12:$C$414,3,0),0)</f>
        <v>0</v>
      </c>
      <c r="O329" s="7"/>
      <c r="P329" s="7">
        <f t="shared" si="30"/>
        <v>0</v>
      </c>
    </row>
    <row r="330" spans="1:16" x14ac:dyDescent="0.25">
      <c r="A330" s="8" t="s">
        <v>181</v>
      </c>
      <c r="B330" s="7">
        <v>18</v>
      </c>
      <c r="C330" s="7" t="s">
        <v>584</v>
      </c>
      <c r="D330" s="7" t="s">
        <v>653</v>
      </c>
      <c r="E330" s="7">
        <f>+IFERROR(+VLOOKUP(A330,'Trial Balance'!$A$12:$C$428,2,0),0)</f>
        <v>545158</v>
      </c>
      <c r="F330" s="7"/>
      <c r="G330" s="7">
        <f t="shared" si="31"/>
        <v>545158</v>
      </c>
      <c r="H330" s="7">
        <f>+IFERROR(+VLOOKUP(A330,'Trial Balance'!$A$12:$C$428,3,0),0)</f>
        <v>0</v>
      </c>
      <c r="I330" s="7"/>
      <c r="J330" s="7">
        <f t="shared" si="32"/>
        <v>0</v>
      </c>
      <c r="K330" s="7">
        <f>+IFERROR(+VLOOKUP(A330,'TB2019-20'!$A$12:$C$414,2,0),0)</f>
        <v>0</v>
      </c>
      <c r="L330" s="7"/>
      <c r="M330" s="7">
        <f t="shared" ref="M330:M395" si="33">+K330+L330</f>
        <v>0</v>
      </c>
      <c r="N330" s="7">
        <f>+IFERROR(+VLOOKUP(A330,'TB2019-20'!$A$12:$C$414,3,0),0)</f>
        <v>0</v>
      </c>
      <c r="O330" s="7"/>
      <c r="P330" s="7">
        <f t="shared" ref="P330:P395" si="34">+N330+O330</f>
        <v>0</v>
      </c>
    </row>
    <row r="331" spans="1:16" x14ac:dyDescent="0.25">
      <c r="A331" s="17" t="s">
        <v>654</v>
      </c>
      <c r="B331" s="7">
        <v>18</v>
      </c>
      <c r="C331" s="7" t="s">
        <v>584</v>
      </c>
      <c r="D331" s="7" t="s">
        <v>655</v>
      </c>
      <c r="E331" s="7">
        <f>+IFERROR(+VLOOKUP(A331,'Trial Balance'!$A$12:$C$428,2,0),0)</f>
        <v>469083</v>
      </c>
      <c r="F331" s="7"/>
      <c r="G331" s="7">
        <f t="shared" si="31"/>
        <v>469083</v>
      </c>
      <c r="H331" s="7">
        <f>+IFERROR(+VLOOKUP(A331,'Trial Balance'!$A$12:$C$428,3,0),0)</f>
        <v>0</v>
      </c>
      <c r="I331" s="7"/>
      <c r="J331" s="7">
        <f t="shared" si="32"/>
        <v>0</v>
      </c>
      <c r="K331" s="7">
        <f>+IFERROR(+VLOOKUP(A331,'TB2019-20'!$A$12:$C$414,2,0),0)</f>
        <v>414161</v>
      </c>
      <c r="L331" s="7"/>
      <c r="M331" s="7">
        <f t="shared" si="33"/>
        <v>414161</v>
      </c>
      <c r="N331" s="7">
        <f>+IFERROR(+VLOOKUP(A331,'TB2019-20'!$A$12:$C$414,3,0),0)</f>
        <v>0</v>
      </c>
      <c r="O331" s="7"/>
      <c r="P331" s="7">
        <f t="shared" si="34"/>
        <v>0</v>
      </c>
    </row>
    <row r="332" spans="1:16" x14ac:dyDescent="0.25">
      <c r="A332" s="8" t="s">
        <v>1439</v>
      </c>
      <c r="B332" s="7">
        <v>7</v>
      </c>
      <c r="C332" s="7" t="s">
        <v>460</v>
      </c>
      <c r="D332" s="7" t="s">
        <v>462</v>
      </c>
      <c r="E332" s="7">
        <f>+IFERROR(+VLOOKUP(A332,'Trial Balance'!$A$12:$C$428,2,0),0)</f>
        <v>10681</v>
      </c>
      <c r="F332" s="7"/>
      <c r="G332" s="7">
        <f t="shared" si="31"/>
        <v>10681</v>
      </c>
      <c r="H332" s="7">
        <f>+IFERROR(+VLOOKUP(A332,'Trial Balance'!$A$12:$C$428,3,0),0)</f>
        <v>0</v>
      </c>
      <c r="I332" s="7"/>
      <c r="J332" s="7">
        <f t="shared" si="32"/>
        <v>0</v>
      </c>
      <c r="K332" s="7">
        <f>+IFERROR(+VLOOKUP(A332,'TB2019-20'!$A$12:$C$414,2,0),0)</f>
        <v>0</v>
      </c>
      <c r="L332" s="7"/>
      <c r="M332" s="7">
        <f t="shared" ref="M332" si="35">+K332+L332</f>
        <v>0</v>
      </c>
      <c r="N332" s="7">
        <f>+IFERROR(+VLOOKUP(A332,'TB2019-20'!$A$12:$C$414,3,0),0)</f>
        <v>0</v>
      </c>
      <c r="O332" s="7"/>
      <c r="P332" s="7">
        <f t="shared" ref="P332" si="36">+N332+O332</f>
        <v>0</v>
      </c>
    </row>
    <row r="333" spans="1:16" x14ac:dyDescent="0.25">
      <c r="A333" s="7" t="s">
        <v>184</v>
      </c>
      <c r="B333" s="7">
        <v>20</v>
      </c>
      <c r="C333" s="7" t="s">
        <v>266</v>
      </c>
      <c r="D333" s="7" t="s">
        <v>656</v>
      </c>
      <c r="E333" s="7">
        <f>+IFERROR(+VLOOKUP(A333,'Trial Balance'!$A$12:$C$428,2,0),0)</f>
        <v>0</v>
      </c>
      <c r="F333" s="7"/>
      <c r="G333" s="7">
        <f t="shared" si="31"/>
        <v>0</v>
      </c>
      <c r="H333" s="7">
        <f>+IFERROR(+VLOOKUP(A333,'Trial Balance'!$A$12:$C$428,3,0),0)</f>
        <v>75929</v>
      </c>
      <c r="I333" s="7"/>
      <c r="J333" s="7">
        <f t="shared" si="32"/>
        <v>75929</v>
      </c>
      <c r="K333" s="7">
        <f>+IFERROR(+VLOOKUP(A333,'TB2019-20'!$A$12:$C$414,2,0),0)</f>
        <v>0</v>
      </c>
      <c r="L333" s="7"/>
      <c r="M333" s="7">
        <f t="shared" si="33"/>
        <v>0</v>
      </c>
      <c r="N333" s="7">
        <f>+IFERROR(+VLOOKUP(A333,'TB2019-20'!$A$12:$C$414,3,0),0)</f>
        <v>169041</v>
      </c>
      <c r="O333" s="7"/>
      <c r="P333" s="7">
        <f t="shared" si="34"/>
        <v>169041</v>
      </c>
    </row>
    <row r="334" spans="1:16" x14ac:dyDescent="0.25">
      <c r="A334" s="7" t="s">
        <v>3471</v>
      </c>
      <c r="B334" s="7">
        <v>22</v>
      </c>
      <c r="C334" s="7" t="s">
        <v>557</v>
      </c>
      <c r="D334" s="7" t="s">
        <v>558</v>
      </c>
      <c r="E334" s="7">
        <f>+IFERROR(+VLOOKUP(A334,'Trial Balance'!$A$12:$C$428,2,0),0)</f>
        <v>0</v>
      </c>
      <c r="F334" s="7"/>
      <c r="G334" s="7">
        <f t="shared" si="31"/>
        <v>0</v>
      </c>
      <c r="H334" s="7">
        <f>+IFERROR(+VLOOKUP(A334,'Trial Balance'!$A$12:$C$428,3,0),0)</f>
        <v>902538</v>
      </c>
      <c r="I334" s="7"/>
      <c r="J334" s="7">
        <f t="shared" si="32"/>
        <v>902538</v>
      </c>
      <c r="K334" s="7">
        <f>+IFERROR(+VLOOKUP(A334,'TB2019-20'!$A$12:$C$414,2,0),0)</f>
        <v>0</v>
      </c>
      <c r="L334" s="7"/>
      <c r="M334" s="7">
        <f t="shared" si="33"/>
        <v>0</v>
      </c>
      <c r="N334" s="7">
        <f>+IFERROR(+VLOOKUP(A334,'TB2019-20'!$A$12:$C$414,3,0),0)</f>
        <v>0</v>
      </c>
      <c r="O334" s="7"/>
      <c r="P334" s="7">
        <f t="shared" si="34"/>
        <v>0</v>
      </c>
    </row>
    <row r="335" spans="1:16" x14ac:dyDescent="0.25">
      <c r="A335" s="7" t="s">
        <v>657</v>
      </c>
      <c r="B335" s="7">
        <v>20</v>
      </c>
      <c r="C335" s="7" t="s">
        <v>266</v>
      </c>
      <c r="D335" s="7" t="s">
        <v>266</v>
      </c>
      <c r="E335" s="7">
        <f>+IFERROR(+VLOOKUP(A335,'Trial Balance'!$A$12:$C$428,2,0),0)</f>
        <v>1699939</v>
      </c>
      <c r="F335" s="7"/>
      <c r="G335" s="7">
        <f t="shared" si="31"/>
        <v>1699939</v>
      </c>
      <c r="H335" s="7">
        <f>+IFERROR(+VLOOKUP(A335,'Trial Balance'!$A$12:$C$428,3,0),0)</f>
        <v>0</v>
      </c>
      <c r="I335" s="7"/>
      <c r="J335" s="7">
        <f t="shared" si="32"/>
        <v>0</v>
      </c>
      <c r="K335" s="7">
        <f>+IFERROR(+VLOOKUP(A335,'TB2019-20'!$A$12:$C$414,2,0),0)</f>
        <v>0</v>
      </c>
      <c r="L335" s="7"/>
      <c r="M335" s="7">
        <f t="shared" si="33"/>
        <v>0</v>
      </c>
      <c r="N335" s="7">
        <f>+IFERROR(+VLOOKUP(A335,'TB2019-20'!$A$12:$C$414,3,0),0)</f>
        <v>8724</v>
      </c>
      <c r="O335" s="7"/>
      <c r="P335" s="7">
        <f t="shared" si="34"/>
        <v>8724</v>
      </c>
    </row>
    <row r="336" spans="1:16" x14ac:dyDescent="0.25">
      <c r="A336" s="7" t="s">
        <v>658</v>
      </c>
      <c r="B336" s="7">
        <v>26</v>
      </c>
      <c r="C336" s="7" t="s">
        <v>467</v>
      </c>
      <c r="D336" s="7" t="s">
        <v>541</v>
      </c>
      <c r="E336" s="7">
        <f>+IFERROR(+VLOOKUP(A336,'Trial Balance'!$A$12:$C$428,2,0),0)</f>
        <v>0</v>
      </c>
      <c r="F336" s="7"/>
      <c r="G336" s="7">
        <f t="shared" si="31"/>
        <v>0</v>
      </c>
      <c r="H336" s="7">
        <f>+IFERROR(+VLOOKUP(A336,'Trial Balance'!$A$12:$C$428,3,0),0)</f>
        <v>0</v>
      </c>
      <c r="I336" s="7"/>
      <c r="J336" s="7">
        <f t="shared" si="32"/>
        <v>0</v>
      </c>
      <c r="K336" s="7">
        <f>+IFERROR(+VLOOKUP(A336,'TB2019-20'!$A$12:$C$414,2,0),0)</f>
        <v>0</v>
      </c>
      <c r="L336" s="7"/>
      <c r="M336" s="7">
        <f t="shared" si="33"/>
        <v>0</v>
      </c>
      <c r="N336" s="7">
        <f>+IFERROR(+VLOOKUP(A336,'TB2019-20'!$A$12:$C$414,3,0),0)</f>
        <v>0</v>
      </c>
      <c r="O336" s="7"/>
      <c r="P336" s="7">
        <f t="shared" si="34"/>
        <v>0</v>
      </c>
    </row>
    <row r="337" spans="1:16" x14ac:dyDescent="0.25">
      <c r="A337" s="17" t="s">
        <v>659</v>
      </c>
      <c r="B337" s="7">
        <v>20</v>
      </c>
      <c r="C337" s="18" t="s">
        <v>266</v>
      </c>
      <c r="D337" s="18" t="s">
        <v>266</v>
      </c>
      <c r="E337" s="7">
        <f>+IFERROR(+VLOOKUP(A337,'Trial Balance'!$A$12:$C$428,2,0),0)</f>
        <v>0</v>
      </c>
      <c r="F337" s="7"/>
      <c r="G337" s="7">
        <f t="shared" si="31"/>
        <v>0</v>
      </c>
      <c r="H337" s="7">
        <f>+IFERROR(+VLOOKUP(A337,'Trial Balance'!$A$12:$C$428,3,0),0)</f>
        <v>0</v>
      </c>
      <c r="I337" s="7"/>
      <c r="J337" s="7">
        <f t="shared" si="32"/>
        <v>0</v>
      </c>
      <c r="K337" s="7">
        <f>+IFERROR(+VLOOKUP(A337,'TB2019-20'!$A$12:$C$414,2,0),0)</f>
        <v>0</v>
      </c>
      <c r="L337" s="7"/>
      <c r="M337" s="7">
        <f t="shared" si="33"/>
        <v>0</v>
      </c>
      <c r="N337" s="7">
        <f>+IFERROR(+VLOOKUP(A337,'TB2019-20'!$A$12:$C$414,3,0),0)</f>
        <v>0</v>
      </c>
      <c r="O337" s="7"/>
      <c r="P337" s="7">
        <f t="shared" si="34"/>
        <v>0</v>
      </c>
    </row>
    <row r="338" spans="1:16" x14ac:dyDescent="0.25">
      <c r="A338" s="17" t="s">
        <v>660</v>
      </c>
      <c r="B338" s="7">
        <v>25</v>
      </c>
      <c r="C338" s="7" t="s">
        <v>521</v>
      </c>
      <c r="D338" s="7" t="s">
        <v>661</v>
      </c>
      <c r="E338" s="7">
        <f>+IFERROR(+VLOOKUP(A338,'Trial Balance'!$A$12:$C$428,2,0),0)</f>
        <v>0</v>
      </c>
      <c r="F338" s="7"/>
      <c r="G338" s="7">
        <f t="shared" si="31"/>
        <v>0</v>
      </c>
      <c r="H338" s="7">
        <f>+IFERROR(+VLOOKUP(A338,'Trial Balance'!$A$12:$C$428,3,0),0)</f>
        <v>0</v>
      </c>
      <c r="I338" s="7"/>
      <c r="J338" s="7">
        <f t="shared" si="32"/>
        <v>0</v>
      </c>
      <c r="K338" s="7">
        <f>+IFERROR(+VLOOKUP(A338,'TB2019-20'!$A$12:$C$414,2,0),0)</f>
        <v>3023</v>
      </c>
      <c r="L338" s="7"/>
      <c r="M338" s="7">
        <f t="shared" si="33"/>
        <v>3023</v>
      </c>
      <c r="N338" s="7">
        <f>+IFERROR(+VLOOKUP(A338,'TB2019-20'!$A$12:$C$414,3,0),0)</f>
        <v>0</v>
      </c>
      <c r="O338" s="7"/>
      <c r="P338" s="7">
        <f t="shared" si="34"/>
        <v>0</v>
      </c>
    </row>
    <row r="339" spans="1:16" x14ac:dyDescent="0.25">
      <c r="A339" s="19" t="s">
        <v>182</v>
      </c>
      <c r="B339" s="7">
        <v>25</v>
      </c>
      <c r="C339" s="7" t="s">
        <v>521</v>
      </c>
      <c r="D339" s="7" t="s">
        <v>661</v>
      </c>
      <c r="E339" s="7">
        <f>+IFERROR(+VLOOKUP(A339,'Trial Balance'!$A$12:$C$428,2,0),0)</f>
        <v>1838</v>
      </c>
      <c r="F339" s="7"/>
      <c r="G339" s="7">
        <f t="shared" si="31"/>
        <v>1838</v>
      </c>
      <c r="H339" s="7">
        <f>+IFERROR(+VLOOKUP(A339,'Trial Balance'!$A$12:$C$428,3,0),0)</f>
        <v>0</v>
      </c>
      <c r="I339" s="7"/>
      <c r="J339" s="7">
        <f t="shared" si="32"/>
        <v>0</v>
      </c>
      <c r="K339" s="7">
        <f>+IFERROR(+VLOOKUP(A339,'TB2019-20'!$A$12:$C$414,2,0),0)</f>
        <v>29695</v>
      </c>
      <c r="L339" s="7"/>
      <c r="M339" s="7">
        <f t="shared" si="33"/>
        <v>29695</v>
      </c>
      <c r="N339" s="7">
        <f>+IFERROR(+VLOOKUP(A339,'TB2019-20'!$A$12:$C$414,3,0),0)</f>
        <v>0</v>
      </c>
      <c r="O339" s="7"/>
      <c r="P339" s="7">
        <f t="shared" si="34"/>
        <v>0</v>
      </c>
    </row>
    <row r="340" spans="1:16" x14ac:dyDescent="0.25">
      <c r="A340" s="19" t="s">
        <v>183</v>
      </c>
      <c r="B340" s="7">
        <v>25</v>
      </c>
      <c r="C340" s="7" t="s">
        <v>521</v>
      </c>
      <c r="D340" s="7" t="s">
        <v>661</v>
      </c>
      <c r="E340" s="7">
        <f>+IFERROR(+VLOOKUP(A340,'Trial Balance'!$A$12:$C$428,2,0),0)</f>
        <v>2098</v>
      </c>
      <c r="F340" s="7"/>
      <c r="G340" s="7">
        <f t="shared" si="31"/>
        <v>2098</v>
      </c>
      <c r="H340" s="7">
        <f>+IFERROR(+VLOOKUP(A340,'Trial Balance'!$A$12:$C$428,3,0),0)</f>
        <v>0</v>
      </c>
      <c r="I340" s="7"/>
      <c r="J340" s="7">
        <f t="shared" si="32"/>
        <v>0</v>
      </c>
      <c r="K340" s="7">
        <f>+IFERROR(+VLOOKUP(A340,'TB2019-20'!$A$12:$C$414,2,0),0)</f>
        <v>38511</v>
      </c>
      <c r="L340" s="7"/>
      <c r="M340" s="7">
        <f t="shared" si="33"/>
        <v>38511</v>
      </c>
      <c r="N340" s="7">
        <f>+IFERROR(+VLOOKUP(A340,'TB2019-20'!$A$12:$C$414,3,0),0)</f>
        <v>0</v>
      </c>
      <c r="O340" s="7"/>
      <c r="P340" s="7">
        <f t="shared" si="34"/>
        <v>0</v>
      </c>
    </row>
    <row r="341" spans="1:16" x14ac:dyDescent="0.25">
      <c r="A341" s="19" t="s">
        <v>185</v>
      </c>
      <c r="B341" s="7">
        <v>25</v>
      </c>
      <c r="C341" s="7" t="s">
        <v>521</v>
      </c>
      <c r="D341" s="7" t="s">
        <v>661</v>
      </c>
      <c r="E341" s="7">
        <f>+IFERROR(+VLOOKUP(A341,'Trial Balance'!$A$12:$C$428,2,0),0)</f>
        <v>368858</v>
      </c>
      <c r="F341" s="7"/>
      <c r="G341" s="7">
        <f t="shared" si="31"/>
        <v>368858</v>
      </c>
      <c r="H341" s="7">
        <f>+IFERROR(+VLOOKUP(A341,'Trial Balance'!$A$12:$C$428,3,0),0)</f>
        <v>0</v>
      </c>
      <c r="I341" s="7"/>
      <c r="J341" s="7">
        <f t="shared" si="32"/>
        <v>0</v>
      </c>
      <c r="K341" s="7">
        <f>+IFERROR(+VLOOKUP(A341,'TB2019-20'!$A$12:$C$414,2,0),0)</f>
        <v>672181</v>
      </c>
      <c r="L341" s="7"/>
      <c r="M341" s="7">
        <f t="shared" si="33"/>
        <v>672181</v>
      </c>
      <c r="N341" s="7">
        <f>+IFERROR(+VLOOKUP(A341,'TB2019-20'!$A$12:$C$414,3,0),0)</f>
        <v>0</v>
      </c>
      <c r="O341" s="7"/>
      <c r="P341" s="7">
        <f t="shared" si="34"/>
        <v>0</v>
      </c>
    </row>
    <row r="342" spans="1:16" x14ac:dyDescent="0.25">
      <c r="A342" s="19" t="s">
        <v>186</v>
      </c>
      <c r="B342" s="7">
        <v>25</v>
      </c>
      <c r="C342" s="7" t="s">
        <v>521</v>
      </c>
      <c r="D342" s="7" t="s">
        <v>661</v>
      </c>
      <c r="E342" s="7">
        <f>+IFERROR(+VLOOKUP(A342,'Trial Balance'!$A$12:$C$428,2,0),0)</f>
        <v>460969</v>
      </c>
      <c r="F342" s="7"/>
      <c r="G342" s="7">
        <f t="shared" si="31"/>
        <v>460969</v>
      </c>
      <c r="H342" s="7">
        <f>+IFERROR(+VLOOKUP(A342,'Trial Balance'!$A$12:$C$428,3,0),0)</f>
        <v>0</v>
      </c>
      <c r="I342" s="7"/>
      <c r="J342" s="7">
        <f t="shared" si="32"/>
        <v>0</v>
      </c>
      <c r="K342" s="7">
        <f>+IFERROR(+VLOOKUP(A342,'TB2019-20'!$A$12:$C$414,2,0),0)</f>
        <v>867002</v>
      </c>
      <c r="L342" s="7"/>
      <c r="M342" s="7">
        <f t="shared" si="33"/>
        <v>867002</v>
      </c>
      <c r="N342" s="7">
        <f>+IFERROR(+VLOOKUP(A342,'TB2019-20'!$A$12:$C$414,3,0),0)</f>
        <v>0</v>
      </c>
      <c r="O342" s="7"/>
      <c r="P342" s="7">
        <f t="shared" si="34"/>
        <v>0</v>
      </c>
    </row>
    <row r="343" spans="1:16" x14ac:dyDescent="0.25">
      <c r="A343" s="20" t="s">
        <v>187</v>
      </c>
      <c r="B343" s="7">
        <v>26</v>
      </c>
      <c r="C343" s="7" t="s">
        <v>467</v>
      </c>
      <c r="D343" s="7" t="s">
        <v>541</v>
      </c>
      <c r="E343" s="7">
        <f>+IFERROR(+VLOOKUP(A343,'Trial Balance'!$A$12:$C$428,2,0),0)</f>
        <v>7</v>
      </c>
      <c r="F343" s="7"/>
      <c r="G343" s="7">
        <f t="shared" si="31"/>
        <v>7</v>
      </c>
      <c r="H343" s="7">
        <f>+IFERROR(+VLOOKUP(A343,'Trial Balance'!$A$12:$C$428,3,0),0)</f>
        <v>0</v>
      </c>
      <c r="I343" s="7"/>
      <c r="J343" s="7">
        <f t="shared" si="32"/>
        <v>0</v>
      </c>
      <c r="K343" s="7">
        <f>+IFERROR(+VLOOKUP(A343,'TB2019-20'!$A$12:$C$414,2,0),0)</f>
        <v>5436</v>
      </c>
      <c r="L343" s="7"/>
      <c r="M343" s="7">
        <f t="shared" si="33"/>
        <v>5436</v>
      </c>
      <c r="N343" s="7">
        <f>+IFERROR(+VLOOKUP(A343,'TB2019-20'!$A$12:$C$414,3,0),0)</f>
        <v>0</v>
      </c>
      <c r="O343" s="7"/>
      <c r="P343" s="7">
        <f t="shared" si="34"/>
        <v>0</v>
      </c>
    </row>
    <row r="344" spans="1:16" x14ac:dyDescent="0.25">
      <c r="A344" s="17" t="s">
        <v>188</v>
      </c>
      <c r="B344" s="7">
        <v>26</v>
      </c>
      <c r="C344" s="7" t="s">
        <v>467</v>
      </c>
      <c r="D344" s="7" t="s">
        <v>541</v>
      </c>
      <c r="E344" s="7">
        <f>+IFERROR(+VLOOKUP(A344,'Trial Balance'!$A$12:$C$428,2,0),0)</f>
        <v>10150</v>
      </c>
      <c r="F344" s="7"/>
      <c r="G344" s="7">
        <f t="shared" si="31"/>
        <v>10150</v>
      </c>
      <c r="H344" s="7">
        <f>+IFERROR(+VLOOKUP(A344,'Trial Balance'!$A$12:$C$428,3,0),0)</f>
        <v>0</v>
      </c>
      <c r="I344" s="7"/>
      <c r="J344" s="7">
        <f t="shared" si="32"/>
        <v>0</v>
      </c>
      <c r="K344" s="7">
        <f>+IFERROR(+VLOOKUP(A344,'TB2019-20'!$A$12:$C$414,2,0),0)</f>
        <v>27865</v>
      </c>
      <c r="L344" s="7"/>
      <c r="M344" s="7">
        <f t="shared" si="33"/>
        <v>27865</v>
      </c>
      <c r="N344" s="7">
        <f>+IFERROR(+VLOOKUP(A344,'TB2019-20'!$A$12:$C$414,3,0),0)</f>
        <v>0</v>
      </c>
      <c r="O344" s="7"/>
      <c r="P344" s="7">
        <f t="shared" si="34"/>
        <v>0</v>
      </c>
    </row>
    <row r="345" spans="1:16" x14ac:dyDescent="0.25">
      <c r="A345" s="20" t="s">
        <v>190</v>
      </c>
      <c r="B345" s="7">
        <v>26</v>
      </c>
      <c r="C345" s="7" t="s">
        <v>467</v>
      </c>
      <c r="D345" s="7" t="s">
        <v>541</v>
      </c>
      <c r="E345" s="7">
        <f>+IFERROR(+VLOOKUP(A345,'Trial Balance'!$A$12:$C$428,2,0),0)</f>
        <v>468</v>
      </c>
      <c r="F345" s="7"/>
      <c r="G345" s="7">
        <f t="shared" si="31"/>
        <v>468</v>
      </c>
      <c r="H345" s="7">
        <f>+IFERROR(+VLOOKUP(A345,'Trial Balance'!$A$12:$C$428,3,0),0)</f>
        <v>0</v>
      </c>
      <c r="I345" s="7"/>
      <c r="J345" s="7">
        <f t="shared" si="32"/>
        <v>0</v>
      </c>
      <c r="K345" s="7">
        <f>+IFERROR(+VLOOKUP(A345,'TB2019-20'!$A$12:$C$414,2,0),0)</f>
        <v>2414</v>
      </c>
      <c r="L345" s="7"/>
      <c r="M345" s="7">
        <f t="shared" si="33"/>
        <v>2414</v>
      </c>
      <c r="N345" s="7">
        <f>+IFERROR(+VLOOKUP(A345,'TB2019-20'!$A$12:$C$414,3,0),0)</f>
        <v>0</v>
      </c>
      <c r="O345" s="7"/>
      <c r="P345" s="7">
        <f t="shared" si="34"/>
        <v>0</v>
      </c>
    </row>
    <row r="346" spans="1:16" x14ac:dyDescent="0.25">
      <c r="A346" s="17" t="s">
        <v>662</v>
      </c>
      <c r="B346" s="7">
        <v>26</v>
      </c>
      <c r="C346" s="7" t="s">
        <v>467</v>
      </c>
      <c r="D346" s="7" t="s">
        <v>541</v>
      </c>
      <c r="E346" s="7">
        <f>+IFERROR(+VLOOKUP(A346,'Trial Balance'!$A$12:$C$428,2,0),0)</f>
        <v>19982</v>
      </c>
      <c r="F346" s="7"/>
      <c r="G346" s="7">
        <f t="shared" si="31"/>
        <v>19982</v>
      </c>
      <c r="H346" s="7">
        <f>+IFERROR(+VLOOKUP(A346,'Trial Balance'!$A$12:$C$428,3,0),0)</f>
        <v>0</v>
      </c>
      <c r="I346" s="7"/>
      <c r="J346" s="7">
        <f t="shared" si="32"/>
        <v>0</v>
      </c>
      <c r="K346" s="7">
        <f>+IFERROR(+VLOOKUP(A346,'TB2019-20'!$A$12:$C$414,2,0),0)</f>
        <v>285659</v>
      </c>
      <c r="L346" s="7"/>
      <c r="M346" s="7">
        <f t="shared" si="33"/>
        <v>285659</v>
      </c>
      <c r="N346" s="7">
        <f>+IFERROR(+VLOOKUP(A346,'TB2019-20'!$A$12:$C$414,3,0),0)</f>
        <v>0</v>
      </c>
      <c r="O346" s="7"/>
      <c r="P346" s="7">
        <f t="shared" si="34"/>
        <v>0</v>
      </c>
    </row>
    <row r="347" spans="1:16" x14ac:dyDescent="0.25">
      <c r="A347" s="8" t="s">
        <v>2479</v>
      </c>
      <c r="B347" s="7">
        <v>26</v>
      </c>
      <c r="C347" s="7" t="s">
        <v>467</v>
      </c>
      <c r="D347" s="7" t="s">
        <v>541</v>
      </c>
      <c r="E347" s="7">
        <f>+IFERROR(+VLOOKUP(A347,'Trial Balance'!$A$12:$C$428,2,0),0)</f>
        <v>76133</v>
      </c>
      <c r="F347" s="7"/>
      <c r="G347" s="7">
        <f t="shared" si="31"/>
        <v>76133</v>
      </c>
      <c r="H347" s="7">
        <f>+IFERROR(+VLOOKUP(A347,'Trial Balance'!$A$12:$C$428,3,0),0)</f>
        <v>0</v>
      </c>
      <c r="I347" s="7"/>
      <c r="J347" s="7">
        <f t="shared" si="32"/>
        <v>0</v>
      </c>
      <c r="K347" s="7">
        <f>+IFERROR(+VLOOKUP(A347,'TB2019-20'!$A$12:$C$414,2,0),0)</f>
        <v>0</v>
      </c>
      <c r="L347" s="7"/>
      <c r="M347" s="7">
        <f t="shared" ref="M347" si="37">+K347+L347</f>
        <v>0</v>
      </c>
      <c r="N347" s="7">
        <f>+IFERROR(+VLOOKUP(A347,'TB2019-20'!$A$12:$C$414,3,0),0)</f>
        <v>0</v>
      </c>
      <c r="O347" s="7"/>
      <c r="P347" s="7">
        <f t="shared" ref="P347" si="38">+N347+O347</f>
        <v>0</v>
      </c>
    </row>
    <row r="348" spans="1:16" x14ac:dyDescent="0.25">
      <c r="A348" s="20" t="s">
        <v>663</v>
      </c>
      <c r="B348" s="7">
        <v>26</v>
      </c>
      <c r="C348" s="7" t="s">
        <v>467</v>
      </c>
      <c r="D348" s="7" t="s">
        <v>541</v>
      </c>
      <c r="E348" s="7">
        <f>+IFERROR(+VLOOKUP(A348,'Trial Balance'!$A$12:$C$428,2,0),0)</f>
        <v>0</v>
      </c>
      <c r="F348" s="7"/>
      <c r="G348" s="7">
        <f t="shared" si="31"/>
        <v>0</v>
      </c>
      <c r="H348" s="7">
        <f>+IFERROR(+VLOOKUP(A348,'Trial Balance'!$A$12:$C$428,3,0),0)</f>
        <v>0</v>
      </c>
      <c r="I348" s="7"/>
      <c r="J348" s="7">
        <f t="shared" si="32"/>
        <v>0</v>
      </c>
      <c r="K348" s="7">
        <f>+IFERROR(+VLOOKUP(A348,'TB2019-20'!$A$12:$C$414,2,0),0)</f>
        <v>200</v>
      </c>
      <c r="L348" s="7"/>
      <c r="M348" s="7">
        <f t="shared" si="33"/>
        <v>200</v>
      </c>
      <c r="N348" s="7">
        <f>+IFERROR(+VLOOKUP(A348,'TB2019-20'!$A$12:$C$414,3,0),0)</f>
        <v>0</v>
      </c>
      <c r="O348" s="7"/>
      <c r="P348" s="7">
        <f t="shared" si="34"/>
        <v>0</v>
      </c>
    </row>
    <row r="349" spans="1:16" x14ac:dyDescent="0.25">
      <c r="A349" s="20" t="s">
        <v>664</v>
      </c>
      <c r="B349" s="7">
        <v>26</v>
      </c>
      <c r="C349" s="7" t="s">
        <v>467</v>
      </c>
      <c r="D349" s="7" t="s">
        <v>541</v>
      </c>
      <c r="E349" s="7">
        <f>+IFERROR(+VLOOKUP(A349,'Trial Balance'!$A$12:$C$428,2,0),0)</f>
        <v>0</v>
      </c>
      <c r="F349" s="7"/>
      <c r="G349" s="7">
        <f t="shared" si="31"/>
        <v>0</v>
      </c>
      <c r="H349" s="7">
        <f>+IFERROR(+VLOOKUP(A349,'Trial Balance'!$A$12:$C$428,3,0),0)</f>
        <v>0</v>
      </c>
      <c r="I349" s="7"/>
      <c r="J349" s="7">
        <f t="shared" si="32"/>
        <v>0</v>
      </c>
      <c r="K349" s="7">
        <f>+IFERROR(+VLOOKUP(A349,'TB2019-20'!$A$12:$C$414,2,0),0)</f>
        <v>5485</v>
      </c>
      <c r="L349" s="7"/>
      <c r="M349" s="7">
        <f t="shared" si="33"/>
        <v>5485</v>
      </c>
      <c r="N349" s="7">
        <f>+IFERROR(+VLOOKUP(A349,'TB2019-20'!$A$12:$C$414,3,0),0)</f>
        <v>0</v>
      </c>
      <c r="O349" s="7"/>
      <c r="P349" s="7">
        <f t="shared" si="34"/>
        <v>0</v>
      </c>
    </row>
    <row r="350" spans="1:16" x14ac:dyDescent="0.25">
      <c r="A350" s="17" t="s">
        <v>665</v>
      </c>
      <c r="B350" s="7">
        <v>26</v>
      </c>
      <c r="C350" s="7" t="s">
        <v>467</v>
      </c>
      <c r="D350" s="7" t="s">
        <v>541</v>
      </c>
      <c r="E350" s="7">
        <f>+IFERROR(+VLOOKUP(A350,'Trial Balance'!$A$12:$C$428,2,0),0)</f>
        <v>0</v>
      </c>
      <c r="F350" s="7"/>
      <c r="G350" s="7">
        <f t="shared" si="31"/>
        <v>0</v>
      </c>
      <c r="H350" s="7">
        <f>+IFERROR(+VLOOKUP(A350,'Trial Balance'!$A$12:$C$428,3,0),0)</f>
        <v>0</v>
      </c>
      <c r="I350" s="7"/>
      <c r="J350" s="7">
        <f t="shared" si="32"/>
        <v>0</v>
      </c>
      <c r="K350" s="7">
        <f>+IFERROR(+VLOOKUP(A350,'TB2019-20'!$A$12:$C$414,2,0),0)</f>
        <v>29250</v>
      </c>
      <c r="L350" s="7"/>
      <c r="M350" s="7">
        <f t="shared" si="33"/>
        <v>29250</v>
      </c>
      <c r="N350" s="7">
        <f>+IFERROR(+VLOOKUP(A350,'TB2019-20'!$A$12:$C$414,3,0),0)</f>
        <v>0</v>
      </c>
      <c r="O350" s="7"/>
      <c r="P350" s="7">
        <f t="shared" si="34"/>
        <v>0</v>
      </c>
    </row>
    <row r="351" spans="1:16" x14ac:dyDescent="0.25">
      <c r="A351" s="20" t="s">
        <v>192</v>
      </c>
      <c r="B351" s="7">
        <v>26</v>
      </c>
      <c r="C351" s="7" t="s">
        <v>467</v>
      </c>
      <c r="D351" s="7" t="s">
        <v>541</v>
      </c>
      <c r="E351" s="7">
        <f>+IFERROR(+VLOOKUP(A351,'Trial Balance'!$A$12:$C$428,2,0),0)</f>
        <v>7</v>
      </c>
      <c r="F351" s="7"/>
      <c r="G351" s="7">
        <f t="shared" si="31"/>
        <v>7</v>
      </c>
      <c r="H351" s="7">
        <f>+IFERROR(+VLOOKUP(A351,'Trial Balance'!$A$12:$C$428,3,0),0)</f>
        <v>0</v>
      </c>
      <c r="I351" s="7"/>
      <c r="J351" s="7">
        <f t="shared" si="32"/>
        <v>0</v>
      </c>
      <c r="K351" s="7">
        <f>+IFERROR(+VLOOKUP(A351,'TB2019-20'!$A$12:$C$414,2,0),0)</f>
        <v>5436</v>
      </c>
      <c r="L351" s="7"/>
      <c r="M351" s="7">
        <f t="shared" si="33"/>
        <v>5436</v>
      </c>
      <c r="N351" s="7">
        <f>+IFERROR(+VLOOKUP(A351,'TB2019-20'!$A$12:$C$414,3,0),0)</f>
        <v>0</v>
      </c>
      <c r="O351" s="7"/>
      <c r="P351" s="7">
        <f t="shared" si="34"/>
        <v>0</v>
      </c>
    </row>
    <row r="352" spans="1:16" x14ac:dyDescent="0.25">
      <c r="A352" s="17" t="s">
        <v>666</v>
      </c>
      <c r="B352" s="7">
        <v>26</v>
      </c>
      <c r="C352" s="7" t="s">
        <v>467</v>
      </c>
      <c r="D352" s="7" t="s">
        <v>541</v>
      </c>
      <c r="E352" s="7">
        <f>+IFERROR(+VLOOKUP(A352,'Trial Balance'!$A$12:$C$428,2,0),0)</f>
        <v>4285</v>
      </c>
      <c r="F352" s="7"/>
      <c r="G352" s="7">
        <f t="shared" si="31"/>
        <v>4285</v>
      </c>
      <c r="H352" s="7">
        <f>+IFERROR(+VLOOKUP(A352,'Trial Balance'!$A$12:$C$428,3,0),0)</f>
        <v>0</v>
      </c>
      <c r="I352" s="7"/>
      <c r="J352" s="7">
        <f t="shared" si="32"/>
        <v>0</v>
      </c>
      <c r="K352" s="7">
        <f>+IFERROR(+VLOOKUP(A352,'TB2019-20'!$A$12:$C$414,2,0),0)</f>
        <v>2330</v>
      </c>
      <c r="L352" s="7"/>
      <c r="M352" s="7">
        <f t="shared" si="33"/>
        <v>2330</v>
      </c>
      <c r="N352" s="7">
        <f>+IFERROR(+VLOOKUP(A352,'TB2019-20'!$A$12:$C$414,3,0),0)</f>
        <v>0</v>
      </c>
      <c r="O352" s="7"/>
      <c r="P352" s="7">
        <f t="shared" si="34"/>
        <v>0</v>
      </c>
    </row>
    <row r="353" spans="1:16" x14ac:dyDescent="0.25">
      <c r="A353" s="17" t="s">
        <v>667</v>
      </c>
      <c r="B353" s="7">
        <v>20</v>
      </c>
      <c r="C353" s="7" t="s">
        <v>266</v>
      </c>
      <c r="D353" s="7" t="s">
        <v>266</v>
      </c>
      <c r="E353" s="7">
        <f>+IFERROR(+VLOOKUP(A353,'Trial Balance'!$A$12:$C$428,2,0),0)</f>
        <v>0</v>
      </c>
      <c r="F353" s="7"/>
      <c r="G353" s="7">
        <f t="shared" si="31"/>
        <v>0</v>
      </c>
      <c r="H353" s="7">
        <f>+IFERROR(+VLOOKUP(A353,'Trial Balance'!$A$12:$C$428,3,0),0)</f>
        <v>0</v>
      </c>
      <c r="I353" s="7"/>
      <c r="J353" s="7">
        <f t="shared" si="32"/>
        <v>0</v>
      </c>
      <c r="K353" s="7">
        <f>+IFERROR(+VLOOKUP(A353,'TB2019-20'!$A$12:$C$414,2,0),0)</f>
        <v>0</v>
      </c>
      <c r="L353" s="7"/>
      <c r="M353" s="7">
        <f t="shared" si="33"/>
        <v>0</v>
      </c>
      <c r="N353" s="7">
        <f>+IFERROR(+VLOOKUP(A353,'TB2019-20'!$A$12:$C$414,3,0),0)</f>
        <v>0</v>
      </c>
      <c r="O353" s="7"/>
      <c r="P353" s="7">
        <f t="shared" si="34"/>
        <v>0</v>
      </c>
    </row>
    <row r="354" spans="1:16" x14ac:dyDescent="0.25">
      <c r="A354" s="20" t="s">
        <v>668</v>
      </c>
      <c r="B354" s="7">
        <v>26</v>
      </c>
      <c r="C354" s="7" t="s">
        <v>467</v>
      </c>
      <c r="D354" s="7" t="s">
        <v>541</v>
      </c>
      <c r="E354" s="7">
        <f>+IFERROR(+VLOOKUP(A354,'Trial Balance'!$A$12:$C$428,2,0),0)</f>
        <v>0</v>
      </c>
      <c r="F354" s="7"/>
      <c r="G354" s="7">
        <f t="shared" si="31"/>
        <v>0</v>
      </c>
      <c r="H354" s="7">
        <f>+IFERROR(+VLOOKUP(A354,'Trial Balance'!$A$12:$C$428,3,0),0)</f>
        <v>0</v>
      </c>
      <c r="I354" s="7"/>
      <c r="J354" s="7">
        <f t="shared" si="32"/>
        <v>0</v>
      </c>
      <c r="K354" s="7">
        <f>+IFERROR(+VLOOKUP(A354,'TB2019-20'!$A$12:$C$414,2,0),0)</f>
        <v>12071</v>
      </c>
      <c r="L354" s="7"/>
      <c r="M354" s="7">
        <f t="shared" si="33"/>
        <v>12071</v>
      </c>
      <c r="N354" s="7">
        <f>+IFERROR(+VLOOKUP(A354,'TB2019-20'!$A$12:$C$414,3,0),0)</f>
        <v>0</v>
      </c>
      <c r="O354" s="7"/>
      <c r="P354" s="7">
        <f t="shared" si="34"/>
        <v>0</v>
      </c>
    </row>
    <row r="355" spans="1:16" x14ac:dyDescent="0.25">
      <c r="A355" s="17" t="s">
        <v>669</v>
      </c>
      <c r="B355" s="11">
        <v>8</v>
      </c>
      <c r="C355" s="11" t="s">
        <v>497</v>
      </c>
      <c r="D355" s="11" t="s">
        <v>497</v>
      </c>
      <c r="E355" s="7">
        <f>+IFERROR(+VLOOKUP(A355,'Trial Balance'!$A$12:$C$428,2,0),0)</f>
        <v>0</v>
      </c>
      <c r="F355" s="7"/>
      <c r="G355" s="7">
        <f t="shared" si="31"/>
        <v>0</v>
      </c>
      <c r="H355" s="7">
        <f>+IFERROR(+VLOOKUP(A355,'Trial Balance'!$A$12:$C$428,3,0),0)</f>
        <v>139269</v>
      </c>
      <c r="I355" s="7"/>
      <c r="J355" s="7">
        <f t="shared" si="32"/>
        <v>139269</v>
      </c>
      <c r="K355" s="7">
        <f>+IFERROR(+VLOOKUP(A355,'TB2019-20'!$A$12:$C$414,2,0),0)</f>
        <v>0</v>
      </c>
      <c r="L355" s="7"/>
      <c r="M355" s="7">
        <f t="shared" si="33"/>
        <v>0</v>
      </c>
      <c r="N355" s="7">
        <f>+IFERROR(+VLOOKUP(A355,'TB2019-20'!$A$12:$C$414,3,0),0)</f>
        <v>574034.93999999994</v>
      </c>
      <c r="O355" s="7"/>
      <c r="P355" s="7">
        <f t="shared" si="34"/>
        <v>574034.93999999994</v>
      </c>
    </row>
    <row r="356" spans="1:16" x14ac:dyDescent="0.25">
      <c r="A356" s="17" t="s">
        <v>670</v>
      </c>
      <c r="B356" s="7">
        <v>25</v>
      </c>
      <c r="C356" s="7" t="s">
        <v>521</v>
      </c>
      <c r="D356" s="7" t="s">
        <v>661</v>
      </c>
      <c r="E356" s="7">
        <f>+IFERROR(+VLOOKUP(A356,'Trial Balance'!$A$12:$C$428,2,0),0)</f>
        <v>2678489.9500000002</v>
      </c>
      <c r="F356" s="7"/>
      <c r="G356" s="7">
        <f t="shared" si="31"/>
        <v>2678489.9500000002</v>
      </c>
      <c r="H356" s="7">
        <f>+IFERROR(+VLOOKUP(A356,'Trial Balance'!$A$12:$C$428,3,0),0)</f>
        <v>0</v>
      </c>
      <c r="I356" s="7"/>
      <c r="J356" s="7">
        <f t="shared" si="32"/>
        <v>0</v>
      </c>
      <c r="K356" s="7">
        <f>+IFERROR(+VLOOKUP(A356,'TB2019-20'!$A$12:$C$414,2,0),0)</f>
        <v>4933411.9400000004</v>
      </c>
      <c r="L356" s="7"/>
      <c r="M356" s="7">
        <f t="shared" si="33"/>
        <v>4933411.9400000004</v>
      </c>
      <c r="N356" s="7">
        <f>+IFERROR(+VLOOKUP(A356,'TB2019-20'!$A$12:$C$414,3,0),0)</f>
        <v>0</v>
      </c>
      <c r="O356" s="7"/>
      <c r="P356" s="7">
        <f t="shared" si="34"/>
        <v>0</v>
      </c>
    </row>
    <row r="357" spans="1:16" x14ac:dyDescent="0.25">
      <c r="A357" s="19" t="s">
        <v>197</v>
      </c>
      <c r="B357" s="7">
        <v>25</v>
      </c>
      <c r="C357" s="7" t="s">
        <v>521</v>
      </c>
      <c r="D357" s="7" t="s">
        <v>661</v>
      </c>
      <c r="E357" s="7">
        <f>+IFERROR(+VLOOKUP(A357,'Trial Balance'!$A$12:$C$428,2,0),0)</f>
        <v>6</v>
      </c>
      <c r="F357" s="7"/>
      <c r="G357" s="7">
        <f t="shared" si="31"/>
        <v>6</v>
      </c>
      <c r="H357" s="7">
        <f>+IFERROR(+VLOOKUP(A357,'Trial Balance'!$A$12:$C$428,3,0),0)</f>
        <v>0</v>
      </c>
      <c r="I357" s="7"/>
      <c r="J357" s="7">
        <f t="shared" si="32"/>
        <v>0</v>
      </c>
      <c r="K357" s="7">
        <f>+IFERROR(+VLOOKUP(A357,'TB2019-20'!$A$12:$C$414,2,0),0)</f>
        <v>166917</v>
      </c>
      <c r="L357" s="7"/>
      <c r="M357" s="7">
        <f t="shared" si="33"/>
        <v>166917</v>
      </c>
      <c r="N357" s="7">
        <f>+IFERROR(+VLOOKUP(A357,'TB2019-20'!$A$12:$C$414,3,0),0)</f>
        <v>0</v>
      </c>
      <c r="O357" s="7"/>
      <c r="P357" s="7">
        <f t="shared" si="34"/>
        <v>0</v>
      </c>
    </row>
    <row r="358" spans="1:16" x14ac:dyDescent="0.25">
      <c r="A358" s="19" t="s">
        <v>198</v>
      </c>
      <c r="B358" s="7">
        <v>25</v>
      </c>
      <c r="C358" s="7" t="s">
        <v>521</v>
      </c>
      <c r="D358" s="7" t="s">
        <v>661</v>
      </c>
      <c r="E358" s="7">
        <f>+IFERROR(+VLOOKUP(A358,'Trial Balance'!$A$12:$C$428,2,0),0)</f>
        <v>1225</v>
      </c>
      <c r="F358" s="7"/>
      <c r="G358" s="7">
        <f t="shared" si="31"/>
        <v>1225</v>
      </c>
      <c r="H358" s="7">
        <f>+IFERROR(+VLOOKUP(A358,'Trial Balance'!$A$12:$C$428,3,0),0)</f>
        <v>0</v>
      </c>
      <c r="I358" s="7"/>
      <c r="J358" s="7">
        <f t="shared" si="32"/>
        <v>0</v>
      </c>
      <c r="K358" s="7">
        <f>+IFERROR(+VLOOKUP(A358,'TB2019-20'!$A$12:$C$414,2,0),0)</f>
        <v>441375</v>
      </c>
      <c r="L358" s="7"/>
      <c r="M358" s="7">
        <f t="shared" si="33"/>
        <v>441375</v>
      </c>
      <c r="N358" s="7">
        <f>+IFERROR(+VLOOKUP(A358,'TB2019-20'!$A$12:$C$414,3,0),0)</f>
        <v>0</v>
      </c>
      <c r="O358" s="7"/>
      <c r="P358" s="7">
        <f t="shared" si="34"/>
        <v>0</v>
      </c>
    </row>
    <row r="359" spans="1:16" x14ac:dyDescent="0.25">
      <c r="A359" s="17" t="s">
        <v>671</v>
      </c>
      <c r="B359" s="7">
        <v>25</v>
      </c>
      <c r="C359" s="7" t="s">
        <v>521</v>
      </c>
      <c r="D359" s="7" t="s">
        <v>661</v>
      </c>
      <c r="E359" s="7">
        <f>+IFERROR(+VLOOKUP(A359,'Trial Balance'!$A$12:$C$428,2,0),0)</f>
        <v>1577670</v>
      </c>
      <c r="F359" s="7"/>
      <c r="G359" s="7">
        <f t="shared" si="31"/>
        <v>1577670</v>
      </c>
      <c r="H359" s="7">
        <f>+IFERROR(+VLOOKUP(A359,'Trial Balance'!$A$12:$C$428,3,0),0)</f>
        <v>0</v>
      </c>
      <c r="I359" s="7"/>
      <c r="J359" s="7">
        <f t="shared" si="32"/>
        <v>0</v>
      </c>
      <c r="K359" s="7">
        <f>+IFERROR(+VLOOKUP(A359,'TB2019-20'!$A$12:$C$414,2,0),0)</f>
        <v>1878337</v>
      </c>
      <c r="L359" s="7"/>
      <c r="M359" s="7">
        <f t="shared" si="33"/>
        <v>1878337</v>
      </c>
      <c r="N359" s="7">
        <f>+IFERROR(+VLOOKUP(A359,'TB2019-20'!$A$12:$C$414,3,0),0)</f>
        <v>0</v>
      </c>
      <c r="O359" s="7"/>
      <c r="P359" s="7">
        <f t="shared" si="34"/>
        <v>0</v>
      </c>
    </row>
    <row r="360" spans="1:16" x14ac:dyDescent="0.25">
      <c r="A360" s="17" t="s">
        <v>200</v>
      </c>
      <c r="B360" s="7">
        <v>26</v>
      </c>
      <c r="C360" s="7" t="s">
        <v>467</v>
      </c>
      <c r="D360" s="7" t="s">
        <v>507</v>
      </c>
      <c r="E360" s="7">
        <f>+IFERROR(+VLOOKUP(A360,'Trial Balance'!$A$12:$C$428,2,0),0)</f>
        <v>180000</v>
      </c>
      <c r="F360" s="7"/>
      <c r="G360" s="7">
        <f t="shared" si="31"/>
        <v>180000</v>
      </c>
      <c r="H360" s="7">
        <f>+IFERROR(+VLOOKUP(A360,'Trial Balance'!$A$12:$C$428,3,0),0)</f>
        <v>0</v>
      </c>
      <c r="I360" s="7"/>
      <c r="J360" s="7">
        <f t="shared" si="32"/>
        <v>0</v>
      </c>
      <c r="K360" s="7">
        <f>+IFERROR(+VLOOKUP(A360,'TB2019-20'!$A$12:$C$414,2,0),0)</f>
        <v>196000</v>
      </c>
      <c r="L360" s="7"/>
      <c r="M360" s="7">
        <f t="shared" si="33"/>
        <v>196000</v>
      </c>
      <c r="N360" s="7">
        <f>+IFERROR(+VLOOKUP(A360,'TB2019-20'!$A$12:$C$414,3,0),0)</f>
        <v>0</v>
      </c>
      <c r="O360" s="7"/>
      <c r="P360" s="7">
        <f t="shared" si="34"/>
        <v>0</v>
      </c>
    </row>
    <row r="361" spans="1:16" x14ac:dyDescent="0.25">
      <c r="A361" s="7" t="s">
        <v>672</v>
      </c>
      <c r="B361" s="7">
        <v>7</v>
      </c>
      <c r="C361" s="7" t="s">
        <v>460</v>
      </c>
      <c r="D361" s="7" t="s">
        <v>460</v>
      </c>
      <c r="E361" s="7">
        <f>+IFERROR(+VLOOKUP(A361,'Trial Balance'!$A$12:$C$428,2,0),0)</f>
        <v>0</v>
      </c>
      <c r="F361" s="7"/>
      <c r="G361" s="7">
        <f t="shared" si="31"/>
        <v>0</v>
      </c>
      <c r="H361" s="7">
        <f>+IFERROR(+VLOOKUP(A361,'Trial Balance'!$A$12:$C$428,3,0),0)</f>
        <v>0</v>
      </c>
      <c r="I361" s="7"/>
      <c r="J361" s="7">
        <f t="shared" si="32"/>
        <v>0</v>
      </c>
      <c r="K361" s="7">
        <f>+IFERROR(+VLOOKUP(A361,'TB2019-20'!$A$12:$C$414,2,0),0)</f>
        <v>0</v>
      </c>
      <c r="L361" s="7"/>
      <c r="M361" s="7">
        <f t="shared" si="33"/>
        <v>0</v>
      </c>
      <c r="N361" s="7">
        <f>+IFERROR(+VLOOKUP(A361,'TB2019-20'!$A$12:$C$414,3,0),0)</f>
        <v>0</v>
      </c>
      <c r="O361" s="7"/>
      <c r="P361" s="7">
        <f t="shared" si="34"/>
        <v>0</v>
      </c>
    </row>
    <row r="362" spans="1:16" x14ac:dyDescent="0.25">
      <c r="A362" s="17" t="s">
        <v>673</v>
      </c>
      <c r="B362" s="7">
        <v>7</v>
      </c>
      <c r="C362" s="7" t="s">
        <v>460</v>
      </c>
      <c r="D362" s="7" t="s">
        <v>460</v>
      </c>
      <c r="E362" s="7">
        <f>+IFERROR(+VLOOKUP(A362,'Trial Balance'!$A$12:$C$428,2,0),0)</f>
        <v>0</v>
      </c>
      <c r="F362" s="7"/>
      <c r="G362" s="7">
        <f t="shared" si="31"/>
        <v>0</v>
      </c>
      <c r="H362" s="7">
        <f>+IFERROR(+VLOOKUP(A362,'Trial Balance'!$A$12:$C$428,3,0),0)</f>
        <v>537677</v>
      </c>
      <c r="I362" s="7"/>
      <c r="J362" s="7">
        <f t="shared" si="32"/>
        <v>537677</v>
      </c>
      <c r="K362" s="7">
        <f>+IFERROR(+VLOOKUP(A362,'TB2019-20'!$A$12:$C$414,2,0),0)</f>
        <v>0</v>
      </c>
      <c r="L362" s="7"/>
      <c r="M362" s="7">
        <f t="shared" si="33"/>
        <v>0</v>
      </c>
      <c r="N362" s="7">
        <f>+IFERROR(+VLOOKUP(A362,'TB2019-20'!$A$12:$C$414,3,0),0)</f>
        <v>366473</v>
      </c>
      <c r="O362" s="7"/>
      <c r="P362" s="7">
        <f t="shared" si="34"/>
        <v>366473</v>
      </c>
    </row>
    <row r="363" spans="1:16" x14ac:dyDescent="0.25">
      <c r="A363" s="8" t="s">
        <v>674</v>
      </c>
      <c r="B363" s="7">
        <v>7</v>
      </c>
      <c r="C363" s="7" t="s">
        <v>460</v>
      </c>
      <c r="D363" s="7" t="s">
        <v>460</v>
      </c>
      <c r="E363" s="7">
        <f>+IFERROR(+VLOOKUP(A363,'Trial Balance'!$A$12:$C$428,2,0),0)</f>
        <v>0</v>
      </c>
      <c r="F363" s="7"/>
      <c r="G363" s="7">
        <f t="shared" si="31"/>
        <v>0</v>
      </c>
      <c r="H363" s="7">
        <f>+IFERROR(+VLOOKUP(A363,'Trial Balance'!$A$12:$C$428,3,0),0)</f>
        <v>0</v>
      </c>
      <c r="I363" s="7"/>
      <c r="J363" s="7">
        <f t="shared" si="32"/>
        <v>0</v>
      </c>
      <c r="K363" s="7">
        <f>+IFERROR(+VLOOKUP(A363,'TB2019-20'!$A$12:$C$414,2,0),0)</f>
        <v>0</v>
      </c>
      <c r="L363" s="7"/>
      <c r="M363" s="7">
        <f t="shared" si="33"/>
        <v>0</v>
      </c>
      <c r="N363" s="7">
        <f>+IFERROR(+VLOOKUP(A363,'TB2019-20'!$A$12:$C$414,3,0),0)</f>
        <v>0</v>
      </c>
      <c r="O363" s="7"/>
      <c r="P363" s="7">
        <f t="shared" si="34"/>
        <v>0</v>
      </c>
    </row>
    <row r="364" spans="1:16" x14ac:dyDescent="0.25">
      <c r="A364" s="8" t="s">
        <v>372</v>
      </c>
      <c r="B364" s="7">
        <v>7</v>
      </c>
      <c r="C364" s="7" t="s">
        <v>460</v>
      </c>
      <c r="D364" s="7" t="s">
        <v>460</v>
      </c>
      <c r="E364" s="7">
        <f>+IFERROR(+VLOOKUP(A364,'Trial Balance'!$A$12:$C$428,2,0),0)</f>
        <v>0</v>
      </c>
      <c r="F364" s="7"/>
      <c r="G364" s="7">
        <f t="shared" si="31"/>
        <v>0</v>
      </c>
      <c r="H364" s="7">
        <f>+IFERROR(+VLOOKUP(A364,'Trial Balance'!$A$12:$C$428,3,0),0)</f>
        <v>2456715</v>
      </c>
      <c r="I364" s="7"/>
      <c r="J364" s="7">
        <f t="shared" si="32"/>
        <v>2456715</v>
      </c>
      <c r="K364" s="7">
        <f>+IFERROR(+VLOOKUP(A364,'TB2019-20'!$A$12:$C$414,2,0),0)</f>
        <v>0</v>
      </c>
      <c r="L364" s="7"/>
      <c r="M364" s="7">
        <f t="shared" si="33"/>
        <v>0</v>
      </c>
      <c r="N364" s="7">
        <f>+IFERROR(+VLOOKUP(A364,'TB2019-20'!$A$12:$C$414,3,0),0)</f>
        <v>0</v>
      </c>
      <c r="O364" s="7"/>
      <c r="P364" s="7">
        <f t="shared" si="34"/>
        <v>0</v>
      </c>
    </row>
    <row r="365" spans="1:16" x14ac:dyDescent="0.25">
      <c r="A365" s="21" t="s">
        <v>675</v>
      </c>
      <c r="B365" s="7">
        <v>15</v>
      </c>
      <c r="C365" s="7" t="s">
        <v>469</v>
      </c>
      <c r="D365" s="7" t="s">
        <v>470</v>
      </c>
      <c r="E365" s="7">
        <f>+IFERROR(+VLOOKUP(A365,'Trial Balance'!$A$12:$C$428,2,0),0)</f>
        <v>0</v>
      </c>
      <c r="F365" s="7"/>
      <c r="G365" s="7">
        <f t="shared" si="31"/>
        <v>0</v>
      </c>
      <c r="H365" s="7">
        <f>+IFERROR(+VLOOKUP(A365,'Trial Balance'!$A$12:$C$428,3,0),0)</f>
        <v>0</v>
      </c>
      <c r="I365" s="7"/>
      <c r="J365" s="7">
        <f t="shared" si="32"/>
        <v>0</v>
      </c>
      <c r="K365" s="7">
        <f>+IFERROR(+VLOOKUP(A365,'TB2019-20'!$A$12:$C$414,2,0),0)</f>
        <v>556227</v>
      </c>
      <c r="L365" s="7"/>
      <c r="M365" s="7">
        <f t="shared" si="33"/>
        <v>556227</v>
      </c>
      <c r="N365" s="7">
        <f>+IFERROR(+VLOOKUP(A365,'TB2019-20'!$A$12:$C$414,3,0),0)</f>
        <v>0</v>
      </c>
      <c r="O365" s="7"/>
      <c r="P365" s="7">
        <f t="shared" si="34"/>
        <v>0</v>
      </c>
    </row>
    <row r="366" spans="1:16" x14ac:dyDescent="0.25">
      <c r="A366" s="17" t="s">
        <v>203</v>
      </c>
      <c r="B366" s="7">
        <v>15</v>
      </c>
      <c r="C366" s="7" t="s">
        <v>469</v>
      </c>
      <c r="D366" s="7" t="s">
        <v>470</v>
      </c>
      <c r="E366" s="7">
        <f>+IFERROR(+VLOOKUP(A366,'Trial Balance'!$A$12:$C$428,2,0),0)</f>
        <v>172778</v>
      </c>
      <c r="F366" s="7"/>
      <c r="G366" s="7">
        <f t="shared" si="31"/>
        <v>172778</v>
      </c>
      <c r="H366" s="7">
        <f>+IFERROR(+VLOOKUP(A366,'Trial Balance'!$A$12:$C$428,3,0),0)</f>
        <v>0</v>
      </c>
      <c r="I366" s="7"/>
      <c r="J366" s="7">
        <f t="shared" si="32"/>
        <v>0</v>
      </c>
      <c r="K366" s="7">
        <f>+IFERROR(+VLOOKUP(A366,'TB2019-20'!$A$12:$C$414,2,0),0)</f>
        <v>50433</v>
      </c>
      <c r="L366" s="7"/>
      <c r="M366" s="7">
        <f t="shared" si="33"/>
        <v>50433</v>
      </c>
      <c r="N366" s="7">
        <f>+IFERROR(+VLOOKUP(A366,'TB2019-20'!$A$12:$C$414,3,0),0)</f>
        <v>0</v>
      </c>
      <c r="O366" s="7"/>
      <c r="P366" s="7">
        <f t="shared" si="34"/>
        <v>0</v>
      </c>
    </row>
    <row r="367" spans="1:16" x14ac:dyDescent="0.25">
      <c r="A367" s="17" t="s">
        <v>676</v>
      </c>
      <c r="B367" s="7">
        <v>7</v>
      </c>
      <c r="C367" s="7" t="s">
        <v>460</v>
      </c>
      <c r="D367" s="7" t="s">
        <v>460</v>
      </c>
      <c r="E367" s="7">
        <f>+IFERROR(+VLOOKUP(A367,'Trial Balance'!$A$12:$C$428,2,0),0)</f>
        <v>0</v>
      </c>
      <c r="F367" s="7"/>
      <c r="G367" s="7">
        <f t="shared" si="31"/>
        <v>0</v>
      </c>
      <c r="H367" s="7">
        <f>+IFERROR(+VLOOKUP(A367,'Trial Balance'!$A$12:$C$428,3,0),0)</f>
        <v>0</v>
      </c>
      <c r="I367" s="7"/>
      <c r="J367" s="7">
        <f t="shared" si="32"/>
        <v>0</v>
      </c>
      <c r="K367" s="7">
        <f>+IFERROR(+VLOOKUP(A367,'TB2019-20'!$A$12:$C$414,2,0),0)</f>
        <v>0</v>
      </c>
      <c r="L367" s="7"/>
      <c r="M367" s="7">
        <f t="shared" si="33"/>
        <v>0</v>
      </c>
      <c r="N367" s="7">
        <f>+IFERROR(+VLOOKUP(A367,'TB2019-20'!$A$12:$C$414,3,0),0)</f>
        <v>54442</v>
      </c>
      <c r="O367" s="7"/>
      <c r="P367" s="7">
        <f t="shared" si="34"/>
        <v>54442</v>
      </c>
    </row>
    <row r="368" spans="1:16" x14ac:dyDescent="0.25">
      <c r="A368" s="19" t="s">
        <v>677</v>
      </c>
      <c r="B368" s="7">
        <v>7</v>
      </c>
      <c r="C368" s="7" t="s">
        <v>460</v>
      </c>
      <c r="D368" s="7" t="s">
        <v>462</v>
      </c>
      <c r="E368" s="7">
        <f>+IFERROR(+VLOOKUP(A368,'Trial Balance'!$A$12:$C$428,2,0),0)</f>
        <v>0</v>
      </c>
      <c r="F368" s="7"/>
      <c r="G368" s="7">
        <f t="shared" si="31"/>
        <v>0</v>
      </c>
      <c r="H368" s="7">
        <f>+IFERROR(+VLOOKUP(A368,'Trial Balance'!$A$12:$C$428,3,0),0)</f>
        <v>0</v>
      </c>
      <c r="I368" s="7"/>
      <c r="J368" s="7">
        <f t="shared" si="32"/>
        <v>0</v>
      </c>
      <c r="K368" s="7">
        <f>+IFERROR(+VLOOKUP(A368,'TB2019-20'!$A$12:$C$414,2,0),0)</f>
        <v>0</v>
      </c>
      <c r="L368" s="7"/>
      <c r="M368" s="7">
        <f t="shared" si="33"/>
        <v>0</v>
      </c>
      <c r="N368" s="7">
        <f>+IFERROR(+VLOOKUP(A368,'TB2019-20'!$A$12:$C$414,3,0),0)</f>
        <v>2950</v>
      </c>
      <c r="O368" s="7"/>
      <c r="P368" s="7">
        <f t="shared" si="34"/>
        <v>2950</v>
      </c>
    </row>
    <row r="369" spans="1:16" x14ac:dyDescent="0.25">
      <c r="A369" s="20" t="s">
        <v>678</v>
      </c>
      <c r="B369" s="7">
        <v>7</v>
      </c>
      <c r="C369" s="7" t="s">
        <v>460</v>
      </c>
      <c r="D369" s="7" t="s">
        <v>462</v>
      </c>
      <c r="E369" s="7">
        <f>+IFERROR(+VLOOKUP(A369,'Trial Balance'!$A$12:$C$428,2,0),0)</f>
        <v>0</v>
      </c>
      <c r="F369" s="7"/>
      <c r="G369" s="7">
        <f t="shared" si="31"/>
        <v>0</v>
      </c>
      <c r="H369" s="7">
        <f>+IFERROR(+VLOOKUP(A369,'Trial Balance'!$A$12:$C$428,3,0),0)</f>
        <v>0</v>
      </c>
      <c r="I369" s="7"/>
      <c r="J369" s="7">
        <f t="shared" si="32"/>
        <v>0</v>
      </c>
      <c r="K369" s="7">
        <f>+IFERROR(+VLOOKUP(A369,'TB2019-20'!$A$12:$C$414,2,0),0)</f>
        <v>0</v>
      </c>
      <c r="L369" s="7"/>
      <c r="M369" s="7">
        <f t="shared" si="33"/>
        <v>0</v>
      </c>
      <c r="N369" s="7">
        <f>+IFERROR(+VLOOKUP(A369,'TB2019-20'!$A$12:$C$414,3,0),0)</f>
        <v>23502</v>
      </c>
      <c r="O369" s="7"/>
      <c r="P369" s="7">
        <f t="shared" si="34"/>
        <v>23502</v>
      </c>
    </row>
    <row r="370" spans="1:16" x14ac:dyDescent="0.25">
      <c r="A370" s="8" t="s">
        <v>679</v>
      </c>
      <c r="B370" s="7">
        <v>7</v>
      </c>
      <c r="C370" s="7" t="s">
        <v>460</v>
      </c>
      <c r="D370" s="7" t="s">
        <v>462</v>
      </c>
      <c r="E370" s="7">
        <f>+IFERROR(+VLOOKUP(A370,'Trial Balance'!$A$12:$C$428,2,0),0)</f>
        <v>0</v>
      </c>
      <c r="F370" s="7"/>
      <c r="G370" s="7">
        <f t="shared" si="31"/>
        <v>0</v>
      </c>
      <c r="H370" s="7">
        <f>+IFERROR(+VLOOKUP(A370,'Trial Balance'!$A$12:$C$428,3,0),0)</f>
        <v>0</v>
      </c>
      <c r="I370" s="7"/>
      <c r="J370" s="7">
        <f t="shared" si="32"/>
        <v>0</v>
      </c>
      <c r="K370" s="7">
        <f>+IFERROR(+VLOOKUP(A370,'TB2019-20'!$A$12:$C$414,2,0),0)</f>
        <v>0</v>
      </c>
      <c r="L370" s="7"/>
      <c r="M370" s="7">
        <f t="shared" si="33"/>
        <v>0</v>
      </c>
      <c r="N370" s="7">
        <f>+IFERROR(+VLOOKUP(A370,'TB2019-20'!$A$12:$C$414,3,0),0)</f>
        <v>0</v>
      </c>
      <c r="O370" s="7"/>
      <c r="P370" s="7">
        <f t="shared" si="34"/>
        <v>0</v>
      </c>
    </row>
    <row r="371" spans="1:16" x14ac:dyDescent="0.25">
      <c r="A371" s="8" t="s">
        <v>680</v>
      </c>
      <c r="B371" s="7">
        <v>7</v>
      </c>
      <c r="C371" s="7" t="s">
        <v>460</v>
      </c>
      <c r="D371" s="7" t="s">
        <v>462</v>
      </c>
      <c r="E371" s="7">
        <f>+IFERROR(+VLOOKUP(A371,'Trial Balance'!$A$12:$C$428,2,0),0)</f>
        <v>0</v>
      </c>
      <c r="F371" s="7"/>
      <c r="G371" s="7">
        <f t="shared" si="31"/>
        <v>0</v>
      </c>
      <c r="H371" s="7">
        <f>+IFERROR(+VLOOKUP(A371,'Trial Balance'!$A$12:$C$428,3,0),0)</f>
        <v>0</v>
      </c>
      <c r="I371" s="7"/>
      <c r="J371" s="7">
        <f t="shared" si="32"/>
        <v>0</v>
      </c>
      <c r="K371" s="7">
        <f>+IFERROR(+VLOOKUP(A371,'TB2019-20'!$A$12:$C$414,2,0),0)</f>
        <v>0</v>
      </c>
      <c r="L371" s="7"/>
      <c r="M371" s="7">
        <f t="shared" si="33"/>
        <v>0</v>
      </c>
      <c r="N371" s="7">
        <f>+IFERROR(+VLOOKUP(A371,'TB2019-20'!$A$12:$C$414,3,0),0)</f>
        <v>0</v>
      </c>
      <c r="O371" s="7"/>
      <c r="P371" s="7">
        <f t="shared" si="34"/>
        <v>0</v>
      </c>
    </row>
    <row r="372" spans="1:16" x14ac:dyDescent="0.25">
      <c r="A372" s="17" t="s">
        <v>204</v>
      </c>
      <c r="B372" s="7">
        <v>4</v>
      </c>
      <c r="C372" s="7" t="s">
        <v>489</v>
      </c>
      <c r="D372" s="7" t="s">
        <v>490</v>
      </c>
      <c r="E372" s="7">
        <f>+IFERROR(+VLOOKUP(A372,'Trial Balance'!$A$12:$C$428,2,0),0)</f>
        <v>0</v>
      </c>
      <c r="F372" s="7"/>
      <c r="G372" s="7">
        <f t="shared" si="31"/>
        <v>0</v>
      </c>
      <c r="H372" s="7">
        <f>+IFERROR(+VLOOKUP(A372,'Trial Balance'!$A$12:$C$428,3,0),0)</f>
        <v>6384474</v>
      </c>
      <c r="I372" s="7"/>
      <c r="J372" s="7">
        <f t="shared" si="32"/>
        <v>6384474</v>
      </c>
      <c r="K372" s="7">
        <f>+IFERROR(+VLOOKUP(A372,'TB2019-20'!$A$12:$C$414,2,0),0)</f>
        <v>0</v>
      </c>
      <c r="L372" s="7"/>
      <c r="M372" s="7">
        <f t="shared" si="33"/>
        <v>0</v>
      </c>
      <c r="N372" s="7">
        <f>+IFERROR(+VLOOKUP(A372,'TB2019-20'!$A$12:$C$414,3,0),0)</f>
        <v>6498343</v>
      </c>
      <c r="O372" s="7"/>
      <c r="P372" s="7">
        <f t="shared" si="34"/>
        <v>6498343</v>
      </c>
    </row>
    <row r="373" spans="1:16" x14ac:dyDescent="0.25">
      <c r="A373" s="21" t="s">
        <v>681</v>
      </c>
      <c r="B373" s="7">
        <v>7</v>
      </c>
      <c r="C373" s="7" t="s">
        <v>460</v>
      </c>
      <c r="D373" s="7" t="s">
        <v>460</v>
      </c>
      <c r="E373" s="7">
        <f>+IFERROR(+VLOOKUP(A373,'Trial Balance'!$A$12:$C$428,2,0),0)</f>
        <v>0</v>
      </c>
      <c r="F373" s="7"/>
      <c r="G373" s="7">
        <f t="shared" si="31"/>
        <v>0</v>
      </c>
      <c r="H373" s="7">
        <f>+IFERROR(+VLOOKUP(A373,'Trial Balance'!$A$12:$C$428,3,0),0)</f>
        <v>0</v>
      </c>
      <c r="I373" s="7"/>
      <c r="J373" s="7">
        <f t="shared" si="32"/>
        <v>0</v>
      </c>
      <c r="K373" s="7">
        <f>+IFERROR(+VLOOKUP(A373,'TB2019-20'!$A$12:$C$414,2,0),0)</f>
        <v>0</v>
      </c>
      <c r="L373" s="7"/>
      <c r="M373" s="7">
        <f t="shared" si="33"/>
        <v>0</v>
      </c>
      <c r="N373" s="7">
        <f>+IFERROR(+VLOOKUP(A373,'TB2019-20'!$A$12:$C$414,3,0),0)</f>
        <v>6710</v>
      </c>
      <c r="O373" s="7"/>
      <c r="P373" s="7">
        <f t="shared" si="34"/>
        <v>6710</v>
      </c>
    </row>
    <row r="374" spans="1:16" x14ac:dyDescent="0.25">
      <c r="A374" s="17" t="s">
        <v>682</v>
      </c>
      <c r="B374" s="7">
        <v>15</v>
      </c>
      <c r="C374" s="7" t="s">
        <v>469</v>
      </c>
      <c r="D374" s="7" t="s">
        <v>470</v>
      </c>
      <c r="E374" s="7">
        <f>+IFERROR(+VLOOKUP(A374,'Trial Balance'!$A$12:$C$428,2,0),0)</f>
        <v>0</v>
      </c>
      <c r="F374" s="7"/>
      <c r="G374" s="7">
        <f t="shared" si="31"/>
        <v>0</v>
      </c>
      <c r="H374" s="7">
        <f>+IFERROR(+VLOOKUP(A374,'Trial Balance'!$A$12:$C$428,3,0),0)</f>
        <v>0</v>
      </c>
      <c r="I374" s="7"/>
      <c r="J374" s="7">
        <f t="shared" si="32"/>
        <v>0</v>
      </c>
      <c r="K374" s="7">
        <f>+IFERROR(+VLOOKUP(A374,'TB2019-20'!$A$12:$C$414,2,0),0)</f>
        <v>0</v>
      </c>
      <c r="L374" s="7"/>
      <c r="M374" s="7">
        <f t="shared" si="33"/>
        <v>0</v>
      </c>
      <c r="N374" s="7">
        <f>+IFERROR(+VLOOKUP(A374,'TB2019-20'!$A$12:$C$414,3,0),0)</f>
        <v>0</v>
      </c>
      <c r="O374" s="7"/>
      <c r="P374" s="7">
        <f t="shared" si="34"/>
        <v>0</v>
      </c>
    </row>
    <row r="375" spans="1:16" x14ac:dyDescent="0.25">
      <c r="A375" s="17" t="s">
        <v>683</v>
      </c>
      <c r="B375" s="7">
        <v>15</v>
      </c>
      <c r="C375" s="7" t="s">
        <v>469</v>
      </c>
      <c r="D375" s="7" t="s">
        <v>470</v>
      </c>
      <c r="E375" s="7">
        <f>+IFERROR(+VLOOKUP(A375,'Trial Balance'!$A$12:$C$428,2,0),0)</f>
        <v>0</v>
      </c>
      <c r="F375" s="7"/>
      <c r="G375" s="7">
        <f t="shared" si="31"/>
        <v>0</v>
      </c>
      <c r="H375" s="7">
        <f>+IFERROR(+VLOOKUP(A375,'Trial Balance'!$A$12:$C$428,3,0),0)</f>
        <v>0</v>
      </c>
      <c r="I375" s="7"/>
      <c r="J375" s="7">
        <f t="shared" si="32"/>
        <v>0</v>
      </c>
      <c r="K375" s="7">
        <f>+IFERROR(+VLOOKUP(A375,'TB2019-20'!$A$12:$C$414,2,0),0)</f>
        <v>0</v>
      </c>
      <c r="L375" s="7"/>
      <c r="M375" s="7">
        <f t="shared" si="33"/>
        <v>0</v>
      </c>
      <c r="N375" s="7">
        <f>+IFERROR(+VLOOKUP(A375,'TB2019-20'!$A$12:$C$414,3,0),0)</f>
        <v>0</v>
      </c>
      <c r="O375" s="7"/>
      <c r="P375" s="7">
        <f t="shared" si="34"/>
        <v>0</v>
      </c>
    </row>
    <row r="376" spans="1:16" x14ac:dyDescent="0.25">
      <c r="A376" s="22" t="s">
        <v>206</v>
      </c>
      <c r="B376" s="7">
        <v>15</v>
      </c>
      <c r="C376" s="7" t="s">
        <v>469</v>
      </c>
      <c r="D376" s="7" t="s">
        <v>470</v>
      </c>
      <c r="E376" s="7">
        <f>+IFERROR(+VLOOKUP(A376,'Trial Balance'!$A$12:$C$428,2,0),0)</f>
        <v>573513</v>
      </c>
      <c r="F376" s="7"/>
      <c r="G376" s="7">
        <f t="shared" si="31"/>
        <v>573513</v>
      </c>
      <c r="H376" s="7">
        <f>+IFERROR(+VLOOKUP(A376,'Trial Balance'!$A$12:$C$428,3,0),0)</f>
        <v>0</v>
      </c>
      <c r="I376" s="7"/>
      <c r="J376" s="7">
        <f t="shared" si="32"/>
        <v>0</v>
      </c>
      <c r="K376" s="7">
        <f>+IFERROR(+VLOOKUP(A376,'TB2019-20'!$A$12:$C$414,2,0),0)</f>
        <v>1680601</v>
      </c>
      <c r="L376" s="7"/>
      <c r="M376" s="7">
        <f t="shared" si="33"/>
        <v>1680601</v>
      </c>
      <c r="N376" s="7">
        <f>+IFERROR(+VLOOKUP(A376,'TB2019-20'!$A$12:$C$414,3,0),0)</f>
        <v>0</v>
      </c>
      <c r="O376" s="7"/>
      <c r="P376" s="7">
        <f t="shared" si="34"/>
        <v>0</v>
      </c>
    </row>
    <row r="377" spans="1:16" x14ac:dyDescent="0.25">
      <c r="A377" s="19" t="s">
        <v>684</v>
      </c>
      <c r="B377" s="7">
        <v>7</v>
      </c>
      <c r="C377" s="7" t="s">
        <v>460</v>
      </c>
      <c r="D377" s="7" t="s">
        <v>462</v>
      </c>
      <c r="E377" s="7">
        <f>+IFERROR(+VLOOKUP(A377,'Trial Balance'!$A$12:$C$428,2,0),0)</f>
        <v>0</v>
      </c>
      <c r="F377" s="7"/>
      <c r="G377" s="7">
        <f t="shared" si="31"/>
        <v>0</v>
      </c>
      <c r="H377" s="7">
        <f>+IFERROR(+VLOOKUP(A377,'Trial Balance'!$A$12:$C$428,3,0),0)</f>
        <v>0</v>
      </c>
      <c r="I377" s="7"/>
      <c r="J377" s="7">
        <f t="shared" si="32"/>
        <v>0</v>
      </c>
      <c r="K377" s="7">
        <f>+IFERROR(+VLOOKUP(A377,'TB2019-20'!$A$12:$C$414,2,0),0)</f>
        <v>0</v>
      </c>
      <c r="L377" s="7"/>
      <c r="M377" s="7">
        <f t="shared" si="33"/>
        <v>0</v>
      </c>
      <c r="N377" s="7">
        <f>+IFERROR(+VLOOKUP(A377,'TB2019-20'!$A$12:$C$414,3,0),0)</f>
        <v>6434</v>
      </c>
      <c r="O377" s="7"/>
      <c r="P377" s="7">
        <f t="shared" si="34"/>
        <v>6434</v>
      </c>
    </row>
    <row r="378" spans="1:16" x14ac:dyDescent="0.25">
      <c r="A378" s="23" t="s">
        <v>207</v>
      </c>
      <c r="B378" s="7">
        <v>12</v>
      </c>
      <c r="C378" s="7" t="s">
        <v>465</v>
      </c>
      <c r="D378" s="7" t="s">
        <v>478</v>
      </c>
      <c r="E378" s="7">
        <f>+IFERROR(+VLOOKUP(A378,'Trial Balance'!$A$12:$C$428,2,0),0)</f>
        <v>66000</v>
      </c>
      <c r="F378" s="7"/>
      <c r="G378" s="7">
        <f t="shared" si="31"/>
        <v>66000</v>
      </c>
      <c r="H378" s="7">
        <f>+IFERROR(+VLOOKUP(A378,'Trial Balance'!$A$12:$C$428,3,0),0)</f>
        <v>0</v>
      </c>
      <c r="I378" s="7"/>
      <c r="J378" s="7">
        <f t="shared" si="32"/>
        <v>0</v>
      </c>
      <c r="K378" s="7">
        <f>+IFERROR(+VLOOKUP(A378,'TB2019-20'!$A$12:$C$414,2,0),0)</f>
        <v>92000</v>
      </c>
      <c r="L378" s="7"/>
      <c r="M378" s="7">
        <f t="shared" si="33"/>
        <v>92000</v>
      </c>
      <c r="N378" s="7">
        <f>+IFERROR(+VLOOKUP(A378,'TB2019-20'!$A$12:$C$414,3,0),0)</f>
        <v>0</v>
      </c>
      <c r="O378" s="7"/>
      <c r="P378" s="7">
        <f t="shared" si="34"/>
        <v>0</v>
      </c>
    </row>
    <row r="379" spans="1:16" x14ac:dyDescent="0.25">
      <c r="A379" s="19" t="s">
        <v>685</v>
      </c>
      <c r="B379" s="7">
        <v>7</v>
      </c>
      <c r="C379" s="7" t="s">
        <v>460</v>
      </c>
      <c r="D379" s="7" t="s">
        <v>462</v>
      </c>
      <c r="E379" s="7">
        <f>+IFERROR(+VLOOKUP(A379,'Trial Balance'!$A$12:$C$428,2,0),0)</f>
        <v>0</v>
      </c>
      <c r="F379" s="7"/>
      <c r="G379" s="7">
        <f t="shared" si="31"/>
        <v>0</v>
      </c>
      <c r="H379" s="7">
        <f>+IFERROR(+VLOOKUP(A379,'Trial Balance'!$A$12:$C$428,3,0),0)</f>
        <v>0</v>
      </c>
      <c r="I379" s="7"/>
      <c r="J379" s="7">
        <f t="shared" si="32"/>
        <v>0</v>
      </c>
      <c r="K379" s="7">
        <f>+IFERROR(+VLOOKUP(A379,'TB2019-20'!$A$12:$C$414,2,0),0)</f>
        <v>0</v>
      </c>
      <c r="L379" s="7"/>
      <c r="M379" s="7">
        <f t="shared" si="33"/>
        <v>0</v>
      </c>
      <c r="N379" s="7">
        <f>+IFERROR(+VLOOKUP(A379,'TB2019-20'!$A$12:$C$414,3,0),0)</f>
        <v>21679</v>
      </c>
      <c r="O379" s="7"/>
      <c r="P379" s="7">
        <f t="shared" si="34"/>
        <v>21679</v>
      </c>
    </row>
    <row r="380" spans="1:16" x14ac:dyDescent="0.25">
      <c r="A380" s="19" t="s">
        <v>686</v>
      </c>
      <c r="B380" s="7">
        <v>7</v>
      </c>
      <c r="C380" s="7" t="s">
        <v>460</v>
      </c>
      <c r="D380" s="7" t="s">
        <v>462</v>
      </c>
      <c r="E380" s="7">
        <f>+IFERROR(+VLOOKUP(A380,'Trial Balance'!$A$12:$C$428,2,0),0)</f>
        <v>0</v>
      </c>
      <c r="F380" s="7"/>
      <c r="G380" s="7">
        <f t="shared" si="31"/>
        <v>0</v>
      </c>
      <c r="H380" s="7">
        <f>+IFERROR(+VLOOKUP(A380,'Trial Balance'!$A$12:$C$428,3,0),0)</f>
        <v>0</v>
      </c>
      <c r="I380" s="7"/>
      <c r="J380" s="7">
        <f t="shared" si="32"/>
        <v>0</v>
      </c>
      <c r="K380" s="7">
        <f>+IFERROR(+VLOOKUP(A380,'TB2019-20'!$A$12:$C$414,2,0),0)</f>
        <v>0</v>
      </c>
      <c r="L380" s="7"/>
      <c r="M380" s="7">
        <f t="shared" si="33"/>
        <v>0</v>
      </c>
      <c r="N380" s="7">
        <f>+IFERROR(+VLOOKUP(A380,'TB2019-20'!$A$12:$C$414,3,0),0)</f>
        <v>2463</v>
      </c>
      <c r="O380" s="7"/>
      <c r="P380" s="7">
        <f t="shared" si="34"/>
        <v>2463</v>
      </c>
    </row>
    <row r="381" spans="1:16" x14ac:dyDescent="0.25">
      <c r="A381" s="17" t="s">
        <v>210</v>
      </c>
      <c r="B381" s="7">
        <v>4</v>
      </c>
      <c r="C381" s="7" t="s">
        <v>489</v>
      </c>
      <c r="D381" s="7" t="s">
        <v>490</v>
      </c>
      <c r="E381" s="7">
        <f>+IFERROR(+VLOOKUP(A381,'Trial Balance'!$A$12:$C$428,2,0),0)</f>
        <v>0</v>
      </c>
      <c r="F381" s="7"/>
      <c r="G381" s="7">
        <f t="shared" si="31"/>
        <v>0</v>
      </c>
      <c r="H381" s="7">
        <f>+IFERROR(+VLOOKUP(A381,'Trial Balance'!$A$12:$C$428,3,0),0)</f>
        <v>3529583</v>
      </c>
      <c r="I381" s="7"/>
      <c r="J381" s="7">
        <f t="shared" si="32"/>
        <v>3529583</v>
      </c>
      <c r="K381" s="7">
        <f>+IFERROR(+VLOOKUP(A381,'TB2019-20'!$A$12:$C$414,2,0),0)</f>
        <v>0</v>
      </c>
      <c r="L381" s="7"/>
      <c r="M381" s="7">
        <f t="shared" si="33"/>
        <v>0</v>
      </c>
      <c r="N381" s="7">
        <f>+IFERROR(+VLOOKUP(A381,'TB2019-20'!$A$12:$C$414,3,0),0)</f>
        <v>3280041</v>
      </c>
      <c r="O381" s="7"/>
      <c r="P381" s="7">
        <f t="shared" si="34"/>
        <v>3280041</v>
      </c>
    </row>
    <row r="382" spans="1:16" x14ac:dyDescent="0.25">
      <c r="A382" s="17" t="s">
        <v>211</v>
      </c>
      <c r="B382" s="7">
        <v>7</v>
      </c>
      <c r="C382" s="7" t="s">
        <v>460</v>
      </c>
      <c r="D382" s="7" t="s">
        <v>460</v>
      </c>
      <c r="E382" s="7">
        <f>+IFERROR(+VLOOKUP(A382,'Trial Balance'!$A$12:$C$428,2,0),0)</f>
        <v>0</v>
      </c>
      <c r="F382" s="7"/>
      <c r="G382" s="7">
        <f t="shared" si="31"/>
        <v>0</v>
      </c>
      <c r="H382" s="7">
        <f>+IFERROR(+VLOOKUP(A382,'Trial Balance'!$A$12:$C$428,3,0),0)</f>
        <v>12238807.5</v>
      </c>
      <c r="I382" s="7"/>
      <c r="J382" s="7">
        <f t="shared" si="32"/>
        <v>12238807.5</v>
      </c>
      <c r="K382" s="7">
        <f>+IFERROR(+VLOOKUP(A382,'TB2019-20'!$A$12:$C$414,2,0),0)</f>
        <v>0</v>
      </c>
      <c r="L382" s="7"/>
      <c r="M382" s="7">
        <f t="shared" si="33"/>
        <v>0</v>
      </c>
      <c r="N382" s="7">
        <f>+IFERROR(+VLOOKUP(A382,'TB2019-20'!$A$12:$C$414,3,0),0)</f>
        <v>6148401</v>
      </c>
      <c r="O382" s="7"/>
      <c r="P382" s="7">
        <f t="shared" si="34"/>
        <v>6148401</v>
      </c>
    </row>
    <row r="383" spans="1:16" x14ac:dyDescent="0.25">
      <c r="A383" s="24" t="s">
        <v>212</v>
      </c>
      <c r="B383" s="7">
        <v>15</v>
      </c>
      <c r="C383" s="7" t="s">
        <v>469</v>
      </c>
      <c r="D383" s="7" t="s">
        <v>470</v>
      </c>
      <c r="E383" s="7">
        <f>+IFERROR(+VLOOKUP(A383,'Trial Balance'!$A$12:$C$428,2,0),0)</f>
        <v>0</v>
      </c>
      <c r="F383" s="7"/>
      <c r="G383" s="7">
        <f t="shared" si="31"/>
        <v>0</v>
      </c>
      <c r="H383" s="7">
        <f>+IFERROR(+VLOOKUP(A383,'Trial Balance'!$A$12:$C$428,3,0),0)</f>
        <v>0</v>
      </c>
      <c r="I383" s="7"/>
      <c r="J383" s="7">
        <f t="shared" si="32"/>
        <v>0</v>
      </c>
      <c r="K383" s="7">
        <f>+IFERROR(+VLOOKUP(A383,'TB2019-20'!$A$12:$C$414,2,0),0)</f>
        <v>0</v>
      </c>
      <c r="L383" s="7"/>
      <c r="M383" s="7">
        <f t="shared" si="33"/>
        <v>0</v>
      </c>
      <c r="N383" s="7">
        <f>+IFERROR(+VLOOKUP(A383,'TB2019-20'!$A$12:$C$414,3,0),0)</f>
        <v>22611</v>
      </c>
      <c r="O383" s="7"/>
      <c r="P383" s="7">
        <f t="shared" si="34"/>
        <v>22611</v>
      </c>
    </row>
    <row r="384" spans="1:16" x14ac:dyDescent="0.25">
      <c r="A384" s="21" t="s">
        <v>215</v>
      </c>
      <c r="B384" s="7">
        <v>12</v>
      </c>
      <c r="C384" s="7" t="s">
        <v>465</v>
      </c>
      <c r="D384" s="7" t="s">
        <v>478</v>
      </c>
      <c r="E384" s="7">
        <f>+IFERROR(+VLOOKUP(A384,'Trial Balance'!$A$12:$C$428,2,0),0)</f>
        <v>6000</v>
      </c>
      <c r="F384" s="7"/>
      <c r="G384" s="7">
        <f t="shared" si="31"/>
        <v>6000</v>
      </c>
      <c r="H384" s="7">
        <f>+IFERROR(+VLOOKUP(A384,'Trial Balance'!$A$12:$C$428,3,0),0)</f>
        <v>0</v>
      </c>
      <c r="I384" s="7"/>
      <c r="J384" s="7">
        <f t="shared" si="32"/>
        <v>0</v>
      </c>
      <c r="K384" s="7">
        <f>+IFERROR(+VLOOKUP(A384,'TB2019-20'!$A$12:$C$414,2,0),0)</f>
        <v>23000</v>
      </c>
      <c r="L384" s="7"/>
      <c r="M384" s="7">
        <f t="shared" si="33"/>
        <v>23000</v>
      </c>
      <c r="N384" s="7">
        <f>+IFERROR(+VLOOKUP(A384,'TB2019-20'!$A$12:$C$414,3,0),0)</f>
        <v>0</v>
      </c>
      <c r="O384" s="7"/>
      <c r="P384" s="7">
        <f t="shared" si="34"/>
        <v>0</v>
      </c>
    </row>
    <row r="385" spans="1:16" x14ac:dyDescent="0.25">
      <c r="A385" s="23" t="s">
        <v>687</v>
      </c>
      <c r="B385" s="7">
        <v>7</v>
      </c>
      <c r="C385" s="7" t="s">
        <v>460</v>
      </c>
      <c r="D385" s="7" t="s">
        <v>460</v>
      </c>
      <c r="E385" s="7">
        <f>+IFERROR(+VLOOKUP(A385,'Trial Balance'!$A$12:$C$428,2,0),0)</f>
        <v>0</v>
      </c>
      <c r="F385" s="7"/>
      <c r="G385" s="7">
        <f t="shared" si="31"/>
        <v>0</v>
      </c>
      <c r="H385" s="7">
        <f>+IFERROR(+VLOOKUP(A385,'Trial Balance'!$A$12:$C$428,3,0),0)</f>
        <v>0</v>
      </c>
      <c r="I385" s="7"/>
      <c r="J385" s="7">
        <f t="shared" si="32"/>
        <v>0</v>
      </c>
      <c r="K385" s="7">
        <f>+IFERROR(+VLOOKUP(A385,'TB2019-20'!$A$12:$C$414,2,0),0)</f>
        <v>0</v>
      </c>
      <c r="L385" s="7"/>
      <c r="M385" s="7">
        <f t="shared" si="33"/>
        <v>0</v>
      </c>
      <c r="N385" s="7">
        <f>+IFERROR(+VLOOKUP(A385,'TB2019-20'!$A$12:$C$414,3,0),0)</f>
        <v>0</v>
      </c>
      <c r="O385" s="7"/>
      <c r="P385" s="7">
        <f t="shared" si="34"/>
        <v>0</v>
      </c>
    </row>
    <row r="386" spans="1:16" x14ac:dyDescent="0.25">
      <c r="A386" s="17" t="s">
        <v>221</v>
      </c>
      <c r="B386" s="7">
        <v>7</v>
      </c>
      <c r="C386" s="7" t="s">
        <v>460</v>
      </c>
      <c r="D386" s="7" t="s">
        <v>462</v>
      </c>
      <c r="E386" s="7">
        <f>+IFERROR(+VLOOKUP(A386,'Trial Balance'!$A$12:$C$428,2,0),0)</f>
        <v>0</v>
      </c>
      <c r="F386" s="7"/>
      <c r="G386" s="7">
        <f t="shared" si="31"/>
        <v>0</v>
      </c>
      <c r="H386" s="7">
        <f>+IFERROR(+VLOOKUP(A386,'Trial Balance'!$A$12:$C$428,3,0),0)</f>
        <v>47229</v>
      </c>
      <c r="I386" s="7"/>
      <c r="J386" s="7">
        <f t="shared" si="32"/>
        <v>47229</v>
      </c>
      <c r="K386" s="7">
        <f>+IFERROR(+VLOOKUP(A386,'TB2019-20'!$A$12:$C$414,2,0),0)</f>
        <v>0</v>
      </c>
      <c r="L386" s="7"/>
      <c r="M386" s="7">
        <f t="shared" si="33"/>
        <v>0</v>
      </c>
      <c r="N386" s="7">
        <f>+IFERROR(+VLOOKUP(A386,'TB2019-20'!$A$12:$C$414,3,0),0)</f>
        <v>49045</v>
      </c>
      <c r="O386" s="7"/>
      <c r="P386" s="7">
        <f t="shared" si="34"/>
        <v>49045</v>
      </c>
    </row>
    <row r="387" spans="1:16" x14ac:dyDescent="0.25">
      <c r="A387" s="8" t="s">
        <v>216</v>
      </c>
      <c r="B387" s="7">
        <v>26</v>
      </c>
      <c r="C387" s="7" t="s">
        <v>467</v>
      </c>
      <c r="D387" s="7" t="s">
        <v>541</v>
      </c>
      <c r="E387" s="7">
        <f>+IFERROR(+VLOOKUP(A387,'Trial Balance'!$A$12:$C$428,2,0),0)</f>
        <v>14112</v>
      </c>
      <c r="F387" s="7"/>
      <c r="G387" s="7">
        <f t="shared" si="31"/>
        <v>14112</v>
      </c>
      <c r="H387" s="7">
        <f>+IFERROR(+VLOOKUP(A387,'Trial Balance'!$A$12:$C$428,3,0),0)</f>
        <v>0</v>
      </c>
      <c r="I387" s="7"/>
      <c r="J387" s="7">
        <f t="shared" si="32"/>
        <v>0</v>
      </c>
      <c r="K387" s="7">
        <f>+IFERROR(+VLOOKUP(A387,'TB2019-20'!$A$12:$C$414,2,0),0)</f>
        <v>14352</v>
      </c>
      <c r="L387" s="7"/>
      <c r="M387" s="7">
        <f t="shared" si="33"/>
        <v>14352</v>
      </c>
      <c r="N387" s="7">
        <f>+IFERROR(+VLOOKUP(A387,'TB2019-20'!$A$12:$C$414,3,0),0)</f>
        <v>0</v>
      </c>
      <c r="O387" s="7"/>
      <c r="P387" s="7">
        <f t="shared" si="34"/>
        <v>0</v>
      </c>
    </row>
    <row r="388" spans="1:16" x14ac:dyDescent="0.25">
      <c r="A388" s="7" t="s">
        <v>217</v>
      </c>
      <c r="B388" s="7">
        <v>7</v>
      </c>
      <c r="C388" s="7" t="s">
        <v>460</v>
      </c>
      <c r="D388" s="7" t="s">
        <v>460</v>
      </c>
      <c r="E388" s="7">
        <f>+IFERROR(+VLOOKUP(A388,'Trial Balance'!$A$12:$C$428,2,0),0)</f>
        <v>0</v>
      </c>
      <c r="F388" s="7"/>
      <c r="G388" s="7">
        <f t="shared" si="31"/>
        <v>0</v>
      </c>
      <c r="H388" s="7">
        <f>+IFERROR(+VLOOKUP(A388,'Trial Balance'!$A$12:$C$428,3,0),0)</f>
        <v>5721513</v>
      </c>
      <c r="I388" s="7"/>
      <c r="J388" s="7">
        <f t="shared" si="32"/>
        <v>5721513</v>
      </c>
      <c r="K388" s="7">
        <f>+IFERROR(+VLOOKUP(A388,'TB2019-20'!$A$12:$C$414,2,0),0)</f>
        <v>0</v>
      </c>
      <c r="L388" s="7"/>
      <c r="M388" s="7">
        <f t="shared" si="33"/>
        <v>0</v>
      </c>
      <c r="N388" s="7">
        <f>+IFERROR(+VLOOKUP(A388,'TB2019-20'!$A$12:$C$414,3,0),0)</f>
        <v>2096163</v>
      </c>
      <c r="O388" s="7"/>
      <c r="P388" s="7">
        <f t="shared" si="34"/>
        <v>2096163</v>
      </c>
    </row>
    <row r="389" spans="1:16" x14ac:dyDescent="0.25">
      <c r="A389" s="6" t="s">
        <v>218</v>
      </c>
      <c r="B389" s="7">
        <v>15</v>
      </c>
      <c r="C389" s="7" t="s">
        <v>469</v>
      </c>
      <c r="D389" s="7" t="s">
        <v>469</v>
      </c>
      <c r="E389" s="7">
        <f>+IFERROR(+VLOOKUP(A389,'Trial Balance'!$A$12:$C$428,2,0),0)</f>
        <v>45230726</v>
      </c>
      <c r="F389" s="7"/>
      <c r="G389" s="7">
        <f t="shared" si="31"/>
        <v>45230726</v>
      </c>
      <c r="H389" s="7">
        <f>+IFERROR(+VLOOKUP(A389,'Trial Balance'!$A$12:$C$428,3,0),0)</f>
        <v>0</v>
      </c>
      <c r="I389" s="7"/>
      <c r="J389" s="7">
        <f t="shared" si="32"/>
        <v>0</v>
      </c>
      <c r="K389" s="7">
        <f>+IFERROR(+VLOOKUP(A389,'TB2019-20'!$A$12:$C$414,2,0),0)</f>
        <v>16519422</v>
      </c>
      <c r="L389" s="7"/>
      <c r="M389" s="7">
        <f t="shared" si="33"/>
        <v>16519422</v>
      </c>
      <c r="N389" s="7">
        <f>+IFERROR(+VLOOKUP(A389,'TB2019-20'!$A$12:$C$414,3,0),0)</f>
        <v>0</v>
      </c>
      <c r="O389" s="7"/>
      <c r="P389" s="7">
        <f t="shared" si="34"/>
        <v>0</v>
      </c>
    </row>
    <row r="390" spans="1:16" x14ac:dyDescent="0.25">
      <c r="A390" s="8" t="s">
        <v>688</v>
      </c>
      <c r="B390" s="7">
        <v>15</v>
      </c>
      <c r="C390" s="7" t="s">
        <v>469</v>
      </c>
      <c r="D390" s="7" t="s">
        <v>469</v>
      </c>
      <c r="E390" s="7">
        <f>+IFERROR(+VLOOKUP(A390,'Trial Balance'!$A$12:$C$428,2,0),0)</f>
        <v>0</v>
      </c>
      <c r="F390" s="7"/>
      <c r="G390" s="7">
        <f t="shared" ref="G390:G453" si="39">+E390+F390</f>
        <v>0</v>
      </c>
      <c r="H390" s="7">
        <f>+IFERROR(+VLOOKUP(A390,'Trial Balance'!$A$12:$C$428,3,0),0)</f>
        <v>0</v>
      </c>
      <c r="I390" s="7"/>
      <c r="J390" s="7">
        <f t="shared" ref="J390:J453" si="40">+H390+I390</f>
        <v>0</v>
      </c>
      <c r="K390" s="7">
        <f>+IFERROR(+VLOOKUP(A390,'TB2019-20'!$A$12:$C$414,2,0),0)</f>
        <v>0</v>
      </c>
      <c r="L390" s="7"/>
      <c r="M390" s="7">
        <f t="shared" si="33"/>
        <v>0</v>
      </c>
      <c r="N390" s="7">
        <f>+IFERROR(+VLOOKUP(A390,'TB2019-20'!$A$12:$C$414,3,0),0)</f>
        <v>0</v>
      </c>
      <c r="O390" s="7"/>
      <c r="P390" s="7">
        <f t="shared" si="34"/>
        <v>0</v>
      </c>
    </row>
    <row r="391" spans="1:16" x14ac:dyDescent="0.25">
      <c r="A391" s="6" t="s">
        <v>219</v>
      </c>
      <c r="B391" s="7">
        <v>7</v>
      </c>
      <c r="C391" s="7" t="s">
        <v>460</v>
      </c>
      <c r="D391" s="7" t="s">
        <v>460</v>
      </c>
      <c r="E391" s="7">
        <f>+IFERROR(+VLOOKUP(A391,'Trial Balance'!$A$12:$C$428,2,0),0)</f>
        <v>0</v>
      </c>
      <c r="F391" s="7"/>
      <c r="G391" s="7">
        <f t="shared" si="39"/>
        <v>0</v>
      </c>
      <c r="H391" s="7">
        <f>+IFERROR(+VLOOKUP(A391,'Trial Balance'!$A$12:$C$428,3,0),0)</f>
        <v>0</v>
      </c>
      <c r="I391" s="7"/>
      <c r="J391" s="7">
        <f t="shared" si="40"/>
        <v>0</v>
      </c>
      <c r="K391" s="7">
        <f>+IFERROR(+VLOOKUP(A391,'TB2019-20'!$A$12:$C$414,2,0),0)</f>
        <v>0</v>
      </c>
      <c r="L391" s="7"/>
      <c r="M391" s="7">
        <f t="shared" si="33"/>
        <v>0</v>
      </c>
      <c r="N391" s="7">
        <f>+IFERROR(+VLOOKUP(A391,'TB2019-20'!$A$12:$C$414,3,0),0)</f>
        <v>635040</v>
      </c>
      <c r="O391" s="7"/>
      <c r="P391" s="7">
        <f t="shared" si="34"/>
        <v>635040</v>
      </c>
    </row>
    <row r="392" spans="1:16" x14ac:dyDescent="0.25">
      <c r="A392" s="6" t="s">
        <v>689</v>
      </c>
      <c r="B392" s="7">
        <v>26</v>
      </c>
      <c r="C392" s="7" t="s">
        <v>467</v>
      </c>
      <c r="D392" s="7" t="s">
        <v>541</v>
      </c>
      <c r="E392" s="7">
        <f>+IFERROR(+VLOOKUP(A392,'Trial Balance'!$A$12:$C$428,2,0),0)</f>
        <v>0</v>
      </c>
      <c r="F392" s="7"/>
      <c r="G392" s="7">
        <f t="shared" si="39"/>
        <v>0</v>
      </c>
      <c r="H392" s="7">
        <f>+IFERROR(+VLOOKUP(A392,'Trial Balance'!$A$12:$C$428,3,0),0)</f>
        <v>0</v>
      </c>
      <c r="I392" s="7"/>
      <c r="J392" s="7">
        <f t="shared" si="40"/>
        <v>0</v>
      </c>
      <c r="K392" s="7">
        <f>+IFERROR(+VLOOKUP(A392,'TB2019-20'!$A$12:$C$414,2,0),0)</f>
        <v>0</v>
      </c>
      <c r="L392" s="7"/>
      <c r="M392" s="7">
        <f t="shared" si="33"/>
        <v>0</v>
      </c>
      <c r="N392" s="7">
        <f>+IFERROR(+VLOOKUP(A392,'TB2019-20'!$A$12:$C$414,3,0),0)</f>
        <v>0</v>
      </c>
      <c r="O392" s="7"/>
      <c r="P392" s="7">
        <f t="shared" si="34"/>
        <v>0</v>
      </c>
    </row>
    <row r="393" spans="1:16" x14ac:dyDescent="0.25">
      <c r="A393" s="7" t="s">
        <v>690</v>
      </c>
      <c r="B393" s="7">
        <v>25</v>
      </c>
      <c r="C393" s="7" t="s">
        <v>521</v>
      </c>
      <c r="D393" s="7" t="s">
        <v>661</v>
      </c>
      <c r="E393" s="7">
        <f>+IFERROR(+VLOOKUP(A393,'Trial Balance'!$A$12:$C$428,2,0),0)</f>
        <v>0</v>
      </c>
      <c r="F393" s="7"/>
      <c r="G393" s="7">
        <f t="shared" si="39"/>
        <v>0</v>
      </c>
      <c r="H393" s="7">
        <f>+IFERROR(+VLOOKUP(A393,'Trial Balance'!$A$12:$C$428,3,0),0)</f>
        <v>0</v>
      </c>
      <c r="I393" s="7"/>
      <c r="J393" s="7">
        <f t="shared" si="40"/>
        <v>0</v>
      </c>
      <c r="K393" s="7">
        <f>+IFERROR(+VLOOKUP(A393,'TB2019-20'!$A$12:$C$414,2,0),0)</f>
        <v>0</v>
      </c>
      <c r="L393" s="7"/>
      <c r="M393" s="7">
        <f t="shared" si="33"/>
        <v>0</v>
      </c>
      <c r="N393" s="7">
        <f>+IFERROR(+VLOOKUP(A393,'TB2019-20'!$A$12:$C$414,3,0),0)</f>
        <v>0</v>
      </c>
      <c r="O393" s="7"/>
      <c r="P393" s="7">
        <f t="shared" si="34"/>
        <v>0</v>
      </c>
    </row>
    <row r="394" spans="1:16" x14ac:dyDescent="0.25">
      <c r="A394" s="7" t="s">
        <v>691</v>
      </c>
      <c r="B394" s="7">
        <v>24</v>
      </c>
      <c r="C394" s="7" t="s">
        <v>600</v>
      </c>
      <c r="D394" s="7" t="s">
        <v>601</v>
      </c>
      <c r="E394" s="7">
        <f>+IFERROR(+VLOOKUP(A394,'Trial Balance'!$A$12:$C$428,2,0),0)</f>
        <v>198086</v>
      </c>
      <c r="F394" s="7"/>
      <c r="G394" s="7">
        <f t="shared" si="39"/>
        <v>198086</v>
      </c>
      <c r="H394" s="7">
        <f>+IFERROR(+VLOOKUP(A394,'Trial Balance'!$A$12:$C$428,3,0),0)</f>
        <v>0</v>
      </c>
      <c r="I394" s="7"/>
      <c r="J394" s="7">
        <f t="shared" si="40"/>
        <v>0</v>
      </c>
      <c r="K394" s="7">
        <f>+IFERROR(+VLOOKUP(A394,'TB2019-20'!$A$12:$C$414,2,0),0)</f>
        <v>195649</v>
      </c>
      <c r="L394" s="7"/>
      <c r="M394" s="7">
        <f t="shared" si="33"/>
        <v>195649</v>
      </c>
      <c r="N394" s="7">
        <f>+IFERROR(+VLOOKUP(A394,'TB2019-20'!$A$12:$C$414,3,0),0)</f>
        <v>0</v>
      </c>
      <c r="O394" s="7"/>
      <c r="P394" s="7">
        <f t="shared" si="34"/>
        <v>0</v>
      </c>
    </row>
    <row r="395" spans="1:16" x14ac:dyDescent="0.25">
      <c r="A395" s="7" t="s">
        <v>692</v>
      </c>
      <c r="B395" s="7">
        <v>9</v>
      </c>
      <c r="C395" s="7" t="s">
        <v>587</v>
      </c>
      <c r="D395" s="7" t="s">
        <v>588</v>
      </c>
      <c r="E395" s="7">
        <f>+IFERROR(+VLOOKUP(A395,'Trial Balance'!$A$12:$C$428,2,0),0)</f>
        <v>0</v>
      </c>
      <c r="F395" s="7"/>
      <c r="G395" s="7">
        <f t="shared" si="39"/>
        <v>0</v>
      </c>
      <c r="H395" s="7">
        <f>+IFERROR(+VLOOKUP(A395,'Trial Balance'!$A$12:$C$428,3,0),0)</f>
        <v>198086</v>
      </c>
      <c r="I395" s="7"/>
      <c r="J395" s="7">
        <f t="shared" si="40"/>
        <v>198086</v>
      </c>
      <c r="K395" s="7">
        <f>+IFERROR(+VLOOKUP(A395,'TB2019-20'!$A$12:$C$414,2,0),0)</f>
        <v>0</v>
      </c>
      <c r="L395" s="7"/>
      <c r="M395" s="7">
        <f t="shared" si="33"/>
        <v>0</v>
      </c>
      <c r="N395" s="7">
        <f>+IFERROR(+VLOOKUP(A395,'TB2019-20'!$A$12:$C$414,3,0),0)</f>
        <v>195649</v>
      </c>
      <c r="O395" s="7"/>
      <c r="P395" s="7">
        <f t="shared" si="34"/>
        <v>195649</v>
      </c>
    </row>
    <row r="396" spans="1:16" x14ac:dyDescent="0.25">
      <c r="A396" s="7" t="s">
        <v>220</v>
      </c>
      <c r="B396" s="7">
        <v>26</v>
      </c>
      <c r="C396" s="7" t="s">
        <v>467</v>
      </c>
      <c r="D396" s="7" t="s">
        <v>565</v>
      </c>
      <c r="E396" s="7">
        <f>+IFERROR(+VLOOKUP(A396,'Trial Balance'!$A$12:$C$428,2,0),0)</f>
        <v>243920</v>
      </c>
      <c r="F396" s="7"/>
      <c r="G396" s="7">
        <f t="shared" si="39"/>
        <v>243920</v>
      </c>
      <c r="H396" s="7">
        <f>+IFERROR(+VLOOKUP(A396,'Trial Balance'!$A$12:$C$428,3,0),0)</f>
        <v>0</v>
      </c>
      <c r="I396" s="7"/>
      <c r="J396" s="7">
        <f t="shared" si="40"/>
        <v>0</v>
      </c>
      <c r="K396" s="7">
        <f>+IFERROR(+VLOOKUP(A396,'TB2019-20'!$A$12:$C$414,2,0),0)</f>
        <v>133198.18</v>
      </c>
      <c r="L396" s="7"/>
      <c r="M396" s="7">
        <f t="shared" ref="M396:M459" si="41">+K396+L396</f>
        <v>133198.18</v>
      </c>
      <c r="N396" s="7">
        <f>+IFERROR(+VLOOKUP(A396,'TB2019-20'!$A$12:$C$414,3,0),0)</f>
        <v>0</v>
      </c>
      <c r="O396" s="7"/>
      <c r="P396" s="7">
        <f t="shared" ref="P396:P459" si="42">+N396+O396</f>
        <v>0</v>
      </c>
    </row>
    <row r="397" spans="1:16" x14ac:dyDescent="0.25">
      <c r="A397" s="8" t="s">
        <v>693</v>
      </c>
      <c r="B397" s="7">
        <v>15</v>
      </c>
      <c r="C397" s="7" t="s">
        <v>469</v>
      </c>
      <c r="D397" s="7" t="s">
        <v>470</v>
      </c>
      <c r="E397" s="7">
        <f>+IFERROR(+VLOOKUP(A397,'Trial Balance'!$A$12:$C$428,2,0),0)</f>
        <v>0</v>
      </c>
      <c r="F397" s="7"/>
      <c r="G397" s="7">
        <f t="shared" si="39"/>
        <v>0</v>
      </c>
      <c r="H397" s="7">
        <f>+IFERROR(+VLOOKUP(A397,'Trial Balance'!$A$12:$C$428,3,0),0)</f>
        <v>0</v>
      </c>
      <c r="I397" s="7"/>
      <c r="J397" s="7">
        <f t="shared" si="40"/>
        <v>0</v>
      </c>
      <c r="K397" s="7">
        <f>+IFERROR(+VLOOKUP(A397,'TB2019-20'!$A$12:$C$414,2,0),0)</f>
        <v>288108</v>
      </c>
      <c r="L397" s="7"/>
      <c r="M397" s="7">
        <f t="shared" si="41"/>
        <v>288108</v>
      </c>
      <c r="N397" s="7">
        <f>+IFERROR(+VLOOKUP(A397,'TB2019-20'!$A$12:$C$414,3,0),0)</f>
        <v>0</v>
      </c>
      <c r="O397" s="7"/>
      <c r="P397" s="7">
        <f t="shared" si="42"/>
        <v>0</v>
      </c>
    </row>
    <row r="398" spans="1:16" x14ac:dyDescent="0.25">
      <c r="A398" s="6" t="s">
        <v>223</v>
      </c>
      <c r="B398" s="7">
        <v>7</v>
      </c>
      <c r="C398" s="7" t="s">
        <v>460</v>
      </c>
      <c r="D398" s="7" t="s">
        <v>460</v>
      </c>
      <c r="E398" s="7">
        <f>+IFERROR(+VLOOKUP(A398,'Trial Balance'!$A$12:$C$428,2,0),0)</f>
        <v>0</v>
      </c>
      <c r="F398" s="7"/>
      <c r="G398" s="7">
        <f t="shared" si="39"/>
        <v>0</v>
      </c>
      <c r="H398" s="7">
        <f>+IFERROR(+VLOOKUP(A398,'Trial Balance'!$A$12:$C$428,3,0),0)</f>
        <v>11871807.5</v>
      </c>
      <c r="I398" s="7"/>
      <c r="J398" s="7">
        <f t="shared" si="40"/>
        <v>11871807.5</v>
      </c>
      <c r="K398" s="7">
        <f>+IFERROR(+VLOOKUP(A398,'TB2019-20'!$A$12:$C$414,2,0),0)</f>
        <v>0</v>
      </c>
      <c r="L398" s="7"/>
      <c r="M398" s="7">
        <f t="shared" si="41"/>
        <v>0</v>
      </c>
      <c r="N398" s="7">
        <f>+IFERROR(+VLOOKUP(A398,'TB2019-20'!$A$12:$C$414,3,0),0)</f>
        <v>9718147</v>
      </c>
      <c r="O398" s="7"/>
      <c r="P398" s="7">
        <f t="shared" si="42"/>
        <v>9718147</v>
      </c>
    </row>
    <row r="399" spans="1:16" x14ac:dyDescent="0.25">
      <c r="A399" s="6" t="s">
        <v>224</v>
      </c>
      <c r="B399" s="7">
        <v>26</v>
      </c>
      <c r="C399" s="7" t="s">
        <v>467</v>
      </c>
      <c r="D399" s="7" t="s">
        <v>542</v>
      </c>
      <c r="E399" s="7">
        <f>+IFERROR(+VLOOKUP(A399,'Trial Balance'!$A$12:$C$428,2,0),0)</f>
        <v>136767</v>
      </c>
      <c r="F399" s="7"/>
      <c r="G399" s="7">
        <f t="shared" si="39"/>
        <v>136767</v>
      </c>
      <c r="H399" s="7">
        <f>+IFERROR(+VLOOKUP(A399,'Trial Balance'!$A$12:$C$428,3,0),0)</f>
        <v>0</v>
      </c>
      <c r="I399" s="7"/>
      <c r="J399" s="7">
        <f t="shared" si="40"/>
        <v>0</v>
      </c>
      <c r="K399" s="7">
        <f>+IFERROR(+VLOOKUP(A399,'TB2019-20'!$A$12:$C$414,2,0),0)</f>
        <v>149343</v>
      </c>
      <c r="L399" s="7"/>
      <c r="M399" s="7">
        <f t="shared" si="41"/>
        <v>149343</v>
      </c>
      <c r="N399" s="7">
        <f>+IFERROR(+VLOOKUP(A399,'TB2019-20'!$A$12:$C$414,3,0),0)</f>
        <v>0</v>
      </c>
      <c r="O399" s="7"/>
      <c r="P399" s="7">
        <f t="shared" si="42"/>
        <v>0</v>
      </c>
    </row>
    <row r="400" spans="1:16" x14ac:dyDescent="0.25">
      <c r="A400" s="7" t="s">
        <v>225</v>
      </c>
      <c r="B400" s="7">
        <v>26</v>
      </c>
      <c r="C400" s="7" t="s">
        <v>467</v>
      </c>
      <c r="D400" s="7" t="s">
        <v>542</v>
      </c>
      <c r="E400" s="7">
        <f>+IFERROR(+VLOOKUP(A400,'Trial Balance'!$A$12:$C$428,2,0),0)</f>
        <v>1020022</v>
      </c>
      <c r="F400" s="7"/>
      <c r="G400" s="7">
        <f t="shared" si="39"/>
        <v>1020022</v>
      </c>
      <c r="H400" s="7">
        <f>+IFERROR(+VLOOKUP(A400,'Trial Balance'!$A$12:$C$428,3,0),0)</f>
        <v>0</v>
      </c>
      <c r="I400" s="7"/>
      <c r="J400" s="7">
        <f t="shared" si="40"/>
        <v>0</v>
      </c>
      <c r="K400" s="7">
        <f>+IFERROR(+VLOOKUP(A400,'TB2019-20'!$A$12:$C$414,2,0),0)</f>
        <v>969798</v>
      </c>
      <c r="L400" s="7"/>
      <c r="M400" s="7">
        <f t="shared" si="41"/>
        <v>969798</v>
      </c>
      <c r="N400" s="7">
        <f>+IFERROR(+VLOOKUP(A400,'TB2019-20'!$A$12:$C$414,3,0),0)</f>
        <v>0</v>
      </c>
      <c r="O400" s="7"/>
      <c r="P400" s="7">
        <f t="shared" si="42"/>
        <v>0</v>
      </c>
    </row>
    <row r="401" spans="1:16" x14ac:dyDescent="0.25">
      <c r="A401" s="7" t="s">
        <v>694</v>
      </c>
      <c r="B401" s="7">
        <v>26</v>
      </c>
      <c r="C401" s="7" t="s">
        <v>467</v>
      </c>
      <c r="D401" s="7" t="s">
        <v>542</v>
      </c>
      <c r="E401" s="7">
        <f>+IFERROR(+VLOOKUP(A401,'Trial Balance'!$A$12:$C$428,2,0),0)</f>
        <v>1231418.3999999999</v>
      </c>
      <c r="F401" s="7"/>
      <c r="G401" s="7">
        <f t="shared" si="39"/>
        <v>1231418.3999999999</v>
      </c>
      <c r="H401" s="7">
        <f>+IFERROR(+VLOOKUP(A401,'Trial Balance'!$A$12:$C$428,3,0),0)</f>
        <v>0</v>
      </c>
      <c r="I401" s="7"/>
      <c r="J401" s="7">
        <f t="shared" si="40"/>
        <v>0</v>
      </c>
      <c r="K401" s="7">
        <f>+IFERROR(+VLOOKUP(A401,'TB2019-20'!$A$12:$C$414,2,0),0)</f>
        <v>1446914</v>
      </c>
      <c r="L401" s="7"/>
      <c r="M401" s="7">
        <f t="shared" si="41"/>
        <v>1446914</v>
      </c>
      <c r="N401" s="7">
        <f>+IFERROR(+VLOOKUP(A401,'TB2019-20'!$A$12:$C$414,3,0),0)</f>
        <v>0</v>
      </c>
      <c r="O401" s="7"/>
      <c r="P401" s="7">
        <f t="shared" si="42"/>
        <v>0</v>
      </c>
    </row>
    <row r="402" spans="1:16" x14ac:dyDescent="0.25">
      <c r="A402" s="7" t="s">
        <v>226</v>
      </c>
      <c r="B402" s="7">
        <v>26</v>
      </c>
      <c r="C402" s="7" t="s">
        <v>467</v>
      </c>
      <c r="D402" s="7" t="s">
        <v>542</v>
      </c>
      <c r="E402" s="7">
        <f>+IFERROR(+VLOOKUP(A402,'Trial Balance'!$A$12:$C$428,2,0),0)</f>
        <v>7737390.6699999999</v>
      </c>
      <c r="F402" s="7"/>
      <c r="G402" s="7">
        <f t="shared" si="39"/>
        <v>7737390.6699999999</v>
      </c>
      <c r="H402" s="7">
        <f>+IFERROR(+VLOOKUP(A402,'Trial Balance'!$A$12:$C$428,3,0),0)</f>
        <v>0</v>
      </c>
      <c r="I402" s="7"/>
      <c r="J402" s="7">
        <f t="shared" si="40"/>
        <v>0</v>
      </c>
      <c r="K402" s="7">
        <f>+IFERROR(+VLOOKUP(A402,'TB2019-20'!$A$12:$C$414,2,0),0)</f>
        <v>10783983.359999999</v>
      </c>
      <c r="L402" s="7"/>
      <c r="M402" s="7">
        <f t="shared" si="41"/>
        <v>10783983.359999999</v>
      </c>
      <c r="N402" s="7">
        <f>+IFERROR(+VLOOKUP(A402,'TB2019-20'!$A$12:$C$414,3,0),0)</f>
        <v>0</v>
      </c>
      <c r="O402" s="7"/>
      <c r="P402" s="7">
        <f t="shared" si="42"/>
        <v>0</v>
      </c>
    </row>
    <row r="403" spans="1:16" x14ac:dyDescent="0.25">
      <c r="A403" s="11" t="s">
        <v>695</v>
      </c>
      <c r="B403" s="7">
        <v>7</v>
      </c>
      <c r="C403" s="7" t="s">
        <v>460</v>
      </c>
      <c r="D403" s="7" t="s">
        <v>460</v>
      </c>
      <c r="E403" s="7">
        <f>+IFERROR(+VLOOKUP(A403,'Trial Balance'!$A$12:$C$428,2,0),0)</f>
        <v>0</v>
      </c>
      <c r="F403" s="7"/>
      <c r="G403" s="7">
        <f t="shared" si="39"/>
        <v>0</v>
      </c>
      <c r="H403" s="7">
        <f>+IFERROR(+VLOOKUP(A403,'Trial Balance'!$A$12:$C$428,3,0),0)</f>
        <v>0</v>
      </c>
      <c r="I403" s="7"/>
      <c r="J403" s="7">
        <f t="shared" si="40"/>
        <v>0</v>
      </c>
      <c r="K403" s="7">
        <f>+IFERROR(+VLOOKUP(A403,'TB2019-20'!$A$12:$C$414,2,0),0)</f>
        <v>0</v>
      </c>
      <c r="L403" s="7"/>
      <c r="M403" s="7">
        <f t="shared" si="41"/>
        <v>0</v>
      </c>
      <c r="N403" s="7">
        <f>+IFERROR(+VLOOKUP(A403,'TB2019-20'!$A$12:$C$414,3,0),0)</f>
        <v>55663</v>
      </c>
      <c r="O403" s="7"/>
      <c r="P403" s="7">
        <f t="shared" si="42"/>
        <v>55663</v>
      </c>
    </row>
    <row r="404" spans="1:16" x14ac:dyDescent="0.25">
      <c r="A404" s="17" t="s">
        <v>228</v>
      </c>
      <c r="B404" s="7">
        <v>17</v>
      </c>
      <c r="C404" s="7" t="s">
        <v>474</v>
      </c>
      <c r="D404" s="7" t="s">
        <v>475</v>
      </c>
      <c r="E404" s="7">
        <f>+IFERROR(+VLOOKUP(A404,'Trial Balance'!$A$12:$C$428,2,0),0)</f>
        <v>411283</v>
      </c>
      <c r="F404" s="7"/>
      <c r="G404" s="7">
        <f t="shared" si="39"/>
        <v>411283</v>
      </c>
      <c r="H404" s="7">
        <f>+IFERROR(+VLOOKUP(A404,'Trial Balance'!$A$12:$C$428,3,0),0)</f>
        <v>0</v>
      </c>
      <c r="I404" s="7"/>
      <c r="J404" s="7">
        <f t="shared" si="40"/>
        <v>0</v>
      </c>
      <c r="K404" s="7">
        <f>+IFERROR(+VLOOKUP(A404,'TB2019-20'!$A$12:$C$414,2,0),0)</f>
        <v>4609940</v>
      </c>
      <c r="L404" s="7"/>
      <c r="M404" s="7">
        <f t="shared" si="41"/>
        <v>4609940</v>
      </c>
      <c r="N404" s="7">
        <f>+IFERROR(+VLOOKUP(A404,'TB2019-20'!$A$12:$C$414,3,0),0)</f>
        <v>0</v>
      </c>
      <c r="O404" s="7"/>
      <c r="P404" s="7">
        <f t="shared" si="42"/>
        <v>0</v>
      </c>
    </row>
    <row r="405" spans="1:16" x14ac:dyDescent="0.25">
      <c r="A405" s="19" t="s">
        <v>230</v>
      </c>
      <c r="B405" s="7">
        <v>12</v>
      </c>
      <c r="C405" s="7" t="s">
        <v>465</v>
      </c>
      <c r="D405" s="7" t="s">
        <v>478</v>
      </c>
      <c r="E405" s="7">
        <f>+IFERROR(+VLOOKUP(A405,'Trial Balance'!$A$12:$C$428,2,0),0)</f>
        <v>11000</v>
      </c>
      <c r="F405" s="7"/>
      <c r="G405" s="7">
        <f t="shared" si="39"/>
        <v>11000</v>
      </c>
      <c r="H405" s="7">
        <f>+IFERROR(+VLOOKUP(A405,'Trial Balance'!$A$12:$C$428,3,0),0)</f>
        <v>0</v>
      </c>
      <c r="I405" s="7"/>
      <c r="J405" s="7">
        <f t="shared" si="40"/>
        <v>0</v>
      </c>
      <c r="K405" s="7">
        <f>+IFERROR(+VLOOKUP(A405,'TB2019-20'!$A$12:$C$414,2,0),0)</f>
        <v>0</v>
      </c>
      <c r="L405" s="7"/>
      <c r="M405" s="7">
        <f t="shared" si="41"/>
        <v>0</v>
      </c>
      <c r="N405" s="7">
        <f>+IFERROR(+VLOOKUP(A405,'TB2019-20'!$A$12:$C$414,3,0),0)</f>
        <v>0</v>
      </c>
      <c r="O405" s="7"/>
      <c r="P405" s="7">
        <f t="shared" si="42"/>
        <v>0</v>
      </c>
    </row>
    <row r="406" spans="1:16" x14ac:dyDescent="0.25">
      <c r="A406" s="19" t="s">
        <v>696</v>
      </c>
      <c r="B406" s="7">
        <v>7</v>
      </c>
      <c r="C406" s="7" t="s">
        <v>460</v>
      </c>
      <c r="D406" s="7" t="s">
        <v>462</v>
      </c>
      <c r="E406" s="7">
        <f>+IFERROR(+VLOOKUP(A406,'Trial Balance'!$A$12:$C$428,2,0),0)</f>
        <v>0</v>
      </c>
      <c r="F406" s="7"/>
      <c r="G406" s="7">
        <f t="shared" si="39"/>
        <v>0</v>
      </c>
      <c r="H406" s="7">
        <f>+IFERROR(+VLOOKUP(A406,'Trial Balance'!$A$12:$C$428,3,0),0)</f>
        <v>0</v>
      </c>
      <c r="I406" s="7"/>
      <c r="J406" s="7">
        <f t="shared" si="40"/>
        <v>0</v>
      </c>
      <c r="K406" s="7">
        <f>+IFERROR(+VLOOKUP(A406,'TB2019-20'!$A$12:$C$414,2,0),0)</f>
        <v>18479</v>
      </c>
      <c r="L406" s="7"/>
      <c r="M406" s="7">
        <f t="shared" si="41"/>
        <v>18479</v>
      </c>
      <c r="N406" s="7">
        <f>+IFERROR(+VLOOKUP(A406,'TB2019-20'!$A$12:$C$414,3,0),0)</f>
        <v>0</v>
      </c>
      <c r="O406" s="7"/>
      <c r="P406" s="7">
        <f t="shared" si="42"/>
        <v>0</v>
      </c>
    </row>
    <row r="407" spans="1:16" x14ac:dyDescent="0.25">
      <c r="A407" s="17" t="s">
        <v>697</v>
      </c>
      <c r="B407" s="7">
        <v>7</v>
      </c>
      <c r="C407" s="7" t="s">
        <v>460</v>
      </c>
      <c r="D407" s="7" t="s">
        <v>462</v>
      </c>
      <c r="E407" s="7">
        <f>+IFERROR(+VLOOKUP(A407,'Trial Balance'!$A$12:$C$428,2,0),0)</f>
        <v>0</v>
      </c>
      <c r="F407" s="7"/>
      <c r="G407" s="7">
        <f t="shared" si="39"/>
        <v>0</v>
      </c>
      <c r="H407" s="7">
        <f>+IFERROR(+VLOOKUP(A407,'Trial Balance'!$A$12:$C$428,3,0),0)</f>
        <v>0</v>
      </c>
      <c r="I407" s="7"/>
      <c r="J407" s="7">
        <f t="shared" si="40"/>
        <v>0</v>
      </c>
      <c r="K407" s="7">
        <f>+IFERROR(+VLOOKUP(A407,'TB2019-20'!$A$12:$C$414,2,0),0)</f>
        <v>0</v>
      </c>
      <c r="L407" s="7"/>
      <c r="M407" s="7">
        <f t="shared" si="41"/>
        <v>0</v>
      </c>
      <c r="N407" s="7">
        <f>+IFERROR(+VLOOKUP(A407,'TB2019-20'!$A$12:$C$414,3,0),0)</f>
        <v>15790</v>
      </c>
      <c r="O407" s="7"/>
      <c r="P407" s="7">
        <f t="shared" si="42"/>
        <v>15790</v>
      </c>
    </row>
    <row r="408" spans="1:16" x14ac:dyDescent="0.25">
      <c r="A408" s="17" t="s">
        <v>698</v>
      </c>
      <c r="B408" s="7">
        <v>12</v>
      </c>
      <c r="C408" s="7" t="s">
        <v>465</v>
      </c>
      <c r="D408" s="7" t="s">
        <v>478</v>
      </c>
      <c r="E408" s="7">
        <f>+IFERROR(+VLOOKUP(A408,'Trial Balance'!$A$12:$C$428,2,0),0)</f>
        <v>0</v>
      </c>
      <c r="F408" s="7"/>
      <c r="G408" s="7">
        <f t="shared" si="39"/>
        <v>0</v>
      </c>
      <c r="H408" s="7">
        <f>+IFERROR(+VLOOKUP(A408,'Trial Balance'!$A$12:$C$428,3,0),0)</f>
        <v>0</v>
      </c>
      <c r="I408" s="7"/>
      <c r="J408" s="7">
        <f t="shared" si="40"/>
        <v>0</v>
      </c>
      <c r="K408" s="7">
        <f>+IFERROR(+VLOOKUP(A408,'TB2019-20'!$A$12:$C$414,2,0),0)</f>
        <v>6000</v>
      </c>
      <c r="L408" s="7"/>
      <c r="M408" s="7">
        <f t="shared" si="41"/>
        <v>6000</v>
      </c>
      <c r="N408" s="7">
        <f>+IFERROR(+VLOOKUP(A408,'TB2019-20'!$A$12:$C$414,3,0),0)</f>
        <v>0</v>
      </c>
      <c r="O408" s="7"/>
      <c r="P408" s="7">
        <f t="shared" si="42"/>
        <v>0</v>
      </c>
    </row>
    <row r="409" spans="1:16" x14ac:dyDescent="0.25">
      <c r="A409" s="23" t="s">
        <v>233</v>
      </c>
      <c r="B409" s="7">
        <v>12</v>
      </c>
      <c r="C409" s="7" t="s">
        <v>465</v>
      </c>
      <c r="D409" s="7" t="s">
        <v>478</v>
      </c>
      <c r="E409" s="7">
        <f>+IFERROR(+VLOOKUP(A409,'Trial Balance'!$A$12:$C$428,2,0),0)</f>
        <v>8000</v>
      </c>
      <c r="F409" s="7"/>
      <c r="G409" s="7">
        <f t="shared" si="39"/>
        <v>8000</v>
      </c>
      <c r="H409" s="7">
        <f>+IFERROR(+VLOOKUP(A409,'Trial Balance'!$A$12:$C$428,3,0),0)</f>
        <v>0</v>
      </c>
      <c r="I409" s="7"/>
      <c r="J409" s="7">
        <f t="shared" si="40"/>
        <v>0</v>
      </c>
      <c r="K409" s="7">
        <f>+IFERROR(+VLOOKUP(A409,'TB2019-20'!$A$12:$C$414,2,0),0)</f>
        <v>26000</v>
      </c>
      <c r="L409" s="7"/>
      <c r="M409" s="7">
        <f t="shared" si="41"/>
        <v>26000</v>
      </c>
      <c r="N409" s="7">
        <f>+IFERROR(+VLOOKUP(A409,'TB2019-20'!$A$12:$C$414,3,0),0)</f>
        <v>0</v>
      </c>
      <c r="O409" s="7"/>
      <c r="P409" s="7">
        <f t="shared" si="42"/>
        <v>0</v>
      </c>
    </row>
    <row r="410" spans="1:16" x14ac:dyDescent="0.25">
      <c r="A410" s="17" t="s">
        <v>699</v>
      </c>
      <c r="B410" s="7">
        <v>12</v>
      </c>
      <c r="C410" s="7" t="s">
        <v>465</v>
      </c>
      <c r="D410" s="7" t="s">
        <v>700</v>
      </c>
      <c r="E410" s="7">
        <f>+IFERROR(+VLOOKUP(A410,'Trial Balance'!$A$12:$C$428,2,0),0)</f>
        <v>0</v>
      </c>
      <c r="F410" s="7"/>
      <c r="G410" s="7">
        <f t="shared" si="39"/>
        <v>0</v>
      </c>
      <c r="H410" s="7">
        <f>+IFERROR(+VLOOKUP(A410,'Trial Balance'!$A$12:$C$428,3,0),0)</f>
        <v>0</v>
      </c>
      <c r="I410" s="7"/>
      <c r="J410" s="7">
        <f t="shared" si="40"/>
        <v>0</v>
      </c>
      <c r="K410" s="7">
        <f>+IFERROR(+VLOOKUP(A410,'TB2019-20'!$A$12:$C$414,2,0),0)</f>
        <v>0</v>
      </c>
      <c r="L410" s="7"/>
      <c r="M410" s="7">
        <f t="shared" si="41"/>
        <v>0</v>
      </c>
      <c r="N410" s="7">
        <f>+IFERROR(+VLOOKUP(A410,'TB2019-20'!$A$12:$C$414,3,0),0)</f>
        <v>0</v>
      </c>
      <c r="O410" s="7"/>
      <c r="P410" s="7">
        <f t="shared" si="42"/>
        <v>0</v>
      </c>
    </row>
    <row r="411" spans="1:16" x14ac:dyDescent="0.25">
      <c r="A411" s="17" t="s">
        <v>701</v>
      </c>
      <c r="B411" s="7">
        <v>12</v>
      </c>
      <c r="C411" s="7" t="s">
        <v>465</v>
      </c>
      <c r="D411" s="7" t="s">
        <v>700</v>
      </c>
      <c r="E411" s="7">
        <f>+IFERROR(+VLOOKUP(A411,'Trial Balance'!$A$12:$C$428,2,0),0)</f>
        <v>0</v>
      </c>
      <c r="F411" s="7"/>
      <c r="G411" s="7">
        <f t="shared" si="39"/>
        <v>0</v>
      </c>
      <c r="H411" s="7">
        <f>+IFERROR(+VLOOKUP(A411,'Trial Balance'!$A$12:$C$428,3,0),0)</f>
        <v>0</v>
      </c>
      <c r="I411" s="7"/>
      <c r="J411" s="7">
        <f t="shared" si="40"/>
        <v>0</v>
      </c>
      <c r="K411" s="7">
        <f>+IFERROR(+VLOOKUP(A411,'TB2019-20'!$A$12:$C$414,2,0),0)</f>
        <v>0</v>
      </c>
      <c r="L411" s="7"/>
      <c r="M411" s="7">
        <f t="shared" si="41"/>
        <v>0</v>
      </c>
      <c r="N411" s="7">
        <f>+IFERROR(+VLOOKUP(A411,'TB2019-20'!$A$12:$C$414,3,0),0)</f>
        <v>0</v>
      </c>
      <c r="O411" s="7"/>
      <c r="P411" s="7">
        <f t="shared" si="42"/>
        <v>0</v>
      </c>
    </row>
    <row r="412" spans="1:16" x14ac:dyDescent="0.25">
      <c r="A412" s="17" t="s">
        <v>234</v>
      </c>
      <c r="B412" s="7">
        <v>12</v>
      </c>
      <c r="C412" s="7" t="s">
        <v>465</v>
      </c>
      <c r="D412" s="7" t="s">
        <v>700</v>
      </c>
      <c r="E412" s="7">
        <f>+IFERROR(+VLOOKUP(A412,'Trial Balance'!$A$12:$C$428,2,0),0)</f>
        <v>0</v>
      </c>
      <c r="F412" s="7"/>
      <c r="G412" s="7">
        <f t="shared" si="39"/>
        <v>0</v>
      </c>
      <c r="H412" s="7">
        <f>+IFERROR(+VLOOKUP(A412,'Trial Balance'!$A$12:$C$428,3,0),0)</f>
        <v>0</v>
      </c>
      <c r="I412" s="7"/>
      <c r="J412" s="7">
        <f t="shared" si="40"/>
        <v>0</v>
      </c>
      <c r="K412" s="7">
        <f>+IFERROR(+VLOOKUP(A412,'TB2019-20'!$A$12:$C$414,2,0),0)</f>
        <v>1021090</v>
      </c>
      <c r="L412" s="7"/>
      <c r="M412" s="7">
        <f t="shared" si="41"/>
        <v>1021090</v>
      </c>
      <c r="N412" s="7">
        <f>+IFERROR(+VLOOKUP(A412,'TB2019-20'!$A$12:$C$414,3,0),0)</f>
        <v>0</v>
      </c>
      <c r="O412" s="7"/>
      <c r="P412" s="7">
        <f t="shared" si="42"/>
        <v>0</v>
      </c>
    </row>
    <row r="413" spans="1:16" x14ac:dyDescent="0.25">
      <c r="A413" s="17" t="s">
        <v>235</v>
      </c>
      <c r="B413" s="7">
        <v>12</v>
      </c>
      <c r="C413" s="7" t="s">
        <v>465</v>
      </c>
      <c r="D413" s="7" t="s">
        <v>700</v>
      </c>
      <c r="E413" s="7">
        <f>+IFERROR(+VLOOKUP(A413,'Trial Balance'!$A$12:$C$428,2,0),0)</f>
        <v>0</v>
      </c>
      <c r="F413" s="7"/>
      <c r="G413" s="7">
        <f t="shared" si="39"/>
        <v>0</v>
      </c>
      <c r="H413" s="7">
        <f>+IFERROR(+VLOOKUP(A413,'Trial Balance'!$A$12:$C$428,3,0),0)</f>
        <v>0</v>
      </c>
      <c r="I413" s="7"/>
      <c r="J413" s="7">
        <f t="shared" si="40"/>
        <v>0</v>
      </c>
      <c r="K413" s="7">
        <f>+IFERROR(+VLOOKUP(A413,'TB2019-20'!$A$12:$C$414,2,0),0)</f>
        <v>6404071</v>
      </c>
      <c r="L413" s="7"/>
      <c r="M413" s="7">
        <f t="shared" si="41"/>
        <v>6404071</v>
      </c>
      <c r="N413" s="7">
        <f>+IFERROR(+VLOOKUP(A413,'TB2019-20'!$A$12:$C$414,3,0),0)</f>
        <v>0</v>
      </c>
      <c r="O413" s="7"/>
      <c r="P413" s="7">
        <f t="shared" si="42"/>
        <v>0</v>
      </c>
    </row>
    <row r="414" spans="1:16" x14ac:dyDescent="0.25">
      <c r="A414" s="17" t="s">
        <v>236</v>
      </c>
      <c r="B414" s="7">
        <v>12</v>
      </c>
      <c r="C414" s="7" t="s">
        <v>465</v>
      </c>
      <c r="D414" s="7" t="s">
        <v>700</v>
      </c>
      <c r="E414" s="7">
        <f>+IFERROR(+VLOOKUP(A414,'Trial Balance'!$A$12:$C$428,2,0),0)</f>
        <v>0</v>
      </c>
      <c r="F414" s="7"/>
      <c r="G414" s="7">
        <f t="shared" si="39"/>
        <v>0</v>
      </c>
      <c r="H414" s="7">
        <f>+IFERROR(+VLOOKUP(A414,'Trial Balance'!$A$12:$C$428,3,0),0)</f>
        <v>0</v>
      </c>
      <c r="I414" s="7"/>
      <c r="J414" s="7">
        <f t="shared" si="40"/>
        <v>0</v>
      </c>
      <c r="K414" s="7">
        <f>+IFERROR(+VLOOKUP(A414,'TB2019-20'!$A$12:$C$414,2,0),0)</f>
        <v>0</v>
      </c>
      <c r="L414" s="7"/>
      <c r="M414" s="7">
        <f t="shared" si="41"/>
        <v>0</v>
      </c>
      <c r="N414" s="7">
        <f>+IFERROR(+VLOOKUP(A414,'TB2019-20'!$A$12:$C$414,3,0),0)</f>
        <v>0</v>
      </c>
      <c r="O414" s="7"/>
      <c r="P414" s="7">
        <f t="shared" si="42"/>
        <v>0</v>
      </c>
    </row>
    <row r="415" spans="1:16" x14ac:dyDescent="0.25">
      <c r="A415" s="17" t="s">
        <v>237</v>
      </c>
      <c r="B415" s="7">
        <v>12</v>
      </c>
      <c r="C415" s="7" t="s">
        <v>465</v>
      </c>
      <c r="D415" s="7" t="s">
        <v>700</v>
      </c>
      <c r="E415" s="7">
        <f>+IFERROR(+VLOOKUP(A415,'Trial Balance'!$A$12:$C$428,2,0),0)</f>
        <v>0</v>
      </c>
      <c r="F415" s="7"/>
      <c r="G415" s="7">
        <f t="shared" si="39"/>
        <v>0</v>
      </c>
      <c r="H415" s="7">
        <f>+IFERROR(+VLOOKUP(A415,'Trial Balance'!$A$12:$C$428,3,0),0)</f>
        <v>0</v>
      </c>
      <c r="I415" s="7"/>
      <c r="J415" s="7">
        <f t="shared" si="40"/>
        <v>0</v>
      </c>
      <c r="K415" s="7">
        <f>+IFERROR(+VLOOKUP(A415,'TB2019-20'!$A$12:$C$414,2,0),0)</f>
        <v>479434</v>
      </c>
      <c r="L415" s="7"/>
      <c r="M415" s="7">
        <f t="shared" si="41"/>
        <v>479434</v>
      </c>
      <c r="N415" s="7">
        <f>+IFERROR(+VLOOKUP(A415,'TB2019-20'!$A$12:$C$414,3,0),0)</f>
        <v>0</v>
      </c>
      <c r="O415" s="7"/>
      <c r="P415" s="7">
        <f t="shared" si="42"/>
        <v>0</v>
      </c>
    </row>
    <row r="416" spans="1:16" x14ac:dyDescent="0.25">
      <c r="A416" s="19" t="s">
        <v>702</v>
      </c>
      <c r="B416" s="11">
        <v>7</v>
      </c>
      <c r="C416" s="7" t="s">
        <v>460</v>
      </c>
      <c r="D416" s="7" t="s">
        <v>460</v>
      </c>
      <c r="E416" s="7">
        <f>+IFERROR(+VLOOKUP(A416,'Trial Balance'!$A$12:$C$428,2,0),0)</f>
        <v>0</v>
      </c>
      <c r="F416" s="7"/>
      <c r="G416" s="7">
        <f t="shared" si="39"/>
        <v>0</v>
      </c>
      <c r="H416" s="7">
        <f>+IFERROR(+VLOOKUP(A416,'Trial Balance'!$A$12:$C$428,3,0),0)</f>
        <v>0</v>
      </c>
      <c r="I416" s="7"/>
      <c r="J416" s="7">
        <f t="shared" si="40"/>
        <v>0</v>
      </c>
      <c r="K416" s="7">
        <f>+IFERROR(+VLOOKUP(A416,'TB2019-20'!$A$12:$C$414,2,0),0)</f>
        <v>0</v>
      </c>
      <c r="L416" s="7"/>
      <c r="M416" s="7">
        <f t="shared" si="41"/>
        <v>0</v>
      </c>
      <c r="N416" s="7">
        <f>+IFERROR(+VLOOKUP(A416,'TB2019-20'!$A$12:$C$414,3,0),0)</f>
        <v>30472</v>
      </c>
      <c r="O416" s="7"/>
      <c r="P416" s="7">
        <f t="shared" si="42"/>
        <v>30472</v>
      </c>
    </row>
    <row r="417" spans="1:16" x14ac:dyDescent="0.25">
      <c r="A417" s="17" t="s">
        <v>703</v>
      </c>
      <c r="B417" s="7">
        <v>24</v>
      </c>
      <c r="C417" s="7" t="s">
        <v>600</v>
      </c>
      <c r="D417" s="7" t="s">
        <v>704</v>
      </c>
      <c r="E417" s="7">
        <f>+IFERROR(+VLOOKUP(A417,'Trial Balance'!$A$12:$C$428,2,0),0)</f>
        <v>306631</v>
      </c>
      <c r="F417" s="7"/>
      <c r="G417" s="7">
        <f t="shared" si="39"/>
        <v>306631</v>
      </c>
      <c r="H417" s="7">
        <f>+IFERROR(+VLOOKUP(A417,'Trial Balance'!$A$12:$C$428,3,0),0)</f>
        <v>0</v>
      </c>
      <c r="I417" s="7"/>
      <c r="J417" s="7">
        <f t="shared" si="40"/>
        <v>0</v>
      </c>
      <c r="K417" s="7">
        <f>+IFERROR(+VLOOKUP(A417,'TB2019-20'!$A$12:$C$414,2,0),0)</f>
        <v>239427</v>
      </c>
      <c r="L417" s="7"/>
      <c r="M417" s="7">
        <f t="shared" si="41"/>
        <v>239427</v>
      </c>
      <c r="N417" s="7">
        <f>+IFERROR(+VLOOKUP(A417,'TB2019-20'!$A$12:$C$414,3,0),0)</f>
        <v>0</v>
      </c>
      <c r="O417" s="7"/>
      <c r="P417" s="7">
        <f t="shared" si="42"/>
        <v>0</v>
      </c>
    </row>
    <row r="418" spans="1:16" x14ac:dyDescent="0.25">
      <c r="A418" s="17" t="s">
        <v>705</v>
      </c>
      <c r="B418" s="7">
        <v>26</v>
      </c>
      <c r="C418" s="7" t="s">
        <v>467</v>
      </c>
      <c r="D418" s="7" t="s">
        <v>493</v>
      </c>
      <c r="E418" s="7">
        <f>+IFERROR(+VLOOKUP(A418,'Trial Balance'!$A$12:$C$428,2,0),0)</f>
        <v>0</v>
      </c>
      <c r="F418" s="7"/>
      <c r="G418" s="7">
        <f t="shared" si="39"/>
        <v>0</v>
      </c>
      <c r="H418" s="7">
        <f>+IFERROR(+VLOOKUP(A418,'Trial Balance'!$A$12:$C$428,3,0),0)</f>
        <v>0</v>
      </c>
      <c r="I418" s="7"/>
      <c r="J418" s="7">
        <f t="shared" si="40"/>
        <v>0</v>
      </c>
      <c r="K418" s="7">
        <f>+IFERROR(+VLOOKUP(A418,'TB2019-20'!$A$12:$C$414,2,0),0)</f>
        <v>0</v>
      </c>
      <c r="L418" s="7"/>
      <c r="M418" s="7">
        <f t="shared" si="41"/>
        <v>0</v>
      </c>
      <c r="N418" s="7">
        <f>+IFERROR(+VLOOKUP(A418,'TB2019-20'!$A$12:$C$414,3,0),0)</f>
        <v>0</v>
      </c>
      <c r="O418" s="7"/>
      <c r="P418" s="7">
        <f t="shared" si="42"/>
        <v>0</v>
      </c>
    </row>
    <row r="419" spans="1:16" x14ac:dyDescent="0.25">
      <c r="A419" s="20" t="s">
        <v>706</v>
      </c>
      <c r="B419" s="7">
        <v>7</v>
      </c>
      <c r="C419" s="7" t="s">
        <v>460</v>
      </c>
      <c r="D419" s="7" t="s">
        <v>462</v>
      </c>
      <c r="E419" s="7">
        <f>+IFERROR(+VLOOKUP(A419,'Trial Balance'!$A$12:$C$428,2,0),0)</f>
        <v>0</v>
      </c>
      <c r="F419" s="7"/>
      <c r="G419" s="7">
        <f t="shared" si="39"/>
        <v>0</v>
      </c>
      <c r="H419" s="7">
        <f>+IFERROR(+VLOOKUP(A419,'Trial Balance'!$A$12:$C$428,3,0),0)</f>
        <v>0</v>
      </c>
      <c r="I419" s="7"/>
      <c r="J419" s="7">
        <f t="shared" si="40"/>
        <v>0</v>
      </c>
      <c r="K419" s="7">
        <f>+IFERROR(+VLOOKUP(A419,'TB2019-20'!$A$12:$C$414,2,0),0)</f>
        <v>0</v>
      </c>
      <c r="L419" s="7"/>
      <c r="M419" s="7">
        <f t="shared" si="41"/>
        <v>0</v>
      </c>
      <c r="N419" s="7">
        <f>+IFERROR(+VLOOKUP(A419,'TB2019-20'!$A$12:$C$414,3,0),0)</f>
        <v>0</v>
      </c>
      <c r="O419" s="7"/>
      <c r="P419" s="7">
        <f t="shared" si="42"/>
        <v>0</v>
      </c>
    </row>
    <row r="420" spans="1:16" x14ac:dyDescent="0.25">
      <c r="A420" s="23" t="s">
        <v>707</v>
      </c>
      <c r="B420" s="7">
        <v>12</v>
      </c>
      <c r="C420" s="7" t="s">
        <v>465</v>
      </c>
      <c r="D420" s="7" t="s">
        <v>478</v>
      </c>
      <c r="E420" s="7">
        <f>+IFERROR(+VLOOKUP(A420,'Trial Balance'!$A$12:$C$428,2,0),0)</f>
        <v>2000</v>
      </c>
      <c r="F420" s="7"/>
      <c r="G420" s="7">
        <f t="shared" si="39"/>
        <v>2000</v>
      </c>
      <c r="H420" s="7">
        <f>+IFERROR(+VLOOKUP(A420,'Trial Balance'!$A$12:$C$428,3,0),0)</f>
        <v>0</v>
      </c>
      <c r="I420" s="7"/>
      <c r="J420" s="7">
        <f t="shared" si="40"/>
        <v>0</v>
      </c>
      <c r="K420" s="7">
        <f>+IFERROR(+VLOOKUP(A420,'TB2019-20'!$A$12:$C$414,2,0),0)</f>
        <v>15000</v>
      </c>
      <c r="L420" s="7"/>
      <c r="M420" s="7">
        <f t="shared" si="41"/>
        <v>15000</v>
      </c>
      <c r="N420" s="7">
        <f>+IFERROR(+VLOOKUP(A420,'TB2019-20'!$A$12:$C$414,3,0),0)</f>
        <v>0</v>
      </c>
      <c r="O420" s="7"/>
      <c r="P420" s="7">
        <f t="shared" si="42"/>
        <v>0</v>
      </c>
    </row>
    <row r="421" spans="1:16" x14ac:dyDescent="0.25">
      <c r="A421" s="20" t="s">
        <v>708</v>
      </c>
      <c r="B421" s="7">
        <v>15</v>
      </c>
      <c r="C421" s="7" t="s">
        <v>469</v>
      </c>
      <c r="D421" s="7" t="s">
        <v>470</v>
      </c>
      <c r="E421" s="7">
        <f>+IFERROR(+VLOOKUP(A421,'Trial Balance'!$A$12:$C$428,2,0),0)</f>
        <v>0</v>
      </c>
      <c r="F421" s="7"/>
      <c r="G421" s="7">
        <f t="shared" si="39"/>
        <v>0</v>
      </c>
      <c r="H421" s="7">
        <f>+IFERROR(+VLOOKUP(A421,'Trial Balance'!$A$12:$C$428,3,0),0)</f>
        <v>0</v>
      </c>
      <c r="I421" s="7"/>
      <c r="J421" s="7">
        <f t="shared" si="40"/>
        <v>0</v>
      </c>
      <c r="K421" s="7">
        <f>+IFERROR(+VLOOKUP(A421,'TB2019-20'!$A$12:$C$414,2,0),0)</f>
        <v>0</v>
      </c>
      <c r="L421" s="7"/>
      <c r="M421" s="7">
        <f t="shared" si="41"/>
        <v>0</v>
      </c>
      <c r="N421" s="7">
        <f>+IFERROR(+VLOOKUP(A421,'TB2019-20'!$A$12:$C$414,3,0),0)</f>
        <v>0</v>
      </c>
      <c r="O421" s="7"/>
      <c r="P421" s="7">
        <f t="shared" si="42"/>
        <v>0</v>
      </c>
    </row>
    <row r="422" spans="1:16" x14ac:dyDescent="0.25">
      <c r="A422" s="20" t="s">
        <v>244</v>
      </c>
      <c r="B422" s="7">
        <v>17</v>
      </c>
      <c r="C422" s="7" t="s">
        <v>474</v>
      </c>
      <c r="D422" s="7" t="s">
        <v>475</v>
      </c>
      <c r="E422" s="7">
        <f>+IFERROR(+VLOOKUP(A422,'Trial Balance'!$A$12:$C$428,2,0),0)</f>
        <v>0</v>
      </c>
      <c r="F422" s="7"/>
      <c r="G422" s="7">
        <f t="shared" si="39"/>
        <v>0</v>
      </c>
      <c r="H422" s="7">
        <f>+IFERROR(+VLOOKUP(A422,'Trial Balance'!$A$12:$C$428,3,0),0)</f>
        <v>0</v>
      </c>
      <c r="I422" s="7"/>
      <c r="J422" s="7">
        <f t="shared" si="40"/>
        <v>0</v>
      </c>
      <c r="K422" s="7">
        <f>+IFERROR(+VLOOKUP(A422,'TB2019-20'!$A$12:$C$414,2,0),0)</f>
        <v>67712.89</v>
      </c>
      <c r="L422" s="7"/>
      <c r="M422" s="7">
        <f t="shared" si="41"/>
        <v>67712.89</v>
      </c>
      <c r="N422" s="7">
        <f>+IFERROR(+VLOOKUP(A422,'TB2019-20'!$A$12:$C$414,3,0),0)</f>
        <v>0</v>
      </c>
      <c r="O422" s="7"/>
      <c r="P422" s="7">
        <f t="shared" si="42"/>
        <v>0</v>
      </c>
    </row>
    <row r="423" spans="1:16" x14ac:dyDescent="0.25">
      <c r="A423" s="20" t="s">
        <v>709</v>
      </c>
      <c r="B423" s="7">
        <v>7</v>
      </c>
      <c r="C423" s="7" t="s">
        <v>460</v>
      </c>
      <c r="D423" s="7" t="s">
        <v>462</v>
      </c>
      <c r="E423" s="7">
        <f>+IFERROR(+VLOOKUP(A423,'Trial Balance'!$A$12:$C$428,2,0),0)</f>
        <v>0</v>
      </c>
      <c r="F423" s="7"/>
      <c r="G423" s="7">
        <f t="shared" si="39"/>
        <v>0</v>
      </c>
      <c r="H423" s="7">
        <f>+IFERROR(+VLOOKUP(A423,'Trial Balance'!$A$12:$C$428,3,0),0)</f>
        <v>0</v>
      </c>
      <c r="I423" s="7"/>
      <c r="J423" s="7">
        <f t="shared" si="40"/>
        <v>0</v>
      </c>
      <c r="K423" s="7">
        <f>+IFERROR(+VLOOKUP(A423,'TB2019-20'!$A$12:$C$414,2,0),0)</f>
        <v>0</v>
      </c>
      <c r="L423" s="7"/>
      <c r="M423" s="7">
        <f t="shared" si="41"/>
        <v>0</v>
      </c>
      <c r="N423" s="7">
        <f>+IFERROR(+VLOOKUP(A423,'TB2019-20'!$A$12:$C$414,3,0),0)</f>
        <v>0</v>
      </c>
      <c r="O423" s="7"/>
      <c r="P423" s="7">
        <f t="shared" si="42"/>
        <v>0</v>
      </c>
    </row>
    <row r="424" spans="1:16" x14ac:dyDescent="0.25">
      <c r="A424" s="20" t="s">
        <v>710</v>
      </c>
      <c r="B424" s="7">
        <v>7</v>
      </c>
      <c r="C424" s="7" t="s">
        <v>460</v>
      </c>
      <c r="D424" s="7" t="s">
        <v>462</v>
      </c>
      <c r="E424" s="7">
        <f>+IFERROR(+VLOOKUP(A424,'Trial Balance'!$A$12:$C$428,2,0),0)</f>
        <v>0</v>
      </c>
      <c r="F424" s="7"/>
      <c r="G424" s="7">
        <f t="shared" si="39"/>
        <v>0</v>
      </c>
      <c r="H424" s="7">
        <f>+IFERROR(+VLOOKUP(A424,'Trial Balance'!$A$12:$C$428,3,0),0)</f>
        <v>0</v>
      </c>
      <c r="I424" s="7"/>
      <c r="J424" s="7">
        <f t="shared" si="40"/>
        <v>0</v>
      </c>
      <c r="K424" s="7">
        <f>+IFERROR(+VLOOKUP(A424,'TB2019-20'!$A$12:$C$414,2,0),0)</f>
        <v>0</v>
      </c>
      <c r="L424" s="7"/>
      <c r="M424" s="7">
        <f t="shared" si="41"/>
        <v>0</v>
      </c>
      <c r="N424" s="7">
        <f>+IFERROR(+VLOOKUP(A424,'TB2019-20'!$A$12:$C$414,3,0),0)</f>
        <v>0</v>
      </c>
      <c r="O424" s="7"/>
      <c r="P424" s="7">
        <f t="shared" si="42"/>
        <v>0</v>
      </c>
    </row>
    <row r="425" spans="1:16" x14ac:dyDescent="0.25">
      <c r="A425" s="19" t="s">
        <v>245</v>
      </c>
      <c r="B425" s="7">
        <v>7</v>
      </c>
      <c r="C425" s="7" t="s">
        <v>460</v>
      </c>
      <c r="D425" s="7" t="s">
        <v>462</v>
      </c>
      <c r="E425" s="7">
        <f>+IFERROR(+VLOOKUP(A425,'Trial Balance'!$A$12:$C$428,2,0),0)</f>
        <v>0</v>
      </c>
      <c r="F425" s="7"/>
      <c r="G425" s="7">
        <f t="shared" si="39"/>
        <v>0</v>
      </c>
      <c r="H425" s="7">
        <f>+IFERROR(+VLOOKUP(A425,'Trial Balance'!$A$12:$C$428,3,0),0)</f>
        <v>20037</v>
      </c>
      <c r="I425" s="7"/>
      <c r="J425" s="7">
        <f t="shared" si="40"/>
        <v>20037</v>
      </c>
      <c r="K425" s="7">
        <f>+IFERROR(+VLOOKUP(A425,'TB2019-20'!$A$12:$C$414,2,0),0)</f>
        <v>0</v>
      </c>
      <c r="L425" s="7"/>
      <c r="M425" s="7">
        <f t="shared" si="41"/>
        <v>0</v>
      </c>
      <c r="N425" s="7">
        <f>+IFERROR(+VLOOKUP(A425,'TB2019-20'!$A$12:$C$414,3,0),0)</f>
        <v>14593</v>
      </c>
      <c r="O425" s="7"/>
      <c r="P425" s="7">
        <f t="shared" si="42"/>
        <v>14593</v>
      </c>
    </row>
    <row r="426" spans="1:16" x14ac:dyDescent="0.25">
      <c r="A426" s="23" t="s">
        <v>711</v>
      </c>
      <c r="B426" s="7">
        <v>12</v>
      </c>
      <c r="C426" s="7" t="s">
        <v>465</v>
      </c>
      <c r="D426" s="7" t="s">
        <v>478</v>
      </c>
      <c r="E426" s="7">
        <f>+IFERROR(+VLOOKUP(A426,'Trial Balance'!$A$12:$C$428,2,0),0)</f>
        <v>0</v>
      </c>
      <c r="F426" s="7"/>
      <c r="G426" s="7">
        <f t="shared" si="39"/>
        <v>0</v>
      </c>
      <c r="H426" s="7">
        <f>+IFERROR(+VLOOKUP(A426,'Trial Balance'!$A$12:$C$428,3,0),0)</f>
        <v>0</v>
      </c>
      <c r="I426" s="7"/>
      <c r="J426" s="7">
        <f t="shared" si="40"/>
        <v>0</v>
      </c>
      <c r="K426" s="7">
        <f>+IFERROR(+VLOOKUP(A426,'TB2019-20'!$A$12:$C$414,2,0),0)</f>
        <v>4000</v>
      </c>
      <c r="L426" s="7"/>
      <c r="M426" s="7">
        <f t="shared" si="41"/>
        <v>4000</v>
      </c>
      <c r="N426" s="7">
        <f>+IFERROR(+VLOOKUP(A426,'TB2019-20'!$A$12:$C$414,3,0),0)</f>
        <v>0</v>
      </c>
      <c r="O426" s="7"/>
      <c r="P426" s="7">
        <f t="shared" si="42"/>
        <v>0</v>
      </c>
    </row>
    <row r="427" spans="1:16" x14ac:dyDescent="0.25">
      <c r="A427" s="17" t="s">
        <v>712</v>
      </c>
      <c r="B427" s="7">
        <v>7</v>
      </c>
      <c r="C427" s="7" t="s">
        <v>460</v>
      </c>
      <c r="D427" s="7" t="s">
        <v>460</v>
      </c>
      <c r="E427" s="7">
        <f>+IFERROR(+VLOOKUP(A427,'Trial Balance'!$A$12:$C$428,2,0),0)</f>
        <v>0</v>
      </c>
      <c r="F427" s="7"/>
      <c r="G427" s="7">
        <f t="shared" si="39"/>
        <v>0</v>
      </c>
      <c r="H427" s="7">
        <f>+IFERROR(+VLOOKUP(A427,'Trial Balance'!$A$12:$C$428,3,0),0)</f>
        <v>0</v>
      </c>
      <c r="I427" s="7"/>
      <c r="J427" s="7">
        <f t="shared" si="40"/>
        <v>0</v>
      </c>
      <c r="K427" s="7">
        <f>+IFERROR(+VLOOKUP(A427,'TB2019-20'!$A$12:$C$414,2,0),0)</f>
        <v>0</v>
      </c>
      <c r="L427" s="7"/>
      <c r="M427" s="7">
        <f t="shared" si="41"/>
        <v>0</v>
      </c>
      <c r="N427" s="7">
        <f>+IFERROR(+VLOOKUP(A427,'TB2019-20'!$A$12:$C$414,3,0),0)</f>
        <v>0</v>
      </c>
      <c r="O427" s="7"/>
      <c r="P427" s="7">
        <f t="shared" si="42"/>
        <v>0</v>
      </c>
    </row>
    <row r="428" spans="1:16" x14ac:dyDescent="0.25">
      <c r="A428" s="23" t="s">
        <v>713</v>
      </c>
      <c r="B428" s="7">
        <v>12</v>
      </c>
      <c r="C428" s="7" t="s">
        <v>465</v>
      </c>
      <c r="D428" s="7" t="s">
        <v>478</v>
      </c>
      <c r="E428" s="7">
        <f>+IFERROR(+VLOOKUP(A428,'Trial Balance'!$A$12:$C$428,2,0),0)</f>
        <v>0</v>
      </c>
      <c r="F428" s="7"/>
      <c r="G428" s="7">
        <f t="shared" si="39"/>
        <v>0</v>
      </c>
      <c r="H428" s="7">
        <f>+IFERROR(+VLOOKUP(A428,'Trial Balance'!$A$12:$C$428,3,0),0)</f>
        <v>0</v>
      </c>
      <c r="I428" s="7"/>
      <c r="J428" s="7">
        <f t="shared" si="40"/>
        <v>0</v>
      </c>
      <c r="K428" s="7">
        <f>+IFERROR(+VLOOKUP(A428,'TB2019-20'!$A$12:$C$414,2,0),0)</f>
        <v>34000</v>
      </c>
      <c r="L428" s="7"/>
      <c r="M428" s="7">
        <f t="shared" si="41"/>
        <v>34000</v>
      </c>
      <c r="N428" s="7">
        <f>+IFERROR(+VLOOKUP(A428,'TB2019-20'!$A$12:$C$414,3,0),0)</f>
        <v>0</v>
      </c>
      <c r="O428" s="7"/>
      <c r="P428" s="7">
        <f t="shared" si="42"/>
        <v>0</v>
      </c>
    </row>
    <row r="429" spans="1:16" x14ac:dyDescent="0.25">
      <c r="A429" s="22" t="s">
        <v>714</v>
      </c>
      <c r="B429" s="7">
        <v>15</v>
      </c>
      <c r="C429" s="7" t="s">
        <v>469</v>
      </c>
      <c r="D429" s="7" t="s">
        <v>715</v>
      </c>
      <c r="E429" s="7">
        <f>+IFERROR(+VLOOKUP(A429,'Trial Balance'!$A$12:$C$428,2,0),0)</f>
        <v>0</v>
      </c>
      <c r="F429" s="7"/>
      <c r="G429" s="7">
        <f t="shared" si="39"/>
        <v>0</v>
      </c>
      <c r="H429" s="7">
        <f>+IFERROR(+VLOOKUP(A429,'Trial Balance'!$A$12:$C$428,3,0),0)</f>
        <v>0</v>
      </c>
      <c r="I429" s="7"/>
      <c r="J429" s="7">
        <f t="shared" si="40"/>
        <v>0</v>
      </c>
      <c r="K429" s="7">
        <f>+IFERROR(+VLOOKUP(A429,'TB2019-20'!$A$12:$C$414,2,0),0)</f>
        <v>3355331</v>
      </c>
      <c r="L429" s="7"/>
      <c r="M429" s="7">
        <f t="shared" si="41"/>
        <v>3355331</v>
      </c>
      <c r="N429" s="7">
        <f>+IFERROR(+VLOOKUP(A429,'TB2019-20'!$A$12:$C$414,3,0),0)</f>
        <v>0</v>
      </c>
      <c r="O429" s="7"/>
      <c r="P429" s="7">
        <f t="shared" si="42"/>
        <v>0</v>
      </c>
    </row>
    <row r="430" spans="1:16" x14ac:dyDescent="0.25">
      <c r="A430" s="19" t="s">
        <v>716</v>
      </c>
      <c r="B430" s="7">
        <v>7</v>
      </c>
      <c r="C430" s="7" t="s">
        <v>460</v>
      </c>
      <c r="D430" s="7" t="s">
        <v>462</v>
      </c>
      <c r="E430" s="7">
        <f>+IFERROR(+VLOOKUP(A430,'Trial Balance'!$A$12:$C$428,2,0),0)</f>
        <v>0</v>
      </c>
      <c r="F430" s="7"/>
      <c r="G430" s="7">
        <f t="shared" si="39"/>
        <v>0</v>
      </c>
      <c r="H430" s="7">
        <f>+IFERROR(+VLOOKUP(A430,'Trial Balance'!$A$12:$C$428,3,0),0)</f>
        <v>0</v>
      </c>
      <c r="I430" s="7"/>
      <c r="J430" s="7">
        <f t="shared" si="40"/>
        <v>0</v>
      </c>
      <c r="K430" s="7">
        <f>+IFERROR(+VLOOKUP(A430,'TB2019-20'!$A$12:$C$414,2,0),0)</f>
        <v>0</v>
      </c>
      <c r="L430" s="7"/>
      <c r="M430" s="7">
        <f t="shared" si="41"/>
        <v>0</v>
      </c>
      <c r="N430" s="7">
        <f>+IFERROR(+VLOOKUP(A430,'TB2019-20'!$A$12:$C$414,3,0),0)</f>
        <v>236422</v>
      </c>
      <c r="O430" s="7"/>
      <c r="P430" s="7">
        <f t="shared" si="42"/>
        <v>236422</v>
      </c>
    </row>
    <row r="431" spans="1:16" x14ac:dyDescent="0.25">
      <c r="A431" s="8" t="s">
        <v>717</v>
      </c>
      <c r="B431" s="7">
        <v>7</v>
      </c>
      <c r="C431" s="7" t="s">
        <v>460</v>
      </c>
      <c r="D431" s="7" t="s">
        <v>462</v>
      </c>
      <c r="E431" s="7">
        <f>+IFERROR(+VLOOKUP(A431,'Trial Balance'!$A$12:$C$428,2,0),0)</f>
        <v>0</v>
      </c>
      <c r="F431" s="7"/>
      <c r="G431" s="7">
        <f t="shared" si="39"/>
        <v>0</v>
      </c>
      <c r="H431" s="7">
        <f>+IFERROR(+VLOOKUP(A431,'Trial Balance'!$A$12:$C$428,3,0),0)</f>
        <v>0</v>
      </c>
      <c r="I431" s="7"/>
      <c r="J431" s="7">
        <f t="shared" si="40"/>
        <v>0</v>
      </c>
      <c r="K431" s="7">
        <f>+IFERROR(+VLOOKUP(A431,'TB2019-20'!$A$12:$C$414,2,0),0)</f>
        <v>0</v>
      </c>
      <c r="L431" s="7"/>
      <c r="M431" s="7">
        <f t="shared" si="41"/>
        <v>0</v>
      </c>
      <c r="N431" s="7">
        <f>+IFERROR(+VLOOKUP(A431,'TB2019-20'!$A$12:$C$414,3,0),0)</f>
        <v>22370</v>
      </c>
      <c r="O431" s="7"/>
      <c r="P431" s="7">
        <f t="shared" si="42"/>
        <v>22370</v>
      </c>
    </row>
    <row r="432" spans="1:16" x14ac:dyDescent="0.25">
      <c r="A432" s="7" t="s">
        <v>250</v>
      </c>
      <c r="B432" s="7">
        <v>26</v>
      </c>
      <c r="C432" s="7" t="s">
        <v>467</v>
      </c>
      <c r="D432" s="7" t="s">
        <v>541</v>
      </c>
      <c r="E432" s="7">
        <f>+IFERROR(+VLOOKUP(A432,'Trial Balance'!$A$12:$C$428,2,0),0)</f>
        <v>0</v>
      </c>
      <c r="F432" s="7"/>
      <c r="G432" s="7">
        <f t="shared" si="39"/>
        <v>0</v>
      </c>
      <c r="H432" s="7">
        <f>+IFERROR(+VLOOKUP(A432,'Trial Balance'!$A$12:$C$428,3,0),0)</f>
        <v>0</v>
      </c>
      <c r="I432" s="7"/>
      <c r="J432" s="7">
        <f t="shared" si="40"/>
        <v>0</v>
      </c>
      <c r="K432" s="7">
        <f>+IFERROR(+VLOOKUP(A432,'TB2019-20'!$A$12:$C$414,2,0),0)</f>
        <v>185312</v>
      </c>
      <c r="L432" s="7"/>
      <c r="M432" s="7">
        <f t="shared" si="41"/>
        <v>185312</v>
      </c>
      <c r="N432" s="7">
        <f>+IFERROR(+VLOOKUP(A432,'TB2019-20'!$A$12:$C$414,3,0),0)</f>
        <v>0</v>
      </c>
      <c r="O432" s="7"/>
      <c r="P432" s="7">
        <f t="shared" si="42"/>
        <v>0</v>
      </c>
    </row>
    <row r="433" spans="1:16" x14ac:dyDescent="0.25">
      <c r="A433" s="17" t="s">
        <v>718</v>
      </c>
      <c r="B433" s="7">
        <v>26</v>
      </c>
      <c r="C433" s="7" t="s">
        <v>467</v>
      </c>
      <c r="D433" s="7" t="s">
        <v>541</v>
      </c>
      <c r="E433" s="7">
        <f>+IFERROR(+VLOOKUP(A433,'Trial Balance'!$A$12:$C$428,2,0),0)</f>
        <v>0</v>
      </c>
      <c r="F433" s="7"/>
      <c r="G433" s="7">
        <f t="shared" si="39"/>
        <v>0</v>
      </c>
      <c r="H433" s="7">
        <f>+IFERROR(+VLOOKUP(A433,'Trial Balance'!$A$12:$C$428,3,0),0)</f>
        <v>0</v>
      </c>
      <c r="I433" s="7"/>
      <c r="J433" s="7">
        <f t="shared" si="40"/>
        <v>0</v>
      </c>
      <c r="K433" s="7">
        <f>+IFERROR(+VLOOKUP(A433,'TB2019-20'!$A$12:$C$414,2,0),0)</f>
        <v>0</v>
      </c>
      <c r="L433" s="7"/>
      <c r="M433" s="7">
        <f t="shared" si="41"/>
        <v>0</v>
      </c>
      <c r="N433" s="7">
        <f>+IFERROR(+VLOOKUP(A433,'TB2019-20'!$A$12:$C$414,3,0),0)</f>
        <v>0</v>
      </c>
      <c r="O433" s="7"/>
      <c r="P433" s="7">
        <f t="shared" si="42"/>
        <v>0</v>
      </c>
    </row>
    <row r="434" spans="1:16" x14ac:dyDescent="0.25">
      <c r="A434" s="20" t="s">
        <v>719</v>
      </c>
      <c r="B434" s="7">
        <v>26</v>
      </c>
      <c r="C434" s="7" t="s">
        <v>467</v>
      </c>
      <c r="D434" s="7" t="s">
        <v>541</v>
      </c>
      <c r="E434" s="7">
        <f>+IFERROR(+VLOOKUP(A434,'Trial Balance'!$A$12:$C$428,2,0),0)</f>
        <v>0</v>
      </c>
      <c r="F434" s="7"/>
      <c r="G434" s="7">
        <f t="shared" si="39"/>
        <v>0</v>
      </c>
      <c r="H434" s="7">
        <f>+IFERROR(+VLOOKUP(A434,'Trial Balance'!$A$12:$C$428,3,0),0)</f>
        <v>0</v>
      </c>
      <c r="I434" s="7"/>
      <c r="J434" s="7">
        <f t="shared" si="40"/>
        <v>0</v>
      </c>
      <c r="K434" s="7">
        <f>+IFERROR(+VLOOKUP(A434,'TB2019-20'!$A$12:$C$414,2,0),0)</f>
        <v>0</v>
      </c>
      <c r="L434" s="7"/>
      <c r="M434" s="7">
        <f t="shared" si="41"/>
        <v>0</v>
      </c>
      <c r="N434" s="7">
        <f>+IFERROR(+VLOOKUP(A434,'TB2019-20'!$A$12:$C$414,3,0),0)</f>
        <v>0</v>
      </c>
      <c r="O434" s="7"/>
      <c r="P434" s="7">
        <f t="shared" si="42"/>
        <v>0</v>
      </c>
    </row>
    <row r="435" spans="1:16" x14ac:dyDescent="0.25">
      <c r="A435" s="17" t="s">
        <v>720</v>
      </c>
      <c r="B435" s="7">
        <v>26</v>
      </c>
      <c r="C435" s="7" t="s">
        <v>467</v>
      </c>
      <c r="D435" s="7" t="s">
        <v>532</v>
      </c>
      <c r="E435" s="7">
        <f>+IFERROR(+VLOOKUP(A435,'Trial Balance'!$A$12:$C$428,2,0),0)</f>
        <v>104715</v>
      </c>
      <c r="F435" s="7"/>
      <c r="G435" s="7">
        <f t="shared" si="39"/>
        <v>104715</v>
      </c>
      <c r="H435" s="7">
        <f>+IFERROR(+VLOOKUP(A435,'Trial Balance'!$A$12:$C$428,3,0),0)</f>
        <v>0</v>
      </c>
      <c r="I435" s="7"/>
      <c r="J435" s="7">
        <f t="shared" si="40"/>
        <v>0</v>
      </c>
      <c r="K435" s="7">
        <f>+IFERROR(+VLOOKUP(A435,'TB2019-20'!$A$12:$C$414,2,0),0)</f>
        <v>53120</v>
      </c>
      <c r="L435" s="7"/>
      <c r="M435" s="7">
        <f t="shared" si="41"/>
        <v>53120</v>
      </c>
      <c r="N435" s="7">
        <f>+IFERROR(+VLOOKUP(A435,'TB2019-20'!$A$12:$C$414,3,0),0)</f>
        <v>0</v>
      </c>
      <c r="O435" s="7"/>
      <c r="P435" s="7">
        <f t="shared" si="42"/>
        <v>0</v>
      </c>
    </row>
    <row r="436" spans="1:16" x14ac:dyDescent="0.25">
      <c r="A436" s="17" t="s">
        <v>721</v>
      </c>
      <c r="B436" s="7">
        <v>26</v>
      </c>
      <c r="C436" s="7" t="s">
        <v>467</v>
      </c>
      <c r="D436" s="7" t="s">
        <v>532</v>
      </c>
      <c r="E436" s="7">
        <f>+IFERROR(+VLOOKUP(A436,'Trial Balance'!$A$12:$C$428,2,0),0)</f>
        <v>88900</v>
      </c>
      <c r="F436" s="7"/>
      <c r="G436" s="7">
        <f t="shared" si="39"/>
        <v>88900</v>
      </c>
      <c r="H436" s="7">
        <f>+IFERROR(+VLOOKUP(A436,'Trial Balance'!$A$12:$C$428,3,0),0)</f>
        <v>0</v>
      </c>
      <c r="I436" s="7"/>
      <c r="J436" s="7">
        <f t="shared" si="40"/>
        <v>0</v>
      </c>
      <c r="K436" s="7">
        <f>+IFERROR(+VLOOKUP(A436,'TB2019-20'!$A$12:$C$414,2,0),0)</f>
        <v>119340</v>
      </c>
      <c r="L436" s="7"/>
      <c r="M436" s="7">
        <f t="shared" si="41"/>
        <v>119340</v>
      </c>
      <c r="N436" s="7">
        <f>+IFERROR(+VLOOKUP(A436,'TB2019-20'!$A$12:$C$414,3,0),0)</f>
        <v>0</v>
      </c>
      <c r="O436" s="7"/>
      <c r="P436" s="7">
        <f t="shared" si="42"/>
        <v>0</v>
      </c>
    </row>
    <row r="437" spans="1:16" x14ac:dyDescent="0.25">
      <c r="A437" s="17" t="s">
        <v>253</v>
      </c>
      <c r="B437" s="7">
        <v>7</v>
      </c>
      <c r="C437" s="7" t="s">
        <v>460</v>
      </c>
      <c r="D437" s="7" t="s">
        <v>462</v>
      </c>
      <c r="E437" s="7">
        <f>+IFERROR(+VLOOKUP(A437,'Trial Balance'!$A$12:$C$428,2,0),0)</f>
        <v>0</v>
      </c>
      <c r="F437" s="7"/>
      <c r="G437" s="7">
        <f t="shared" si="39"/>
        <v>0</v>
      </c>
      <c r="H437" s="7">
        <f>+IFERROR(+VLOOKUP(A437,'Trial Balance'!$A$12:$C$428,3,0),0)</f>
        <v>5880</v>
      </c>
      <c r="I437" s="7"/>
      <c r="J437" s="7">
        <f t="shared" si="40"/>
        <v>5880</v>
      </c>
      <c r="K437" s="7">
        <f>+IFERROR(+VLOOKUP(A437,'TB2019-20'!$A$12:$C$414,2,0),0)</f>
        <v>0</v>
      </c>
      <c r="L437" s="7"/>
      <c r="M437" s="7">
        <f t="shared" si="41"/>
        <v>0</v>
      </c>
      <c r="N437" s="7">
        <f>+IFERROR(+VLOOKUP(A437,'TB2019-20'!$A$12:$C$414,3,0),0)</f>
        <v>4490</v>
      </c>
      <c r="O437" s="7"/>
      <c r="P437" s="7">
        <f t="shared" si="42"/>
        <v>4490</v>
      </c>
    </row>
    <row r="438" spans="1:16" x14ac:dyDescent="0.25">
      <c r="A438" s="17" t="s">
        <v>254</v>
      </c>
      <c r="B438" s="7">
        <v>10</v>
      </c>
      <c r="C438" s="7" t="s">
        <v>534</v>
      </c>
      <c r="D438" s="7" t="s">
        <v>535</v>
      </c>
      <c r="E438" s="7">
        <f>+IFERROR(+VLOOKUP(A438,'Trial Balance'!$A$12:$C$428,2,0),0)</f>
        <v>1024059.47</v>
      </c>
      <c r="F438" s="7"/>
      <c r="G438" s="7">
        <f t="shared" si="39"/>
        <v>1024059.47</v>
      </c>
      <c r="H438" s="7">
        <f>+IFERROR(+VLOOKUP(A438,'Trial Balance'!$A$12:$C$428,3,0),0)</f>
        <v>0</v>
      </c>
      <c r="I438" s="7"/>
      <c r="J438" s="7">
        <f t="shared" si="40"/>
        <v>0</v>
      </c>
      <c r="K438" s="7">
        <f>+IFERROR(+VLOOKUP(A438,'TB2019-20'!$A$12:$C$414,2,0),0)</f>
        <v>918177.38</v>
      </c>
      <c r="L438" s="7"/>
      <c r="M438" s="7">
        <f t="shared" si="41"/>
        <v>918177.38</v>
      </c>
      <c r="N438" s="7">
        <f>+IFERROR(+VLOOKUP(A438,'TB2019-20'!$A$12:$C$414,3,0),0)</f>
        <v>0</v>
      </c>
      <c r="O438" s="7"/>
      <c r="P438" s="7">
        <f t="shared" si="42"/>
        <v>0</v>
      </c>
    </row>
    <row r="439" spans="1:16" x14ac:dyDescent="0.25">
      <c r="A439" s="17" t="s">
        <v>722</v>
      </c>
      <c r="B439" s="7">
        <v>26</v>
      </c>
      <c r="C439" s="7" t="s">
        <v>467</v>
      </c>
      <c r="D439" s="7" t="s">
        <v>532</v>
      </c>
      <c r="E439" s="7">
        <f>+IFERROR(+VLOOKUP(A439,'Trial Balance'!$A$12:$C$428,2,0),0)</f>
        <v>59486</v>
      </c>
      <c r="F439" s="7"/>
      <c r="G439" s="7">
        <f t="shared" si="39"/>
        <v>59486</v>
      </c>
      <c r="H439" s="7">
        <f>+IFERROR(+VLOOKUP(A439,'Trial Balance'!$A$12:$C$428,3,0),0)</f>
        <v>0</v>
      </c>
      <c r="I439" s="7"/>
      <c r="J439" s="7">
        <f t="shared" si="40"/>
        <v>0</v>
      </c>
      <c r="K439" s="7">
        <f>+IFERROR(+VLOOKUP(A439,'TB2019-20'!$A$12:$C$414,2,0),0)</f>
        <v>202053</v>
      </c>
      <c r="L439" s="7"/>
      <c r="M439" s="7">
        <f t="shared" si="41"/>
        <v>202053</v>
      </c>
      <c r="N439" s="7">
        <f>+IFERROR(+VLOOKUP(A439,'TB2019-20'!$A$12:$C$414,3,0),0)</f>
        <v>0</v>
      </c>
      <c r="O439" s="7"/>
      <c r="P439" s="7">
        <f t="shared" si="42"/>
        <v>0</v>
      </c>
    </row>
    <row r="440" spans="1:16" x14ac:dyDescent="0.25">
      <c r="A440" s="17" t="s">
        <v>723</v>
      </c>
      <c r="B440" s="7">
        <v>26</v>
      </c>
      <c r="C440" s="7" t="s">
        <v>467</v>
      </c>
      <c r="D440" s="7" t="s">
        <v>641</v>
      </c>
      <c r="E440" s="7">
        <f>+IFERROR(+VLOOKUP(A440,'Trial Balance'!$A$12:$C$428,2,0),0)</f>
        <v>312000</v>
      </c>
      <c r="F440" s="7"/>
      <c r="G440" s="7">
        <f t="shared" si="39"/>
        <v>312000</v>
      </c>
      <c r="H440" s="7">
        <f>+IFERROR(+VLOOKUP(A440,'Trial Balance'!$A$12:$C$428,3,0),0)</f>
        <v>0</v>
      </c>
      <c r="I440" s="7"/>
      <c r="J440" s="7">
        <f t="shared" si="40"/>
        <v>0</v>
      </c>
      <c r="K440" s="7">
        <f>+IFERROR(+VLOOKUP(A440,'TB2019-20'!$A$12:$C$414,2,0),0)</f>
        <v>312000</v>
      </c>
      <c r="L440" s="7"/>
      <c r="M440" s="7">
        <f t="shared" si="41"/>
        <v>312000</v>
      </c>
      <c r="N440" s="7">
        <f>+IFERROR(+VLOOKUP(A440,'TB2019-20'!$A$12:$C$414,3,0),0)</f>
        <v>0</v>
      </c>
      <c r="O440" s="7"/>
      <c r="P440" s="7">
        <f t="shared" si="42"/>
        <v>0</v>
      </c>
    </row>
    <row r="441" spans="1:16" x14ac:dyDescent="0.25">
      <c r="A441" s="17" t="s">
        <v>724</v>
      </c>
      <c r="B441" s="7">
        <v>26</v>
      </c>
      <c r="C441" s="7" t="s">
        <v>467</v>
      </c>
      <c r="D441" s="7" t="s">
        <v>532</v>
      </c>
      <c r="E441" s="7">
        <f>+IFERROR(+VLOOKUP(A441,'Trial Balance'!$A$12:$C$428,2,0),0)</f>
        <v>42660</v>
      </c>
      <c r="F441" s="7"/>
      <c r="G441" s="7">
        <f t="shared" si="39"/>
        <v>42660</v>
      </c>
      <c r="H441" s="7">
        <f>+IFERROR(+VLOOKUP(A441,'Trial Balance'!$A$12:$C$428,3,0),0)</f>
        <v>0</v>
      </c>
      <c r="I441" s="7"/>
      <c r="J441" s="7">
        <f t="shared" si="40"/>
        <v>0</v>
      </c>
      <c r="K441" s="7">
        <f>+IFERROR(+VLOOKUP(A441,'TB2019-20'!$A$12:$C$414,2,0),0)</f>
        <v>104473</v>
      </c>
      <c r="L441" s="7"/>
      <c r="M441" s="7">
        <f t="shared" si="41"/>
        <v>104473</v>
      </c>
      <c r="N441" s="7">
        <f>+IFERROR(+VLOOKUP(A441,'TB2019-20'!$A$12:$C$414,3,0),0)</f>
        <v>0</v>
      </c>
      <c r="O441" s="7"/>
      <c r="P441" s="7">
        <f t="shared" si="42"/>
        <v>0</v>
      </c>
    </row>
    <row r="442" spans="1:16" x14ac:dyDescent="0.25">
      <c r="A442" s="17" t="s">
        <v>725</v>
      </c>
      <c r="B442" s="7">
        <v>17</v>
      </c>
      <c r="C442" s="7" t="s">
        <v>474</v>
      </c>
      <c r="D442" s="7" t="s">
        <v>475</v>
      </c>
      <c r="E442" s="7">
        <f>+IFERROR(+VLOOKUP(A442,'Trial Balance'!$A$12:$C$428,2,0),0)</f>
        <v>0</v>
      </c>
      <c r="F442" s="7"/>
      <c r="G442" s="7">
        <f t="shared" si="39"/>
        <v>0</v>
      </c>
      <c r="H442" s="7">
        <f>+IFERROR(+VLOOKUP(A442,'Trial Balance'!$A$12:$C$428,3,0),0)</f>
        <v>0</v>
      </c>
      <c r="I442" s="7"/>
      <c r="J442" s="7">
        <f t="shared" si="40"/>
        <v>0</v>
      </c>
      <c r="K442" s="7">
        <f>+IFERROR(+VLOOKUP(A442,'TB2019-20'!$A$12:$C$414,2,0),0)</f>
        <v>25000</v>
      </c>
      <c r="L442" s="7"/>
      <c r="M442" s="7">
        <f t="shared" si="41"/>
        <v>25000</v>
      </c>
      <c r="N442" s="7">
        <f>+IFERROR(+VLOOKUP(A442,'TB2019-20'!$A$12:$C$414,3,0),0)</f>
        <v>0</v>
      </c>
      <c r="O442" s="7"/>
      <c r="P442" s="7">
        <f t="shared" si="42"/>
        <v>0</v>
      </c>
    </row>
    <row r="443" spans="1:16" x14ac:dyDescent="0.25">
      <c r="A443" s="25" t="s">
        <v>13</v>
      </c>
      <c r="B443" s="26"/>
      <c r="C443" s="26" t="s">
        <v>726</v>
      </c>
      <c r="D443" s="26" t="s">
        <v>726</v>
      </c>
      <c r="E443" s="7">
        <f>+IFERROR(+VLOOKUP(A443,'Trial Balance'!$A$12:$C$428,2,0),0)</f>
        <v>67823511</v>
      </c>
      <c r="F443" s="7"/>
      <c r="G443" s="7">
        <f t="shared" si="39"/>
        <v>67823511</v>
      </c>
      <c r="H443" s="7">
        <f>+IFERROR(+VLOOKUP(A443,'Trial Balance'!$A$12:$C$428,3,0),0)</f>
        <v>0</v>
      </c>
      <c r="I443" s="7"/>
      <c r="J443" s="7">
        <f t="shared" si="40"/>
        <v>0</v>
      </c>
      <c r="K443" s="7">
        <f>+IFERROR(+VLOOKUP(A443,'TB2019-20'!$A$12:$C$414,2,0),0)</f>
        <v>51184927.25</v>
      </c>
      <c r="L443" s="7"/>
      <c r="M443" s="7">
        <f t="shared" si="41"/>
        <v>51184927.25</v>
      </c>
      <c r="N443" s="7">
        <f>+IFERROR(+VLOOKUP(A443,'TB2019-20'!$A$12:$C$414,3,0),0)</f>
        <v>0</v>
      </c>
      <c r="O443" s="7"/>
      <c r="P443" s="7">
        <f t="shared" si="42"/>
        <v>0</v>
      </c>
    </row>
    <row r="444" spans="1:16" x14ac:dyDescent="0.25">
      <c r="A444" s="22" t="s">
        <v>258</v>
      </c>
      <c r="B444" s="7">
        <v>15</v>
      </c>
      <c r="C444" s="7" t="s">
        <v>469</v>
      </c>
      <c r="D444" s="7" t="s">
        <v>470</v>
      </c>
      <c r="E444" s="7">
        <f>+IFERROR(+VLOOKUP(A444,'Trial Balance'!$A$12:$C$428,2,0),0)</f>
        <v>2929</v>
      </c>
      <c r="F444" s="7"/>
      <c r="G444" s="7">
        <f t="shared" si="39"/>
        <v>2929</v>
      </c>
      <c r="H444" s="7">
        <f>+IFERROR(+VLOOKUP(A444,'Trial Balance'!$A$12:$C$428,3,0),0)</f>
        <v>0</v>
      </c>
      <c r="I444" s="7"/>
      <c r="J444" s="7">
        <f t="shared" si="40"/>
        <v>0</v>
      </c>
      <c r="K444" s="7">
        <f>+IFERROR(+VLOOKUP(A444,'TB2019-20'!$A$12:$C$414,2,0),0)</f>
        <v>501681</v>
      </c>
      <c r="L444" s="7"/>
      <c r="M444" s="7">
        <f t="shared" si="41"/>
        <v>501681</v>
      </c>
      <c r="N444" s="7">
        <f>+IFERROR(+VLOOKUP(A444,'TB2019-20'!$A$12:$C$414,3,0),0)</f>
        <v>0</v>
      </c>
      <c r="O444" s="7"/>
      <c r="P444" s="7">
        <f t="shared" si="42"/>
        <v>0</v>
      </c>
    </row>
    <row r="445" spans="1:16" x14ac:dyDescent="0.25">
      <c r="A445" s="20" t="s">
        <v>259</v>
      </c>
      <c r="B445" s="7">
        <v>15</v>
      </c>
      <c r="C445" s="7" t="s">
        <v>469</v>
      </c>
      <c r="D445" s="7" t="s">
        <v>470</v>
      </c>
      <c r="E445" s="7">
        <f>+IFERROR(+VLOOKUP(A445,'Trial Balance'!$A$12:$C$428,2,0),0)</f>
        <v>189048</v>
      </c>
      <c r="F445" s="7"/>
      <c r="G445" s="7">
        <f t="shared" si="39"/>
        <v>189048</v>
      </c>
      <c r="H445" s="7">
        <f>+IFERROR(+VLOOKUP(A445,'Trial Balance'!$A$12:$C$428,3,0),0)</f>
        <v>0</v>
      </c>
      <c r="I445" s="7"/>
      <c r="J445" s="7">
        <f t="shared" si="40"/>
        <v>0</v>
      </c>
      <c r="K445" s="7">
        <f>+IFERROR(+VLOOKUP(A445,'TB2019-20'!$A$12:$C$414,2,0),0)</f>
        <v>361758</v>
      </c>
      <c r="L445" s="7"/>
      <c r="M445" s="7">
        <f t="shared" si="41"/>
        <v>361758</v>
      </c>
      <c r="N445" s="7">
        <f>+IFERROR(+VLOOKUP(A445,'TB2019-20'!$A$12:$C$414,3,0),0)</f>
        <v>0</v>
      </c>
      <c r="O445" s="7"/>
      <c r="P445" s="7">
        <f t="shared" si="42"/>
        <v>0</v>
      </c>
    </row>
    <row r="446" spans="1:16" x14ac:dyDescent="0.25">
      <c r="A446" s="7" t="s">
        <v>260</v>
      </c>
      <c r="B446" s="7">
        <v>22</v>
      </c>
      <c r="C446" s="7" t="s">
        <v>557</v>
      </c>
      <c r="D446" s="7" t="s">
        <v>558</v>
      </c>
      <c r="E446" s="7">
        <f>+IFERROR(+VLOOKUP(A446,'Trial Balance'!$A$12:$C$428,2,0),0)</f>
        <v>23600</v>
      </c>
      <c r="F446" s="7"/>
      <c r="G446" s="7">
        <f t="shared" si="39"/>
        <v>23600</v>
      </c>
      <c r="H446" s="7">
        <f>+IFERROR(+VLOOKUP(A446,'Trial Balance'!$A$12:$C$428,3,0),0)</f>
        <v>0</v>
      </c>
      <c r="I446" s="7"/>
      <c r="J446" s="7">
        <f t="shared" si="40"/>
        <v>0</v>
      </c>
      <c r="K446" s="7">
        <f>+IFERROR(+VLOOKUP(A446,'TB2019-20'!$A$12:$C$414,2,0),0)</f>
        <v>33607</v>
      </c>
      <c r="L446" s="7"/>
      <c r="M446" s="7">
        <f t="shared" si="41"/>
        <v>33607</v>
      </c>
      <c r="N446" s="7">
        <f>+IFERROR(+VLOOKUP(A446,'TB2019-20'!$A$12:$C$414,3,0),0)</f>
        <v>0</v>
      </c>
      <c r="O446" s="7"/>
      <c r="P446" s="7">
        <f t="shared" si="42"/>
        <v>0</v>
      </c>
    </row>
    <row r="447" spans="1:16" x14ac:dyDescent="0.25">
      <c r="A447" s="17" t="s">
        <v>261</v>
      </c>
      <c r="B447" s="7">
        <v>22</v>
      </c>
      <c r="C447" s="7" t="s">
        <v>557</v>
      </c>
      <c r="D447" s="7" t="s">
        <v>558</v>
      </c>
      <c r="E447" s="7">
        <f>+IFERROR(+VLOOKUP(A447,'Trial Balance'!$A$12:$C$428,2,0),0)</f>
        <v>3600</v>
      </c>
      <c r="F447" s="7"/>
      <c r="G447" s="7">
        <f t="shared" si="39"/>
        <v>3600</v>
      </c>
      <c r="H447" s="7">
        <f>+IFERROR(+VLOOKUP(A447,'Trial Balance'!$A$12:$C$428,3,0),0)</f>
        <v>0</v>
      </c>
      <c r="I447" s="7"/>
      <c r="J447" s="7">
        <f t="shared" si="40"/>
        <v>0</v>
      </c>
      <c r="K447" s="7">
        <f>+IFERROR(+VLOOKUP(A447,'TB2019-20'!$A$12:$C$414,2,0),0)</f>
        <v>2080</v>
      </c>
      <c r="L447" s="7"/>
      <c r="M447" s="7">
        <f t="shared" si="41"/>
        <v>2080</v>
      </c>
      <c r="N447" s="7">
        <f>+IFERROR(+VLOOKUP(A447,'TB2019-20'!$A$12:$C$414,3,0),0)</f>
        <v>0</v>
      </c>
      <c r="O447" s="7"/>
      <c r="P447" s="7">
        <f t="shared" si="42"/>
        <v>0</v>
      </c>
    </row>
    <row r="448" spans="1:16" x14ac:dyDescent="0.25">
      <c r="A448" s="17" t="s">
        <v>262</v>
      </c>
      <c r="B448" s="7">
        <v>26</v>
      </c>
      <c r="C448" s="7" t="s">
        <v>467</v>
      </c>
      <c r="D448" s="7" t="s">
        <v>562</v>
      </c>
      <c r="E448" s="7">
        <f>+IFERROR(+VLOOKUP(A448,'Trial Balance'!$A$12:$C$428,2,0),0)</f>
        <v>5227186</v>
      </c>
      <c r="F448" s="7"/>
      <c r="G448" s="7">
        <f t="shared" si="39"/>
        <v>5227186</v>
      </c>
      <c r="H448" s="7">
        <f>+IFERROR(+VLOOKUP(A448,'Trial Balance'!$A$12:$C$428,3,0),0)</f>
        <v>0</v>
      </c>
      <c r="I448" s="7"/>
      <c r="J448" s="7">
        <f t="shared" si="40"/>
        <v>0</v>
      </c>
      <c r="K448" s="7">
        <f>+IFERROR(+VLOOKUP(A448,'TB2019-20'!$A$12:$C$414,2,0),0)</f>
        <v>852133</v>
      </c>
      <c r="L448" s="7"/>
      <c r="M448" s="7">
        <f t="shared" si="41"/>
        <v>852133</v>
      </c>
      <c r="N448" s="7">
        <f>+IFERROR(+VLOOKUP(A448,'TB2019-20'!$A$12:$C$414,3,0),0)</f>
        <v>0</v>
      </c>
      <c r="O448" s="7"/>
      <c r="P448" s="7">
        <f t="shared" si="42"/>
        <v>0</v>
      </c>
    </row>
    <row r="449" spans="1:16" x14ac:dyDescent="0.25">
      <c r="A449" s="17" t="s">
        <v>727</v>
      </c>
      <c r="B449" s="7">
        <v>26</v>
      </c>
      <c r="C449" s="7" t="s">
        <v>467</v>
      </c>
      <c r="D449" s="7" t="s">
        <v>542</v>
      </c>
      <c r="E449" s="7">
        <f>+IFERROR(+VLOOKUP(A449,'Trial Balance'!$A$12:$C$428,2,0),0)</f>
        <v>0</v>
      </c>
      <c r="F449" s="7"/>
      <c r="G449" s="7">
        <f t="shared" si="39"/>
        <v>0</v>
      </c>
      <c r="H449" s="7">
        <f>+IFERROR(+VLOOKUP(A449,'Trial Balance'!$A$12:$C$428,3,0),0)</f>
        <v>0</v>
      </c>
      <c r="I449" s="7"/>
      <c r="J449" s="7">
        <f t="shared" si="40"/>
        <v>0</v>
      </c>
      <c r="K449" s="7">
        <f>+IFERROR(+VLOOKUP(A449,'TB2019-20'!$A$12:$C$414,2,0),0)</f>
        <v>0</v>
      </c>
      <c r="L449" s="7"/>
      <c r="M449" s="7">
        <f t="shared" si="41"/>
        <v>0</v>
      </c>
      <c r="N449" s="7">
        <f>+IFERROR(+VLOOKUP(A449,'TB2019-20'!$A$12:$C$414,3,0),0)</f>
        <v>0</v>
      </c>
      <c r="O449" s="7"/>
      <c r="P449" s="7">
        <f t="shared" si="42"/>
        <v>0</v>
      </c>
    </row>
    <row r="450" spans="1:16" x14ac:dyDescent="0.25">
      <c r="A450" s="17" t="s">
        <v>264</v>
      </c>
      <c r="B450" s="7">
        <v>26</v>
      </c>
      <c r="C450" s="7" t="s">
        <v>467</v>
      </c>
      <c r="D450" s="7" t="s">
        <v>728</v>
      </c>
      <c r="E450" s="7">
        <f>+IFERROR(+VLOOKUP(A450,'Trial Balance'!$A$12:$C$428,2,0),0)</f>
        <v>1640</v>
      </c>
      <c r="F450" s="7"/>
      <c r="G450" s="7">
        <f t="shared" si="39"/>
        <v>1640</v>
      </c>
      <c r="H450" s="7">
        <f>+IFERROR(+VLOOKUP(A450,'Trial Balance'!$A$12:$C$428,3,0),0)</f>
        <v>0</v>
      </c>
      <c r="I450" s="7"/>
      <c r="J450" s="7">
        <f t="shared" si="40"/>
        <v>0</v>
      </c>
      <c r="K450" s="7">
        <f>+IFERROR(+VLOOKUP(A450,'TB2019-20'!$A$12:$C$414,2,0),0)</f>
        <v>500</v>
      </c>
      <c r="L450" s="7"/>
      <c r="M450" s="7">
        <f t="shared" si="41"/>
        <v>500</v>
      </c>
      <c r="N450" s="7">
        <f>+IFERROR(+VLOOKUP(A450,'TB2019-20'!$A$12:$C$414,3,0),0)</f>
        <v>0</v>
      </c>
      <c r="O450" s="7"/>
      <c r="P450" s="7">
        <f t="shared" si="42"/>
        <v>0</v>
      </c>
    </row>
    <row r="451" spans="1:16" x14ac:dyDescent="0.25">
      <c r="A451" s="17" t="s">
        <v>263</v>
      </c>
      <c r="B451" s="7">
        <v>26</v>
      </c>
      <c r="C451" s="7" t="s">
        <v>467</v>
      </c>
      <c r="D451" s="7" t="s">
        <v>728</v>
      </c>
      <c r="E451" s="7">
        <f>+IFERROR(+VLOOKUP(A451,'Trial Balance'!$A$12:$C$428,2,0),0)</f>
        <v>870</v>
      </c>
      <c r="F451" s="7"/>
      <c r="G451" s="7">
        <f t="shared" si="39"/>
        <v>870</v>
      </c>
      <c r="H451" s="7">
        <f>+IFERROR(+VLOOKUP(A451,'Trial Balance'!$A$12:$C$428,3,0),0)</f>
        <v>0</v>
      </c>
      <c r="I451" s="7"/>
      <c r="J451" s="7">
        <f t="shared" si="40"/>
        <v>0</v>
      </c>
      <c r="K451" s="7">
        <f>+IFERROR(+VLOOKUP(A451,'TB2019-20'!$A$12:$C$414,2,0),0)</f>
        <v>2650</v>
      </c>
      <c r="L451" s="7"/>
      <c r="M451" s="7">
        <f t="shared" si="41"/>
        <v>2650</v>
      </c>
      <c r="N451" s="7">
        <f>+IFERROR(+VLOOKUP(A451,'TB2019-20'!$A$12:$C$414,3,0),0)</f>
        <v>0</v>
      </c>
      <c r="O451" s="7"/>
      <c r="P451" s="7">
        <f t="shared" si="42"/>
        <v>0</v>
      </c>
    </row>
    <row r="452" spans="1:16" x14ac:dyDescent="0.25">
      <c r="A452" s="20" t="s">
        <v>729</v>
      </c>
      <c r="B452" s="7">
        <v>26</v>
      </c>
      <c r="C452" s="7" t="s">
        <v>467</v>
      </c>
      <c r="D452" s="7" t="s">
        <v>730</v>
      </c>
      <c r="E452" s="7">
        <f>+IFERROR(+VLOOKUP(A452,'Trial Balance'!$A$12:$C$428,2,0),0)</f>
        <v>0</v>
      </c>
      <c r="F452" s="7"/>
      <c r="G452" s="7">
        <f t="shared" si="39"/>
        <v>0</v>
      </c>
      <c r="H452" s="7">
        <f>+IFERROR(+VLOOKUP(A452,'Trial Balance'!$A$12:$C$428,3,0),0)</f>
        <v>0</v>
      </c>
      <c r="I452" s="7"/>
      <c r="J452" s="7">
        <f t="shared" si="40"/>
        <v>0</v>
      </c>
      <c r="K452" s="7">
        <f>+IFERROR(+VLOOKUP(A452,'TB2019-20'!$A$12:$C$414,2,0),0)</f>
        <v>0</v>
      </c>
      <c r="L452" s="7"/>
      <c r="M452" s="7">
        <f t="shared" si="41"/>
        <v>0</v>
      </c>
      <c r="N452" s="7">
        <f>+IFERROR(+VLOOKUP(A452,'TB2019-20'!$A$12:$C$414,3,0),0)</f>
        <v>0</v>
      </c>
      <c r="O452" s="7"/>
      <c r="P452" s="7">
        <f t="shared" si="42"/>
        <v>0</v>
      </c>
    </row>
    <row r="453" spans="1:16" x14ac:dyDescent="0.25">
      <c r="A453" s="20" t="s">
        <v>731</v>
      </c>
      <c r="B453" s="7">
        <v>26</v>
      </c>
      <c r="C453" s="7" t="s">
        <v>467</v>
      </c>
      <c r="D453" s="7" t="s">
        <v>730</v>
      </c>
      <c r="E453" s="7">
        <f>+IFERROR(+VLOOKUP(A453,'Trial Balance'!$A$12:$C$428,2,0),0)</f>
        <v>0</v>
      </c>
      <c r="F453" s="7"/>
      <c r="G453" s="7">
        <f t="shared" si="39"/>
        <v>0</v>
      </c>
      <c r="H453" s="7">
        <f>+IFERROR(+VLOOKUP(A453,'Trial Balance'!$A$12:$C$428,3,0),0)</f>
        <v>0</v>
      </c>
      <c r="I453" s="7"/>
      <c r="J453" s="7">
        <f t="shared" si="40"/>
        <v>0</v>
      </c>
      <c r="K453" s="7">
        <f>+IFERROR(+VLOOKUP(A453,'TB2019-20'!$A$12:$C$414,2,0),0)</f>
        <v>0</v>
      </c>
      <c r="L453" s="7"/>
      <c r="M453" s="7">
        <f t="shared" si="41"/>
        <v>0</v>
      </c>
      <c r="N453" s="7">
        <f>+IFERROR(+VLOOKUP(A453,'TB2019-20'!$A$12:$C$414,3,0),0)</f>
        <v>0</v>
      </c>
      <c r="O453" s="7"/>
      <c r="P453" s="7">
        <f t="shared" si="42"/>
        <v>0</v>
      </c>
    </row>
    <row r="454" spans="1:16" x14ac:dyDescent="0.25">
      <c r="A454" s="19" t="s">
        <v>265</v>
      </c>
      <c r="B454" s="7">
        <v>22</v>
      </c>
      <c r="C454" s="7" t="s">
        <v>557</v>
      </c>
      <c r="D454" s="7" t="s">
        <v>558</v>
      </c>
      <c r="E454" s="7">
        <f>+IFERROR(+VLOOKUP(A454,'Trial Balance'!$A$12:$C$428,2,0),0)</f>
        <v>248948</v>
      </c>
      <c r="F454" s="7"/>
      <c r="G454" s="7">
        <f t="shared" ref="G454:G519" si="43">+E454+F454</f>
        <v>248948</v>
      </c>
      <c r="H454" s="7">
        <f>+IFERROR(+VLOOKUP(A454,'Trial Balance'!$A$12:$C$428,3,0),0)</f>
        <v>0</v>
      </c>
      <c r="I454" s="7"/>
      <c r="J454" s="7">
        <f t="shared" ref="J454:J519" si="44">+H454+I454</f>
        <v>0</v>
      </c>
      <c r="K454" s="7">
        <f>+IFERROR(+VLOOKUP(A454,'TB2019-20'!$A$12:$C$414,2,0),0)</f>
        <v>447749</v>
      </c>
      <c r="L454" s="7"/>
      <c r="M454" s="7">
        <f t="shared" si="41"/>
        <v>447749</v>
      </c>
      <c r="N454" s="7">
        <f>+IFERROR(+VLOOKUP(A454,'TB2019-20'!$A$12:$C$414,3,0),0)</f>
        <v>0</v>
      </c>
      <c r="O454" s="7"/>
      <c r="P454" s="7">
        <f t="shared" si="42"/>
        <v>0</v>
      </c>
    </row>
    <row r="455" spans="1:16" x14ac:dyDescent="0.25">
      <c r="A455" s="17" t="s">
        <v>732</v>
      </c>
      <c r="B455" s="7">
        <v>26</v>
      </c>
      <c r="C455" s="7" t="s">
        <v>467</v>
      </c>
      <c r="D455" s="7" t="s">
        <v>493</v>
      </c>
      <c r="E455" s="7">
        <f>+IFERROR(+VLOOKUP(A455,'Trial Balance'!$A$12:$C$428,2,0),0)</f>
        <v>0</v>
      </c>
      <c r="F455" s="7"/>
      <c r="G455" s="7">
        <f t="shared" si="43"/>
        <v>0</v>
      </c>
      <c r="H455" s="7">
        <f>+IFERROR(+VLOOKUP(A455,'Trial Balance'!$A$12:$C$428,3,0),0)</f>
        <v>0</v>
      </c>
      <c r="I455" s="7"/>
      <c r="J455" s="7">
        <f t="shared" si="44"/>
        <v>0</v>
      </c>
      <c r="K455" s="7">
        <f>+IFERROR(+VLOOKUP(A455,'TB2019-20'!$A$12:$C$414,2,0),0)</f>
        <v>20000</v>
      </c>
      <c r="L455" s="7"/>
      <c r="M455" s="7">
        <f t="shared" si="41"/>
        <v>20000</v>
      </c>
      <c r="N455" s="7">
        <f>+IFERROR(+VLOOKUP(A455,'TB2019-20'!$A$12:$C$414,3,0),0)</f>
        <v>0</v>
      </c>
      <c r="O455" s="7"/>
      <c r="P455" s="7">
        <f t="shared" si="42"/>
        <v>0</v>
      </c>
    </row>
    <row r="456" spans="1:16" x14ac:dyDescent="0.25">
      <c r="A456" s="20" t="s">
        <v>733</v>
      </c>
      <c r="B456" s="7">
        <v>26</v>
      </c>
      <c r="C456" s="7" t="s">
        <v>467</v>
      </c>
      <c r="D456" s="7" t="s">
        <v>565</v>
      </c>
      <c r="E456" s="7">
        <f>+IFERROR(+VLOOKUP(A456,'Trial Balance'!$A$12:$C$428,2,0),0)</f>
        <v>0</v>
      </c>
      <c r="F456" s="7"/>
      <c r="G456" s="7">
        <f t="shared" si="43"/>
        <v>0</v>
      </c>
      <c r="H456" s="7">
        <f>+IFERROR(+VLOOKUP(A456,'Trial Balance'!$A$12:$C$428,3,0),0)</f>
        <v>0</v>
      </c>
      <c r="I456" s="7"/>
      <c r="J456" s="7">
        <f t="shared" si="44"/>
        <v>0</v>
      </c>
      <c r="K456" s="7">
        <f>+IFERROR(+VLOOKUP(A456,'TB2019-20'!$A$12:$C$414,2,0),0)</f>
        <v>0</v>
      </c>
      <c r="L456" s="7"/>
      <c r="M456" s="7">
        <f t="shared" si="41"/>
        <v>0</v>
      </c>
      <c r="N456" s="7">
        <f>+IFERROR(+VLOOKUP(A456,'TB2019-20'!$A$12:$C$414,3,0),0)</f>
        <v>0</v>
      </c>
      <c r="O456" s="7"/>
      <c r="P456" s="7">
        <f t="shared" si="42"/>
        <v>0</v>
      </c>
    </row>
    <row r="457" spans="1:16" x14ac:dyDescent="0.25">
      <c r="A457" s="17" t="s">
        <v>734</v>
      </c>
      <c r="B457" s="7">
        <v>26</v>
      </c>
      <c r="C457" s="7" t="s">
        <v>467</v>
      </c>
      <c r="D457" s="7" t="s">
        <v>565</v>
      </c>
      <c r="E457" s="7">
        <f>+IFERROR(+VLOOKUP(A457,'Trial Balance'!$A$12:$C$428,2,0),0)</f>
        <v>0</v>
      </c>
      <c r="F457" s="7"/>
      <c r="G457" s="7">
        <f t="shared" si="43"/>
        <v>0</v>
      </c>
      <c r="H457" s="7">
        <f>+IFERROR(+VLOOKUP(A457,'Trial Balance'!$A$12:$C$428,3,0),0)</f>
        <v>0</v>
      </c>
      <c r="I457" s="7"/>
      <c r="J457" s="7">
        <f t="shared" si="44"/>
        <v>0</v>
      </c>
      <c r="K457" s="7">
        <f>+IFERROR(+VLOOKUP(A457,'TB2019-20'!$A$12:$C$414,2,0),0)</f>
        <v>210000</v>
      </c>
      <c r="L457" s="7"/>
      <c r="M457" s="7">
        <f t="shared" si="41"/>
        <v>210000</v>
      </c>
      <c r="N457" s="7">
        <f>+IFERROR(+VLOOKUP(A457,'TB2019-20'!$A$12:$C$414,3,0),0)</f>
        <v>0</v>
      </c>
      <c r="O457" s="7"/>
      <c r="P457" s="7">
        <f t="shared" si="42"/>
        <v>0</v>
      </c>
    </row>
    <row r="458" spans="1:16" x14ac:dyDescent="0.25">
      <c r="A458" s="17" t="s">
        <v>268</v>
      </c>
      <c r="B458" s="7">
        <v>19</v>
      </c>
      <c r="C458" s="7" t="s">
        <v>602</v>
      </c>
      <c r="D458" s="7" t="s">
        <v>603</v>
      </c>
      <c r="E458" s="7">
        <f>+IFERROR(+VLOOKUP(A458,'Trial Balance'!$A$12:$C$428,2,0),0)</f>
        <v>0</v>
      </c>
      <c r="F458" s="7"/>
      <c r="G458" s="7">
        <f t="shared" si="43"/>
        <v>0</v>
      </c>
      <c r="H458" s="7">
        <f>+IFERROR(+VLOOKUP(A458,'Trial Balance'!$A$12:$C$428,3,0),0)</f>
        <v>438710</v>
      </c>
      <c r="I458" s="7"/>
      <c r="J458" s="7">
        <f t="shared" si="44"/>
        <v>438710</v>
      </c>
      <c r="K458" s="7">
        <f>+IFERROR(+VLOOKUP(A458,'TB2019-20'!$A$12:$C$414,2,0),0)</f>
        <v>0</v>
      </c>
      <c r="L458" s="7"/>
      <c r="M458" s="7">
        <f t="shared" si="41"/>
        <v>0</v>
      </c>
      <c r="N458" s="7">
        <f>+IFERROR(+VLOOKUP(A458,'TB2019-20'!$A$12:$C$414,3,0),0)</f>
        <v>497880</v>
      </c>
      <c r="O458" s="7"/>
      <c r="P458" s="7">
        <f t="shared" si="42"/>
        <v>497880</v>
      </c>
    </row>
    <row r="459" spans="1:16" x14ac:dyDescent="0.25">
      <c r="A459" s="17" t="s">
        <v>269</v>
      </c>
      <c r="B459" s="7">
        <v>26</v>
      </c>
      <c r="C459" s="7" t="s">
        <v>467</v>
      </c>
      <c r="D459" s="7" t="s">
        <v>728</v>
      </c>
      <c r="E459" s="7">
        <f>+IFERROR(+VLOOKUP(A459,'Trial Balance'!$A$12:$C$428,2,0),0)</f>
        <v>6671147.8200000003</v>
      </c>
      <c r="F459" s="7"/>
      <c r="G459" s="7">
        <f t="shared" si="43"/>
        <v>6671147.8200000003</v>
      </c>
      <c r="H459" s="7">
        <f>+IFERROR(+VLOOKUP(A459,'Trial Balance'!$A$12:$C$428,3,0),0)</f>
        <v>0</v>
      </c>
      <c r="I459" s="7"/>
      <c r="J459" s="7">
        <f t="shared" si="44"/>
        <v>0</v>
      </c>
      <c r="K459" s="7">
        <f>+IFERROR(+VLOOKUP(A459,'TB2019-20'!$A$12:$C$414,2,0),0)</f>
        <v>7311227.8099999996</v>
      </c>
      <c r="L459" s="7"/>
      <c r="M459" s="7">
        <f t="shared" si="41"/>
        <v>7311227.8099999996</v>
      </c>
      <c r="N459" s="7">
        <f>+IFERROR(+VLOOKUP(A459,'TB2019-20'!$A$12:$C$414,3,0),0)</f>
        <v>0</v>
      </c>
      <c r="O459" s="7"/>
      <c r="P459" s="7">
        <f t="shared" si="42"/>
        <v>0</v>
      </c>
    </row>
    <row r="460" spans="1:16" x14ac:dyDescent="0.25">
      <c r="A460" s="20" t="s">
        <v>735</v>
      </c>
      <c r="B460" s="7">
        <v>15</v>
      </c>
      <c r="C460" s="7" t="s">
        <v>469</v>
      </c>
      <c r="D460" s="7" t="s">
        <v>470</v>
      </c>
      <c r="E460" s="7">
        <f>+IFERROR(+VLOOKUP(A460,'Trial Balance'!$A$12:$C$428,2,0),0)</f>
        <v>0</v>
      </c>
      <c r="F460" s="7"/>
      <c r="G460" s="7">
        <f t="shared" si="43"/>
        <v>0</v>
      </c>
      <c r="H460" s="7">
        <f>+IFERROR(+VLOOKUP(A460,'Trial Balance'!$A$12:$C$428,3,0),0)</f>
        <v>0</v>
      </c>
      <c r="I460" s="7"/>
      <c r="J460" s="7">
        <f t="shared" si="44"/>
        <v>0</v>
      </c>
      <c r="K460" s="7">
        <f>+IFERROR(+VLOOKUP(A460,'TB2019-20'!$A$12:$C$414,2,0),0)</f>
        <v>361125</v>
      </c>
      <c r="L460" s="7"/>
      <c r="M460" s="7">
        <f t="shared" ref="M460:M527" si="45">+K460+L460</f>
        <v>361125</v>
      </c>
      <c r="N460" s="7">
        <f>+IFERROR(+VLOOKUP(A460,'TB2019-20'!$A$12:$C$414,3,0),0)</f>
        <v>0</v>
      </c>
      <c r="O460" s="7"/>
      <c r="P460" s="7">
        <f t="shared" ref="P460:P527" si="46">+N460+O460</f>
        <v>0</v>
      </c>
    </row>
    <row r="461" spans="1:16" x14ac:dyDescent="0.25">
      <c r="A461" s="23" t="s">
        <v>270</v>
      </c>
      <c r="B461" s="7">
        <v>7</v>
      </c>
      <c r="C461" s="7" t="s">
        <v>460</v>
      </c>
      <c r="D461" s="7" t="s">
        <v>460</v>
      </c>
      <c r="E461" s="7">
        <f>+IFERROR(+VLOOKUP(A461,'Trial Balance'!$A$12:$C$428,2,0),0)</f>
        <v>0</v>
      </c>
      <c r="F461" s="7"/>
      <c r="G461" s="7">
        <f t="shared" si="43"/>
        <v>0</v>
      </c>
      <c r="H461" s="7">
        <f>+IFERROR(+VLOOKUP(A461,'Trial Balance'!$A$12:$C$428,3,0),0)</f>
        <v>700</v>
      </c>
      <c r="I461" s="7"/>
      <c r="J461" s="7">
        <f t="shared" si="44"/>
        <v>700</v>
      </c>
      <c r="K461" s="7">
        <f>+IFERROR(+VLOOKUP(A461,'TB2019-20'!$A$12:$C$414,2,0),0)</f>
        <v>0</v>
      </c>
      <c r="L461" s="7"/>
      <c r="M461" s="7">
        <f t="shared" si="45"/>
        <v>0</v>
      </c>
      <c r="N461" s="7">
        <f>+IFERROR(+VLOOKUP(A461,'TB2019-20'!$A$12:$C$414,3,0),0)</f>
        <v>3172</v>
      </c>
      <c r="O461" s="7"/>
      <c r="P461" s="7">
        <f t="shared" si="46"/>
        <v>3172</v>
      </c>
    </row>
    <row r="462" spans="1:16" x14ac:dyDescent="0.25">
      <c r="A462" s="17" t="s">
        <v>271</v>
      </c>
      <c r="B462" s="7">
        <v>7</v>
      </c>
      <c r="C462" s="7" t="s">
        <v>460</v>
      </c>
      <c r="D462" s="7" t="s">
        <v>462</v>
      </c>
      <c r="E462" s="7">
        <f>+IFERROR(+VLOOKUP(A462,'Trial Balance'!$A$12:$C$428,2,0),0)</f>
        <v>0</v>
      </c>
      <c r="F462" s="7"/>
      <c r="G462" s="7">
        <f t="shared" si="43"/>
        <v>0</v>
      </c>
      <c r="H462" s="7">
        <f>+IFERROR(+VLOOKUP(A462,'Trial Balance'!$A$12:$C$428,3,0),0)</f>
        <v>269890</v>
      </c>
      <c r="I462" s="7"/>
      <c r="J462" s="7">
        <f t="shared" si="44"/>
        <v>269890</v>
      </c>
      <c r="K462" s="7">
        <f>+IFERROR(+VLOOKUP(A462,'TB2019-20'!$A$12:$C$414,2,0),0)</f>
        <v>0</v>
      </c>
      <c r="L462" s="7"/>
      <c r="M462" s="7">
        <f t="shared" si="45"/>
        <v>0</v>
      </c>
      <c r="N462" s="7">
        <f>+IFERROR(+VLOOKUP(A462,'TB2019-20'!$A$12:$C$414,3,0),0)</f>
        <v>274949</v>
      </c>
      <c r="O462" s="7"/>
      <c r="P462" s="7">
        <f t="shared" si="46"/>
        <v>274949</v>
      </c>
    </row>
    <row r="463" spans="1:16" x14ac:dyDescent="0.25">
      <c r="A463" s="17" t="s">
        <v>736</v>
      </c>
      <c r="B463" s="7">
        <v>7</v>
      </c>
      <c r="C463" s="7" t="s">
        <v>460</v>
      </c>
      <c r="D463" s="7" t="s">
        <v>462</v>
      </c>
      <c r="E463" s="7">
        <f>+IFERROR(+VLOOKUP(A463,'Trial Balance'!$A$12:$C$428,2,0),0)</f>
        <v>0</v>
      </c>
      <c r="F463" s="7"/>
      <c r="G463" s="7">
        <f t="shared" si="43"/>
        <v>0</v>
      </c>
      <c r="H463" s="7">
        <f>+IFERROR(+VLOOKUP(A463,'Trial Balance'!$A$12:$C$428,3,0),0)</f>
        <v>386769</v>
      </c>
      <c r="I463" s="7"/>
      <c r="J463" s="7">
        <f t="shared" si="44"/>
        <v>386769</v>
      </c>
      <c r="K463" s="7">
        <f>+IFERROR(+VLOOKUP(A463,'TB2019-20'!$A$12:$C$414,2,0),0)</f>
        <v>0</v>
      </c>
      <c r="L463" s="7"/>
      <c r="M463" s="7">
        <f t="shared" si="45"/>
        <v>0</v>
      </c>
      <c r="N463" s="7">
        <f>+IFERROR(+VLOOKUP(A463,'TB2019-20'!$A$12:$C$414,3,0),0)</f>
        <v>423402</v>
      </c>
      <c r="O463" s="7"/>
      <c r="P463" s="7">
        <f t="shared" si="46"/>
        <v>423402</v>
      </c>
    </row>
    <row r="464" spans="1:16" x14ac:dyDescent="0.25">
      <c r="A464" s="17" t="s">
        <v>273</v>
      </c>
      <c r="B464" s="7">
        <v>7</v>
      </c>
      <c r="C464" s="7" t="s">
        <v>460</v>
      </c>
      <c r="D464" s="7" t="s">
        <v>462</v>
      </c>
      <c r="E464" s="7">
        <f>+IFERROR(+VLOOKUP(A464,'Trial Balance'!$A$12:$C$428,2,0),0)</f>
        <v>0</v>
      </c>
      <c r="F464" s="7"/>
      <c r="G464" s="7">
        <f t="shared" si="43"/>
        <v>0</v>
      </c>
      <c r="H464" s="7">
        <f>+IFERROR(+VLOOKUP(A464,'Trial Balance'!$A$12:$C$428,3,0),0)</f>
        <v>538166</v>
      </c>
      <c r="I464" s="7"/>
      <c r="J464" s="7">
        <f t="shared" si="44"/>
        <v>538166</v>
      </c>
      <c r="K464" s="7">
        <f>+IFERROR(+VLOOKUP(A464,'TB2019-20'!$A$12:$C$414,2,0),0)</f>
        <v>0</v>
      </c>
      <c r="L464" s="7"/>
      <c r="M464" s="7">
        <f t="shared" si="45"/>
        <v>0</v>
      </c>
      <c r="N464" s="7">
        <f>+IFERROR(+VLOOKUP(A464,'TB2019-20'!$A$12:$C$414,3,0),0)</f>
        <v>523713</v>
      </c>
      <c r="O464" s="7"/>
      <c r="P464" s="7">
        <f t="shared" si="46"/>
        <v>523713</v>
      </c>
    </row>
    <row r="465" spans="1:16" x14ac:dyDescent="0.25">
      <c r="A465" s="17" t="s">
        <v>274</v>
      </c>
      <c r="B465" s="7">
        <v>26</v>
      </c>
      <c r="C465" s="7" t="s">
        <v>467</v>
      </c>
      <c r="D465" s="7" t="s">
        <v>541</v>
      </c>
      <c r="E465" s="7">
        <f>+IFERROR(+VLOOKUP(A465,'Trial Balance'!$A$12:$C$428,2,0),0)</f>
        <v>75</v>
      </c>
      <c r="F465" s="7"/>
      <c r="G465" s="7">
        <f t="shared" si="43"/>
        <v>75</v>
      </c>
      <c r="H465" s="7">
        <f>+IFERROR(+VLOOKUP(A465,'Trial Balance'!$A$12:$C$428,3,0),0)</f>
        <v>0</v>
      </c>
      <c r="I465" s="7"/>
      <c r="J465" s="7">
        <f t="shared" si="44"/>
        <v>0</v>
      </c>
      <c r="K465" s="7">
        <f>+IFERROR(+VLOOKUP(A465,'TB2019-20'!$A$12:$C$414,2,0),0)</f>
        <v>0</v>
      </c>
      <c r="L465" s="7"/>
      <c r="M465" s="7">
        <f t="shared" si="45"/>
        <v>0</v>
      </c>
      <c r="N465" s="7">
        <f>+IFERROR(+VLOOKUP(A465,'TB2019-20'!$A$12:$C$414,3,0),0)</f>
        <v>0</v>
      </c>
      <c r="O465" s="7"/>
      <c r="P465" s="7">
        <f t="shared" si="46"/>
        <v>0</v>
      </c>
    </row>
    <row r="466" spans="1:16" x14ac:dyDescent="0.25">
      <c r="A466" s="20" t="s">
        <v>275</v>
      </c>
      <c r="B466" s="7">
        <v>26</v>
      </c>
      <c r="C466" s="7" t="s">
        <v>467</v>
      </c>
      <c r="D466" s="7" t="s">
        <v>541</v>
      </c>
      <c r="E466" s="7">
        <f>+IFERROR(+VLOOKUP(A466,'Trial Balance'!$A$12:$C$428,2,0),0)</f>
        <v>15855</v>
      </c>
      <c r="F466" s="7"/>
      <c r="G466" s="7">
        <f t="shared" si="43"/>
        <v>15855</v>
      </c>
      <c r="H466" s="7">
        <f>+IFERROR(+VLOOKUP(A466,'Trial Balance'!$A$12:$C$428,3,0),0)</f>
        <v>0</v>
      </c>
      <c r="I466" s="7"/>
      <c r="J466" s="7">
        <f t="shared" si="44"/>
        <v>0</v>
      </c>
      <c r="K466" s="7">
        <f>+IFERROR(+VLOOKUP(A466,'TB2019-20'!$A$12:$C$414,2,0),0)</f>
        <v>0</v>
      </c>
      <c r="L466" s="7"/>
      <c r="M466" s="7">
        <f t="shared" si="45"/>
        <v>0</v>
      </c>
      <c r="N466" s="7">
        <f>+IFERROR(+VLOOKUP(A466,'TB2019-20'!$A$12:$C$414,3,0),0)</f>
        <v>0</v>
      </c>
      <c r="O466" s="7"/>
      <c r="P466" s="7">
        <f t="shared" si="46"/>
        <v>0</v>
      </c>
    </row>
    <row r="467" spans="1:16" x14ac:dyDescent="0.25">
      <c r="A467" s="20" t="s">
        <v>737</v>
      </c>
      <c r="B467" s="7">
        <v>26</v>
      </c>
      <c r="C467" s="7" t="s">
        <v>467</v>
      </c>
      <c r="D467" s="7" t="s">
        <v>541</v>
      </c>
      <c r="E467" s="7">
        <f>+IFERROR(+VLOOKUP(A467,'Trial Balance'!$A$12:$C$428,2,0),0)</f>
        <v>0</v>
      </c>
      <c r="F467" s="7"/>
      <c r="G467" s="7">
        <f t="shared" si="43"/>
        <v>0</v>
      </c>
      <c r="H467" s="7">
        <f>+IFERROR(+VLOOKUP(A467,'Trial Balance'!$A$12:$C$428,3,0),0)</f>
        <v>0</v>
      </c>
      <c r="I467" s="7"/>
      <c r="J467" s="7">
        <f t="shared" si="44"/>
        <v>0</v>
      </c>
      <c r="K467" s="7">
        <f>+IFERROR(+VLOOKUP(A467,'TB2019-20'!$A$12:$C$414,2,0),0)</f>
        <v>0</v>
      </c>
      <c r="L467" s="7"/>
      <c r="M467" s="7">
        <f t="shared" si="45"/>
        <v>0</v>
      </c>
      <c r="N467" s="7">
        <f>+IFERROR(+VLOOKUP(A467,'TB2019-20'!$A$12:$C$414,3,0),0)</f>
        <v>0</v>
      </c>
      <c r="O467" s="7"/>
      <c r="P467" s="7">
        <f t="shared" si="46"/>
        <v>0</v>
      </c>
    </row>
    <row r="468" spans="1:16" x14ac:dyDescent="0.25">
      <c r="A468" s="17" t="s">
        <v>276</v>
      </c>
      <c r="B468" s="7">
        <v>26</v>
      </c>
      <c r="C468" s="7" t="s">
        <v>467</v>
      </c>
      <c r="D468" s="7" t="s">
        <v>541</v>
      </c>
      <c r="E468" s="7">
        <f>+IFERROR(+VLOOKUP(A468,'Trial Balance'!$A$12:$C$428,2,0),0)</f>
        <v>75</v>
      </c>
      <c r="F468" s="7"/>
      <c r="G468" s="7">
        <f t="shared" si="43"/>
        <v>75</v>
      </c>
      <c r="H468" s="7">
        <f>+IFERROR(+VLOOKUP(A468,'Trial Balance'!$A$12:$C$428,3,0),0)</f>
        <v>0</v>
      </c>
      <c r="I468" s="7"/>
      <c r="J468" s="7">
        <f t="shared" si="44"/>
        <v>0</v>
      </c>
      <c r="K468" s="7">
        <f>+IFERROR(+VLOOKUP(A468,'TB2019-20'!$A$12:$C$414,2,0),0)</f>
        <v>0</v>
      </c>
      <c r="L468" s="7"/>
      <c r="M468" s="7">
        <f t="shared" si="45"/>
        <v>0</v>
      </c>
      <c r="N468" s="7">
        <f>+IFERROR(+VLOOKUP(A468,'TB2019-20'!$A$12:$C$414,3,0),0)</f>
        <v>0</v>
      </c>
      <c r="O468" s="7"/>
      <c r="P468" s="7">
        <f t="shared" si="46"/>
        <v>0</v>
      </c>
    </row>
    <row r="469" spans="1:16" x14ac:dyDescent="0.25">
      <c r="A469" s="17" t="s">
        <v>738</v>
      </c>
      <c r="B469" s="7">
        <v>26</v>
      </c>
      <c r="C469" s="7" t="s">
        <v>467</v>
      </c>
      <c r="D469" s="7" t="s">
        <v>541</v>
      </c>
      <c r="E469" s="7">
        <f>+IFERROR(+VLOOKUP(A469,'Trial Balance'!$A$12:$C$428,2,0),0)</f>
        <v>0</v>
      </c>
      <c r="F469" s="7"/>
      <c r="G469" s="7">
        <f t="shared" si="43"/>
        <v>0</v>
      </c>
      <c r="H469" s="7">
        <f>+IFERROR(+VLOOKUP(A469,'Trial Balance'!$A$12:$C$428,3,0),0)</f>
        <v>0</v>
      </c>
      <c r="I469" s="7"/>
      <c r="J469" s="7">
        <f t="shared" si="44"/>
        <v>0</v>
      </c>
      <c r="K469" s="7">
        <f>+IFERROR(+VLOOKUP(A469,'TB2019-20'!$A$12:$C$414,2,0),0)</f>
        <v>281000</v>
      </c>
      <c r="L469" s="7"/>
      <c r="M469" s="7">
        <f t="shared" si="45"/>
        <v>281000</v>
      </c>
      <c r="N469" s="7">
        <f>+IFERROR(+VLOOKUP(A469,'TB2019-20'!$A$12:$C$414,3,0),0)</f>
        <v>0</v>
      </c>
      <c r="O469" s="7"/>
      <c r="P469" s="7">
        <f t="shared" si="46"/>
        <v>0</v>
      </c>
    </row>
    <row r="470" spans="1:16" x14ac:dyDescent="0.25">
      <c r="A470" s="17" t="s">
        <v>277</v>
      </c>
      <c r="B470" s="7">
        <v>10</v>
      </c>
      <c r="C470" s="7" t="s">
        <v>534</v>
      </c>
      <c r="D470" s="7" t="s">
        <v>535</v>
      </c>
      <c r="E470" s="7">
        <f>+IFERROR(+VLOOKUP(A470,'Trial Balance'!$A$12:$C$428,2,0),0)</f>
        <v>215300342.28</v>
      </c>
      <c r="F470" s="7"/>
      <c r="G470" s="7">
        <f t="shared" si="43"/>
        <v>215300342.28</v>
      </c>
      <c r="H470" s="7">
        <f>+IFERROR(+VLOOKUP(A470,'Trial Balance'!$A$12:$C$428,3,0),0)</f>
        <v>0</v>
      </c>
      <c r="I470" s="7"/>
      <c r="J470" s="7">
        <f t="shared" si="44"/>
        <v>0</v>
      </c>
      <c r="K470" s="7">
        <f>+IFERROR(+VLOOKUP(A470,'TB2019-20'!$A$12:$C$414,2,0),0)</f>
        <v>217294094.62</v>
      </c>
      <c r="L470" s="7"/>
      <c r="M470" s="7">
        <f t="shared" si="45"/>
        <v>217294094.62</v>
      </c>
      <c r="N470" s="7">
        <f>+IFERROR(+VLOOKUP(A470,'TB2019-20'!$A$12:$C$414,3,0),0)</f>
        <v>0</v>
      </c>
      <c r="O470" s="7"/>
      <c r="P470" s="7">
        <f t="shared" si="46"/>
        <v>0</v>
      </c>
    </row>
    <row r="471" spans="1:16" x14ac:dyDescent="0.25">
      <c r="A471" s="19" t="s">
        <v>739</v>
      </c>
      <c r="B471" s="7">
        <v>7</v>
      </c>
      <c r="C471" s="7" t="s">
        <v>460</v>
      </c>
      <c r="D471" s="7" t="s">
        <v>462</v>
      </c>
      <c r="E471" s="7">
        <f>+IFERROR(+VLOOKUP(A471,'Trial Balance'!$A$12:$C$428,2,0),0)</f>
        <v>0</v>
      </c>
      <c r="F471" s="7"/>
      <c r="G471" s="7">
        <f t="shared" si="43"/>
        <v>0</v>
      </c>
      <c r="H471" s="7">
        <f>+IFERROR(+VLOOKUP(A471,'Trial Balance'!$A$12:$C$428,3,0),0)</f>
        <v>0</v>
      </c>
      <c r="I471" s="7"/>
      <c r="J471" s="7">
        <f t="shared" si="44"/>
        <v>0</v>
      </c>
      <c r="K471" s="7">
        <f>+IFERROR(+VLOOKUP(A471,'TB2019-20'!$A$12:$C$414,2,0),0)</f>
        <v>0</v>
      </c>
      <c r="L471" s="7"/>
      <c r="M471" s="7">
        <f t="shared" si="45"/>
        <v>0</v>
      </c>
      <c r="N471" s="7">
        <f>+IFERROR(+VLOOKUP(A471,'TB2019-20'!$A$12:$C$414,3,0),0)</f>
        <v>81000</v>
      </c>
      <c r="O471" s="7"/>
      <c r="P471" s="7">
        <f t="shared" si="46"/>
        <v>81000</v>
      </c>
    </row>
    <row r="472" spans="1:16" x14ac:dyDescent="0.25">
      <c r="A472" s="17" t="s">
        <v>740</v>
      </c>
      <c r="B472" s="7">
        <v>26</v>
      </c>
      <c r="C472" s="7" t="s">
        <v>467</v>
      </c>
      <c r="D472" s="7" t="s">
        <v>493</v>
      </c>
      <c r="E472" s="7">
        <f>+IFERROR(+VLOOKUP(A472,'Trial Balance'!$A$12:$C$428,2,0),0)</f>
        <v>98736</v>
      </c>
      <c r="F472" s="7"/>
      <c r="G472" s="7">
        <f t="shared" si="43"/>
        <v>98736</v>
      </c>
      <c r="H472" s="7">
        <f>+IFERROR(+VLOOKUP(A472,'Trial Balance'!$A$12:$C$428,3,0),0)</f>
        <v>0</v>
      </c>
      <c r="I472" s="7"/>
      <c r="J472" s="7">
        <f t="shared" si="44"/>
        <v>0</v>
      </c>
      <c r="K472" s="7">
        <f>+IFERROR(+VLOOKUP(A472,'TB2019-20'!$A$12:$C$414,2,0),0)</f>
        <v>161998</v>
      </c>
      <c r="L472" s="7"/>
      <c r="M472" s="7">
        <f t="shared" si="45"/>
        <v>161998</v>
      </c>
      <c r="N472" s="7">
        <f>+IFERROR(+VLOOKUP(A472,'TB2019-20'!$A$12:$C$414,3,0),0)</f>
        <v>0</v>
      </c>
      <c r="O472" s="7"/>
      <c r="P472" s="7">
        <f t="shared" si="46"/>
        <v>0</v>
      </c>
    </row>
    <row r="473" spans="1:16" x14ac:dyDescent="0.25">
      <c r="A473" s="17" t="s">
        <v>279</v>
      </c>
      <c r="B473" s="7">
        <v>7</v>
      </c>
      <c r="C473" s="7" t="s">
        <v>460</v>
      </c>
      <c r="D473" s="7" t="s">
        <v>462</v>
      </c>
      <c r="E473" s="7">
        <f>+IFERROR(+VLOOKUP(A473,'Trial Balance'!$A$12:$C$428,2,0),0)</f>
        <v>0</v>
      </c>
      <c r="F473" s="7"/>
      <c r="G473" s="7">
        <f t="shared" si="43"/>
        <v>0</v>
      </c>
      <c r="H473" s="7">
        <f>+IFERROR(+VLOOKUP(A473,'Trial Balance'!$A$12:$C$428,3,0),0)</f>
        <v>6994370</v>
      </c>
      <c r="I473" s="7"/>
      <c r="J473" s="7">
        <f t="shared" si="44"/>
        <v>6994370</v>
      </c>
      <c r="K473" s="7">
        <f>+IFERROR(+VLOOKUP(A473,'TB2019-20'!$A$12:$C$414,2,0),0)</f>
        <v>0</v>
      </c>
      <c r="L473" s="7"/>
      <c r="M473" s="7">
        <f t="shared" si="45"/>
        <v>0</v>
      </c>
      <c r="N473" s="7">
        <f>+IFERROR(+VLOOKUP(A473,'TB2019-20'!$A$12:$C$414,3,0),0)</f>
        <v>4956590</v>
      </c>
      <c r="O473" s="7"/>
      <c r="P473" s="7">
        <f t="shared" si="46"/>
        <v>4956590</v>
      </c>
    </row>
    <row r="474" spans="1:16" x14ac:dyDescent="0.25">
      <c r="A474" s="17" t="s">
        <v>741</v>
      </c>
      <c r="B474" s="7">
        <v>26</v>
      </c>
      <c r="C474" s="7" t="s">
        <v>467</v>
      </c>
      <c r="D474" s="7" t="s">
        <v>562</v>
      </c>
      <c r="E474" s="7">
        <f>+IFERROR(+VLOOKUP(A474,'Trial Balance'!$A$12:$C$428,2,0),0)</f>
        <v>0</v>
      </c>
      <c r="F474" s="7"/>
      <c r="G474" s="7">
        <f t="shared" si="43"/>
        <v>0</v>
      </c>
      <c r="H474" s="7">
        <f>+IFERROR(+VLOOKUP(A474,'Trial Balance'!$A$12:$C$428,3,0),0)</f>
        <v>0</v>
      </c>
      <c r="I474" s="7"/>
      <c r="J474" s="7">
        <f t="shared" si="44"/>
        <v>0</v>
      </c>
      <c r="K474" s="7">
        <f>+IFERROR(+VLOOKUP(A474,'TB2019-20'!$A$12:$C$414,2,0),0)</f>
        <v>0</v>
      </c>
      <c r="L474" s="7"/>
      <c r="M474" s="7">
        <f t="shared" si="45"/>
        <v>0</v>
      </c>
      <c r="N474" s="7">
        <f>+IFERROR(+VLOOKUP(A474,'TB2019-20'!$A$12:$C$414,3,0),0)</f>
        <v>0</v>
      </c>
      <c r="O474" s="7"/>
      <c r="P474" s="7">
        <f t="shared" si="46"/>
        <v>0</v>
      </c>
    </row>
    <row r="475" spans="1:16" x14ac:dyDescent="0.25">
      <c r="A475" s="22" t="s">
        <v>742</v>
      </c>
      <c r="B475" s="7">
        <v>15</v>
      </c>
      <c r="C475" s="7" t="s">
        <v>469</v>
      </c>
      <c r="D475" s="7" t="s">
        <v>470</v>
      </c>
      <c r="E475" s="7">
        <f>+IFERROR(+VLOOKUP(A475,'Trial Balance'!$A$12:$C$428,2,0),0)</f>
        <v>0</v>
      </c>
      <c r="F475" s="7"/>
      <c r="G475" s="7">
        <f t="shared" si="43"/>
        <v>0</v>
      </c>
      <c r="H475" s="7">
        <f>+IFERROR(+VLOOKUP(A475,'Trial Balance'!$A$12:$C$428,3,0),0)</f>
        <v>0</v>
      </c>
      <c r="I475" s="7"/>
      <c r="J475" s="7">
        <f t="shared" si="44"/>
        <v>0</v>
      </c>
      <c r="K475" s="7">
        <f>+IFERROR(+VLOOKUP(A475,'TB2019-20'!$A$12:$C$414,2,0),0)</f>
        <v>213763</v>
      </c>
      <c r="L475" s="7"/>
      <c r="M475" s="7">
        <f t="shared" si="45"/>
        <v>213763</v>
      </c>
      <c r="N475" s="7">
        <f>+IFERROR(+VLOOKUP(A475,'TB2019-20'!$A$12:$C$414,3,0),0)</f>
        <v>0</v>
      </c>
      <c r="O475" s="7"/>
      <c r="P475" s="7">
        <f t="shared" si="46"/>
        <v>0</v>
      </c>
    </row>
    <row r="476" spans="1:16" x14ac:dyDescent="0.25">
      <c r="A476" s="17" t="s">
        <v>743</v>
      </c>
      <c r="B476" s="7">
        <v>7</v>
      </c>
      <c r="C476" s="7" t="s">
        <v>460</v>
      </c>
      <c r="D476" s="7" t="s">
        <v>460</v>
      </c>
      <c r="E476" s="7">
        <f>+IFERROR(+VLOOKUP(A476,'Trial Balance'!$A$12:$C$428,2,0),0)</f>
        <v>0</v>
      </c>
      <c r="F476" s="7"/>
      <c r="G476" s="7">
        <f t="shared" si="43"/>
        <v>0</v>
      </c>
      <c r="H476" s="7">
        <f>+IFERROR(+VLOOKUP(A476,'Trial Balance'!$A$12:$C$428,3,0),0)</f>
        <v>0</v>
      </c>
      <c r="I476" s="7"/>
      <c r="J476" s="7">
        <f t="shared" si="44"/>
        <v>0</v>
      </c>
      <c r="K476" s="7">
        <f>+IFERROR(+VLOOKUP(A476,'TB2019-20'!$A$12:$C$414,2,0),0)</f>
        <v>0</v>
      </c>
      <c r="L476" s="7"/>
      <c r="M476" s="7">
        <f t="shared" si="45"/>
        <v>0</v>
      </c>
      <c r="N476" s="7">
        <f>+IFERROR(+VLOOKUP(A476,'TB2019-20'!$A$12:$C$414,3,0),0)</f>
        <v>0</v>
      </c>
      <c r="O476" s="7"/>
      <c r="P476" s="7">
        <f t="shared" si="46"/>
        <v>0</v>
      </c>
    </row>
    <row r="477" spans="1:16" x14ac:dyDescent="0.25">
      <c r="A477" s="17" t="s">
        <v>744</v>
      </c>
      <c r="B477" s="7">
        <v>12</v>
      </c>
      <c r="C477" s="7" t="s">
        <v>465</v>
      </c>
      <c r="D477" s="7" t="s">
        <v>478</v>
      </c>
      <c r="E477" s="7">
        <f>+IFERROR(+VLOOKUP(A477,'Trial Balance'!$A$12:$C$428,2,0),0)</f>
        <v>0</v>
      </c>
      <c r="F477" s="7"/>
      <c r="G477" s="7">
        <f t="shared" si="43"/>
        <v>0</v>
      </c>
      <c r="H477" s="7">
        <f>+IFERROR(+VLOOKUP(A477,'Trial Balance'!$A$12:$C$428,3,0),0)</f>
        <v>0</v>
      </c>
      <c r="I477" s="7"/>
      <c r="J477" s="7">
        <f t="shared" si="44"/>
        <v>0</v>
      </c>
      <c r="K477" s="7">
        <f>+IFERROR(+VLOOKUP(A477,'TB2019-20'!$A$12:$C$414,2,0),0)</f>
        <v>0</v>
      </c>
      <c r="L477" s="7"/>
      <c r="M477" s="7">
        <f t="shared" si="45"/>
        <v>0</v>
      </c>
      <c r="N477" s="7">
        <f>+IFERROR(+VLOOKUP(A477,'TB2019-20'!$A$12:$C$414,3,0),0)</f>
        <v>0</v>
      </c>
      <c r="O477" s="7"/>
      <c r="P477" s="7">
        <f t="shared" si="46"/>
        <v>0</v>
      </c>
    </row>
    <row r="478" spans="1:16" x14ac:dyDescent="0.25">
      <c r="A478" s="22" t="s">
        <v>280</v>
      </c>
      <c r="B478" s="7">
        <v>15</v>
      </c>
      <c r="C478" s="7" t="s">
        <v>469</v>
      </c>
      <c r="D478" s="7" t="s">
        <v>470</v>
      </c>
      <c r="E478" s="7">
        <f>+IFERROR(+VLOOKUP(A478,'Trial Balance'!$A$12:$C$428,2,0),0)</f>
        <v>3897944</v>
      </c>
      <c r="F478" s="7"/>
      <c r="G478" s="7">
        <f t="shared" si="43"/>
        <v>3897944</v>
      </c>
      <c r="H478" s="7">
        <f>+IFERROR(+VLOOKUP(A478,'Trial Balance'!$A$12:$C$428,3,0),0)</f>
        <v>0</v>
      </c>
      <c r="I478" s="7"/>
      <c r="J478" s="7">
        <f t="shared" si="44"/>
        <v>0</v>
      </c>
      <c r="K478" s="7">
        <f>+IFERROR(+VLOOKUP(A478,'TB2019-20'!$A$12:$C$414,2,0),0)</f>
        <v>3013137</v>
      </c>
      <c r="L478" s="7"/>
      <c r="M478" s="7">
        <f t="shared" si="45"/>
        <v>3013137</v>
      </c>
      <c r="N478" s="7">
        <f>+IFERROR(+VLOOKUP(A478,'TB2019-20'!$A$12:$C$414,3,0),0)</f>
        <v>0</v>
      </c>
      <c r="O478" s="7"/>
      <c r="P478" s="7">
        <f t="shared" si="46"/>
        <v>0</v>
      </c>
    </row>
    <row r="479" spans="1:16" x14ac:dyDescent="0.25">
      <c r="A479" s="17" t="s">
        <v>745</v>
      </c>
      <c r="B479" s="7">
        <v>8</v>
      </c>
      <c r="C479" s="7" t="s">
        <v>497</v>
      </c>
      <c r="D479" s="7" t="s">
        <v>498</v>
      </c>
      <c r="E479" s="7">
        <f>+IFERROR(+VLOOKUP(A479,'Trial Balance'!$A$12:$C$428,2,0),0)</f>
        <v>0</v>
      </c>
      <c r="F479" s="7"/>
      <c r="G479" s="7">
        <f t="shared" si="43"/>
        <v>0</v>
      </c>
      <c r="H479" s="7">
        <f>+IFERROR(+VLOOKUP(A479,'Trial Balance'!$A$12:$C$428,3,0),0)</f>
        <v>0</v>
      </c>
      <c r="I479" s="7"/>
      <c r="J479" s="7">
        <f t="shared" si="44"/>
        <v>0</v>
      </c>
      <c r="K479" s="7">
        <f>+IFERROR(+VLOOKUP(A479,'TB2019-20'!$A$12:$C$414,2,0),0)</f>
        <v>0</v>
      </c>
      <c r="L479" s="7"/>
      <c r="M479" s="7">
        <f t="shared" si="45"/>
        <v>0</v>
      </c>
      <c r="N479" s="7">
        <f>+IFERROR(+VLOOKUP(A479,'TB2019-20'!$A$12:$C$414,3,0),0)</f>
        <v>0</v>
      </c>
      <c r="O479" s="7"/>
      <c r="P479" s="7">
        <f t="shared" si="46"/>
        <v>0</v>
      </c>
    </row>
    <row r="480" spans="1:16" x14ac:dyDescent="0.25">
      <c r="A480" s="17" t="s">
        <v>746</v>
      </c>
      <c r="B480" s="7">
        <v>7</v>
      </c>
      <c r="C480" s="7" t="s">
        <v>460</v>
      </c>
      <c r="D480" s="7" t="s">
        <v>460</v>
      </c>
      <c r="E480" s="7">
        <f>+IFERROR(+VLOOKUP(A480,'Trial Balance'!$A$12:$C$428,2,0),0)</f>
        <v>0</v>
      </c>
      <c r="F480" s="7"/>
      <c r="G480" s="7">
        <f t="shared" si="43"/>
        <v>0</v>
      </c>
      <c r="H480" s="7">
        <f>+IFERROR(+VLOOKUP(A480,'Trial Balance'!$A$12:$C$428,3,0),0)</f>
        <v>0</v>
      </c>
      <c r="I480" s="7"/>
      <c r="J480" s="7">
        <f t="shared" si="44"/>
        <v>0</v>
      </c>
      <c r="K480" s="7">
        <f>+IFERROR(+VLOOKUP(A480,'TB2019-20'!$A$12:$C$414,2,0),0)</f>
        <v>0</v>
      </c>
      <c r="L480" s="7"/>
      <c r="M480" s="7">
        <f t="shared" si="45"/>
        <v>0</v>
      </c>
      <c r="N480" s="7">
        <f>+IFERROR(+VLOOKUP(A480,'TB2019-20'!$A$12:$C$414,3,0),0)</f>
        <v>36128</v>
      </c>
      <c r="O480" s="7"/>
      <c r="P480" s="7">
        <f t="shared" si="46"/>
        <v>36128</v>
      </c>
    </row>
    <row r="481" spans="1:16" x14ac:dyDescent="0.25">
      <c r="A481" s="17" t="s">
        <v>747</v>
      </c>
      <c r="B481" s="7">
        <v>18</v>
      </c>
      <c r="C481" s="7" t="s">
        <v>584</v>
      </c>
      <c r="D481" s="7" t="s">
        <v>655</v>
      </c>
      <c r="E481" s="7">
        <f>+IFERROR(+VLOOKUP(A481,'Trial Balance'!$A$12:$C$428,2,0),0)</f>
        <v>167481</v>
      </c>
      <c r="F481" s="7"/>
      <c r="G481" s="7">
        <f t="shared" si="43"/>
        <v>167481</v>
      </c>
      <c r="H481" s="7">
        <f>+IFERROR(+VLOOKUP(A481,'Trial Balance'!$A$12:$C$428,3,0),0)</f>
        <v>0</v>
      </c>
      <c r="I481" s="7"/>
      <c r="J481" s="7">
        <f t="shared" si="44"/>
        <v>0</v>
      </c>
      <c r="K481" s="7">
        <f>+IFERROR(+VLOOKUP(A481,'TB2019-20'!$A$12:$C$414,2,0),0)</f>
        <v>299526</v>
      </c>
      <c r="L481" s="7"/>
      <c r="M481" s="7">
        <f t="shared" si="45"/>
        <v>299526</v>
      </c>
      <c r="N481" s="7">
        <f>+IFERROR(+VLOOKUP(A481,'TB2019-20'!$A$12:$C$414,3,0),0)</f>
        <v>0</v>
      </c>
      <c r="O481" s="7"/>
      <c r="P481" s="7">
        <f t="shared" si="46"/>
        <v>0</v>
      </c>
    </row>
    <row r="482" spans="1:16" x14ac:dyDescent="0.25">
      <c r="A482" s="17" t="s">
        <v>195</v>
      </c>
      <c r="B482" s="7">
        <v>13</v>
      </c>
      <c r="C482" s="7" t="s">
        <v>1440</v>
      </c>
      <c r="D482" s="7" t="s">
        <v>583</v>
      </c>
      <c r="E482" s="7">
        <f>+IFERROR(+VLOOKUP(A482,'Trial Balance'!$A$12:$C$428,2,0),0)</f>
        <v>0</v>
      </c>
      <c r="F482" s="7"/>
      <c r="G482" s="7">
        <f t="shared" si="43"/>
        <v>0</v>
      </c>
      <c r="H482" s="7">
        <f>+IFERROR(+VLOOKUP(A482,'Trial Balance'!$A$12:$C$428,3,0),0)</f>
        <v>0</v>
      </c>
      <c r="I482" s="7"/>
      <c r="J482" s="7">
        <f t="shared" si="44"/>
        <v>0</v>
      </c>
      <c r="K482" s="7">
        <f>+IFERROR(+VLOOKUP(A482,'TB2019-20'!$A$12:$C$414,2,0),0)</f>
        <v>131953</v>
      </c>
      <c r="L482" s="7"/>
      <c r="M482" s="7">
        <f t="shared" si="45"/>
        <v>131953</v>
      </c>
      <c r="N482" s="7">
        <f>+IFERROR(+VLOOKUP(A482,'TB2019-20'!$A$12:$C$414,3,0),0)</f>
        <v>0</v>
      </c>
      <c r="O482" s="7"/>
      <c r="P482" s="7">
        <f t="shared" si="46"/>
        <v>0</v>
      </c>
    </row>
    <row r="483" spans="1:16" x14ac:dyDescent="0.25">
      <c r="A483" s="17" t="s">
        <v>748</v>
      </c>
      <c r="B483" s="7">
        <v>15</v>
      </c>
      <c r="C483" s="7" t="s">
        <v>469</v>
      </c>
      <c r="D483" s="7" t="s">
        <v>470</v>
      </c>
      <c r="E483" s="7">
        <f>+IFERROR(+VLOOKUP(A483,'Trial Balance'!$A$12:$C$428,2,0),0)</f>
        <v>0</v>
      </c>
      <c r="F483" s="7"/>
      <c r="G483" s="7">
        <f t="shared" si="43"/>
        <v>0</v>
      </c>
      <c r="H483" s="7">
        <f>+IFERROR(+VLOOKUP(A483,'Trial Balance'!$A$12:$C$428,3,0),0)</f>
        <v>0</v>
      </c>
      <c r="I483" s="7"/>
      <c r="J483" s="7">
        <f t="shared" si="44"/>
        <v>0</v>
      </c>
      <c r="K483" s="7">
        <f>+IFERROR(+VLOOKUP(A483,'TB2019-20'!$A$12:$C$414,2,0),0)</f>
        <v>0</v>
      </c>
      <c r="L483" s="7"/>
      <c r="M483" s="7">
        <f t="shared" si="45"/>
        <v>0</v>
      </c>
      <c r="N483" s="7">
        <f>+IFERROR(+VLOOKUP(A483,'TB2019-20'!$A$12:$C$414,3,0),0)</f>
        <v>0</v>
      </c>
      <c r="O483" s="7"/>
      <c r="P483" s="7">
        <f t="shared" si="46"/>
        <v>0</v>
      </c>
    </row>
    <row r="484" spans="1:16" x14ac:dyDescent="0.25">
      <c r="A484" s="17" t="s">
        <v>282</v>
      </c>
      <c r="B484" s="7">
        <v>26</v>
      </c>
      <c r="C484" s="7" t="s">
        <v>467</v>
      </c>
      <c r="D484" s="7" t="s">
        <v>565</v>
      </c>
      <c r="E484" s="7">
        <f>+IFERROR(+VLOOKUP(A484,'Trial Balance'!$A$12:$C$428,2,0),0)</f>
        <v>974500</v>
      </c>
      <c r="F484" s="7"/>
      <c r="G484" s="7">
        <f t="shared" si="43"/>
        <v>974500</v>
      </c>
      <c r="H484" s="7">
        <f>+IFERROR(+VLOOKUP(A484,'Trial Balance'!$A$12:$C$428,3,0),0)</f>
        <v>0</v>
      </c>
      <c r="I484" s="7"/>
      <c r="J484" s="7">
        <f t="shared" si="44"/>
        <v>0</v>
      </c>
      <c r="K484" s="7">
        <f>+IFERROR(+VLOOKUP(A484,'TB2019-20'!$A$12:$C$414,2,0),0)</f>
        <v>509760.8</v>
      </c>
      <c r="L484" s="7"/>
      <c r="M484" s="7">
        <f t="shared" si="45"/>
        <v>509760.8</v>
      </c>
      <c r="N484" s="7">
        <f>+IFERROR(+VLOOKUP(A484,'TB2019-20'!$A$12:$C$414,3,0),0)</f>
        <v>0</v>
      </c>
      <c r="O484" s="7"/>
      <c r="P484" s="7">
        <f t="shared" si="46"/>
        <v>0</v>
      </c>
    </row>
    <row r="485" spans="1:16" x14ac:dyDescent="0.25">
      <c r="A485" s="17" t="s">
        <v>749</v>
      </c>
      <c r="B485" s="7">
        <v>26</v>
      </c>
      <c r="C485" s="7" t="s">
        <v>467</v>
      </c>
      <c r="D485" s="7" t="s">
        <v>541</v>
      </c>
      <c r="E485" s="7">
        <f>+IFERROR(+VLOOKUP(A485,'Trial Balance'!$A$12:$C$428,2,0),0)</f>
        <v>0</v>
      </c>
      <c r="F485" s="7"/>
      <c r="G485" s="7">
        <f t="shared" si="43"/>
        <v>0</v>
      </c>
      <c r="H485" s="7">
        <f>+IFERROR(+VLOOKUP(A485,'Trial Balance'!$A$12:$C$428,3,0),0)</f>
        <v>0</v>
      </c>
      <c r="I485" s="7"/>
      <c r="J485" s="7">
        <f t="shared" si="44"/>
        <v>0</v>
      </c>
      <c r="K485" s="7">
        <f>+IFERROR(+VLOOKUP(A485,'TB2019-20'!$A$12:$C$414,2,0),0)</f>
        <v>0</v>
      </c>
      <c r="L485" s="7"/>
      <c r="M485" s="7">
        <f t="shared" si="45"/>
        <v>0</v>
      </c>
      <c r="N485" s="7">
        <f>+IFERROR(+VLOOKUP(A485,'TB2019-20'!$A$12:$C$414,3,0),0)</f>
        <v>0</v>
      </c>
      <c r="O485" s="7"/>
      <c r="P485" s="7">
        <f t="shared" si="46"/>
        <v>0</v>
      </c>
    </row>
    <row r="486" spans="1:16" x14ac:dyDescent="0.25">
      <c r="A486" s="17" t="s">
        <v>750</v>
      </c>
      <c r="B486" s="13">
        <v>3</v>
      </c>
      <c r="C486" s="7" t="s">
        <v>538</v>
      </c>
      <c r="D486" s="7" t="s">
        <v>751</v>
      </c>
      <c r="E486" s="7">
        <f>+IFERROR(+VLOOKUP(A486,'Trial Balance'!$A$12:$C$428,2,0),0)</f>
        <v>0</v>
      </c>
      <c r="F486" s="7"/>
      <c r="G486" s="7">
        <f t="shared" si="43"/>
        <v>0</v>
      </c>
      <c r="H486" s="7">
        <f>+IFERROR(+VLOOKUP(A486,'Trial Balance'!$A$12:$C$428,3,0),0)</f>
        <v>124185196.38</v>
      </c>
      <c r="I486" s="7"/>
      <c r="J486" s="7">
        <f t="shared" si="44"/>
        <v>124185196.38</v>
      </c>
      <c r="K486" s="7">
        <f>+IFERROR(+VLOOKUP(A486,'TB2019-20'!$A$12:$C$414,2,0),0)</f>
        <v>0</v>
      </c>
      <c r="L486" s="7"/>
      <c r="M486" s="7">
        <f t="shared" si="45"/>
        <v>0</v>
      </c>
      <c r="N486" s="7">
        <f>+IFERROR(+VLOOKUP(A486,'TB2019-20'!$A$12:$C$414,3,0),0)</f>
        <v>112979368.51000001</v>
      </c>
      <c r="O486" s="7"/>
      <c r="P486" s="7">
        <f t="shared" si="46"/>
        <v>112979368.51000001</v>
      </c>
    </row>
    <row r="487" spans="1:16" x14ac:dyDescent="0.25">
      <c r="A487" s="17" t="s">
        <v>752</v>
      </c>
      <c r="B487" s="7">
        <v>20</v>
      </c>
      <c r="C487" s="7" t="s">
        <v>266</v>
      </c>
      <c r="D487" s="7" t="s">
        <v>752</v>
      </c>
      <c r="E487" s="7">
        <f>+IFERROR(+VLOOKUP(A487,'Trial Balance'!$A$12:$C$428,2,0),0)</f>
        <v>0</v>
      </c>
      <c r="F487" s="7"/>
      <c r="G487" s="7">
        <f t="shared" si="43"/>
        <v>0</v>
      </c>
      <c r="H487" s="7">
        <f>+IFERROR(+VLOOKUP(A487,'Trial Balance'!$A$12:$C$428,3,0),0)</f>
        <v>0</v>
      </c>
      <c r="I487" s="7"/>
      <c r="J487" s="7">
        <f t="shared" si="44"/>
        <v>0</v>
      </c>
      <c r="K487" s="7">
        <f>+IFERROR(+VLOOKUP(A487,'TB2019-20'!$A$12:$C$414,2,0),0)</f>
        <v>0</v>
      </c>
      <c r="L487" s="7"/>
      <c r="M487" s="7">
        <f t="shared" si="45"/>
        <v>0</v>
      </c>
      <c r="N487" s="7">
        <f>+IFERROR(+VLOOKUP(A487,'TB2019-20'!$A$12:$C$414,3,0),0)</f>
        <v>18263</v>
      </c>
      <c r="O487" s="7"/>
      <c r="P487" s="7">
        <f t="shared" si="46"/>
        <v>18263</v>
      </c>
    </row>
    <row r="488" spans="1:16" x14ac:dyDescent="0.25">
      <c r="A488" s="17" t="s">
        <v>284</v>
      </c>
      <c r="B488" s="7">
        <v>20</v>
      </c>
      <c r="C488" s="7" t="s">
        <v>266</v>
      </c>
      <c r="D488" s="7" t="s">
        <v>266</v>
      </c>
      <c r="E488" s="7">
        <f>+IFERROR(+VLOOKUP(A488,'Trial Balance'!$A$12:$C$428,2,0),0)</f>
        <v>0</v>
      </c>
      <c r="F488" s="7"/>
      <c r="G488" s="7">
        <f t="shared" si="43"/>
        <v>0</v>
      </c>
      <c r="H488" s="7">
        <f>+IFERROR(+VLOOKUP(A488,'Trial Balance'!$A$12:$C$428,3,0),0)</f>
        <v>18856500</v>
      </c>
      <c r="I488" s="7"/>
      <c r="J488" s="7">
        <f t="shared" si="44"/>
        <v>18856500</v>
      </c>
      <c r="K488" s="7">
        <f>+IFERROR(+VLOOKUP(A488,'TB2019-20'!$A$12:$C$414,2,0),0)</f>
        <v>0</v>
      </c>
      <c r="L488" s="7"/>
      <c r="M488" s="7">
        <f t="shared" si="45"/>
        <v>0</v>
      </c>
      <c r="N488" s="7">
        <f>+IFERROR(+VLOOKUP(A488,'TB2019-20'!$A$12:$C$414,3,0),0)</f>
        <v>9443500</v>
      </c>
      <c r="O488" s="7"/>
      <c r="P488" s="7">
        <f t="shared" si="46"/>
        <v>9443500</v>
      </c>
    </row>
    <row r="489" spans="1:16" x14ac:dyDescent="0.25">
      <c r="A489" s="17" t="s">
        <v>753</v>
      </c>
      <c r="B489" s="7">
        <v>24</v>
      </c>
      <c r="C489" s="7" t="s">
        <v>600</v>
      </c>
      <c r="D489" s="7" t="s">
        <v>613</v>
      </c>
      <c r="E489" s="7">
        <f>+IFERROR(+VLOOKUP(A489,'Trial Balance'!$A$12:$C$428,2,0),0)</f>
        <v>1147078</v>
      </c>
      <c r="F489" s="7"/>
      <c r="G489" s="7">
        <f t="shared" si="43"/>
        <v>1147078</v>
      </c>
      <c r="H489" s="7">
        <f>+IFERROR(+VLOOKUP(A489,'Trial Balance'!$A$12:$C$428,3,0),0)</f>
        <v>0</v>
      </c>
      <c r="I489" s="7"/>
      <c r="J489" s="7">
        <f t="shared" si="44"/>
        <v>0</v>
      </c>
      <c r="K489" s="7">
        <f>+IFERROR(+VLOOKUP(A489,'TB2019-20'!$A$12:$C$414,2,0),0)</f>
        <v>1171704</v>
      </c>
      <c r="L489" s="7"/>
      <c r="M489" s="7">
        <f t="shared" si="45"/>
        <v>1171704</v>
      </c>
      <c r="N489" s="7">
        <f>+IFERROR(+VLOOKUP(A489,'TB2019-20'!$A$12:$C$414,3,0),0)</f>
        <v>0</v>
      </c>
      <c r="O489" s="7"/>
      <c r="P489" s="7">
        <f t="shared" si="46"/>
        <v>0</v>
      </c>
    </row>
    <row r="490" spans="1:16" x14ac:dyDescent="0.25">
      <c r="A490" s="17" t="s">
        <v>286</v>
      </c>
      <c r="B490" s="7">
        <v>9</v>
      </c>
      <c r="C490" s="7" t="s">
        <v>587</v>
      </c>
      <c r="D490" s="7" t="s">
        <v>588</v>
      </c>
      <c r="E490" s="7">
        <f>+IFERROR(+VLOOKUP(A490,'Trial Balance'!$A$12:$C$428,2,0),0)</f>
        <v>0</v>
      </c>
      <c r="F490" s="7"/>
      <c r="G490" s="7">
        <f t="shared" si="43"/>
        <v>0</v>
      </c>
      <c r="H490" s="7">
        <f>+IFERROR(+VLOOKUP(A490,'Trial Balance'!$A$12:$C$428,3,0),0)</f>
        <v>6057874</v>
      </c>
      <c r="I490" s="7">
        <v>-1255580</v>
      </c>
      <c r="J490" s="7">
        <f t="shared" si="44"/>
        <v>4802294</v>
      </c>
      <c r="K490" s="7">
        <f>+IFERROR(+VLOOKUP(A490,'TB2019-20'!$A$12:$C$414,2,0),0)</f>
        <v>0</v>
      </c>
      <c r="L490" s="7"/>
      <c r="M490" s="7">
        <f t="shared" si="45"/>
        <v>0</v>
      </c>
      <c r="N490" s="7">
        <f>+IFERROR(+VLOOKUP(A490,'TB2019-20'!$A$12:$C$414,3,0),0)</f>
        <v>5136213</v>
      </c>
      <c r="O490" s="7"/>
      <c r="P490" s="7">
        <f t="shared" si="46"/>
        <v>5136213</v>
      </c>
    </row>
    <row r="491" spans="1:16" x14ac:dyDescent="0.25">
      <c r="A491" s="17" t="s">
        <v>287</v>
      </c>
      <c r="B491" s="7">
        <v>10</v>
      </c>
      <c r="C491" s="7" t="s">
        <v>534</v>
      </c>
      <c r="D491" s="7" t="s">
        <v>754</v>
      </c>
      <c r="E491" s="7">
        <f>+IFERROR(+VLOOKUP(A491,'Trial Balance'!$A$12:$C$428,2,0),0)</f>
        <v>0</v>
      </c>
      <c r="F491" s="7"/>
      <c r="G491" s="7">
        <f t="shared" si="43"/>
        <v>0</v>
      </c>
      <c r="H491" s="7">
        <f>+IFERROR(+VLOOKUP(A491,'Trial Balance'!$A$12:$C$428,3,0),0)</f>
        <v>5155701</v>
      </c>
      <c r="I491" s="7"/>
      <c r="J491" s="7">
        <f t="shared" si="44"/>
        <v>5155701</v>
      </c>
      <c r="K491" s="7">
        <f>+IFERROR(+VLOOKUP(A491,'TB2019-20'!$A$12:$C$414,2,0),0)</f>
        <v>0</v>
      </c>
      <c r="L491" s="7"/>
      <c r="M491" s="7">
        <f t="shared" si="45"/>
        <v>0</v>
      </c>
      <c r="N491" s="7">
        <f>+IFERROR(+VLOOKUP(A491,'TB2019-20'!$A$12:$C$414,3,0),0)</f>
        <v>3321516</v>
      </c>
      <c r="O491" s="7"/>
      <c r="P491" s="7">
        <f t="shared" si="46"/>
        <v>3321516</v>
      </c>
    </row>
    <row r="492" spans="1:16" x14ac:dyDescent="0.25">
      <c r="A492" s="17" t="s">
        <v>755</v>
      </c>
      <c r="B492" s="7">
        <v>10</v>
      </c>
      <c r="C492" s="7" t="s">
        <v>534</v>
      </c>
      <c r="D492" s="7" t="s">
        <v>754</v>
      </c>
      <c r="E492" s="7">
        <f>+IFERROR(+VLOOKUP(A492,'Trial Balance'!$A$12:$C$428,2,0),0)</f>
        <v>0</v>
      </c>
      <c r="F492" s="7"/>
      <c r="G492" s="7">
        <f t="shared" si="43"/>
        <v>0</v>
      </c>
      <c r="H492" s="7">
        <f>+IFERROR(+VLOOKUP(A492,'Trial Balance'!$A$12:$C$428,3,0),0)</f>
        <v>688913</v>
      </c>
      <c r="I492" s="7"/>
      <c r="J492" s="7">
        <f t="shared" si="44"/>
        <v>688913</v>
      </c>
      <c r="K492" s="7">
        <f>+IFERROR(+VLOOKUP(A492,'TB2019-20'!$A$12:$C$414,2,0),0)</f>
        <v>0</v>
      </c>
      <c r="L492" s="7"/>
      <c r="M492" s="7">
        <f t="shared" si="45"/>
        <v>0</v>
      </c>
      <c r="N492" s="7">
        <f>+IFERROR(+VLOOKUP(A492,'TB2019-20'!$A$12:$C$414,3,0),0)</f>
        <v>939164</v>
      </c>
      <c r="O492" s="7"/>
      <c r="P492" s="7">
        <f t="shared" si="46"/>
        <v>939164</v>
      </c>
    </row>
    <row r="493" spans="1:16" x14ac:dyDescent="0.25">
      <c r="A493" s="17" t="s">
        <v>756</v>
      </c>
      <c r="B493" s="7">
        <v>10</v>
      </c>
      <c r="C493" s="7" t="s">
        <v>534</v>
      </c>
      <c r="D493" s="7" t="s">
        <v>754</v>
      </c>
      <c r="E493" s="7">
        <f>+IFERROR(+VLOOKUP(A493,'Trial Balance'!$A$12:$C$428,2,0),0)</f>
        <v>0</v>
      </c>
      <c r="F493" s="7"/>
      <c r="G493" s="7">
        <f t="shared" si="43"/>
        <v>0</v>
      </c>
      <c r="H493" s="7">
        <f>+IFERROR(+VLOOKUP(A493,'Trial Balance'!$A$12:$C$428,3,0),0)</f>
        <v>16345551</v>
      </c>
      <c r="I493" s="7"/>
      <c r="J493" s="7">
        <f t="shared" si="44"/>
        <v>16345551</v>
      </c>
      <c r="K493" s="7">
        <f>+IFERROR(+VLOOKUP(A493,'TB2019-20'!$A$12:$C$414,2,0),0)</f>
        <v>0</v>
      </c>
      <c r="L493" s="7"/>
      <c r="M493" s="7">
        <f t="shared" si="45"/>
        <v>0</v>
      </c>
      <c r="N493" s="7">
        <f>+IFERROR(+VLOOKUP(A493,'TB2019-20'!$A$12:$C$414,3,0),0)</f>
        <v>16647093</v>
      </c>
      <c r="O493" s="7"/>
      <c r="P493" s="7">
        <f t="shared" si="46"/>
        <v>16647093</v>
      </c>
    </row>
    <row r="494" spans="1:16" x14ac:dyDescent="0.25">
      <c r="A494" s="17" t="s">
        <v>290</v>
      </c>
      <c r="B494" s="7">
        <v>10</v>
      </c>
      <c r="C494" s="7" t="s">
        <v>534</v>
      </c>
      <c r="D494" s="7" t="s">
        <v>754</v>
      </c>
      <c r="E494" s="7">
        <f>+IFERROR(+VLOOKUP(A494,'Trial Balance'!$A$12:$C$428,2,0),0)</f>
        <v>0</v>
      </c>
      <c r="F494" s="7"/>
      <c r="G494" s="7">
        <f t="shared" si="43"/>
        <v>0</v>
      </c>
      <c r="H494" s="7">
        <f>+IFERROR(+VLOOKUP(A494,'Trial Balance'!$A$12:$C$428,3,0),0)</f>
        <v>379192</v>
      </c>
      <c r="I494" s="7"/>
      <c r="J494" s="7">
        <f t="shared" si="44"/>
        <v>379192</v>
      </c>
      <c r="K494" s="7">
        <f>+IFERROR(+VLOOKUP(A494,'TB2019-20'!$A$12:$C$414,2,0),0)</f>
        <v>0</v>
      </c>
      <c r="L494" s="7"/>
      <c r="M494" s="7">
        <f t="shared" si="45"/>
        <v>0</v>
      </c>
      <c r="N494" s="7">
        <f>+IFERROR(+VLOOKUP(A494,'TB2019-20'!$A$12:$C$414,3,0),0)</f>
        <v>379192</v>
      </c>
      <c r="O494" s="7"/>
      <c r="P494" s="7">
        <f t="shared" si="46"/>
        <v>379192</v>
      </c>
    </row>
    <row r="495" spans="1:16" x14ac:dyDescent="0.25">
      <c r="A495" s="17" t="s">
        <v>757</v>
      </c>
      <c r="B495" s="7">
        <v>10</v>
      </c>
      <c r="C495" s="7" t="s">
        <v>534</v>
      </c>
      <c r="D495" s="7" t="s">
        <v>754</v>
      </c>
      <c r="E495" s="7">
        <f>+IFERROR(+VLOOKUP(A495,'Trial Balance'!$A$12:$C$428,2,0),0)</f>
        <v>0</v>
      </c>
      <c r="F495" s="7"/>
      <c r="G495" s="7">
        <f t="shared" si="43"/>
        <v>0</v>
      </c>
      <c r="H495" s="7">
        <f>+IFERROR(+VLOOKUP(A495,'Trial Balance'!$A$12:$C$428,3,0),0)</f>
        <v>1014019</v>
      </c>
      <c r="I495" s="7"/>
      <c r="J495" s="7">
        <f t="shared" si="44"/>
        <v>1014019</v>
      </c>
      <c r="K495" s="7">
        <f>+IFERROR(+VLOOKUP(A495,'TB2019-20'!$A$12:$C$414,2,0),0)</f>
        <v>0</v>
      </c>
      <c r="L495" s="7"/>
      <c r="M495" s="7">
        <f t="shared" si="45"/>
        <v>0</v>
      </c>
      <c r="N495" s="7">
        <f>+IFERROR(+VLOOKUP(A495,'TB2019-20'!$A$12:$C$414,3,0),0)</f>
        <v>1478167</v>
      </c>
      <c r="O495" s="7"/>
      <c r="P495" s="7">
        <f t="shared" si="46"/>
        <v>1478167</v>
      </c>
    </row>
    <row r="496" spans="1:16" x14ac:dyDescent="0.25">
      <c r="A496" s="17" t="s">
        <v>758</v>
      </c>
      <c r="B496" s="7">
        <v>10</v>
      </c>
      <c r="C496" s="7" t="s">
        <v>534</v>
      </c>
      <c r="D496" s="7" t="s">
        <v>754</v>
      </c>
      <c r="E496" s="7">
        <f>+IFERROR(+VLOOKUP(A496,'Trial Balance'!$A$12:$C$428,2,0),0)</f>
        <v>0</v>
      </c>
      <c r="F496" s="7"/>
      <c r="G496" s="7">
        <f t="shared" si="43"/>
        <v>0</v>
      </c>
      <c r="H496" s="7">
        <f>+IFERROR(+VLOOKUP(A496,'Trial Balance'!$A$12:$C$428,3,0),0)</f>
        <v>598548</v>
      </c>
      <c r="I496" s="7"/>
      <c r="J496" s="7">
        <f t="shared" si="44"/>
        <v>598548</v>
      </c>
      <c r="K496" s="7">
        <f>+IFERROR(+VLOOKUP(A496,'TB2019-20'!$A$12:$C$414,2,0),0)</f>
        <v>0</v>
      </c>
      <c r="L496" s="7"/>
      <c r="M496" s="7">
        <f t="shared" si="45"/>
        <v>0</v>
      </c>
      <c r="N496" s="7">
        <f>+IFERROR(+VLOOKUP(A496,'TB2019-20'!$A$12:$C$414,3,0),0)</f>
        <v>753819</v>
      </c>
      <c r="O496" s="7"/>
      <c r="P496" s="7">
        <f t="shared" si="46"/>
        <v>753819</v>
      </c>
    </row>
    <row r="497" spans="1:16" x14ac:dyDescent="0.25">
      <c r="A497" s="17" t="s">
        <v>759</v>
      </c>
      <c r="B497" s="7">
        <v>10</v>
      </c>
      <c r="C497" s="7" t="s">
        <v>534</v>
      </c>
      <c r="D497" s="7" t="s">
        <v>754</v>
      </c>
      <c r="E497" s="7">
        <f>+IFERROR(+VLOOKUP(A497,'Trial Balance'!$A$12:$C$428,2,0),0)</f>
        <v>0</v>
      </c>
      <c r="F497" s="7"/>
      <c r="G497" s="7">
        <f t="shared" si="43"/>
        <v>0</v>
      </c>
      <c r="H497" s="7">
        <f>+IFERROR(+VLOOKUP(A497,'Trial Balance'!$A$12:$C$428,3,0),0)</f>
        <v>99496148</v>
      </c>
      <c r="I497" s="7"/>
      <c r="J497" s="7">
        <f t="shared" si="44"/>
        <v>99496148</v>
      </c>
      <c r="K497" s="7">
        <f>+IFERROR(+VLOOKUP(A497,'TB2019-20'!$A$12:$C$414,2,0),0)</f>
        <v>0</v>
      </c>
      <c r="L497" s="7"/>
      <c r="M497" s="7">
        <f t="shared" si="45"/>
        <v>0</v>
      </c>
      <c r="N497" s="7">
        <f>+IFERROR(+VLOOKUP(A497,'TB2019-20'!$A$12:$C$414,3,0),0)</f>
        <v>92431427</v>
      </c>
      <c r="O497" s="7"/>
      <c r="P497" s="7">
        <f t="shared" si="46"/>
        <v>92431427</v>
      </c>
    </row>
    <row r="498" spans="1:16" x14ac:dyDescent="0.25">
      <c r="A498" s="17" t="s">
        <v>760</v>
      </c>
      <c r="B498" s="7">
        <v>10</v>
      </c>
      <c r="C498" s="7" t="s">
        <v>534</v>
      </c>
      <c r="D498" s="7" t="s">
        <v>754</v>
      </c>
      <c r="E498" s="7">
        <f>+IFERROR(+VLOOKUP(A498,'Trial Balance'!$A$12:$C$428,2,0),0)</f>
        <v>0</v>
      </c>
      <c r="F498" s="7"/>
      <c r="G498" s="7">
        <f t="shared" si="43"/>
        <v>0</v>
      </c>
      <c r="H498" s="7">
        <f>+IFERROR(+VLOOKUP(A498,'Trial Balance'!$A$12:$C$428,3,0),0)</f>
        <v>558720</v>
      </c>
      <c r="I498" s="7"/>
      <c r="J498" s="7">
        <f t="shared" si="44"/>
        <v>558720</v>
      </c>
      <c r="K498" s="7">
        <f>+IFERROR(+VLOOKUP(A498,'TB2019-20'!$A$12:$C$414,2,0),0)</f>
        <v>0</v>
      </c>
      <c r="L498" s="7"/>
      <c r="M498" s="7">
        <f t="shared" si="45"/>
        <v>0</v>
      </c>
      <c r="N498" s="7">
        <f>+IFERROR(+VLOOKUP(A498,'TB2019-20'!$A$12:$C$414,3,0),0)</f>
        <v>189571</v>
      </c>
      <c r="O498" s="7"/>
      <c r="P498" s="7">
        <f t="shared" si="46"/>
        <v>189571</v>
      </c>
    </row>
    <row r="499" spans="1:16" x14ac:dyDescent="0.25">
      <c r="A499" s="17" t="s">
        <v>299</v>
      </c>
      <c r="B499" s="7">
        <v>12</v>
      </c>
      <c r="C499" s="7" t="s">
        <v>465</v>
      </c>
      <c r="D499" s="7" t="s">
        <v>466</v>
      </c>
      <c r="E499" s="7">
        <f>+IFERROR(+VLOOKUP(A499,'Trial Balance'!$A$12:$C$428,2,0),0)</f>
        <v>34285</v>
      </c>
      <c r="F499" s="7"/>
      <c r="G499" s="7">
        <f t="shared" si="43"/>
        <v>34285</v>
      </c>
      <c r="H499" s="7">
        <f>+IFERROR(+VLOOKUP(A499,'Trial Balance'!$A$12:$C$428,3,0),0)</f>
        <v>0</v>
      </c>
      <c r="I499" s="7"/>
      <c r="J499" s="7">
        <f t="shared" si="44"/>
        <v>0</v>
      </c>
      <c r="K499" s="7">
        <f>+IFERROR(+VLOOKUP(A499,'TB2019-20'!$A$12:$C$414,2,0),0)</f>
        <v>34285</v>
      </c>
      <c r="L499" s="7"/>
      <c r="M499" s="7">
        <f t="shared" si="45"/>
        <v>34285</v>
      </c>
      <c r="N499" s="7">
        <f>+IFERROR(+VLOOKUP(A499,'TB2019-20'!$A$12:$C$414,3,0),0)</f>
        <v>0</v>
      </c>
      <c r="O499" s="7"/>
      <c r="P499" s="7">
        <f t="shared" si="46"/>
        <v>0</v>
      </c>
    </row>
    <row r="500" spans="1:16" x14ac:dyDescent="0.25">
      <c r="A500" s="17" t="s">
        <v>171</v>
      </c>
      <c r="B500" s="7">
        <v>12</v>
      </c>
      <c r="C500" s="7" t="s">
        <v>465</v>
      </c>
      <c r="D500" s="7" t="s">
        <v>466</v>
      </c>
      <c r="E500" s="7">
        <f>+IFERROR(+VLOOKUP(A500,'Trial Balance'!$A$12:$C$428,2,0),0)</f>
        <v>17190</v>
      </c>
      <c r="F500" s="7"/>
      <c r="G500" s="7">
        <f t="shared" si="43"/>
        <v>17190</v>
      </c>
      <c r="H500" s="7">
        <f>+IFERROR(+VLOOKUP(A500,'Trial Balance'!$A$12:$C$428,3,0),0)</f>
        <v>0</v>
      </c>
      <c r="I500" s="7"/>
      <c r="J500" s="7">
        <f t="shared" si="44"/>
        <v>0</v>
      </c>
      <c r="K500" s="7">
        <f>+IFERROR(+VLOOKUP(A500,'TB2019-20'!$A$12:$C$414,2,0),0)</f>
        <v>17190</v>
      </c>
      <c r="L500" s="7"/>
      <c r="M500" s="7">
        <f t="shared" si="45"/>
        <v>17190</v>
      </c>
      <c r="N500" s="7">
        <f>+IFERROR(+VLOOKUP(A500,'TB2019-20'!$A$12:$C$414,3,0),0)</f>
        <v>0</v>
      </c>
      <c r="O500" s="7"/>
      <c r="P500" s="7">
        <f t="shared" si="46"/>
        <v>0</v>
      </c>
    </row>
    <row r="501" spans="1:16" x14ac:dyDescent="0.25">
      <c r="A501" s="8" t="s">
        <v>3205</v>
      </c>
      <c r="B501" s="7">
        <v>12</v>
      </c>
      <c r="C501" s="7" t="s">
        <v>465</v>
      </c>
      <c r="D501" s="7" t="s">
        <v>466</v>
      </c>
      <c r="E501" s="7">
        <f>+IFERROR(+VLOOKUP(A501,'Trial Balance'!$A$12:$C$428,2,0),0)</f>
        <v>0</v>
      </c>
      <c r="F501" s="7"/>
      <c r="G501" s="7">
        <f t="shared" ref="G501" si="47">+E501+F501</f>
        <v>0</v>
      </c>
      <c r="H501" s="7">
        <f>+IFERROR(+VLOOKUP(A501,'Trial Balance'!$A$12:$C$428,3,0),0)</f>
        <v>0</v>
      </c>
      <c r="I501" s="7"/>
      <c r="J501" s="7">
        <f t="shared" ref="J501" si="48">+H501+I501</f>
        <v>0</v>
      </c>
      <c r="K501" s="7">
        <f>+IFERROR(+VLOOKUP(A501,'TB2019-20'!$A$12:$C$414,2,0),0)</f>
        <v>0</v>
      </c>
      <c r="L501" s="7"/>
      <c r="M501" s="7">
        <f t="shared" ref="M501" si="49">+K501+L501</f>
        <v>0</v>
      </c>
      <c r="N501" s="7">
        <f>+IFERROR(+VLOOKUP(A501,'TB2019-20'!$A$12:$C$414,3,0),0)</f>
        <v>0</v>
      </c>
      <c r="O501" s="7"/>
      <c r="P501" s="7">
        <f t="shared" ref="P501" si="50">+N501+O501</f>
        <v>0</v>
      </c>
    </row>
    <row r="502" spans="1:16" x14ac:dyDescent="0.25">
      <c r="A502" s="17" t="s">
        <v>296</v>
      </c>
      <c r="B502" s="7">
        <v>12</v>
      </c>
      <c r="C502" s="7" t="s">
        <v>465</v>
      </c>
      <c r="D502" s="7" t="s">
        <v>466</v>
      </c>
      <c r="E502" s="7">
        <f>+IFERROR(+VLOOKUP(A502,'Trial Balance'!$A$12:$C$428,2,0),0)</f>
        <v>122153</v>
      </c>
      <c r="F502" s="7"/>
      <c r="G502" s="7">
        <f t="shared" si="43"/>
        <v>122153</v>
      </c>
      <c r="H502" s="7">
        <f>+IFERROR(+VLOOKUP(A502,'Trial Balance'!$A$12:$C$428,3,0),0)</f>
        <v>0</v>
      </c>
      <c r="I502" s="7"/>
      <c r="J502" s="7">
        <f t="shared" si="44"/>
        <v>0</v>
      </c>
      <c r="K502" s="7">
        <f>+IFERROR(+VLOOKUP(A502,'TB2019-20'!$A$12:$C$414,2,0),0)</f>
        <v>122153</v>
      </c>
      <c r="L502" s="7"/>
      <c r="M502" s="7">
        <f t="shared" si="45"/>
        <v>122153</v>
      </c>
      <c r="N502" s="7">
        <f>+IFERROR(+VLOOKUP(A502,'TB2019-20'!$A$12:$C$414,3,0),0)</f>
        <v>0</v>
      </c>
      <c r="O502" s="7"/>
      <c r="P502" s="7">
        <f t="shared" si="46"/>
        <v>0</v>
      </c>
    </row>
    <row r="503" spans="1:16" x14ac:dyDescent="0.25">
      <c r="A503" s="8" t="s">
        <v>3482</v>
      </c>
      <c r="B503" s="7">
        <v>12</v>
      </c>
      <c r="C503" s="7" t="s">
        <v>465</v>
      </c>
      <c r="D503" s="7" t="s">
        <v>466</v>
      </c>
      <c r="E503" s="7">
        <f>+IFERROR(+VLOOKUP(A503,'Trial Balance'!$A$12:$C$428,2,0),0)</f>
        <v>88213</v>
      </c>
      <c r="F503" s="7"/>
      <c r="G503" s="7">
        <f t="shared" si="43"/>
        <v>88213</v>
      </c>
      <c r="H503" s="7">
        <f>+IFERROR(+VLOOKUP(A503,'Trial Balance'!$A$12:$C$428,3,0),0)</f>
        <v>0</v>
      </c>
      <c r="I503" s="7"/>
      <c r="J503" s="7">
        <f t="shared" si="44"/>
        <v>0</v>
      </c>
      <c r="K503" s="7">
        <f>+IFERROR(+VLOOKUP(A503,'TB2019-20'!$A$12:$C$414,2,0),0)</f>
        <v>0</v>
      </c>
      <c r="L503" s="7"/>
      <c r="M503" s="7">
        <f t="shared" si="45"/>
        <v>0</v>
      </c>
      <c r="N503" s="7">
        <f>+IFERROR(+VLOOKUP(A503,'TB2019-20'!$A$12:$C$414,3,0),0)</f>
        <v>0</v>
      </c>
      <c r="O503" s="7"/>
      <c r="P503" s="7">
        <f t="shared" si="46"/>
        <v>0</v>
      </c>
    </row>
    <row r="504" spans="1:16" x14ac:dyDescent="0.25">
      <c r="A504" s="17" t="s">
        <v>298</v>
      </c>
      <c r="B504" s="7">
        <v>12</v>
      </c>
      <c r="C504" s="7" t="s">
        <v>465</v>
      </c>
      <c r="D504" s="7" t="s">
        <v>466</v>
      </c>
      <c r="E504" s="7">
        <f>+IFERROR(+VLOOKUP(A504,'Trial Balance'!$A$12:$C$428,2,0),0)</f>
        <v>139678</v>
      </c>
      <c r="F504" s="7"/>
      <c r="G504" s="7">
        <f t="shared" si="43"/>
        <v>139678</v>
      </c>
      <c r="H504" s="7">
        <f>+IFERROR(+VLOOKUP(A504,'Trial Balance'!$A$12:$C$428,3,0),0)</f>
        <v>0</v>
      </c>
      <c r="I504" s="7"/>
      <c r="J504" s="7">
        <f t="shared" si="44"/>
        <v>0</v>
      </c>
      <c r="K504" s="7">
        <f>+IFERROR(+VLOOKUP(A504,'TB2019-20'!$A$12:$C$414,2,0),0)</f>
        <v>139678</v>
      </c>
      <c r="L504" s="7"/>
      <c r="M504" s="7">
        <f t="shared" si="45"/>
        <v>139678</v>
      </c>
      <c r="N504" s="7">
        <f>+IFERROR(+VLOOKUP(A504,'TB2019-20'!$A$12:$C$414,3,0),0)</f>
        <v>0</v>
      </c>
      <c r="O504" s="7"/>
      <c r="P504" s="7">
        <f t="shared" si="46"/>
        <v>0</v>
      </c>
    </row>
    <row r="505" spans="1:16" x14ac:dyDescent="0.25">
      <c r="A505" s="17" t="s">
        <v>297</v>
      </c>
      <c r="B505" s="7">
        <v>12</v>
      </c>
      <c r="C505" s="7" t="s">
        <v>465</v>
      </c>
      <c r="D505" s="7" t="s">
        <v>466</v>
      </c>
      <c r="E505" s="7">
        <f>+IFERROR(+VLOOKUP(A505,'Trial Balance'!$A$12:$C$428,2,0),0)</f>
        <v>271788</v>
      </c>
      <c r="F505" s="7"/>
      <c r="G505" s="7">
        <f t="shared" si="43"/>
        <v>271788</v>
      </c>
      <c r="H505" s="7">
        <f>+IFERROR(+VLOOKUP(A505,'Trial Balance'!$A$12:$C$428,3,0),0)</f>
        <v>0</v>
      </c>
      <c r="I505" s="7"/>
      <c r="J505" s="7">
        <f t="shared" si="44"/>
        <v>0</v>
      </c>
      <c r="K505" s="7">
        <f>+IFERROR(+VLOOKUP(A505,'TB2019-20'!$A$12:$C$414,2,0),0)</f>
        <v>271788</v>
      </c>
      <c r="L505" s="7"/>
      <c r="M505" s="7">
        <f t="shared" si="45"/>
        <v>271788</v>
      </c>
      <c r="N505" s="7">
        <f>+IFERROR(+VLOOKUP(A505,'TB2019-20'!$A$12:$C$414,3,0),0)</f>
        <v>0</v>
      </c>
      <c r="O505" s="7"/>
      <c r="P505" s="7">
        <f t="shared" si="46"/>
        <v>0</v>
      </c>
    </row>
    <row r="506" spans="1:16" x14ac:dyDescent="0.25">
      <c r="A506" s="8" t="s">
        <v>2481</v>
      </c>
      <c r="B506" s="7">
        <v>12</v>
      </c>
      <c r="C506" s="7" t="s">
        <v>465</v>
      </c>
      <c r="D506" s="7" t="s">
        <v>466</v>
      </c>
      <c r="E506" s="7">
        <f>+IFERROR(+VLOOKUP(A506,'Trial Balance'!$A$12:$C$428,2,0),0)</f>
        <v>0</v>
      </c>
      <c r="F506" s="7"/>
      <c r="G506" s="7">
        <f t="shared" si="43"/>
        <v>0</v>
      </c>
      <c r="H506" s="7">
        <f>+IFERROR(+VLOOKUP(A506,'Trial Balance'!$A$12:$C$428,3,0),0)</f>
        <v>0</v>
      </c>
      <c r="I506" s="7"/>
      <c r="J506" s="7">
        <f t="shared" si="44"/>
        <v>0</v>
      </c>
      <c r="K506" s="7">
        <f>+IFERROR(+VLOOKUP(A506,'TB2019-20'!$A$12:$C$414,2,0),0)</f>
        <v>0</v>
      </c>
      <c r="L506" s="7"/>
      <c r="M506" s="7">
        <f t="shared" ref="M506" si="51">+K506+L506</f>
        <v>0</v>
      </c>
      <c r="N506" s="7">
        <f>+IFERROR(+VLOOKUP(A506,'TB2019-20'!$A$12:$C$414,3,0),0)</f>
        <v>0</v>
      </c>
      <c r="O506" s="7"/>
      <c r="P506" s="7">
        <f t="shared" ref="P506" si="52">+N506+O506</f>
        <v>0</v>
      </c>
    </row>
    <row r="507" spans="1:16" x14ac:dyDescent="0.25">
      <c r="A507" s="17" t="s">
        <v>762</v>
      </c>
      <c r="B507" s="7">
        <v>12</v>
      </c>
      <c r="C507" s="7" t="s">
        <v>465</v>
      </c>
      <c r="D507" s="7" t="s">
        <v>466</v>
      </c>
      <c r="E507" s="7">
        <f>+IFERROR(+VLOOKUP(A507,'Trial Balance'!$A$12:$C$428,2,0),0)</f>
        <v>0</v>
      </c>
      <c r="F507" s="7"/>
      <c r="G507" s="7">
        <f t="shared" si="43"/>
        <v>0</v>
      </c>
      <c r="H507" s="7">
        <f>+IFERROR(+VLOOKUP(A507,'Trial Balance'!$A$12:$C$428,3,0),0)</f>
        <v>0</v>
      </c>
      <c r="I507" s="7"/>
      <c r="J507" s="7">
        <f t="shared" si="44"/>
        <v>0</v>
      </c>
      <c r="K507" s="7">
        <f>+IFERROR(+VLOOKUP(A507,'TB2019-20'!$A$12:$C$414,2,0),0)</f>
        <v>0</v>
      </c>
      <c r="L507" s="7"/>
      <c r="M507" s="7">
        <f t="shared" si="45"/>
        <v>0</v>
      </c>
      <c r="N507" s="7">
        <f>+IFERROR(+VLOOKUP(A507,'TB2019-20'!$A$12:$C$414,3,0),0)</f>
        <v>0</v>
      </c>
      <c r="O507" s="7"/>
      <c r="P507" s="7">
        <f t="shared" si="46"/>
        <v>0</v>
      </c>
    </row>
    <row r="508" spans="1:16" x14ac:dyDescent="0.25">
      <c r="A508" s="8" t="s">
        <v>2305</v>
      </c>
      <c r="B508" s="7">
        <v>9</v>
      </c>
      <c r="C508" s="7" t="s">
        <v>587</v>
      </c>
      <c r="D508" s="7" t="s">
        <v>588</v>
      </c>
      <c r="E508" s="7">
        <f>+IFERROR(+VLOOKUP(A508,'Trial Balance'!$A$12:$C$428,2,0),0)</f>
        <v>0</v>
      </c>
      <c r="F508" s="7"/>
      <c r="G508" s="7">
        <f t="shared" si="43"/>
        <v>0</v>
      </c>
      <c r="H508" s="7">
        <f>+IFERROR(+VLOOKUP(A508,'Trial Balance'!$A$12:$C$428,3,0),0)</f>
        <v>216400</v>
      </c>
      <c r="I508" s="7"/>
      <c r="J508" s="7">
        <f t="shared" si="44"/>
        <v>216400</v>
      </c>
      <c r="K508" s="7">
        <f>+IFERROR(+VLOOKUP(A508,'TB2019-20'!$A$12:$C$414,2,0),0)</f>
        <v>0</v>
      </c>
      <c r="L508" s="7"/>
      <c r="M508" s="7">
        <f t="shared" ref="M508" si="53">+K508+L508</f>
        <v>0</v>
      </c>
      <c r="N508" s="7">
        <f>+IFERROR(+VLOOKUP(A508,'TB2019-20'!$A$12:$C$414,3,0),0)</f>
        <v>0</v>
      </c>
      <c r="O508" s="7"/>
      <c r="P508" s="7">
        <f t="shared" ref="P508" si="54">+N508+O508</f>
        <v>0</v>
      </c>
    </row>
    <row r="509" spans="1:16" x14ac:dyDescent="0.25">
      <c r="A509" s="17" t="s">
        <v>763</v>
      </c>
      <c r="B509" s="7">
        <v>9</v>
      </c>
      <c r="C509" s="7" t="s">
        <v>587</v>
      </c>
      <c r="D509" s="7" t="s">
        <v>588</v>
      </c>
      <c r="E509" s="7">
        <f>+IFERROR(+VLOOKUP(A509,'Trial Balance'!$A$12:$C$428,2,0),0)</f>
        <v>0</v>
      </c>
      <c r="F509" s="7"/>
      <c r="G509" s="7">
        <f t="shared" si="43"/>
        <v>0</v>
      </c>
      <c r="H509" s="7">
        <f>+IFERROR(+VLOOKUP(A509,'Trial Balance'!$A$12:$C$428,3,0),0)</f>
        <v>3296204.7</v>
      </c>
      <c r="I509" s="7"/>
      <c r="J509" s="7">
        <f t="shared" si="44"/>
        <v>3296204.7</v>
      </c>
      <c r="K509" s="7">
        <f>+IFERROR(+VLOOKUP(A509,'TB2019-20'!$A$12:$C$414,2,0),0)</f>
        <v>0</v>
      </c>
      <c r="L509" s="7"/>
      <c r="M509" s="7">
        <f t="shared" si="45"/>
        <v>0</v>
      </c>
      <c r="N509" s="7">
        <f>+IFERROR(+VLOOKUP(A509,'TB2019-20'!$A$12:$C$414,3,0),0)</f>
        <v>3212027.7</v>
      </c>
      <c r="O509" s="7"/>
      <c r="P509" s="7">
        <f t="shared" si="46"/>
        <v>3212027.7</v>
      </c>
    </row>
    <row r="510" spans="1:16" x14ac:dyDescent="0.25">
      <c r="A510" s="17" t="s">
        <v>3556</v>
      </c>
      <c r="B510" s="7">
        <v>9</v>
      </c>
      <c r="C510" s="7" t="s">
        <v>587</v>
      </c>
      <c r="D510" s="7" t="s">
        <v>3557</v>
      </c>
      <c r="E510" s="7">
        <f>+IFERROR(+VLOOKUP(A510,'Trial Balance'!$A$12:$C$428,2,0),0)</f>
        <v>0</v>
      </c>
      <c r="F510" s="7"/>
      <c r="G510" s="7">
        <f t="shared" ref="G510" si="55">+E510+F510</f>
        <v>0</v>
      </c>
      <c r="H510" s="7">
        <f>+IFERROR(+VLOOKUP(A510,'Trial Balance'!$A$12:$C$428,3,0),0)</f>
        <v>0</v>
      </c>
      <c r="I510" s="7">
        <v>280877</v>
      </c>
      <c r="J510" s="7">
        <f t="shared" ref="J510" si="56">+H510+I510</f>
        <v>280877</v>
      </c>
      <c r="K510" s="7">
        <f>+IFERROR(+VLOOKUP(A510,'TB2019-20'!$A$12:$C$414,2,0),0)</f>
        <v>0</v>
      </c>
      <c r="L510" s="7"/>
      <c r="M510" s="7">
        <f t="shared" ref="M510" si="57">+K510+L510</f>
        <v>0</v>
      </c>
      <c r="N510" s="7">
        <f>+IFERROR(+VLOOKUP(A510,'TB2019-20'!$A$12:$C$414,3,0),0)</f>
        <v>0</v>
      </c>
      <c r="O510" s="7"/>
      <c r="P510" s="7">
        <f t="shared" ref="P510" si="58">+N510+O510</f>
        <v>0</v>
      </c>
    </row>
    <row r="511" spans="1:16" x14ac:dyDescent="0.25">
      <c r="A511" s="17" t="s">
        <v>301</v>
      </c>
      <c r="B511" s="7">
        <v>12</v>
      </c>
      <c r="C511" s="7" t="s">
        <v>465</v>
      </c>
      <c r="D511" s="14" t="s">
        <v>546</v>
      </c>
      <c r="E511" s="7">
        <f>+IFERROR(+VLOOKUP(A511,'Trial Balance'!$A$12:$C$428,2,0),0)</f>
        <v>15450441</v>
      </c>
      <c r="F511" s="7"/>
      <c r="G511" s="7">
        <f t="shared" si="43"/>
        <v>15450441</v>
      </c>
      <c r="H511" s="7">
        <f>+IFERROR(+VLOOKUP(A511,'Trial Balance'!$A$12:$C$428,3,0),0)</f>
        <v>0</v>
      </c>
      <c r="I511" s="7"/>
      <c r="J511" s="7">
        <f t="shared" si="44"/>
        <v>0</v>
      </c>
      <c r="K511" s="7">
        <f>+IFERROR(+VLOOKUP(A511,'TB2019-20'!$A$12:$C$414,2,0),0)</f>
        <v>12216191</v>
      </c>
      <c r="L511" s="7"/>
      <c r="M511" s="7">
        <f t="shared" si="45"/>
        <v>12216191</v>
      </c>
      <c r="N511" s="7">
        <f>+IFERROR(+VLOOKUP(A511,'TB2019-20'!$A$12:$C$414,3,0),0)</f>
        <v>0</v>
      </c>
      <c r="O511" s="7"/>
      <c r="P511" s="7">
        <f t="shared" si="46"/>
        <v>0</v>
      </c>
    </row>
    <row r="512" spans="1:16" x14ac:dyDescent="0.25">
      <c r="A512" s="23" t="s">
        <v>302</v>
      </c>
      <c r="B512" s="7">
        <v>7</v>
      </c>
      <c r="C512" s="7" t="s">
        <v>460</v>
      </c>
      <c r="D512" s="7" t="s">
        <v>460</v>
      </c>
      <c r="E512" s="7">
        <f>+IFERROR(+VLOOKUP(A512,'Trial Balance'!$A$12:$C$428,2,0),0)</f>
        <v>0</v>
      </c>
      <c r="F512" s="7"/>
      <c r="G512" s="7">
        <f t="shared" si="43"/>
        <v>0</v>
      </c>
      <c r="H512" s="7">
        <f>+IFERROR(+VLOOKUP(A512,'Trial Balance'!$A$12:$C$428,3,0),0)</f>
        <v>12385</v>
      </c>
      <c r="I512" s="7"/>
      <c r="J512" s="7">
        <f t="shared" si="44"/>
        <v>12385</v>
      </c>
      <c r="K512" s="7">
        <f>+IFERROR(+VLOOKUP(A512,'TB2019-20'!$A$12:$C$414,2,0),0)</f>
        <v>0</v>
      </c>
      <c r="L512" s="7"/>
      <c r="M512" s="7">
        <f t="shared" si="45"/>
        <v>0</v>
      </c>
      <c r="N512" s="7">
        <f>+IFERROR(+VLOOKUP(A512,'TB2019-20'!$A$12:$C$414,3,0),0)</f>
        <v>0</v>
      </c>
      <c r="O512" s="7"/>
      <c r="P512" s="7">
        <f t="shared" si="46"/>
        <v>0</v>
      </c>
    </row>
    <row r="513" spans="1:16" x14ac:dyDescent="0.25">
      <c r="A513" s="23" t="s">
        <v>764</v>
      </c>
      <c r="B513" s="7">
        <v>7</v>
      </c>
      <c r="C513" s="7" t="s">
        <v>460</v>
      </c>
      <c r="D513" s="7" t="s">
        <v>460</v>
      </c>
      <c r="E513" s="7">
        <f>+IFERROR(+VLOOKUP(A513,'Trial Balance'!$A$12:$C$428,2,0),0)</f>
        <v>0</v>
      </c>
      <c r="F513" s="7"/>
      <c r="G513" s="7">
        <f t="shared" si="43"/>
        <v>0</v>
      </c>
      <c r="H513" s="7">
        <f>+IFERROR(+VLOOKUP(A513,'Trial Balance'!$A$12:$C$428,3,0),0)</f>
        <v>9346</v>
      </c>
      <c r="I513" s="7"/>
      <c r="J513" s="7">
        <f t="shared" si="44"/>
        <v>9346</v>
      </c>
      <c r="K513" s="7">
        <f>+IFERROR(+VLOOKUP(A513,'TB2019-20'!$A$12:$C$414,2,0),0)</f>
        <v>0</v>
      </c>
      <c r="L513" s="7"/>
      <c r="M513" s="7">
        <f t="shared" si="45"/>
        <v>0</v>
      </c>
      <c r="N513" s="7">
        <f>+IFERROR(+VLOOKUP(A513,'TB2019-20'!$A$12:$C$414,3,0),0)</f>
        <v>26432</v>
      </c>
      <c r="O513" s="7"/>
      <c r="P513" s="7">
        <f t="shared" si="46"/>
        <v>26432</v>
      </c>
    </row>
    <row r="514" spans="1:16" x14ac:dyDescent="0.25">
      <c r="A514" s="17" t="s">
        <v>304</v>
      </c>
      <c r="B514" s="7">
        <v>22</v>
      </c>
      <c r="C514" s="7" t="s">
        <v>557</v>
      </c>
      <c r="D514" s="7" t="s">
        <v>558</v>
      </c>
      <c r="E514" s="7">
        <f>+IFERROR(+VLOOKUP(A514,'Trial Balance'!$A$12:$C$428,2,0),0)</f>
        <v>245315</v>
      </c>
      <c r="F514" s="7"/>
      <c r="G514" s="7">
        <f t="shared" si="43"/>
        <v>245315</v>
      </c>
      <c r="H514" s="7">
        <f>+IFERROR(+VLOOKUP(A514,'Trial Balance'!$A$12:$C$428,3,0),0)</f>
        <v>0</v>
      </c>
      <c r="I514" s="7"/>
      <c r="J514" s="7">
        <f t="shared" si="44"/>
        <v>0</v>
      </c>
      <c r="K514" s="7">
        <f>+IFERROR(+VLOOKUP(A514,'TB2019-20'!$A$12:$C$414,2,0),0)</f>
        <v>610238</v>
      </c>
      <c r="L514" s="7"/>
      <c r="M514" s="7">
        <f t="shared" si="45"/>
        <v>610238</v>
      </c>
      <c r="N514" s="7">
        <f>+IFERROR(+VLOOKUP(A514,'TB2019-20'!$A$12:$C$414,3,0),0)</f>
        <v>0</v>
      </c>
      <c r="O514" s="7"/>
      <c r="P514" s="7">
        <f t="shared" si="46"/>
        <v>0</v>
      </c>
    </row>
    <row r="515" spans="1:16" x14ac:dyDescent="0.25">
      <c r="A515" s="17" t="s">
        <v>305</v>
      </c>
      <c r="B515" s="7">
        <v>26</v>
      </c>
      <c r="C515" s="7" t="s">
        <v>467</v>
      </c>
      <c r="D515" s="7" t="s">
        <v>562</v>
      </c>
      <c r="E515" s="7">
        <f>+IFERROR(+VLOOKUP(A515,'Trial Balance'!$A$12:$C$428,2,0),0)</f>
        <v>6876013</v>
      </c>
      <c r="F515" s="7"/>
      <c r="G515" s="7">
        <f t="shared" si="43"/>
        <v>6876013</v>
      </c>
      <c r="H515" s="7">
        <f>+IFERROR(+VLOOKUP(A515,'Trial Balance'!$A$12:$C$428,3,0),0)</f>
        <v>0</v>
      </c>
      <c r="I515" s="7"/>
      <c r="J515" s="7">
        <f t="shared" si="44"/>
        <v>0</v>
      </c>
      <c r="K515" s="7">
        <f>+IFERROR(+VLOOKUP(A515,'TB2019-20'!$A$12:$C$414,2,0),0)</f>
        <v>9875204.9800000004</v>
      </c>
      <c r="L515" s="7"/>
      <c r="M515" s="7">
        <f t="shared" si="45"/>
        <v>9875204.9800000004</v>
      </c>
      <c r="N515" s="7">
        <f>+IFERROR(+VLOOKUP(A515,'TB2019-20'!$A$12:$C$414,3,0),0)</f>
        <v>0</v>
      </c>
      <c r="O515" s="7"/>
      <c r="P515" s="7">
        <f t="shared" si="46"/>
        <v>0</v>
      </c>
    </row>
    <row r="516" spans="1:16" x14ac:dyDescent="0.25">
      <c r="A516" s="17" t="s">
        <v>765</v>
      </c>
      <c r="B516" s="7">
        <v>22</v>
      </c>
      <c r="C516" s="7" t="s">
        <v>557</v>
      </c>
      <c r="D516" s="7" t="s">
        <v>558</v>
      </c>
      <c r="E516" s="7">
        <f>+IFERROR(+VLOOKUP(A516,'Trial Balance'!$A$12:$C$428,2,0),0)</f>
        <v>0</v>
      </c>
      <c r="F516" s="7"/>
      <c r="G516" s="7">
        <f t="shared" si="43"/>
        <v>0</v>
      </c>
      <c r="H516" s="7">
        <f>+IFERROR(+VLOOKUP(A516,'Trial Balance'!$A$12:$C$428,3,0),0)</f>
        <v>0</v>
      </c>
      <c r="I516" s="7"/>
      <c r="J516" s="7">
        <f t="shared" si="44"/>
        <v>0</v>
      </c>
      <c r="K516" s="7">
        <f>+IFERROR(+VLOOKUP(A516,'TB2019-20'!$A$12:$C$414,2,0),0)</f>
        <v>570000</v>
      </c>
      <c r="L516" s="7"/>
      <c r="M516" s="7">
        <f t="shared" si="45"/>
        <v>570000</v>
      </c>
      <c r="N516" s="7">
        <f>+IFERROR(+VLOOKUP(A516,'TB2019-20'!$A$12:$C$414,3,0),0)</f>
        <v>0</v>
      </c>
      <c r="O516" s="7"/>
      <c r="P516" s="7">
        <f t="shared" si="46"/>
        <v>0</v>
      </c>
    </row>
    <row r="517" spans="1:16" x14ac:dyDescent="0.25">
      <c r="A517" s="17" t="s">
        <v>766</v>
      </c>
      <c r="B517" s="7">
        <v>26</v>
      </c>
      <c r="C517" s="7" t="s">
        <v>467</v>
      </c>
      <c r="D517" s="7" t="s">
        <v>728</v>
      </c>
      <c r="E517" s="7">
        <f>+IFERROR(+VLOOKUP(A517,'Trial Balance'!$A$12:$C$428,2,0),0)</f>
        <v>0</v>
      </c>
      <c r="F517" s="7"/>
      <c r="G517" s="7">
        <f t="shared" si="43"/>
        <v>0</v>
      </c>
      <c r="H517" s="7">
        <f>+IFERROR(+VLOOKUP(A517,'Trial Balance'!$A$12:$C$428,3,0),0)</f>
        <v>0</v>
      </c>
      <c r="I517" s="7"/>
      <c r="J517" s="7">
        <f t="shared" si="44"/>
        <v>0</v>
      </c>
      <c r="K517" s="7">
        <f>+IFERROR(+VLOOKUP(A517,'TB2019-20'!$A$12:$C$414,2,0),0)</f>
        <v>0</v>
      </c>
      <c r="L517" s="7"/>
      <c r="M517" s="7">
        <f t="shared" si="45"/>
        <v>0</v>
      </c>
      <c r="N517" s="7">
        <f>+IFERROR(+VLOOKUP(A517,'TB2019-20'!$A$12:$C$414,3,0),0)</f>
        <v>0</v>
      </c>
      <c r="O517" s="7"/>
      <c r="P517" s="7">
        <f t="shared" si="46"/>
        <v>0</v>
      </c>
    </row>
    <row r="518" spans="1:16" x14ac:dyDescent="0.25">
      <c r="A518" s="17" t="s">
        <v>767</v>
      </c>
      <c r="B518" s="7">
        <v>22</v>
      </c>
      <c r="C518" s="7" t="s">
        <v>557</v>
      </c>
      <c r="D518" s="7" t="s">
        <v>558</v>
      </c>
      <c r="E518" s="7">
        <f>+IFERROR(+VLOOKUP(A518,'Trial Balance'!$A$12:$C$428,2,0),0)</f>
        <v>0</v>
      </c>
      <c r="F518" s="7"/>
      <c r="G518" s="7">
        <f t="shared" si="43"/>
        <v>0</v>
      </c>
      <c r="H518" s="7">
        <f>+IFERROR(+VLOOKUP(A518,'Trial Balance'!$A$12:$C$428,3,0),0)</f>
        <v>0</v>
      </c>
      <c r="I518" s="7"/>
      <c r="J518" s="7">
        <f t="shared" si="44"/>
        <v>0</v>
      </c>
      <c r="K518" s="7">
        <f>+IFERROR(+VLOOKUP(A518,'TB2019-20'!$A$12:$C$414,2,0),0)</f>
        <v>107000</v>
      </c>
      <c r="L518" s="7"/>
      <c r="M518" s="7">
        <f t="shared" si="45"/>
        <v>107000</v>
      </c>
      <c r="N518" s="7">
        <f>+IFERROR(+VLOOKUP(A518,'TB2019-20'!$A$12:$C$414,3,0),0)</f>
        <v>0</v>
      </c>
      <c r="O518" s="7"/>
      <c r="P518" s="7">
        <f t="shared" si="46"/>
        <v>0</v>
      </c>
    </row>
    <row r="519" spans="1:16" x14ac:dyDescent="0.25">
      <c r="A519" s="17" t="s">
        <v>306</v>
      </c>
      <c r="B519" s="7">
        <v>22</v>
      </c>
      <c r="C519" s="7" t="s">
        <v>557</v>
      </c>
      <c r="D519" s="7" t="s">
        <v>558</v>
      </c>
      <c r="E519" s="7">
        <f>+IFERROR(+VLOOKUP(A519,'Trial Balance'!$A$12:$C$428,2,0),0)</f>
        <v>4380095</v>
      </c>
      <c r="F519" s="7"/>
      <c r="G519" s="7">
        <f t="shared" si="43"/>
        <v>4380095</v>
      </c>
      <c r="H519" s="7">
        <f>+IFERROR(+VLOOKUP(A519,'Trial Balance'!$A$12:$C$428,3,0),0)</f>
        <v>0</v>
      </c>
      <c r="I519" s="7"/>
      <c r="J519" s="7">
        <f t="shared" si="44"/>
        <v>0</v>
      </c>
      <c r="K519" s="7">
        <f>+IFERROR(+VLOOKUP(A519,'TB2019-20'!$A$12:$C$414,2,0),0)</f>
        <v>741466</v>
      </c>
      <c r="L519" s="7"/>
      <c r="M519" s="7">
        <f t="shared" si="45"/>
        <v>741466</v>
      </c>
      <c r="N519" s="7">
        <f>+IFERROR(+VLOOKUP(A519,'TB2019-20'!$A$12:$C$414,3,0),0)</f>
        <v>0</v>
      </c>
      <c r="O519" s="7"/>
      <c r="P519" s="7">
        <f t="shared" si="46"/>
        <v>0</v>
      </c>
    </row>
    <row r="520" spans="1:16" x14ac:dyDescent="0.25">
      <c r="A520" s="17" t="s">
        <v>768</v>
      </c>
      <c r="B520" s="7">
        <v>26</v>
      </c>
      <c r="C520" s="7" t="s">
        <v>467</v>
      </c>
      <c r="D520" s="7" t="s">
        <v>769</v>
      </c>
      <c r="E520" s="7">
        <f>+IFERROR(+VLOOKUP(A520,'Trial Balance'!$A$12:$C$428,2,0),0)</f>
        <v>5885577.8399999999</v>
      </c>
      <c r="F520" s="7"/>
      <c r="G520" s="7">
        <f t="shared" ref="G520:G583" si="59">+E520+F520</f>
        <v>5885577.8399999999</v>
      </c>
      <c r="H520" s="7">
        <f>+IFERROR(+VLOOKUP(A520,'Trial Balance'!$A$12:$C$428,3,0),0)</f>
        <v>0</v>
      </c>
      <c r="I520" s="7"/>
      <c r="J520" s="7">
        <f t="shared" ref="J520:J583" si="60">+H520+I520</f>
        <v>0</v>
      </c>
      <c r="K520" s="7">
        <f>+IFERROR(+VLOOKUP(A520,'TB2019-20'!$A$12:$C$414,2,0),0)</f>
        <v>9155866.8599999994</v>
      </c>
      <c r="L520" s="7"/>
      <c r="M520" s="7">
        <f t="shared" si="45"/>
        <v>9155866.8599999994</v>
      </c>
      <c r="N520" s="7">
        <f>+IFERROR(+VLOOKUP(A520,'TB2019-20'!$A$12:$C$414,3,0),0)</f>
        <v>0</v>
      </c>
      <c r="O520" s="7"/>
      <c r="P520" s="7">
        <f t="shared" si="46"/>
        <v>0</v>
      </c>
    </row>
    <row r="521" spans="1:16" x14ac:dyDescent="0.25">
      <c r="A521" s="19" t="s">
        <v>770</v>
      </c>
      <c r="B521" s="7">
        <v>7</v>
      </c>
      <c r="C521" s="7" t="s">
        <v>460</v>
      </c>
      <c r="D521" s="7" t="s">
        <v>462</v>
      </c>
      <c r="E521" s="7">
        <f>+IFERROR(+VLOOKUP(A521,'Trial Balance'!$A$12:$C$428,2,0),0)</f>
        <v>0</v>
      </c>
      <c r="F521" s="7"/>
      <c r="G521" s="7">
        <f t="shared" si="59"/>
        <v>0</v>
      </c>
      <c r="H521" s="7">
        <f>+IFERROR(+VLOOKUP(A521,'Trial Balance'!$A$12:$C$428,3,0),0)</f>
        <v>0</v>
      </c>
      <c r="I521" s="7"/>
      <c r="J521" s="7">
        <f t="shared" si="60"/>
        <v>0</v>
      </c>
      <c r="K521" s="7">
        <f>+IFERROR(+VLOOKUP(A521,'TB2019-20'!$A$12:$C$414,2,0),0)</f>
        <v>5079</v>
      </c>
      <c r="L521" s="7"/>
      <c r="M521" s="7">
        <f t="shared" si="45"/>
        <v>5079</v>
      </c>
      <c r="N521" s="7">
        <f>+IFERROR(+VLOOKUP(A521,'TB2019-20'!$A$12:$C$414,3,0),0)</f>
        <v>0</v>
      </c>
      <c r="O521" s="7"/>
      <c r="P521" s="7">
        <f t="shared" si="46"/>
        <v>0</v>
      </c>
    </row>
    <row r="522" spans="1:16" x14ac:dyDescent="0.25">
      <c r="A522" s="17" t="s">
        <v>771</v>
      </c>
      <c r="B522" s="11">
        <v>8</v>
      </c>
      <c r="C522" s="11" t="s">
        <v>497</v>
      </c>
      <c r="D522" s="11" t="s">
        <v>498</v>
      </c>
      <c r="E522" s="7">
        <f>+IFERROR(+VLOOKUP(A522,'Trial Balance'!$A$12:$C$428,2,0),0)</f>
        <v>0</v>
      </c>
      <c r="F522" s="7"/>
      <c r="G522" s="7">
        <f t="shared" si="59"/>
        <v>0</v>
      </c>
      <c r="H522" s="7">
        <f>+IFERROR(+VLOOKUP(A522,'Trial Balance'!$A$12:$C$428,3,0),0)</f>
        <v>0</v>
      </c>
      <c r="I522" s="7"/>
      <c r="J522" s="7">
        <f t="shared" si="60"/>
        <v>0</v>
      </c>
      <c r="K522" s="7">
        <f>+IFERROR(+VLOOKUP(A522,'TB2019-20'!$A$12:$C$414,2,0),0)</f>
        <v>0</v>
      </c>
      <c r="L522" s="7"/>
      <c r="M522" s="7">
        <f t="shared" si="45"/>
        <v>0</v>
      </c>
      <c r="N522" s="7">
        <f>+IFERROR(+VLOOKUP(A522,'TB2019-20'!$A$12:$C$414,3,0),0)</f>
        <v>0</v>
      </c>
      <c r="O522" s="7"/>
      <c r="P522" s="7">
        <f t="shared" si="46"/>
        <v>0</v>
      </c>
    </row>
    <row r="523" spans="1:16" x14ac:dyDescent="0.25">
      <c r="A523" s="17" t="s">
        <v>772</v>
      </c>
      <c r="B523" s="7">
        <v>15</v>
      </c>
      <c r="C523" s="7" t="s">
        <v>469</v>
      </c>
      <c r="D523" s="7" t="s">
        <v>470</v>
      </c>
      <c r="E523" s="7">
        <f>+IFERROR(+VLOOKUP(A523,'Trial Balance'!$A$12:$C$428,2,0),0)</f>
        <v>0</v>
      </c>
      <c r="F523" s="7"/>
      <c r="G523" s="7">
        <f t="shared" si="59"/>
        <v>0</v>
      </c>
      <c r="H523" s="7">
        <f>+IFERROR(+VLOOKUP(A523,'Trial Balance'!$A$12:$C$428,3,0),0)</f>
        <v>0</v>
      </c>
      <c r="I523" s="7"/>
      <c r="J523" s="7">
        <f t="shared" si="60"/>
        <v>0</v>
      </c>
      <c r="K523" s="7">
        <f>+IFERROR(+VLOOKUP(A523,'TB2019-20'!$A$12:$C$414,2,0),0)</f>
        <v>553617</v>
      </c>
      <c r="L523" s="7"/>
      <c r="M523" s="7">
        <f t="shared" si="45"/>
        <v>553617</v>
      </c>
      <c r="N523" s="7">
        <f>+IFERROR(+VLOOKUP(A523,'TB2019-20'!$A$12:$C$414,3,0),0)</f>
        <v>0</v>
      </c>
      <c r="O523" s="7"/>
      <c r="P523" s="7">
        <f t="shared" si="46"/>
        <v>0</v>
      </c>
    </row>
    <row r="524" spans="1:16" x14ac:dyDescent="0.25">
      <c r="A524" s="20" t="s">
        <v>314</v>
      </c>
      <c r="B524" s="7">
        <v>15</v>
      </c>
      <c r="C524" s="7" t="s">
        <v>469</v>
      </c>
      <c r="D524" s="7" t="s">
        <v>470</v>
      </c>
      <c r="E524" s="7">
        <f>+IFERROR(+VLOOKUP(A524,'Trial Balance'!$A$12:$C$428,2,0),0)</f>
        <v>3359955</v>
      </c>
      <c r="F524" s="7"/>
      <c r="G524" s="7">
        <f t="shared" si="59"/>
        <v>3359955</v>
      </c>
      <c r="H524" s="7">
        <f>+IFERROR(+VLOOKUP(A524,'Trial Balance'!$A$12:$C$428,3,0),0)</f>
        <v>0</v>
      </c>
      <c r="I524" s="7"/>
      <c r="J524" s="7">
        <f t="shared" si="60"/>
        <v>0</v>
      </c>
      <c r="K524" s="7">
        <f>+IFERROR(+VLOOKUP(A524,'TB2019-20'!$A$12:$C$414,2,0),0)</f>
        <v>2558371</v>
      </c>
      <c r="L524" s="7"/>
      <c r="M524" s="7">
        <f t="shared" si="45"/>
        <v>2558371</v>
      </c>
      <c r="N524" s="7">
        <f>+IFERROR(+VLOOKUP(A524,'TB2019-20'!$A$12:$C$414,3,0),0)</f>
        <v>0</v>
      </c>
      <c r="O524" s="7"/>
      <c r="P524" s="7">
        <f t="shared" si="46"/>
        <v>0</v>
      </c>
    </row>
    <row r="525" spans="1:16" x14ac:dyDescent="0.25">
      <c r="A525" s="17" t="s">
        <v>773</v>
      </c>
      <c r="B525" s="7">
        <v>15</v>
      </c>
      <c r="C525" s="7" t="s">
        <v>469</v>
      </c>
      <c r="D525" s="7" t="s">
        <v>470</v>
      </c>
      <c r="E525" s="7">
        <f>+IFERROR(+VLOOKUP(A525,'Trial Balance'!$A$12:$C$428,2,0),0)</f>
        <v>25272743</v>
      </c>
      <c r="F525" s="7"/>
      <c r="G525" s="7">
        <f t="shared" si="59"/>
        <v>25272743</v>
      </c>
      <c r="H525" s="7">
        <f>+IFERROR(+VLOOKUP(A525,'Trial Balance'!$A$12:$C$428,3,0),0)</f>
        <v>0</v>
      </c>
      <c r="I525" s="7"/>
      <c r="J525" s="7">
        <f t="shared" si="60"/>
        <v>0</v>
      </c>
      <c r="K525" s="7">
        <f>+IFERROR(+VLOOKUP(A525,'TB2019-20'!$A$12:$C$414,2,0),0)</f>
        <v>22988933</v>
      </c>
      <c r="L525" s="7"/>
      <c r="M525" s="7">
        <f t="shared" si="45"/>
        <v>22988933</v>
      </c>
      <c r="N525" s="7">
        <f>+IFERROR(+VLOOKUP(A525,'TB2019-20'!$A$12:$C$414,3,0),0)</f>
        <v>0</v>
      </c>
      <c r="O525" s="7"/>
      <c r="P525" s="7">
        <f t="shared" si="46"/>
        <v>0</v>
      </c>
    </row>
    <row r="526" spans="1:16" x14ac:dyDescent="0.25">
      <c r="A526" s="17" t="s">
        <v>308</v>
      </c>
      <c r="B526" s="7">
        <v>7</v>
      </c>
      <c r="C526" s="7" t="s">
        <v>460</v>
      </c>
      <c r="D526" s="7" t="s">
        <v>460</v>
      </c>
      <c r="E526" s="7">
        <f>+IFERROR(+VLOOKUP(A526,'Trial Balance'!$A$12:$C$428,2,0),0)</f>
        <v>0</v>
      </c>
      <c r="F526" s="7"/>
      <c r="G526" s="7">
        <f t="shared" si="59"/>
        <v>0</v>
      </c>
      <c r="H526" s="7">
        <f>+IFERROR(+VLOOKUP(A526,'Trial Balance'!$A$12:$C$428,3,0),0)</f>
        <v>13051000</v>
      </c>
      <c r="I526" s="7"/>
      <c r="J526" s="7">
        <f t="shared" si="60"/>
        <v>13051000</v>
      </c>
      <c r="K526" s="7">
        <f>+IFERROR(+VLOOKUP(A526,'TB2019-20'!$A$12:$C$414,2,0),0)</f>
        <v>0</v>
      </c>
      <c r="L526" s="7"/>
      <c r="M526" s="7">
        <f t="shared" si="45"/>
        <v>0</v>
      </c>
      <c r="N526" s="7">
        <f>+IFERROR(+VLOOKUP(A526,'TB2019-20'!$A$12:$C$414,3,0),0)</f>
        <v>8142548</v>
      </c>
      <c r="O526" s="7"/>
      <c r="P526" s="7">
        <f t="shared" si="46"/>
        <v>8142548</v>
      </c>
    </row>
    <row r="527" spans="1:16" x14ac:dyDescent="0.25">
      <c r="A527" s="23" t="s">
        <v>774</v>
      </c>
      <c r="B527" s="7">
        <v>12</v>
      </c>
      <c r="C527" s="7" t="s">
        <v>465</v>
      </c>
      <c r="D527" s="7" t="s">
        <v>478</v>
      </c>
      <c r="E527" s="7">
        <f>+IFERROR(+VLOOKUP(A527,'Trial Balance'!$A$12:$C$428,2,0),0)</f>
        <v>0</v>
      </c>
      <c r="F527" s="7"/>
      <c r="G527" s="7">
        <f t="shared" si="59"/>
        <v>0</v>
      </c>
      <c r="H527" s="7">
        <f>+IFERROR(+VLOOKUP(A527,'Trial Balance'!$A$12:$C$428,3,0),0)</f>
        <v>0</v>
      </c>
      <c r="I527" s="7"/>
      <c r="J527" s="7">
        <f t="shared" si="60"/>
        <v>0</v>
      </c>
      <c r="K527" s="7">
        <f>+IFERROR(+VLOOKUP(A527,'TB2019-20'!$A$12:$C$414,2,0),0)</f>
        <v>0</v>
      </c>
      <c r="L527" s="7"/>
      <c r="M527" s="7">
        <f t="shared" si="45"/>
        <v>0</v>
      </c>
      <c r="N527" s="7">
        <f>+IFERROR(+VLOOKUP(A527,'TB2019-20'!$A$12:$C$414,3,0),0)</f>
        <v>0</v>
      </c>
      <c r="O527" s="7"/>
      <c r="P527" s="7">
        <f t="shared" si="46"/>
        <v>0</v>
      </c>
    </row>
    <row r="528" spans="1:16" x14ac:dyDescent="0.25">
      <c r="A528" s="17" t="s">
        <v>775</v>
      </c>
      <c r="B528" s="7">
        <v>7</v>
      </c>
      <c r="C528" s="7" t="s">
        <v>460</v>
      </c>
      <c r="D528" s="7" t="s">
        <v>460</v>
      </c>
      <c r="E528" s="7">
        <f>+IFERROR(+VLOOKUP(A528,'Trial Balance'!$A$12:$C$428,2,0),0)</f>
        <v>0</v>
      </c>
      <c r="F528" s="7"/>
      <c r="G528" s="7">
        <f t="shared" si="59"/>
        <v>0</v>
      </c>
      <c r="H528" s="7">
        <f>+IFERROR(+VLOOKUP(A528,'Trial Balance'!$A$12:$C$428,3,0),0)</f>
        <v>2563</v>
      </c>
      <c r="I528" s="7"/>
      <c r="J528" s="7">
        <f t="shared" si="60"/>
        <v>2563</v>
      </c>
      <c r="K528" s="7">
        <f>+IFERROR(+VLOOKUP(A528,'TB2019-20'!$A$12:$C$414,2,0),0)</f>
        <v>0</v>
      </c>
      <c r="L528" s="7"/>
      <c r="M528" s="7">
        <f t="shared" ref="M528:M590" si="61">+K528+L528</f>
        <v>0</v>
      </c>
      <c r="N528" s="7">
        <f>+IFERROR(+VLOOKUP(A528,'TB2019-20'!$A$12:$C$414,3,0),0)</f>
        <v>1495</v>
      </c>
      <c r="O528" s="7"/>
      <c r="P528" s="7">
        <f t="shared" ref="P528:P590" si="62">+N528+O528</f>
        <v>1495</v>
      </c>
    </row>
    <row r="529" spans="1:16" x14ac:dyDescent="0.25">
      <c r="A529" s="20" t="s">
        <v>776</v>
      </c>
      <c r="B529" s="7">
        <v>7</v>
      </c>
      <c r="C529" s="7" t="s">
        <v>460</v>
      </c>
      <c r="D529" s="7" t="s">
        <v>460</v>
      </c>
      <c r="E529" s="7">
        <f>+IFERROR(+VLOOKUP(A529,'Trial Balance'!$A$12:$C$428,2,0),0)</f>
        <v>0</v>
      </c>
      <c r="F529" s="7"/>
      <c r="G529" s="7">
        <f t="shared" si="59"/>
        <v>0</v>
      </c>
      <c r="H529" s="7">
        <f>+IFERROR(+VLOOKUP(A529,'Trial Balance'!$A$12:$C$428,3,0),0)</f>
        <v>0</v>
      </c>
      <c r="I529" s="7"/>
      <c r="J529" s="7">
        <f t="shared" si="60"/>
        <v>0</v>
      </c>
      <c r="K529" s="7">
        <f>+IFERROR(+VLOOKUP(A529,'TB2019-20'!$A$12:$C$414,2,0),0)</f>
        <v>0</v>
      </c>
      <c r="L529" s="7"/>
      <c r="M529" s="7">
        <f t="shared" si="61"/>
        <v>0</v>
      </c>
      <c r="N529" s="7">
        <f>+IFERROR(+VLOOKUP(A529,'TB2019-20'!$A$12:$C$414,3,0),0)</f>
        <v>0</v>
      </c>
      <c r="O529" s="7"/>
      <c r="P529" s="7">
        <f t="shared" si="62"/>
        <v>0</v>
      </c>
    </row>
    <row r="530" spans="1:16" x14ac:dyDescent="0.25">
      <c r="A530" s="19" t="s">
        <v>777</v>
      </c>
      <c r="B530" s="7">
        <v>26</v>
      </c>
      <c r="C530" s="7" t="s">
        <v>467</v>
      </c>
      <c r="D530" s="7" t="s">
        <v>562</v>
      </c>
      <c r="E530" s="7">
        <f>+IFERROR(+VLOOKUP(A530,'Trial Balance'!$A$12:$C$428,2,0),0)</f>
        <v>0</v>
      </c>
      <c r="F530" s="7"/>
      <c r="G530" s="7">
        <f t="shared" si="59"/>
        <v>0</v>
      </c>
      <c r="H530" s="7">
        <f>+IFERROR(+VLOOKUP(A530,'Trial Balance'!$A$12:$C$428,3,0),0)</f>
        <v>0</v>
      </c>
      <c r="I530" s="7"/>
      <c r="J530" s="7">
        <f t="shared" si="60"/>
        <v>0</v>
      </c>
      <c r="K530" s="7">
        <f>+IFERROR(+VLOOKUP(A530,'TB2019-20'!$A$12:$C$414,2,0),0)</f>
        <v>0</v>
      </c>
      <c r="L530" s="7"/>
      <c r="M530" s="7">
        <f t="shared" si="61"/>
        <v>0</v>
      </c>
      <c r="N530" s="7">
        <f>+IFERROR(+VLOOKUP(A530,'TB2019-20'!$A$12:$C$414,3,0),0)</f>
        <v>0</v>
      </c>
      <c r="O530" s="7"/>
      <c r="P530" s="7">
        <f t="shared" si="62"/>
        <v>0</v>
      </c>
    </row>
    <row r="531" spans="1:16" x14ac:dyDescent="0.25">
      <c r="A531" s="17" t="s">
        <v>312</v>
      </c>
      <c r="B531" s="7">
        <v>26</v>
      </c>
      <c r="C531" s="7" t="s">
        <v>467</v>
      </c>
      <c r="D531" s="7" t="s">
        <v>541</v>
      </c>
      <c r="E531" s="7">
        <f>+IFERROR(+VLOOKUP(A531,'Trial Balance'!$A$12:$C$428,2,0),0)</f>
        <v>208079</v>
      </c>
      <c r="F531" s="7"/>
      <c r="G531" s="7">
        <f t="shared" si="59"/>
        <v>208079</v>
      </c>
      <c r="H531" s="7">
        <f>+IFERROR(+VLOOKUP(A531,'Trial Balance'!$A$12:$C$428,3,0),0)</f>
        <v>0</v>
      </c>
      <c r="I531" s="7"/>
      <c r="J531" s="7">
        <f t="shared" si="60"/>
        <v>0</v>
      </c>
      <c r="K531" s="7">
        <f>+IFERROR(+VLOOKUP(A531,'TB2019-20'!$A$12:$C$414,2,0),0)</f>
        <v>154260</v>
      </c>
      <c r="L531" s="7"/>
      <c r="M531" s="7">
        <f t="shared" si="61"/>
        <v>154260</v>
      </c>
      <c r="N531" s="7">
        <f>+IFERROR(+VLOOKUP(A531,'TB2019-20'!$A$12:$C$414,3,0),0)</f>
        <v>0</v>
      </c>
      <c r="O531" s="7"/>
      <c r="P531" s="7">
        <f t="shared" si="62"/>
        <v>0</v>
      </c>
    </row>
    <row r="532" spans="1:16" x14ac:dyDescent="0.25">
      <c r="A532" s="17" t="s">
        <v>778</v>
      </c>
      <c r="B532" s="11">
        <v>7</v>
      </c>
      <c r="C532" s="11" t="s">
        <v>460</v>
      </c>
      <c r="D532" s="11" t="s">
        <v>460</v>
      </c>
      <c r="E532" s="7">
        <f>+IFERROR(+VLOOKUP(A532,'Trial Balance'!$A$12:$C$428,2,0),0)</f>
        <v>0</v>
      </c>
      <c r="F532" s="7"/>
      <c r="G532" s="7">
        <f t="shared" si="59"/>
        <v>0</v>
      </c>
      <c r="H532" s="7">
        <f>+IFERROR(+VLOOKUP(A532,'Trial Balance'!$A$12:$C$428,3,0),0)</f>
        <v>0</v>
      </c>
      <c r="I532" s="7"/>
      <c r="J532" s="7">
        <f t="shared" si="60"/>
        <v>0</v>
      </c>
      <c r="K532" s="7">
        <f>+IFERROR(+VLOOKUP(A532,'TB2019-20'!$A$12:$C$414,2,0),0)</f>
        <v>0</v>
      </c>
      <c r="L532" s="7"/>
      <c r="M532" s="7">
        <f t="shared" si="61"/>
        <v>0</v>
      </c>
      <c r="N532" s="7">
        <f>+IFERROR(+VLOOKUP(A532,'TB2019-20'!$A$12:$C$414,3,0),0)</f>
        <v>0</v>
      </c>
      <c r="O532" s="7"/>
      <c r="P532" s="7">
        <f t="shared" si="62"/>
        <v>0</v>
      </c>
    </row>
    <row r="533" spans="1:16" x14ac:dyDescent="0.25">
      <c r="A533" s="23" t="s">
        <v>779</v>
      </c>
      <c r="B533" s="7">
        <v>12</v>
      </c>
      <c r="C533" s="7" t="s">
        <v>465</v>
      </c>
      <c r="D533" s="7" t="s">
        <v>478</v>
      </c>
      <c r="E533" s="7">
        <f>+IFERROR(+VLOOKUP(A533,'Trial Balance'!$A$12:$C$428,2,0),0)</f>
        <v>0</v>
      </c>
      <c r="F533" s="7"/>
      <c r="G533" s="7">
        <f t="shared" si="59"/>
        <v>0</v>
      </c>
      <c r="H533" s="7">
        <f>+IFERROR(+VLOOKUP(A533,'Trial Balance'!$A$12:$C$428,3,0),0)</f>
        <v>0</v>
      </c>
      <c r="I533" s="7"/>
      <c r="J533" s="7">
        <f t="shared" si="60"/>
        <v>0</v>
      </c>
      <c r="K533" s="7">
        <f>+IFERROR(+VLOOKUP(A533,'TB2019-20'!$A$12:$C$414,2,0),0)</f>
        <v>2000</v>
      </c>
      <c r="L533" s="7"/>
      <c r="M533" s="7">
        <f t="shared" si="61"/>
        <v>2000</v>
      </c>
      <c r="N533" s="7">
        <f>+IFERROR(+VLOOKUP(A533,'TB2019-20'!$A$12:$C$414,3,0),0)</f>
        <v>0</v>
      </c>
      <c r="O533" s="7"/>
      <c r="P533" s="7">
        <f t="shared" si="62"/>
        <v>0</v>
      </c>
    </row>
    <row r="534" spans="1:16" x14ac:dyDescent="0.25">
      <c r="A534" s="17" t="s">
        <v>313</v>
      </c>
      <c r="B534" s="7">
        <v>26</v>
      </c>
      <c r="C534" s="7" t="s">
        <v>467</v>
      </c>
      <c r="D534" s="7" t="s">
        <v>780</v>
      </c>
      <c r="E534" s="7">
        <f>+IFERROR(+VLOOKUP(A534,'Trial Balance'!$A$12:$C$428,2,0),0)</f>
        <v>3861148</v>
      </c>
      <c r="F534" s="7"/>
      <c r="G534" s="7">
        <f t="shared" si="59"/>
        <v>3861148</v>
      </c>
      <c r="H534" s="7">
        <f>+IFERROR(+VLOOKUP(A534,'Trial Balance'!$A$12:$C$428,3,0),0)</f>
        <v>0</v>
      </c>
      <c r="I534" s="7"/>
      <c r="J534" s="7">
        <f t="shared" si="60"/>
        <v>0</v>
      </c>
      <c r="K534" s="7">
        <f>+IFERROR(+VLOOKUP(A534,'TB2019-20'!$A$12:$C$414,2,0),0)</f>
        <v>4167429</v>
      </c>
      <c r="L534" s="7"/>
      <c r="M534" s="7">
        <f t="shared" si="61"/>
        <v>4167429</v>
      </c>
      <c r="N534" s="7">
        <f>+IFERROR(+VLOOKUP(A534,'TB2019-20'!$A$12:$C$414,3,0),0)</f>
        <v>0</v>
      </c>
      <c r="O534" s="7"/>
      <c r="P534" s="7">
        <f t="shared" si="62"/>
        <v>0</v>
      </c>
    </row>
    <row r="535" spans="1:16" x14ac:dyDescent="0.25">
      <c r="A535" s="17" t="s">
        <v>315</v>
      </c>
      <c r="B535" s="7">
        <v>12</v>
      </c>
      <c r="C535" s="7" t="s">
        <v>465</v>
      </c>
      <c r="D535" s="14" t="s">
        <v>550</v>
      </c>
      <c r="E535" s="7">
        <f>+IFERROR(+VLOOKUP(A535,'Trial Balance'!$A$12:$C$428,2,0),0)</f>
        <v>0</v>
      </c>
      <c r="F535" s="7"/>
      <c r="G535" s="7">
        <f t="shared" si="59"/>
        <v>0</v>
      </c>
      <c r="H535" s="7">
        <f>+IFERROR(+VLOOKUP(A535,'Trial Balance'!$A$12:$C$428,3,0),0)</f>
        <v>20899</v>
      </c>
      <c r="I535" s="7"/>
      <c r="J535" s="7">
        <f t="shared" si="60"/>
        <v>20899</v>
      </c>
      <c r="K535" s="7">
        <f>+IFERROR(+VLOOKUP(A535,'TB2019-20'!$A$12:$C$414,2,0),0)</f>
        <v>0</v>
      </c>
      <c r="L535" s="7"/>
      <c r="M535" s="7">
        <f t="shared" si="61"/>
        <v>0</v>
      </c>
      <c r="N535" s="7">
        <f>+IFERROR(+VLOOKUP(A535,'TB2019-20'!$A$12:$C$414,3,0),0)</f>
        <v>100502.93</v>
      </c>
      <c r="O535" s="7"/>
      <c r="P535" s="7">
        <f t="shared" si="62"/>
        <v>100502.93</v>
      </c>
    </row>
    <row r="536" spans="1:16" x14ac:dyDescent="0.25">
      <c r="A536" s="8" t="s">
        <v>316</v>
      </c>
      <c r="B536" s="7">
        <v>12</v>
      </c>
      <c r="C536" s="7" t="s">
        <v>465</v>
      </c>
      <c r="D536" s="14" t="s">
        <v>550</v>
      </c>
      <c r="E536" s="7">
        <f>+IFERROR(+VLOOKUP(A536,'Trial Balance'!$A$12:$C$428,2,0),0)</f>
        <v>0</v>
      </c>
      <c r="F536" s="7"/>
      <c r="G536" s="7">
        <f t="shared" si="59"/>
        <v>0</v>
      </c>
      <c r="H536" s="7">
        <f>+IFERROR(+VLOOKUP(A536,'Trial Balance'!$A$12:$C$428,3,0),0)</f>
        <v>75747</v>
      </c>
      <c r="I536" s="7"/>
      <c r="J536" s="7">
        <f t="shared" si="60"/>
        <v>75747</v>
      </c>
      <c r="K536" s="7">
        <f>+IFERROR(+VLOOKUP(A536,'TB2019-20'!$A$12:$C$414,2,0),0)</f>
        <v>486323.88</v>
      </c>
      <c r="L536" s="7"/>
      <c r="M536" s="7">
        <f t="shared" si="61"/>
        <v>486323.88</v>
      </c>
      <c r="N536" s="7">
        <f>+IFERROR(+VLOOKUP(A536,'TB2019-20'!$A$12:$C$414,3,0),0)</f>
        <v>0</v>
      </c>
      <c r="O536" s="7"/>
      <c r="P536" s="7">
        <f t="shared" si="62"/>
        <v>0</v>
      </c>
    </row>
    <row r="537" spans="1:16" x14ac:dyDescent="0.25">
      <c r="A537" s="17" t="s">
        <v>781</v>
      </c>
      <c r="B537" s="7">
        <v>12</v>
      </c>
      <c r="C537" s="7" t="s">
        <v>465</v>
      </c>
      <c r="D537" s="14" t="s">
        <v>550</v>
      </c>
      <c r="E537" s="7">
        <f>+IFERROR(+VLOOKUP(A537,'Trial Balance'!$A$12:$C$428,2,0),0)</f>
        <v>0</v>
      </c>
      <c r="F537" s="7"/>
      <c r="G537" s="7">
        <f t="shared" si="59"/>
        <v>0</v>
      </c>
      <c r="H537" s="7">
        <f>+IFERROR(+VLOOKUP(A537,'Trial Balance'!$A$12:$C$428,3,0),0)</f>
        <v>0</v>
      </c>
      <c r="I537" s="7"/>
      <c r="J537" s="7">
        <f t="shared" si="60"/>
        <v>0</v>
      </c>
      <c r="K537" s="7">
        <f>+IFERROR(+VLOOKUP(A537,'TB2019-20'!$A$12:$C$414,2,0),0)</f>
        <v>0</v>
      </c>
      <c r="L537" s="7"/>
      <c r="M537" s="7">
        <f t="shared" si="61"/>
        <v>0</v>
      </c>
      <c r="N537" s="7">
        <f>+IFERROR(+VLOOKUP(A537,'TB2019-20'!$A$12:$C$414,3,0),0)</f>
        <v>0</v>
      </c>
      <c r="O537" s="7"/>
      <c r="P537" s="7">
        <f t="shared" si="62"/>
        <v>0</v>
      </c>
    </row>
    <row r="538" spans="1:16" x14ac:dyDescent="0.25">
      <c r="A538" s="8" t="s">
        <v>175</v>
      </c>
      <c r="B538" s="7">
        <v>12</v>
      </c>
      <c r="C538" s="7" t="s">
        <v>465</v>
      </c>
      <c r="D538" s="14" t="s">
        <v>550</v>
      </c>
      <c r="E538" s="7">
        <f>+IFERROR(+VLOOKUP(A538,'Trial Balance'!$A$12:$C$428,2,0),0)</f>
        <v>0</v>
      </c>
      <c r="F538" s="7"/>
      <c r="G538" s="7">
        <f t="shared" si="59"/>
        <v>0</v>
      </c>
      <c r="H538" s="7">
        <f>+IFERROR(+VLOOKUP(A538,'Trial Balance'!$A$12:$C$428,3,0),0)</f>
        <v>0</v>
      </c>
      <c r="I538" s="7"/>
      <c r="J538" s="7">
        <f t="shared" si="60"/>
        <v>0</v>
      </c>
      <c r="K538" s="7">
        <f>+IFERROR(+VLOOKUP(A538,'TB2019-20'!$A$12:$C$414,2,0),0)</f>
        <v>0</v>
      </c>
      <c r="L538" s="7"/>
      <c r="M538" s="7">
        <f t="shared" si="61"/>
        <v>0</v>
      </c>
      <c r="N538" s="7">
        <f>+IFERROR(+VLOOKUP(A538,'TB2019-20'!$A$12:$C$414,3,0),0)</f>
        <v>0</v>
      </c>
      <c r="O538" s="7"/>
      <c r="P538" s="7">
        <f t="shared" si="62"/>
        <v>0</v>
      </c>
    </row>
    <row r="539" spans="1:16" x14ac:dyDescent="0.25">
      <c r="A539" s="8" t="s">
        <v>176</v>
      </c>
      <c r="B539" s="7">
        <v>12</v>
      </c>
      <c r="C539" s="7" t="s">
        <v>465</v>
      </c>
      <c r="D539" s="14" t="s">
        <v>550</v>
      </c>
      <c r="E539" s="7">
        <f>+IFERROR(+VLOOKUP(A539,'Trial Balance'!$A$12:$C$428,2,0),0)</f>
        <v>0</v>
      </c>
      <c r="F539" s="7"/>
      <c r="G539" s="7">
        <f t="shared" si="59"/>
        <v>0</v>
      </c>
      <c r="H539" s="7">
        <f>+IFERROR(+VLOOKUP(A539,'Trial Balance'!$A$12:$C$428,3,0),0)</f>
        <v>0</v>
      </c>
      <c r="I539" s="7"/>
      <c r="J539" s="7">
        <f t="shared" si="60"/>
        <v>0</v>
      </c>
      <c r="K539" s="7">
        <f>+IFERROR(+VLOOKUP(A539,'TB2019-20'!$A$12:$C$414,2,0),0)</f>
        <v>0</v>
      </c>
      <c r="L539" s="7"/>
      <c r="M539" s="7">
        <f t="shared" si="61"/>
        <v>0</v>
      </c>
      <c r="N539" s="7">
        <f>+IFERROR(+VLOOKUP(A539,'TB2019-20'!$A$12:$C$414,3,0),0)</f>
        <v>0</v>
      </c>
      <c r="O539" s="7"/>
      <c r="P539" s="7">
        <f t="shared" si="62"/>
        <v>0</v>
      </c>
    </row>
    <row r="540" spans="1:16" x14ac:dyDescent="0.25">
      <c r="A540" s="17" t="s">
        <v>317</v>
      </c>
      <c r="B540" s="7">
        <v>12</v>
      </c>
      <c r="C540" s="7" t="s">
        <v>465</v>
      </c>
      <c r="D540" s="14" t="s">
        <v>550</v>
      </c>
      <c r="E540" s="7">
        <f>+IFERROR(+VLOOKUP(A540,'Trial Balance'!$A$12:$C$428,2,0),0)</f>
        <v>0</v>
      </c>
      <c r="F540" s="7"/>
      <c r="G540" s="7">
        <f t="shared" si="59"/>
        <v>0</v>
      </c>
      <c r="H540" s="7">
        <f>+IFERROR(+VLOOKUP(A540,'Trial Balance'!$A$12:$C$428,3,0),0)</f>
        <v>20899</v>
      </c>
      <c r="I540" s="7"/>
      <c r="J540" s="7">
        <f t="shared" si="60"/>
        <v>20899</v>
      </c>
      <c r="K540" s="7">
        <f>+IFERROR(+VLOOKUP(A540,'TB2019-20'!$A$12:$C$414,2,0),0)</f>
        <v>0</v>
      </c>
      <c r="L540" s="7"/>
      <c r="M540" s="7">
        <f t="shared" si="61"/>
        <v>0</v>
      </c>
      <c r="N540" s="7">
        <f>+IFERROR(+VLOOKUP(A540,'TB2019-20'!$A$12:$C$414,3,0),0)</f>
        <v>80872.929999999993</v>
      </c>
      <c r="O540" s="7"/>
      <c r="P540" s="7">
        <f t="shared" si="62"/>
        <v>80872.929999999993</v>
      </c>
    </row>
    <row r="541" spans="1:16" x14ac:dyDescent="0.25">
      <c r="A541" s="17" t="s">
        <v>66</v>
      </c>
      <c r="B541" s="7">
        <v>12</v>
      </c>
      <c r="C541" s="7" t="s">
        <v>465</v>
      </c>
      <c r="D541" s="14" t="s">
        <v>550</v>
      </c>
      <c r="E541" s="7">
        <f>+IFERROR(+VLOOKUP(A541,'Trial Balance'!$A$12:$C$428,2,0),0)</f>
        <v>0</v>
      </c>
      <c r="F541" s="7"/>
      <c r="G541" s="7">
        <f t="shared" si="59"/>
        <v>0</v>
      </c>
      <c r="H541" s="7">
        <f>+IFERROR(+VLOOKUP(A541,'Trial Balance'!$A$12:$C$428,3,0),0)</f>
        <v>0</v>
      </c>
      <c r="I541" s="7"/>
      <c r="J541" s="7">
        <f t="shared" si="60"/>
        <v>0</v>
      </c>
      <c r="K541" s="7">
        <f>+IFERROR(+VLOOKUP(A541,'TB2019-20'!$A$12:$C$414,2,0),0)</f>
        <v>0</v>
      </c>
      <c r="L541" s="7"/>
      <c r="M541" s="7">
        <f t="shared" si="61"/>
        <v>0</v>
      </c>
      <c r="N541" s="7">
        <f>+IFERROR(+VLOOKUP(A541,'TB2019-20'!$A$12:$C$414,3,0),0)</f>
        <v>0</v>
      </c>
      <c r="O541" s="7"/>
      <c r="P541" s="7">
        <f t="shared" si="62"/>
        <v>0</v>
      </c>
    </row>
    <row r="542" spans="1:16" x14ac:dyDescent="0.25">
      <c r="A542" s="17" t="s">
        <v>177</v>
      </c>
      <c r="B542" s="7">
        <v>12</v>
      </c>
      <c r="C542" s="7" t="s">
        <v>465</v>
      </c>
      <c r="D542" s="14" t="s">
        <v>550</v>
      </c>
      <c r="E542" s="7">
        <f>+IFERROR(+VLOOKUP(A542,'Trial Balance'!$A$12:$C$428,2,0),0)</f>
        <v>0</v>
      </c>
      <c r="F542" s="7"/>
      <c r="G542" s="7">
        <f t="shared" si="59"/>
        <v>0</v>
      </c>
      <c r="H542" s="7">
        <f>+IFERROR(+VLOOKUP(A542,'Trial Balance'!$A$12:$C$428,3,0),0)</f>
        <v>0</v>
      </c>
      <c r="I542" s="7"/>
      <c r="J542" s="7">
        <f t="shared" si="60"/>
        <v>0</v>
      </c>
      <c r="K542" s="7">
        <f>+IFERROR(+VLOOKUP(A542,'TB2019-20'!$A$12:$C$414,2,0),0)</f>
        <v>0</v>
      </c>
      <c r="L542" s="7"/>
      <c r="M542" s="7">
        <f t="shared" si="61"/>
        <v>0</v>
      </c>
      <c r="N542" s="7">
        <f>+IFERROR(+VLOOKUP(A542,'TB2019-20'!$A$12:$C$414,3,0),0)</f>
        <v>0</v>
      </c>
      <c r="O542" s="7"/>
      <c r="P542" s="7">
        <f t="shared" si="62"/>
        <v>0</v>
      </c>
    </row>
    <row r="543" spans="1:16" x14ac:dyDescent="0.25">
      <c r="A543" s="17" t="s">
        <v>363</v>
      </c>
      <c r="B543" s="7">
        <v>12</v>
      </c>
      <c r="C543" s="7" t="s">
        <v>465</v>
      </c>
      <c r="D543" s="14" t="s">
        <v>550</v>
      </c>
      <c r="E543" s="7">
        <f>+IFERROR(+VLOOKUP(A543,'Trial Balance'!$A$12:$C$428,2,0),0)</f>
        <v>0</v>
      </c>
      <c r="F543" s="7"/>
      <c r="G543" s="7">
        <f t="shared" si="59"/>
        <v>0</v>
      </c>
      <c r="H543" s="7">
        <f>+IFERROR(+VLOOKUP(A543,'Trial Balance'!$A$12:$C$428,3,0),0)</f>
        <v>0</v>
      </c>
      <c r="I543" s="7"/>
      <c r="J543" s="7">
        <f t="shared" si="60"/>
        <v>0</v>
      </c>
      <c r="K543" s="7">
        <f>+IFERROR(+VLOOKUP(A543,'TB2019-20'!$A$12:$C$414,2,0),0)</f>
        <v>0</v>
      </c>
      <c r="L543" s="7"/>
      <c r="M543" s="7">
        <f t="shared" si="61"/>
        <v>0</v>
      </c>
      <c r="N543" s="7">
        <f>+IFERROR(+VLOOKUP(A543,'TB2019-20'!$A$12:$C$414,3,0),0)</f>
        <v>0</v>
      </c>
      <c r="O543" s="7"/>
      <c r="P543" s="7">
        <f t="shared" si="62"/>
        <v>0</v>
      </c>
    </row>
    <row r="544" spans="1:16" x14ac:dyDescent="0.25">
      <c r="A544" s="19" t="s">
        <v>782</v>
      </c>
      <c r="B544" s="7">
        <v>7</v>
      </c>
      <c r="C544" s="7" t="s">
        <v>460</v>
      </c>
      <c r="D544" s="7" t="s">
        <v>462</v>
      </c>
      <c r="E544" s="7">
        <f>+IFERROR(+VLOOKUP(A544,'Trial Balance'!$A$12:$C$428,2,0),0)</f>
        <v>0</v>
      </c>
      <c r="F544" s="7"/>
      <c r="G544" s="7">
        <f t="shared" si="59"/>
        <v>0</v>
      </c>
      <c r="H544" s="7">
        <f>+IFERROR(+VLOOKUP(A544,'Trial Balance'!$A$12:$C$428,3,0),0)</f>
        <v>0</v>
      </c>
      <c r="I544" s="7"/>
      <c r="J544" s="7">
        <f t="shared" si="60"/>
        <v>0</v>
      </c>
      <c r="K544" s="7">
        <f>+IFERROR(+VLOOKUP(A544,'TB2019-20'!$A$12:$C$414,2,0),0)</f>
        <v>0</v>
      </c>
      <c r="L544" s="7"/>
      <c r="M544" s="7">
        <f t="shared" si="61"/>
        <v>0</v>
      </c>
      <c r="N544" s="7">
        <f>+IFERROR(+VLOOKUP(A544,'TB2019-20'!$A$12:$C$414,3,0),0)</f>
        <v>51508</v>
      </c>
      <c r="O544" s="7"/>
      <c r="P544" s="7">
        <f t="shared" si="62"/>
        <v>51508</v>
      </c>
    </row>
    <row r="545" spans="1:16" x14ac:dyDescent="0.25">
      <c r="A545" s="8" t="s">
        <v>209</v>
      </c>
      <c r="B545" s="7">
        <v>9</v>
      </c>
      <c r="C545" s="7" t="s">
        <v>587</v>
      </c>
      <c r="D545" s="7" t="s">
        <v>588</v>
      </c>
      <c r="E545" s="7">
        <f>+IFERROR(+VLOOKUP(A545,'Trial Balance'!$A$12:$C$428,2,0),0)</f>
        <v>0</v>
      </c>
      <c r="F545" s="7"/>
      <c r="G545" s="7">
        <f t="shared" si="59"/>
        <v>0</v>
      </c>
      <c r="H545" s="7">
        <f>+IFERROR(+VLOOKUP(A545,'Trial Balance'!$A$12:$C$428,3,0),0)</f>
        <v>0</v>
      </c>
      <c r="I545" s="7"/>
      <c r="J545" s="7">
        <f t="shared" si="60"/>
        <v>0</v>
      </c>
      <c r="K545" s="7">
        <f>+IFERROR(+VLOOKUP(A545,'TB2019-20'!$A$12:$C$414,2,0),0)</f>
        <v>0</v>
      </c>
      <c r="L545" s="7"/>
      <c r="M545" s="7">
        <f t="shared" si="61"/>
        <v>0</v>
      </c>
      <c r="N545" s="7">
        <f>+IFERROR(+VLOOKUP(A545,'TB2019-20'!$A$12:$C$414,3,0),0)</f>
        <v>0</v>
      </c>
      <c r="O545" s="7"/>
      <c r="P545" s="7">
        <f t="shared" si="62"/>
        <v>0</v>
      </c>
    </row>
    <row r="546" spans="1:16" x14ac:dyDescent="0.25">
      <c r="A546" s="17" t="s">
        <v>783</v>
      </c>
      <c r="B546" s="7">
        <v>24</v>
      </c>
      <c r="C546" s="7" t="s">
        <v>600</v>
      </c>
      <c r="D546" s="7" t="s">
        <v>601</v>
      </c>
      <c r="E546" s="7">
        <f>+IFERROR(+VLOOKUP(A546,'Trial Balance'!$A$12:$C$428,2,0),0)</f>
        <v>4800000</v>
      </c>
      <c r="F546" s="7"/>
      <c r="G546" s="7">
        <f t="shared" si="59"/>
        <v>4800000</v>
      </c>
      <c r="H546" s="7">
        <f>+IFERROR(+VLOOKUP(A546,'Trial Balance'!$A$12:$C$428,3,0),0)</f>
        <v>0</v>
      </c>
      <c r="I546" s="7"/>
      <c r="J546" s="7">
        <f t="shared" si="60"/>
        <v>0</v>
      </c>
      <c r="K546" s="7">
        <f>+IFERROR(+VLOOKUP(A546,'TB2019-20'!$A$12:$C$414,2,0),0)</f>
        <v>4800000</v>
      </c>
      <c r="L546" s="7"/>
      <c r="M546" s="7">
        <f t="shared" si="61"/>
        <v>4800000</v>
      </c>
      <c r="N546" s="7">
        <f>+IFERROR(+VLOOKUP(A546,'TB2019-20'!$A$12:$C$414,3,0),0)</f>
        <v>0</v>
      </c>
      <c r="O546" s="7"/>
      <c r="P546" s="7">
        <f t="shared" si="62"/>
        <v>0</v>
      </c>
    </row>
    <row r="547" spans="1:16" x14ac:dyDescent="0.25">
      <c r="A547" s="17" t="s">
        <v>319</v>
      </c>
      <c r="B547" s="7">
        <v>26</v>
      </c>
      <c r="C547" s="7" t="s">
        <v>467</v>
      </c>
      <c r="D547" s="7" t="s">
        <v>493</v>
      </c>
      <c r="E547" s="7">
        <f>+IFERROR(+VLOOKUP(A547,'Trial Balance'!$A$12:$C$428,2,0),0)</f>
        <v>281990</v>
      </c>
      <c r="F547" s="7"/>
      <c r="G547" s="7">
        <f t="shared" si="59"/>
        <v>281990</v>
      </c>
      <c r="H547" s="7">
        <f>+IFERROR(+VLOOKUP(A547,'Trial Balance'!$A$12:$C$428,3,0),0)</f>
        <v>0</v>
      </c>
      <c r="I547" s="7"/>
      <c r="J547" s="7">
        <f t="shared" si="60"/>
        <v>0</v>
      </c>
      <c r="K547" s="7">
        <f>+IFERROR(+VLOOKUP(A547,'TB2019-20'!$A$12:$C$414,2,0),0)</f>
        <v>319093</v>
      </c>
      <c r="L547" s="7"/>
      <c r="M547" s="7">
        <f t="shared" si="61"/>
        <v>319093</v>
      </c>
      <c r="N547" s="7">
        <f>+IFERROR(+VLOOKUP(A547,'TB2019-20'!$A$12:$C$414,3,0),0)</f>
        <v>0</v>
      </c>
      <c r="O547" s="7"/>
      <c r="P547" s="7">
        <f t="shared" si="62"/>
        <v>0</v>
      </c>
    </row>
    <row r="548" spans="1:16" x14ac:dyDescent="0.25">
      <c r="A548" s="7" t="s">
        <v>784</v>
      </c>
      <c r="B548" s="7">
        <v>26</v>
      </c>
      <c r="C548" s="7" t="s">
        <v>467</v>
      </c>
      <c r="D548" s="7" t="s">
        <v>785</v>
      </c>
      <c r="E548" s="7">
        <f>+IFERROR(+VLOOKUP(A548,'Trial Balance'!$A$12:$C$428,2,0),0)</f>
        <v>688233.98</v>
      </c>
      <c r="F548" s="7"/>
      <c r="G548" s="7">
        <f t="shared" si="59"/>
        <v>688233.98</v>
      </c>
      <c r="H548" s="7">
        <f>+IFERROR(+VLOOKUP(A548,'Trial Balance'!$A$12:$C$428,3,0),0)</f>
        <v>0</v>
      </c>
      <c r="I548" s="7"/>
      <c r="J548" s="7">
        <f t="shared" si="60"/>
        <v>0</v>
      </c>
      <c r="K548" s="7">
        <f>+IFERROR(+VLOOKUP(A548,'TB2019-20'!$A$12:$C$414,2,0),0)</f>
        <v>954273.6</v>
      </c>
      <c r="L548" s="7"/>
      <c r="M548" s="7">
        <f t="shared" si="61"/>
        <v>954273.6</v>
      </c>
      <c r="N548" s="7">
        <f>+IFERROR(+VLOOKUP(A548,'TB2019-20'!$A$12:$C$414,3,0),0)</f>
        <v>0</v>
      </c>
      <c r="O548" s="7"/>
      <c r="P548" s="7">
        <f t="shared" si="62"/>
        <v>0</v>
      </c>
    </row>
    <row r="549" spans="1:16" x14ac:dyDescent="0.25">
      <c r="A549" s="20" t="s">
        <v>320</v>
      </c>
      <c r="B549" s="7">
        <v>26</v>
      </c>
      <c r="C549" s="7" t="s">
        <v>467</v>
      </c>
      <c r="D549" s="7" t="s">
        <v>730</v>
      </c>
      <c r="E549" s="7">
        <f>+IFERROR(+VLOOKUP(A549,'Trial Balance'!$A$12:$C$428,2,0),0)</f>
        <v>806397.4</v>
      </c>
      <c r="F549" s="7"/>
      <c r="G549" s="7">
        <f t="shared" si="59"/>
        <v>806397.4</v>
      </c>
      <c r="H549" s="7">
        <f>+IFERROR(+VLOOKUP(A549,'Trial Balance'!$A$12:$C$428,3,0),0)</f>
        <v>0</v>
      </c>
      <c r="I549" s="7"/>
      <c r="J549" s="7">
        <f t="shared" si="60"/>
        <v>0</v>
      </c>
      <c r="K549" s="7">
        <f>+IFERROR(+VLOOKUP(A549,'TB2019-20'!$A$12:$C$414,2,0),0)</f>
        <v>409071.26</v>
      </c>
      <c r="L549" s="7"/>
      <c r="M549" s="7">
        <f t="shared" si="61"/>
        <v>409071.26</v>
      </c>
      <c r="N549" s="7">
        <f>+IFERROR(+VLOOKUP(A549,'TB2019-20'!$A$12:$C$414,3,0),0)</f>
        <v>0</v>
      </c>
      <c r="O549" s="7"/>
      <c r="P549" s="7">
        <f t="shared" si="62"/>
        <v>0</v>
      </c>
    </row>
    <row r="550" spans="1:16" x14ac:dyDescent="0.25">
      <c r="A550" s="17" t="s">
        <v>322</v>
      </c>
      <c r="B550" s="13">
        <v>3</v>
      </c>
      <c r="C550" s="7" t="s">
        <v>538</v>
      </c>
      <c r="D550" s="7" t="s">
        <v>539</v>
      </c>
      <c r="E550" s="7">
        <f>+IFERROR(+VLOOKUP(A550,'Trial Balance'!$A$12:$C$428,2,0),0)</f>
        <v>0</v>
      </c>
      <c r="F550" s="7"/>
      <c r="G550" s="7">
        <f t="shared" si="59"/>
        <v>0</v>
      </c>
      <c r="H550" s="7">
        <f>+IFERROR(+VLOOKUP(A550,'Trial Balance'!$A$12:$C$428,3,0),0)</f>
        <v>50905004</v>
      </c>
      <c r="I550" s="7"/>
      <c r="J550" s="7">
        <f t="shared" si="60"/>
        <v>50905004</v>
      </c>
      <c r="K550" s="7">
        <f>+IFERROR(+VLOOKUP(A550,'TB2019-20'!$A$12:$C$414,2,0),0)</f>
        <v>0</v>
      </c>
      <c r="L550" s="7"/>
      <c r="M550" s="7">
        <f t="shared" si="61"/>
        <v>0</v>
      </c>
      <c r="N550" s="7">
        <f>+IFERROR(+VLOOKUP(A550,'TB2019-20'!$A$12:$C$414,3,0),0)</f>
        <v>50905004</v>
      </c>
      <c r="O550" s="7"/>
      <c r="P550" s="7">
        <f t="shared" si="62"/>
        <v>50905004</v>
      </c>
    </row>
    <row r="551" spans="1:16" x14ac:dyDescent="0.25">
      <c r="A551" s="20" t="s">
        <v>323</v>
      </c>
      <c r="B551" s="7">
        <v>26</v>
      </c>
      <c r="C551" s="7" t="s">
        <v>467</v>
      </c>
      <c r="D551" s="7" t="s">
        <v>541</v>
      </c>
      <c r="E551" s="7">
        <f>+IFERROR(+VLOOKUP(A551,'Trial Balance'!$A$12:$C$428,2,0),0)</f>
        <v>11900</v>
      </c>
      <c r="F551" s="7"/>
      <c r="G551" s="7">
        <f t="shared" si="59"/>
        <v>11900</v>
      </c>
      <c r="H551" s="7">
        <f>+IFERROR(+VLOOKUP(A551,'Trial Balance'!$A$12:$C$428,3,0),0)</f>
        <v>0</v>
      </c>
      <c r="I551" s="7"/>
      <c r="J551" s="7">
        <f t="shared" si="60"/>
        <v>0</v>
      </c>
      <c r="K551" s="7">
        <f>+IFERROR(+VLOOKUP(A551,'TB2019-20'!$A$12:$C$414,2,0),0)</f>
        <v>24500</v>
      </c>
      <c r="L551" s="7"/>
      <c r="M551" s="7">
        <f t="shared" si="61"/>
        <v>24500</v>
      </c>
      <c r="N551" s="7">
        <f>+IFERROR(+VLOOKUP(A551,'TB2019-20'!$A$12:$C$414,3,0),0)</f>
        <v>0</v>
      </c>
      <c r="O551" s="7"/>
      <c r="P551" s="7">
        <f t="shared" si="62"/>
        <v>0</v>
      </c>
    </row>
    <row r="552" spans="1:16" x14ac:dyDescent="0.25">
      <c r="A552" s="20" t="s">
        <v>324</v>
      </c>
      <c r="B552" s="7">
        <v>7</v>
      </c>
      <c r="C552" s="7" t="s">
        <v>460</v>
      </c>
      <c r="D552" s="7" t="s">
        <v>460</v>
      </c>
      <c r="E552" s="7">
        <f>+IFERROR(+VLOOKUP(A552,'Trial Balance'!$A$12:$C$428,2,0),0)</f>
        <v>0</v>
      </c>
      <c r="F552" s="7"/>
      <c r="G552" s="7">
        <f t="shared" si="59"/>
        <v>0</v>
      </c>
      <c r="H552" s="7">
        <f>+IFERROR(+VLOOKUP(A552,'Trial Balance'!$A$12:$C$428,3,0),0)</f>
        <v>1692622</v>
      </c>
      <c r="I552" s="7"/>
      <c r="J552" s="7">
        <f t="shared" si="60"/>
        <v>1692622</v>
      </c>
      <c r="K552" s="7">
        <f>+IFERROR(+VLOOKUP(A552,'TB2019-20'!$A$12:$C$414,2,0),0)</f>
        <v>0</v>
      </c>
      <c r="L552" s="7"/>
      <c r="M552" s="7">
        <f t="shared" si="61"/>
        <v>0</v>
      </c>
      <c r="N552" s="7">
        <f>+IFERROR(+VLOOKUP(A552,'TB2019-20'!$A$12:$C$414,3,0),0)</f>
        <v>1127420</v>
      </c>
      <c r="O552" s="7"/>
      <c r="P552" s="7">
        <f t="shared" si="62"/>
        <v>1127420</v>
      </c>
    </row>
    <row r="553" spans="1:16" x14ac:dyDescent="0.25">
      <c r="A553" s="17" t="s">
        <v>325</v>
      </c>
      <c r="B553" s="7">
        <v>26</v>
      </c>
      <c r="C553" s="7" t="s">
        <v>467</v>
      </c>
      <c r="D553" s="7" t="s">
        <v>493</v>
      </c>
      <c r="E553" s="7">
        <f>+IFERROR(+VLOOKUP(A553,'Trial Balance'!$A$12:$C$428,2,0),0)</f>
        <v>0</v>
      </c>
      <c r="F553" s="7"/>
      <c r="G553" s="7">
        <f t="shared" si="59"/>
        <v>0</v>
      </c>
      <c r="H553" s="7">
        <f>+IFERROR(+VLOOKUP(A553,'Trial Balance'!$A$12:$C$428,3,0),0)</f>
        <v>353.12</v>
      </c>
      <c r="I553" s="7"/>
      <c r="J553" s="7">
        <f t="shared" si="60"/>
        <v>353.12</v>
      </c>
      <c r="K553" s="7">
        <f>+IFERROR(+VLOOKUP(A553,'TB2019-20'!$A$12:$C$414,2,0),0)</f>
        <v>0</v>
      </c>
      <c r="L553" s="7"/>
      <c r="M553" s="7">
        <f t="shared" si="61"/>
        <v>0</v>
      </c>
      <c r="N553" s="7">
        <f>+IFERROR(+VLOOKUP(A553,'TB2019-20'!$A$12:$C$414,3,0),0)</f>
        <v>487.23</v>
      </c>
      <c r="O553" s="7"/>
      <c r="P553" s="7">
        <f t="shared" si="62"/>
        <v>487.23</v>
      </c>
    </row>
    <row r="554" spans="1:16" x14ac:dyDescent="0.25">
      <c r="A554" s="19" t="s">
        <v>786</v>
      </c>
      <c r="B554" s="7">
        <v>16</v>
      </c>
      <c r="C554" s="7" t="s">
        <v>544</v>
      </c>
      <c r="D554" s="7" t="s">
        <v>787</v>
      </c>
      <c r="E554" s="7">
        <f>+IFERROR(+VLOOKUP(A554,'Trial Balance'!$A$12:$C$428,2,0),0)</f>
        <v>0</v>
      </c>
      <c r="F554" s="7"/>
      <c r="G554" s="7">
        <f t="shared" si="59"/>
        <v>0</v>
      </c>
      <c r="H554" s="7">
        <f>+IFERROR(+VLOOKUP(A554,'Trial Balance'!$A$12:$C$428,3,0),0)</f>
        <v>0</v>
      </c>
      <c r="I554" s="7"/>
      <c r="J554" s="7">
        <f t="shared" si="60"/>
        <v>0</v>
      </c>
      <c r="K554" s="7">
        <f>+IFERROR(+VLOOKUP(A554,'TB2019-20'!$A$12:$C$414,2,0),0)</f>
        <v>84224</v>
      </c>
      <c r="L554" s="7">
        <v>-770.5</v>
      </c>
      <c r="M554" s="7">
        <f t="shared" si="61"/>
        <v>83453.5</v>
      </c>
      <c r="N554" s="7">
        <f>+IFERROR(+VLOOKUP(A554,'TB2019-20'!$A$12:$C$414,3,0),0)</f>
        <v>0</v>
      </c>
      <c r="O554" s="7"/>
      <c r="P554" s="7">
        <f t="shared" si="62"/>
        <v>0</v>
      </c>
    </row>
    <row r="555" spans="1:16" x14ac:dyDescent="0.25">
      <c r="A555" s="17" t="s">
        <v>341</v>
      </c>
      <c r="B555" s="7">
        <v>16</v>
      </c>
      <c r="C555" s="7" t="s">
        <v>544</v>
      </c>
      <c r="D555" s="7" t="s">
        <v>788</v>
      </c>
      <c r="E555" s="7">
        <f>+IFERROR(+VLOOKUP(A555,'Trial Balance'!$A$12:$C$428,2,0),0)</f>
        <v>78364.399999999994</v>
      </c>
      <c r="F555" s="7"/>
      <c r="G555" s="7">
        <f t="shared" si="59"/>
        <v>78364.399999999994</v>
      </c>
      <c r="H555" s="7">
        <f>+IFERROR(+VLOOKUP(A555,'Trial Balance'!$A$12:$C$428,3,0),0)</f>
        <v>0</v>
      </c>
      <c r="I555" s="7"/>
      <c r="J555" s="7">
        <f t="shared" si="60"/>
        <v>0</v>
      </c>
      <c r="K555" s="7">
        <f>+IFERROR(+VLOOKUP(A555,'TB2019-20'!$A$12:$C$414,2,0),0)</f>
        <v>49097</v>
      </c>
      <c r="L555" s="7"/>
      <c r="M555" s="7">
        <f t="shared" si="61"/>
        <v>49097</v>
      </c>
      <c r="N555" s="7">
        <f>+IFERROR(+VLOOKUP(A555,'TB2019-20'!$A$12:$C$414,3,0),0)</f>
        <v>0</v>
      </c>
      <c r="O555" s="7"/>
      <c r="P555" s="7">
        <f t="shared" si="62"/>
        <v>0</v>
      </c>
    </row>
    <row r="556" spans="1:16" x14ac:dyDescent="0.25">
      <c r="A556" s="19" t="s">
        <v>342</v>
      </c>
      <c r="B556" s="7">
        <v>4</v>
      </c>
      <c r="C556" s="7" t="s">
        <v>489</v>
      </c>
      <c r="D556" s="7" t="s">
        <v>789</v>
      </c>
      <c r="E556" s="7">
        <f>+IFERROR(+VLOOKUP(A556,'Trial Balance'!$A$12:$C$428,2,0),0)</f>
        <v>0</v>
      </c>
      <c r="F556" s="7"/>
      <c r="G556" s="7">
        <f t="shared" si="59"/>
        <v>0</v>
      </c>
      <c r="H556" s="7">
        <f>+IFERROR(+VLOOKUP(A556,'Trial Balance'!$A$12:$C$428,3,0),0)</f>
        <v>3874175</v>
      </c>
      <c r="I556" s="7"/>
      <c r="J556" s="7">
        <f t="shared" si="60"/>
        <v>3874175</v>
      </c>
      <c r="K556" s="7">
        <f>+IFERROR(+VLOOKUP(A556,'TB2019-20'!$A$12:$C$414,2,0),0)</f>
        <v>0</v>
      </c>
      <c r="L556" s="7"/>
      <c r="M556" s="7">
        <f t="shared" si="61"/>
        <v>0</v>
      </c>
      <c r="N556" s="7">
        <f>+IFERROR(+VLOOKUP(A556,'TB2019-20'!$A$12:$C$414,3,0),0)</f>
        <v>7150762</v>
      </c>
      <c r="O556" s="7"/>
      <c r="P556" s="7">
        <f t="shared" si="62"/>
        <v>7150762</v>
      </c>
    </row>
    <row r="557" spans="1:16" x14ac:dyDescent="0.25">
      <c r="A557" s="17" t="s">
        <v>790</v>
      </c>
      <c r="B557" s="7">
        <v>4</v>
      </c>
      <c r="C557" s="7" t="s">
        <v>489</v>
      </c>
      <c r="D557" s="7" t="s">
        <v>789</v>
      </c>
      <c r="E557" s="7">
        <f>+IFERROR(+VLOOKUP(A557,'Trial Balance'!$A$12:$C$428,2,0),0)</f>
        <v>0</v>
      </c>
      <c r="F557" s="7"/>
      <c r="G557" s="7">
        <f t="shared" si="59"/>
        <v>0</v>
      </c>
      <c r="H557" s="7">
        <f>+IFERROR(+VLOOKUP(A557,'Trial Balance'!$A$12:$C$428,3,0),0)</f>
        <v>0</v>
      </c>
      <c r="I557" s="7"/>
      <c r="J557" s="7">
        <f t="shared" si="60"/>
        <v>0</v>
      </c>
      <c r="K557" s="7">
        <f>+IFERROR(+VLOOKUP(A557,'TB2019-20'!$A$12:$C$414,2,0),0)</f>
        <v>0</v>
      </c>
      <c r="L557" s="7"/>
      <c r="M557" s="7">
        <f t="shared" si="61"/>
        <v>0</v>
      </c>
      <c r="N557" s="7">
        <f>+IFERROR(+VLOOKUP(A557,'TB2019-20'!$A$12:$C$414,3,0),0)</f>
        <v>695244</v>
      </c>
      <c r="O557" s="7"/>
      <c r="P557" s="7">
        <f t="shared" si="62"/>
        <v>695244</v>
      </c>
    </row>
    <row r="558" spans="1:16" x14ac:dyDescent="0.25">
      <c r="A558" s="17" t="s">
        <v>343</v>
      </c>
      <c r="B558" s="7">
        <v>4</v>
      </c>
      <c r="C558" s="7" t="s">
        <v>489</v>
      </c>
      <c r="D558" s="7" t="s">
        <v>789</v>
      </c>
      <c r="E558" s="7">
        <f>+IFERROR(+VLOOKUP(A558,'Trial Balance'!$A$12:$C$428,2,0),0)</f>
        <v>0</v>
      </c>
      <c r="F558" s="7"/>
      <c r="G558" s="7">
        <f t="shared" si="59"/>
        <v>0</v>
      </c>
      <c r="H558" s="7">
        <f>+IFERROR(+VLOOKUP(A558,'Trial Balance'!$A$12:$C$428,3,0),0)</f>
        <v>3118016</v>
      </c>
      <c r="I558" s="7"/>
      <c r="J558" s="7">
        <f t="shared" si="60"/>
        <v>3118016</v>
      </c>
      <c r="K558" s="7">
        <f>+IFERROR(+VLOOKUP(A558,'TB2019-20'!$A$12:$C$414,2,0),0)</f>
        <v>0</v>
      </c>
      <c r="L558" s="7"/>
      <c r="M558" s="7">
        <f t="shared" si="61"/>
        <v>0</v>
      </c>
      <c r="N558" s="7">
        <f>+IFERROR(+VLOOKUP(A558,'TB2019-20'!$A$12:$C$414,3,0),0)</f>
        <v>5601686</v>
      </c>
      <c r="O558" s="7"/>
      <c r="P558" s="7">
        <f t="shared" si="62"/>
        <v>5601686</v>
      </c>
    </row>
    <row r="559" spans="1:16" x14ac:dyDescent="0.25">
      <c r="A559" s="17" t="s">
        <v>791</v>
      </c>
      <c r="B559" s="7">
        <v>4</v>
      </c>
      <c r="C559" s="7" t="s">
        <v>489</v>
      </c>
      <c r="D559" s="7" t="s">
        <v>789</v>
      </c>
      <c r="E559" s="7">
        <f>+IFERROR(+VLOOKUP(A559,'Trial Balance'!$A$12:$C$428,2,0),0)</f>
        <v>0</v>
      </c>
      <c r="F559" s="7"/>
      <c r="G559" s="7">
        <f t="shared" si="59"/>
        <v>0</v>
      </c>
      <c r="H559" s="7">
        <f>+IFERROR(+VLOOKUP(A559,'Trial Balance'!$A$12:$C$428,3,0),0)</f>
        <v>0</v>
      </c>
      <c r="I559" s="7"/>
      <c r="J559" s="7">
        <f t="shared" si="60"/>
        <v>0</v>
      </c>
      <c r="K559" s="7">
        <f>+IFERROR(+VLOOKUP(A559,'TB2019-20'!$A$12:$C$414,2,0),0)</f>
        <v>0</v>
      </c>
      <c r="L559" s="7"/>
      <c r="M559" s="7">
        <f t="shared" si="61"/>
        <v>0</v>
      </c>
      <c r="N559" s="7">
        <f>+IFERROR(+VLOOKUP(A559,'TB2019-20'!$A$12:$C$414,3,0),0)</f>
        <v>253317</v>
      </c>
      <c r="O559" s="7"/>
      <c r="P559" s="7">
        <f t="shared" si="62"/>
        <v>253317</v>
      </c>
    </row>
    <row r="560" spans="1:16" x14ac:dyDescent="0.25">
      <c r="A560" s="17" t="s">
        <v>792</v>
      </c>
      <c r="B560" s="11">
        <v>7</v>
      </c>
      <c r="C560" s="11" t="s">
        <v>460</v>
      </c>
      <c r="D560" s="11" t="s">
        <v>460</v>
      </c>
      <c r="E560" s="7">
        <f>+IFERROR(+VLOOKUP(A560,'Trial Balance'!$A$12:$C$428,2,0),0)</f>
        <v>0</v>
      </c>
      <c r="F560" s="7"/>
      <c r="G560" s="7">
        <f t="shared" si="59"/>
        <v>0</v>
      </c>
      <c r="H560" s="7">
        <f>+IFERROR(+VLOOKUP(A560,'Trial Balance'!$A$12:$C$428,3,0),0)</f>
        <v>0</v>
      </c>
      <c r="I560" s="7"/>
      <c r="J560" s="7">
        <f t="shared" si="60"/>
        <v>0</v>
      </c>
      <c r="K560" s="7">
        <f>+IFERROR(+VLOOKUP(A560,'TB2019-20'!$A$12:$C$414,2,0),0)</f>
        <v>0</v>
      </c>
      <c r="L560" s="7"/>
      <c r="M560" s="7">
        <f t="shared" si="61"/>
        <v>0</v>
      </c>
      <c r="N560" s="7">
        <f>+IFERROR(+VLOOKUP(A560,'TB2019-20'!$A$12:$C$414,3,0),0)</f>
        <v>0</v>
      </c>
      <c r="O560" s="7"/>
      <c r="P560" s="7">
        <f t="shared" si="62"/>
        <v>0</v>
      </c>
    </row>
    <row r="561" spans="1:16" x14ac:dyDescent="0.25">
      <c r="A561" s="20" t="s">
        <v>793</v>
      </c>
      <c r="B561" s="7">
        <v>12</v>
      </c>
      <c r="C561" s="7" t="s">
        <v>465</v>
      </c>
      <c r="D561" s="7" t="s">
        <v>478</v>
      </c>
      <c r="E561" s="7">
        <f>+IFERROR(+VLOOKUP(A561,'Trial Balance'!$A$12:$C$428,2,0),0)</f>
        <v>0</v>
      </c>
      <c r="F561" s="7"/>
      <c r="G561" s="7">
        <f t="shared" si="59"/>
        <v>0</v>
      </c>
      <c r="H561" s="7">
        <f>+IFERROR(+VLOOKUP(A561,'Trial Balance'!$A$12:$C$428,3,0),0)</f>
        <v>0</v>
      </c>
      <c r="I561" s="7"/>
      <c r="J561" s="7">
        <f t="shared" si="60"/>
        <v>0</v>
      </c>
      <c r="K561" s="7">
        <f>+IFERROR(+VLOOKUP(A561,'TB2019-20'!$A$12:$C$414,2,0),0)</f>
        <v>0</v>
      </c>
      <c r="L561" s="7"/>
      <c r="M561" s="7">
        <f t="shared" si="61"/>
        <v>0</v>
      </c>
      <c r="N561" s="7">
        <f>+IFERROR(+VLOOKUP(A561,'TB2019-20'!$A$12:$C$414,3,0),0)</f>
        <v>0</v>
      </c>
      <c r="O561" s="7"/>
      <c r="P561" s="7">
        <f t="shared" si="62"/>
        <v>0</v>
      </c>
    </row>
    <row r="562" spans="1:16" x14ac:dyDescent="0.25">
      <c r="A562" s="17" t="s">
        <v>794</v>
      </c>
      <c r="B562" s="7">
        <v>15</v>
      </c>
      <c r="C562" s="7" t="s">
        <v>469</v>
      </c>
      <c r="D562" s="7" t="s">
        <v>470</v>
      </c>
      <c r="E562" s="7">
        <f>+IFERROR(+VLOOKUP(A562,'Trial Balance'!$A$12:$C$428,2,0),0)</f>
        <v>347389</v>
      </c>
      <c r="F562" s="7"/>
      <c r="G562" s="7">
        <f t="shared" si="59"/>
        <v>347389</v>
      </c>
      <c r="H562" s="7">
        <f>+IFERROR(+VLOOKUP(A562,'Trial Balance'!$A$12:$C$428,3,0),0)</f>
        <v>0</v>
      </c>
      <c r="I562" s="7"/>
      <c r="J562" s="7">
        <f t="shared" si="60"/>
        <v>0</v>
      </c>
      <c r="K562" s="7">
        <f>+IFERROR(+VLOOKUP(A562,'TB2019-20'!$A$12:$C$414,2,0),0)</f>
        <v>392445</v>
      </c>
      <c r="L562" s="7"/>
      <c r="M562" s="7">
        <f t="shared" si="61"/>
        <v>392445</v>
      </c>
      <c r="N562" s="7">
        <f>+IFERROR(+VLOOKUP(A562,'TB2019-20'!$A$12:$C$414,3,0),0)</f>
        <v>0</v>
      </c>
      <c r="O562" s="7"/>
      <c r="P562" s="7">
        <f t="shared" si="62"/>
        <v>0</v>
      </c>
    </row>
    <row r="563" spans="1:16" x14ac:dyDescent="0.25">
      <c r="A563" s="17" t="s">
        <v>795</v>
      </c>
      <c r="B563" s="7">
        <v>7</v>
      </c>
      <c r="C563" s="7" t="s">
        <v>460</v>
      </c>
      <c r="D563" s="7" t="s">
        <v>460</v>
      </c>
      <c r="E563" s="7">
        <f>+IFERROR(+VLOOKUP(A563,'Trial Balance'!$A$12:$C$428,2,0),0)</f>
        <v>0</v>
      </c>
      <c r="F563" s="7"/>
      <c r="G563" s="7">
        <f t="shared" si="59"/>
        <v>0</v>
      </c>
      <c r="H563" s="7">
        <f>+IFERROR(+VLOOKUP(A563,'Trial Balance'!$A$12:$C$428,3,0),0)</f>
        <v>0</v>
      </c>
      <c r="I563" s="7"/>
      <c r="J563" s="7">
        <f t="shared" si="60"/>
        <v>0</v>
      </c>
      <c r="K563" s="7">
        <f>+IFERROR(+VLOOKUP(A563,'TB2019-20'!$A$12:$C$414,2,0),0)</f>
        <v>0</v>
      </c>
      <c r="L563" s="7"/>
      <c r="M563" s="7">
        <f t="shared" si="61"/>
        <v>0</v>
      </c>
      <c r="N563" s="7">
        <f>+IFERROR(+VLOOKUP(A563,'TB2019-20'!$A$12:$C$414,3,0),0)</f>
        <v>0</v>
      </c>
      <c r="O563" s="7"/>
      <c r="P563" s="7">
        <f t="shared" si="62"/>
        <v>0</v>
      </c>
    </row>
    <row r="564" spans="1:16" x14ac:dyDescent="0.25">
      <c r="A564" s="17" t="s">
        <v>329</v>
      </c>
      <c r="B564" s="7">
        <v>7</v>
      </c>
      <c r="C564" s="7" t="s">
        <v>460</v>
      </c>
      <c r="D564" s="7" t="s">
        <v>460</v>
      </c>
      <c r="E564" s="7">
        <f>+IFERROR(+VLOOKUP(A564,'Trial Balance'!$A$12:$C$428,2,0),0)</f>
        <v>0</v>
      </c>
      <c r="F564" s="7"/>
      <c r="G564" s="7">
        <f t="shared" si="59"/>
        <v>0</v>
      </c>
      <c r="H564" s="7">
        <f>+IFERROR(+VLOOKUP(A564,'Trial Balance'!$A$12:$C$428,3,0),0)</f>
        <v>331346</v>
      </c>
      <c r="I564" s="7"/>
      <c r="J564" s="7">
        <f t="shared" si="60"/>
        <v>331346</v>
      </c>
      <c r="K564" s="7">
        <f>+IFERROR(+VLOOKUP(A564,'TB2019-20'!$A$12:$C$414,2,0),0)</f>
        <v>0</v>
      </c>
      <c r="L564" s="7"/>
      <c r="M564" s="7">
        <f t="shared" si="61"/>
        <v>0</v>
      </c>
      <c r="N564" s="7">
        <f>+IFERROR(+VLOOKUP(A564,'TB2019-20'!$A$12:$C$414,3,0),0)</f>
        <v>879467</v>
      </c>
      <c r="O564" s="7"/>
      <c r="P564" s="7">
        <f t="shared" si="62"/>
        <v>879467</v>
      </c>
    </row>
    <row r="565" spans="1:16" x14ac:dyDescent="0.25">
      <c r="A565" s="17" t="s">
        <v>330</v>
      </c>
      <c r="B565" s="7">
        <v>8</v>
      </c>
      <c r="C565" s="7" t="s">
        <v>497</v>
      </c>
      <c r="D565" s="7" t="s">
        <v>796</v>
      </c>
      <c r="E565" s="7">
        <f>+IFERROR(+VLOOKUP(A565,'Trial Balance'!$A$12:$C$428,2,0),0)</f>
        <v>0</v>
      </c>
      <c r="F565" s="7"/>
      <c r="G565" s="7">
        <f t="shared" si="59"/>
        <v>0</v>
      </c>
      <c r="H565" s="7">
        <f>+IFERROR(+VLOOKUP(A565,'Trial Balance'!$A$12:$C$428,3,0),0)</f>
        <v>1029792</v>
      </c>
      <c r="I565" s="7"/>
      <c r="J565" s="7">
        <f t="shared" si="60"/>
        <v>1029792</v>
      </c>
      <c r="K565" s="7">
        <f>+IFERROR(+VLOOKUP(A565,'TB2019-20'!$A$12:$C$414,2,0),0)</f>
        <v>0</v>
      </c>
      <c r="L565" s="7"/>
      <c r="M565" s="7">
        <f t="shared" si="61"/>
        <v>0</v>
      </c>
      <c r="N565" s="7">
        <f>+IFERROR(+VLOOKUP(A565,'TB2019-20'!$A$12:$C$414,3,0),0)</f>
        <v>803704</v>
      </c>
      <c r="O565" s="7"/>
      <c r="P565" s="7">
        <f t="shared" si="62"/>
        <v>803704</v>
      </c>
    </row>
    <row r="566" spans="1:16" x14ac:dyDescent="0.25">
      <c r="A566" s="17" t="s">
        <v>331</v>
      </c>
      <c r="B566" s="7">
        <v>24</v>
      </c>
      <c r="C566" s="7" t="s">
        <v>600</v>
      </c>
      <c r="D566" s="7" t="s">
        <v>601</v>
      </c>
      <c r="E566" s="7">
        <f>+IFERROR(+VLOOKUP(A566,'Trial Balance'!$A$12:$C$428,2,0),0)</f>
        <v>216000</v>
      </c>
      <c r="F566" s="7"/>
      <c r="G566" s="7">
        <f t="shared" si="59"/>
        <v>216000</v>
      </c>
      <c r="H566" s="7">
        <f>+IFERROR(+VLOOKUP(A566,'Trial Balance'!$A$12:$C$428,3,0),0)</f>
        <v>0</v>
      </c>
      <c r="I566" s="7"/>
      <c r="J566" s="7">
        <f t="shared" si="60"/>
        <v>0</v>
      </c>
      <c r="K566" s="7">
        <f>+IFERROR(+VLOOKUP(A566,'TB2019-20'!$A$12:$C$414,2,0),0)</f>
        <v>203540</v>
      </c>
      <c r="L566" s="7"/>
      <c r="M566" s="7">
        <f t="shared" si="61"/>
        <v>203540</v>
      </c>
      <c r="N566" s="7">
        <f>+IFERROR(+VLOOKUP(A566,'TB2019-20'!$A$12:$C$414,3,0),0)</f>
        <v>0</v>
      </c>
      <c r="O566" s="7"/>
      <c r="P566" s="7">
        <f t="shared" si="62"/>
        <v>0</v>
      </c>
    </row>
    <row r="567" spans="1:16" x14ac:dyDescent="0.25">
      <c r="A567" s="17" t="s">
        <v>797</v>
      </c>
      <c r="B567" s="7">
        <v>24</v>
      </c>
      <c r="C567" s="7" t="s">
        <v>600</v>
      </c>
      <c r="D567" s="7" t="s">
        <v>601</v>
      </c>
      <c r="E567" s="7">
        <f>+IFERROR(+VLOOKUP(A567,'Trial Balance'!$A$12:$C$428,2,0),0)</f>
        <v>0</v>
      </c>
      <c r="F567" s="7"/>
      <c r="G567" s="7">
        <f t="shared" si="59"/>
        <v>0</v>
      </c>
      <c r="H567" s="7">
        <f>+IFERROR(+VLOOKUP(A567,'Trial Balance'!$A$12:$C$428,3,0),0)</f>
        <v>0</v>
      </c>
      <c r="I567" s="7"/>
      <c r="J567" s="7">
        <f t="shared" si="60"/>
        <v>0</v>
      </c>
      <c r="K567" s="7">
        <f>+IFERROR(+VLOOKUP(A567,'TB2019-20'!$A$12:$C$414,2,0),0)</f>
        <v>0</v>
      </c>
      <c r="L567" s="7"/>
      <c r="M567" s="7">
        <f t="shared" si="61"/>
        <v>0</v>
      </c>
      <c r="N567" s="7">
        <f>+IFERROR(+VLOOKUP(A567,'TB2019-20'!$A$12:$C$414,3,0),0)</f>
        <v>0</v>
      </c>
      <c r="O567" s="7"/>
      <c r="P567" s="7">
        <f t="shared" si="62"/>
        <v>0</v>
      </c>
    </row>
    <row r="568" spans="1:16" x14ac:dyDescent="0.25">
      <c r="A568" s="17" t="s">
        <v>798</v>
      </c>
      <c r="B568" s="7">
        <v>24</v>
      </c>
      <c r="C568" s="7" t="s">
        <v>600</v>
      </c>
      <c r="D568" s="7" t="s">
        <v>601</v>
      </c>
      <c r="E568" s="7">
        <f>+IFERROR(+VLOOKUP(A568,'Trial Balance'!$A$12:$C$428,2,0),0)</f>
        <v>1684618</v>
      </c>
      <c r="F568" s="7"/>
      <c r="G568" s="7">
        <f t="shared" si="59"/>
        <v>1684618</v>
      </c>
      <c r="H568" s="7">
        <f>+IFERROR(+VLOOKUP(A568,'Trial Balance'!$A$12:$C$428,3,0),0)</f>
        <v>0</v>
      </c>
      <c r="I568" s="7"/>
      <c r="J568" s="7">
        <f t="shared" si="60"/>
        <v>0</v>
      </c>
      <c r="K568" s="7">
        <f>+IFERROR(+VLOOKUP(A568,'TB2019-20'!$A$12:$C$414,2,0),0)</f>
        <v>1626242</v>
      </c>
      <c r="L568" s="7"/>
      <c r="M568" s="7">
        <f t="shared" si="61"/>
        <v>1626242</v>
      </c>
      <c r="N568" s="7">
        <f>+IFERROR(+VLOOKUP(A568,'TB2019-20'!$A$12:$C$414,3,0),0)</f>
        <v>0</v>
      </c>
      <c r="O568" s="7"/>
      <c r="P568" s="7">
        <f t="shared" si="62"/>
        <v>0</v>
      </c>
    </row>
    <row r="569" spans="1:16" x14ac:dyDescent="0.25">
      <c r="A569" s="17" t="s">
        <v>799</v>
      </c>
      <c r="B569" s="7">
        <v>24</v>
      </c>
      <c r="C569" s="7" t="s">
        <v>600</v>
      </c>
      <c r="D569" s="7" t="s">
        <v>601</v>
      </c>
      <c r="E569" s="7">
        <f>+IFERROR(+VLOOKUP(A569,'Trial Balance'!$A$12:$C$428,2,0),0)</f>
        <v>2423600</v>
      </c>
      <c r="F569" s="7"/>
      <c r="G569" s="7">
        <f t="shared" si="59"/>
        <v>2423600</v>
      </c>
      <c r="H569" s="7">
        <f>+IFERROR(+VLOOKUP(A569,'Trial Balance'!$A$12:$C$428,3,0),0)</f>
        <v>0</v>
      </c>
      <c r="I569" s="7"/>
      <c r="J569" s="7">
        <f t="shared" si="60"/>
        <v>0</v>
      </c>
      <c r="K569" s="7">
        <f>+IFERROR(+VLOOKUP(A569,'TB2019-20'!$A$12:$C$414,2,0),0)</f>
        <v>2273038</v>
      </c>
      <c r="L569" s="7"/>
      <c r="M569" s="7">
        <f t="shared" si="61"/>
        <v>2273038</v>
      </c>
      <c r="N569" s="7">
        <f>+IFERROR(+VLOOKUP(A569,'TB2019-20'!$A$12:$C$414,3,0),0)</f>
        <v>0</v>
      </c>
      <c r="O569" s="7"/>
      <c r="P569" s="7">
        <f t="shared" si="62"/>
        <v>0</v>
      </c>
    </row>
    <row r="570" spans="1:16" x14ac:dyDescent="0.25">
      <c r="A570" s="17" t="s">
        <v>800</v>
      </c>
      <c r="B570" s="7">
        <v>24</v>
      </c>
      <c r="C570" s="7" t="s">
        <v>600</v>
      </c>
      <c r="D570" s="7" t="s">
        <v>601</v>
      </c>
      <c r="E570" s="7">
        <f>+IFERROR(+VLOOKUP(A570,'Trial Balance'!$A$12:$C$428,2,0),0)</f>
        <v>8467719</v>
      </c>
      <c r="F570" s="7"/>
      <c r="G570" s="7">
        <f t="shared" si="59"/>
        <v>8467719</v>
      </c>
      <c r="H570" s="7">
        <f>+IFERROR(+VLOOKUP(A570,'Trial Balance'!$A$12:$C$428,3,0),0)</f>
        <v>0</v>
      </c>
      <c r="I570" s="7"/>
      <c r="J570" s="7">
        <f t="shared" si="60"/>
        <v>0</v>
      </c>
      <c r="K570" s="7">
        <f>+IFERROR(+VLOOKUP(A570,'TB2019-20'!$A$12:$C$414,2,0),0)</f>
        <v>8511335</v>
      </c>
      <c r="L570" s="7"/>
      <c r="M570" s="7">
        <f t="shared" si="61"/>
        <v>8511335</v>
      </c>
      <c r="N570" s="7">
        <f>+IFERROR(+VLOOKUP(A570,'TB2019-20'!$A$12:$C$414,3,0),0)</f>
        <v>0</v>
      </c>
      <c r="O570" s="7"/>
      <c r="P570" s="7">
        <f t="shared" si="62"/>
        <v>0</v>
      </c>
    </row>
    <row r="571" spans="1:16" x14ac:dyDescent="0.25">
      <c r="A571" s="17" t="s">
        <v>801</v>
      </c>
      <c r="B571" s="7">
        <v>19</v>
      </c>
      <c r="C571" s="7" t="s">
        <v>602</v>
      </c>
      <c r="D571" s="7" t="s">
        <v>603</v>
      </c>
      <c r="E571" s="7">
        <f>+IFERROR(+VLOOKUP(A571,'Trial Balance'!$A$12:$C$428,2,0),0)</f>
        <v>0</v>
      </c>
      <c r="F571" s="7"/>
      <c r="G571" s="7">
        <f t="shared" si="59"/>
        <v>0</v>
      </c>
      <c r="H571" s="7">
        <f>+IFERROR(+VLOOKUP(A571,'Trial Balance'!$A$12:$C$428,3,0),0)</f>
        <v>729659</v>
      </c>
      <c r="I571" s="7"/>
      <c r="J571" s="7">
        <f t="shared" si="60"/>
        <v>729659</v>
      </c>
      <c r="K571" s="7">
        <f>+IFERROR(+VLOOKUP(A571,'TB2019-20'!$A$12:$C$414,2,0),0)</f>
        <v>0</v>
      </c>
      <c r="L571" s="7"/>
      <c r="M571" s="7">
        <f t="shared" si="61"/>
        <v>0</v>
      </c>
      <c r="N571" s="7">
        <f>+IFERROR(+VLOOKUP(A571,'TB2019-20'!$A$12:$C$414,3,0),0)</f>
        <v>755246</v>
      </c>
      <c r="O571" s="7"/>
      <c r="P571" s="7">
        <f t="shared" si="62"/>
        <v>755246</v>
      </c>
    </row>
    <row r="572" spans="1:16" x14ac:dyDescent="0.25">
      <c r="A572" s="17" t="s">
        <v>335</v>
      </c>
      <c r="B572" s="7">
        <v>19</v>
      </c>
      <c r="C572" s="7" t="s">
        <v>602</v>
      </c>
      <c r="D572" s="7" t="s">
        <v>603</v>
      </c>
      <c r="E572" s="7">
        <f>+IFERROR(+VLOOKUP(A572,'Trial Balance'!$A$12:$C$428,2,0),0)</f>
        <v>0</v>
      </c>
      <c r="F572" s="7"/>
      <c r="G572" s="7">
        <f t="shared" si="59"/>
        <v>0</v>
      </c>
      <c r="H572" s="7">
        <f>+IFERROR(+VLOOKUP(A572,'Trial Balance'!$A$12:$C$428,3,0),0)</f>
        <v>714551552.14999998</v>
      </c>
      <c r="I572" s="7"/>
      <c r="J572" s="7">
        <f t="shared" si="60"/>
        <v>714551552.14999998</v>
      </c>
      <c r="K572" s="7">
        <f>+IFERROR(+VLOOKUP(A572,'TB2019-20'!$A$12:$C$414,2,0),0)</f>
        <v>0</v>
      </c>
      <c r="L572" s="7"/>
      <c r="M572" s="7">
        <f t="shared" si="61"/>
        <v>0</v>
      </c>
      <c r="N572" s="7">
        <f>+IFERROR(+VLOOKUP(A572,'TB2019-20'!$A$12:$C$414,3,0),0)</f>
        <v>609002318.29999995</v>
      </c>
      <c r="O572" s="7"/>
      <c r="P572" s="7">
        <f t="shared" si="62"/>
        <v>609002318.29999995</v>
      </c>
    </row>
    <row r="573" spans="1:16" x14ac:dyDescent="0.25">
      <c r="A573" s="7" t="s">
        <v>802</v>
      </c>
      <c r="B573" s="7">
        <v>19</v>
      </c>
      <c r="C573" s="7" t="s">
        <v>602</v>
      </c>
      <c r="D573" s="7" t="s">
        <v>603</v>
      </c>
      <c r="E573" s="7">
        <f>+IFERROR(+VLOOKUP(A573,'Trial Balance'!$A$12:$C$428,2,0),0)</f>
        <v>0</v>
      </c>
      <c r="F573" s="7"/>
      <c r="G573" s="7">
        <f t="shared" si="59"/>
        <v>0</v>
      </c>
      <c r="H573" s="7">
        <f>+IFERROR(+VLOOKUP(A573,'Trial Balance'!$A$12:$C$428,3,0),0)</f>
        <v>0</v>
      </c>
      <c r="I573" s="7"/>
      <c r="J573" s="7">
        <f t="shared" si="60"/>
        <v>0</v>
      </c>
      <c r="K573" s="7">
        <f>+IFERROR(+VLOOKUP(A573,'TB2019-20'!$A$12:$C$414,2,0),0)</f>
        <v>245586</v>
      </c>
      <c r="L573" s="7"/>
      <c r="M573" s="7">
        <f t="shared" si="61"/>
        <v>245586</v>
      </c>
      <c r="N573" s="7">
        <f>+IFERROR(+VLOOKUP(A573,'TB2019-20'!$A$12:$C$414,3,0),0)</f>
        <v>0</v>
      </c>
      <c r="O573" s="7"/>
      <c r="P573" s="7">
        <f t="shared" si="62"/>
        <v>0</v>
      </c>
    </row>
    <row r="574" spans="1:16" x14ac:dyDescent="0.25">
      <c r="A574" s="6" t="s">
        <v>803</v>
      </c>
      <c r="B574" s="7">
        <v>26</v>
      </c>
      <c r="C574" s="7" t="s">
        <v>467</v>
      </c>
      <c r="D574" s="7" t="s">
        <v>541</v>
      </c>
      <c r="E574" s="7">
        <f>+IFERROR(+VLOOKUP(A574,'Trial Balance'!$A$12:$C$428,2,0),0)</f>
        <v>0</v>
      </c>
      <c r="F574" s="7"/>
      <c r="G574" s="7">
        <f t="shared" si="59"/>
        <v>0</v>
      </c>
      <c r="H574" s="7">
        <f>+IFERROR(+VLOOKUP(A574,'Trial Balance'!$A$12:$C$428,3,0),0)</f>
        <v>0</v>
      </c>
      <c r="I574" s="7"/>
      <c r="J574" s="7">
        <f t="shared" si="60"/>
        <v>0</v>
      </c>
      <c r="K574" s="7">
        <f>+IFERROR(+VLOOKUP(A574,'TB2019-20'!$A$12:$C$414,2,0),0)</f>
        <v>23653</v>
      </c>
      <c r="L574" s="7"/>
      <c r="M574" s="7">
        <f t="shared" si="61"/>
        <v>23653</v>
      </c>
      <c r="N574" s="7">
        <f>+IFERROR(+VLOOKUP(A574,'TB2019-20'!$A$12:$C$414,3,0),0)</f>
        <v>0</v>
      </c>
      <c r="O574" s="7"/>
      <c r="P574" s="7">
        <f t="shared" si="62"/>
        <v>0</v>
      </c>
    </row>
    <row r="575" spans="1:16" x14ac:dyDescent="0.25">
      <c r="A575" s="7" t="s">
        <v>337</v>
      </c>
      <c r="B575" s="7">
        <v>4</v>
      </c>
      <c r="C575" s="7" t="s">
        <v>489</v>
      </c>
      <c r="D575" s="7" t="s">
        <v>490</v>
      </c>
      <c r="E575" s="7">
        <f>+IFERROR(+VLOOKUP(A575,'Trial Balance'!$A$12:$C$428,2,0),0)</f>
        <v>0</v>
      </c>
      <c r="F575" s="7"/>
      <c r="G575" s="7">
        <f t="shared" si="59"/>
        <v>0</v>
      </c>
      <c r="H575" s="7">
        <f>+IFERROR(+VLOOKUP(A575,'Trial Balance'!$A$12:$C$428,3,0),0)</f>
        <v>941222</v>
      </c>
      <c r="I575" s="7"/>
      <c r="J575" s="7">
        <f t="shared" si="60"/>
        <v>941222</v>
      </c>
      <c r="K575" s="7">
        <f>+IFERROR(+VLOOKUP(A575,'TB2019-20'!$A$12:$C$414,2,0),0)</f>
        <v>0</v>
      </c>
      <c r="L575" s="7"/>
      <c r="M575" s="7">
        <f t="shared" si="61"/>
        <v>0</v>
      </c>
      <c r="N575" s="7">
        <f>+IFERROR(+VLOOKUP(A575,'TB2019-20'!$A$12:$C$414,3,0),0)</f>
        <v>874676</v>
      </c>
      <c r="O575" s="7"/>
      <c r="P575" s="7">
        <f t="shared" si="62"/>
        <v>874676</v>
      </c>
    </row>
    <row r="576" spans="1:16" x14ac:dyDescent="0.25">
      <c r="A576" s="6" t="s">
        <v>804</v>
      </c>
      <c r="B576" s="7">
        <v>7</v>
      </c>
      <c r="C576" s="7" t="s">
        <v>460</v>
      </c>
      <c r="D576" s="7" t="s">
        <v>462</v>
      </c>
      <c r="E576" s="7">
        <f>+IFERROR(+VLOOKUP(A576,'Trial Balance'!$A$12:$C$428,2,0),0)</f>
        <v>0</v>
      </c>
      <c r="F576" s="7"/>
      <c r="G576" s="7">
        <f t="shared" si="59"/>
        <v>0</v>
      </c>
      <c r="H576" s="7">
        <f>+IFERROR(+VLOOKUP(A576,'Trial Balance'!$A$12:$C$428,3,0),0)</f>
        <v>0</v>
      </c>
      <c r="I576" s="7"/>
      <c r="J576" s="7">
        <f t="shared" si="60"/>
        <v>0</v>
      </c>
      <c r="K576" s="7">
        <f>+IFERROR(+VLOOKUP(A576,'TB2019-20'!$A$12:$C$414,2,0),0)</f>
        <v>0</v>
      </c>
      <c r="L576" s="7"/>
      <c r="M576" s="7">
        <f t="shared" si="61"/>
        <v>0</v>
      </c>
      <c r="N576" s="7">
        <f>+IFERROR(+VLOOKUP(A576,'TB2019-20'!$A$12:$C$414,3,0),0)</f>
        <v>2600</v>
      </c>
      <c r="O576" s="7"/>
      <c r="P576" s="7">
        <f t="shared" si="62"/>
        <v>2600</v>
      </c>
    </row>
    <row r="577" spans="1:16" x14ac:dyDescent="0.25">
      <c r="A577" s="8" t="s">
        <v>805</v>
      </c>
      <c r="B577" s="7">
        <v>12</v>
      </c>
      <c r="C577" s="7" t="s">
        <v>465</v>
      </c>
      <c r="D577" s="7" t="s">
        <v>478</v>
      </c>
      <c r="E577" s="7">
        <f>+IFERROR(+VLOOKUP(A577,'Trial Balance'!$A$12:$C$428,2,0),0)</f>
        <v>0</v>
      </c>
      <c r="F577" s="7"/>
      <c r="G577" s="7">
        <f t="shared" si="59"/>
        <v>0</v>
      </c>
      <c r="H577" s="7">
        <f>+IFERROR(+VLOOKUP(A577,'Trial Balance'!$A$12:$C$428,3,0),0)</f>
        <v>0</v>
      </c>
      <c r="I577" s="7"/>
      <c r="J577" s="7">
        <f t="shared" si="60"/>
        <v>0</v>
      </c>
      <c r="K577" s="7">
        <f>+IFERROR(+VLOOKUP(A577,'TB2019-20'!$A$12:$C$414,2,0),0)</f>
        <v>0</v>
      </c>
      <c r="L577" s="7"/>
      <c r="M577" s="7">
        <f t="shared" si="61"/>
        <v>0</v>
      </c>
      <c r="N577" s="7">
        <f>+IFERROR(+VLOOKUP(A577,'TB2019-20'!$A$12:$C$414,3,0),0)</f>
        <v>0</v>
      </c>
      <c r="O577" s="7"/>
      <c r="P577" s="7">
        <f t="shared" si="62"/>
        <v>0</v>
      </c>
    </row>
    <row r="578" spans="1:16" x14ac:dyDescent="0.25">
      <c r="A578" s="7" t="s">
        <v>806</v>
      </c>
      <c r="B578" s="7">
        <v>7</v>
      </c>
      <c r="C578" s="7" t="s">
        <v>460</v>
      </c>
      <c r="D578" s="7" t="s">
        <v>460</v>
      </c>
      <c r="E578" s="7">
        <f>+IFERROR(+VLOOKUP(A578,'Trial Balance'!$A$12:$C$428,2,0),0)</f>
        <v>0</v>
      </c>
      <c r="F578" s="7"/>
      <c r="G578" s="7">
        <f t="shared" si="59"/>
        <v>0</v>
      </c>
      <c r="H578" s="7">
        <f>+IFERROR(+VLOOKUP(A578,'Trial Balance'!$A$12:$C$428,3,0),0)</f>
        <v>0</v>
      </c>
      <c r="I578" s="7"/>
      <c r="J578" s="7">
        <f t="shared" si="60"/>
        <v>0</v>
      </c>
      <c r="K578" s="7">
        <f>+IFERROR(+VLOOKUP(A578,'TB2019-20'!$A$12:$C$414,2,0),0)</f>
        <v>0</v>
      </c>
      <c r="L578" s="7"/>
      <c r="M578" s="7">
        <f t="shared" si="61"/>
        <v>0</v>
      </c>
      <c r="N578" s="7">
        <f>+IFERROR(+VLOOKUP(A578,'TB2019-20'!$A$12:$C$414,3,0),0)</f>
        <v>85602</v>
      </c>
      <c r="O578" s="7"/>
      <c r="P578" s="7">
        <f t="shared" si="62"/>
        <v>85602</v>
      </c>
    </row>
    <row r="579" spans="1:16" x14ac:dyDescent="0.25">
      <c r="A579" s="7" t="s">
        <v>807</v>
      </c>
      <c r="B579" s="7">
        <v>4</v>
      </c>
      <c r="C579" s="7" t="s">
        <v>489</v>
      </c>
      <c r="D579" s="7" t="s">
        <v>490</v>
      </c>
      <c r="E579" s="7">
        <f>+IFERROR(+VLOOKUP(A579,'Trial Balance'!$A$12:$C$428,2,0),0)</f>
        <v>0</v>
      </c>
      <c r="F579" s="7"/>
      <c r="G579" s="7">
        <f t="shared" si="59"/>
        <v>0</v>
      </c>
      <c r="H579" s="7">
        <f>+IFERROR(+VLOOKUP(A579,'Trial Balance'!$A$12:$C$428,3,0),0)</f>
        <v>1764791</v>
      </c>
      <c r="I579" s="7"/>
      <c r="J579" s="7">
        <f t="shared" si="60"/>
        <v>1764791</v>
      </c>
      <c r="K579" s="7">
        <f>+IFERROR(+VLOOKUP(A579,'TB2019-20'!$A$12:$C$414,2,0),0)</f>
        <v>0</v>
      </c>
      <c r="L579" s="7"/>
      <c r="M579" s="7">
        <f t="shared" si="61"/>
        <v>0</v>
      </c>
      <c r="N579" s="7">
        <f>+IFERROR(+VLOOKUP(A579,'TB2019-20'!$A$12:$C$414,3,0),0)</f>
        <v>1640020</v>
      </c>
      <c r="O579" s="7"/>
      <c r="P579" s="7">
        <f t="shared" si="62"/>
        <v>1640020</v>
      </c>
    </row>
    <row r="580" spans="1:16" x14ac:dyDescent="0.25">
      <c r="A580" s="17" t="s">
        <v>808</v>
      </c>
      <c r="B580" s="7">
        <v>7</v>
      </c>
      <c r="C580" s="7" t="s">
        <v>460</v>
      </c>
      <c r="D580" s="7" t="s">
        <v>460</v>
      </c>
      <c r="E580" s="7">
        <f>+IFERROR(+VLOOKUP(A580,'Trial Balance'!$A$12:$C$428,2,0),0)</f>
        <v>0</v>
      </c>
      <c r="F580" s="7"/>
      <c r="G580" s="7">
        <f t="shared" si="59"/>
        <v>0</v>
      </c>
      <c r="H580" s="7">
        <f>+IFERROR(+VLOOKUP(A580,'Trial Balance'!$A$12:$C$428,3,0),0)</f>
        <v>0</v>
      </c>
      <c r="I580" s="7"/>
      <c r="J580" s="7">
        <f t="shared" si="60"/>
        <v>0</v>
      </c>
      <c r="K580" s="7">
        <f>+IFERROR(+VLOOKUP(A580,'TB2019-20'!$A$12:$C$414,2,0),0)</f>
        <v>0</v>
      </c>
      <c r="L580" s="7"/>
      <c r="M580" s="7">
        <f t="shared" si="61"/>
        <v>0</v>
      </c>
      <c r="N580" s="7">
        <f>+IFERROR(+VLOOKUP(A580,'TB2019-20'!$A$12:$C$414,3,0),0)</f>
        <v>0</v>
      </c>
      <c r="O580" s="7"/>
      <c r="P580" s="7">
        <f t="shared" si="62"/>
        <v>0</v>
      </c>
    </row>
    <row r="581" spans="1:16" x14ac:dyDescent="0.25">
      <c r="A581" s="19" t="s">
        <v>346</v>
      </c>
      <c r="B581" s="13">
        <v>3</v>
      </c>
      <c r="C581" s="7" t="s">
        <v>538</v>
      </c>
      <c r="D581" s="7" t="s">
        <v>809</v>
      </c>
      <c r="E581" s="7">
        <f>+IFERROR(+VLOOKUP(A581,'Trial Balance'!$A$12:$C$428,2,0),0)</f>
        <v>0</v>
      </c>
      <c r="F581" s="7"/>
      <c r="G581" s="7">
        <f t="shared" si="59"/>
        <v>0</v>
      </c>
      <c r="H581" s="7">
        <f>+IFERROR(+VLOOKUP(A581,'Trial Balance'!$A$12:$C$428,3,0),0)</f>
        <v>8664946</v>
      </c>
      <c r="I581" s="7"/>
      <c r="J581" s="7">
        <f t="shared" si="60"/>
        <v>8664946</v>
      </c>
      <c r="K581" s="7">
        <f>+IFERROR(+VLOOKUP(A581,'TB2019-20'!$A$12:$C$414,2,0),0)</f>
        <v>0</v>
      </c>
      <c r="L581" s="7"/>
      <c r="M581" s="7">
        <f t="shared" si="61"/>
        <v>0</v>
      </c>
      <c r="N581" s="7">
        <f>+IFERROR(+VLOOKUP(A581,'TB2019-20'!$A$12:$C$414,3,0),0)</f>
        <v>8664946</v>
      </c>
      <c r="O581" s="7"/>
      <c r="P581" s="7">
        <f t="shared" si="62"/>
        <v>8664946</v>
      </c>
    </row>
    <row r="582" spans="1:16" x14ac:dyDescent="0.25">
      <c r="A582" s="17" t="s">
        <v>347</v>
      </c>
      <c r="B582" s="7">
        <v>26</v>
      </c>
      <c r="C582" s="7" t="s">
        <v>467</v>
      </c>
      <c r="D582" s="7" t="s">
        <v>810</v>
      </c>
      <c r="E582" s="7">
        <f>+IFERROR(+VLOOKUP(A582,'Trial Balance'!$A$12:$C$428,2,0),0)</f>
        <v>703243</v>
      </c>
      <c r="F582" s="7"/>
      <c r="G582" s="7">
        <f t="shared" si="59"/>
        <v>703243</v>
      </c>
      <c r="H582" s="7">
        <f>+IFERROR(+VLOOKUP(A582,'Trial Balance'!$A$12:$C$428,3,0),0)</f>
        <v>0</v>
      </c>
      <c r="I582" s="7"/>
      <c r="J582" s="7">
        <f t="shared" si="60"/>
        <v>0</v>
      </c>
      <c r="K582" s="7">
        <f>+IFERROR(+VLOOKUP(A582,'TB2019-20'!$A$12:$C$414,2,0),0)</f>
        <v>689707</v>
      </c>
      <c r="L582" s="7"/>
      <c r="M582" s="7">
        <f t="shared" si="61"/>
        <v>689707</v>
      </c>
      <c r="N582" s="7">
        <f>+IFERROR(+VLOOKUP(A582,'TB2019-20'!$A$12:$C$414,3,0),0)</f>
        <v>0</v>
      </c>
      <c r="O582" s="7"/>
      <c r="P582" s="7">
        <f t="shared" si="62"/>
        <v>0</v>
      </c>
    </row>
    <row r="583" spans="1:16" x14ac:dyDescent="0.25">
      <c r="A583" s="17" t="s">
        <v>349</v>
      </c>
      <c r="B583" s="7">
        <v>19</v>
      </c>
      <c r="C583" s="7" t="s">
        <v>602</v>
      </c>
      <c r="D583" s="7" t="s">
        <v>603</v>
      </c>
      <c r="E583" s="7">
        <f>+IFERROR(+VLOOKUP(A583,'Trial Balance'!$A$12:$C$428,2,0),0)</f>
        <v>0</v>
      </c>
      <c r="F583" s="7"/>
      <c r="G583" s="7">
        <f t="shared" si="59"/>
        <v>0</v>
      </c>
      <c r="H583" s="7">
        <f>+IFERROR(+VLOOKUP(A583,'Trial Balance'!$A$12:$C$428,3,0),0)</f>
        <v>18748332</v>
      </c>
      <c r="I583" s="7"/>
      <c r="J583" s="7">
        <f t="shared" si="60"/>
        <v>18748332</v>
      </c>
      <c r="K583" s="7">
        <f>+IFERROR(+VLOOKUP(A583,'TB2019-20'!$A$12:$C$414,2,0),0)</f>
        <v>0</v>
      </c>
      <c r="L583" s="7"/>
      <c r="M583" s="7">
        <f t="shared" si="61"/>
        <v>0</v>
      </c>
      <c r="N583" s="7">
        <f>+IFERROR(+VLOOKUP(A583,'TB2019-20'!$A$12:$C$414,3,0),0)</f>
        <v>21264856</v>
      </c>
      <c r="O583" s="7"/>
      <c r="P583" s="7">
        <f t="shared" si="62"/>
        <v>21264856</v>
      </c>
    </row>
    <row r="584" spans="1:16" x14ac:dyDescent="0.25">
      <c r="A584" s="17" t="s">
        <v>364</v>
      </c>
      <c r="B584" s="7">
        <v>12</v>
      </c>
      <c r="C584" s="7" t="s">
        <v>465</v>
      </c>
      <c r="D584" s="14" t="s">
        <v>550</v>
      </c>
      <c r="E584" s="7">
        <f>+IFERROR(+VLOOKUP(A584,'Trial Balance'!$A$12:$C$428,2,0),0)</f>
        <v>0</v>
      </c>
      <c r="F584" s="7"/>
      <c r="G584" s="7">
        <f t="shared" ref="G584:G647" si="63">+E584+F584</f>
        <v>0</v>
      </c>
      <c r="H584" s="7">
        <f>+IFERROR(+VLOOKUP(A584,'Trial Balance'!$A$12:$C$428,3,0),0)</f>
        <v>0</v>
      </c>
      <c r="I584" s="7"/>
      <c r="J584" s="7">
        <f t="shared" ref="J584:J647" si="64">+H584+I584</f>
        <v>0</v>
      </c>
      <c r="K584" s="7">
        <f>+IFERROR(+VLOOKUP(A584,'TB2019-20'!$A$12:$C$414,2,0),0)</f>
        <v>0</v>
      </c>
      <c r="L584" s="7"/>
      <c r="M584" s="7">
        <f t="shared" si="61"/>
        <v>0</v>
      </c>
      <c r="N584" s="7">
        <f>+IFERROR(+VLOOKUP(A584,'TB2019-20'!$A$12:$C$414,3,0),0)</f>
        <v>0</v>
      </c>
      <c r="O584" s="7"/>
      <c r="P584" s="7">
        <f t="shared" si="62"/>
        <v>0</v>
      </c>
    </row>
    <row r="585" spans="1:16" x14ac:dyDescent="0.25">
      <c r="A585" s="17" t="s">
        <v>811</v>
      </c>
      <c r="B585" s="7">
        <v>12</v>
      </c>
      <c r="C585" s="7" t="s">
        <v>465</v>
      </c>
      <c r="D585" s="14" t="s">
        <v>550</v>
      </c>
      <c r="E585" s="7">
        <f>+IFERROR(+VLOOKUP(A585,'Trial Balance'!$A$12:$C$428,2,0),0)</f>
        <v>0</v>
      </c>
      <c r="F585" s="7"/>
      <c r="G585" s="7">
        <f t="shared" si="63"/>
        <v>0</v>
      </c>
      <c r="H585" s="7">
        <f>+IFERROR(+VLOOKUP(A585,'Trial Balance'!$A$12:$C$428,3,0),0)</f>
        <v>0</v>
      </c>
      <c r="I585" s="7"/>
      <c r="J585" s="7">
        <f t="shared" si="64"/>
        <v>0</v>
      </c>
      <c r="K585" s="7">
        <f>+IFERROR(+VLOOKUP(A585,'TB2019-20'!$A$12:$C$414,2,0),0)</f>
        <v>0</v>
      </c>
      <c r="L585" s="7"/>
      <c r="M585" s="7">
        <f t="shared" si="61"/>
        <v>0</v>
      </c>
      <c r="N585" s="7">
        <f>+IFERROR(+VLOOKUP(A585,'TB2019-20'!$A$12:$C$414,3,0),0)</f>
        <v>0</v>
      </c>
      <c r="O585" s="7"/>
      <c r="P585" s="7">
        <f t="shared" si="62"/>
        <v>0</v>
      </c>
    </row>
    <row r="586" spans="1:16" x14ac:dyDescent="0.25">
      <c r="A586" s="17" t="s">
        <v>812</v>
      </c>
      <c r="B586" s="7">
        <v>12</v>
      </c>
      <c r="C586" s="7" t="s">
        <v>465</v>
      </c>
      <c r="D586" s="14" t="s">
        <v>550</v>
      </c>
      <c r="E586" s="7">
        <f>+IFERROR(+VLOOKUP(A586,'Trial Balance'!$A$12:$C$428,2,0),0)</f>
        <v>0</v>
      </c>
      <c r="F586" s="7"/>
      <c r="G586" s="7">
        <f t="shared" si="63"/>
        <v>0</v>
      </c>
      <c r="H586" s="7">
        <f>+IFERROR(+VLOOKUP(A586,'Trial Balance'!$A$12:$C$428,3,0),0)</f>
        <v>0</v>
      </c>
      <c r="I586" s="7"/>
      <c r="J586" s="7">
        <f t="shared" si="64"/>
        <v>0</v>
      </c>
      <c r="K586" s="7">
        <f>+IFERROR(+VLOOKUP(A586,'TB2019-20'!$A$12:$C$414,2,0),0)</f>
        <v>0</v>
      </c>
      <c r="L586" s="7"/>
      <c r="M586" s="7">
        <f t="shared" si="61"/>
        <v>0</v>
      </c>
      <c r="N586" s="7">
        <f>+IFERROR(+VLOOKUP(A586,'TB2019-20'!$A$12:$C$414,3,0),0)</f>
        <v>449757.14</v>
      </c>
      <c r="O586" s="7"/>
      <c r="P586" s="7">
        <f t="shared" si="62"/>
        <v>449757.14</v>
      </c>
    </row>
    <row r="587" spans="1:16" x14ac:dyDescent="0.25">
      <c r="A587" s="17" t="s">
        <v>813</v>
      </c>
      <c r="B587" s="7">
        <v>12</v>
      </c>
      <c r="C587" s="7" t="s">
        <v>465</v>
      </c>
      <c r="D587" s="14" t="s">
        <v>550</v>
      </c>
      <c r="E587" s="7">
        <f>+IFERROR(+VLOOKUP(A587,'Trial Balance'!$A$12:$C$428,2,0),0)</f>
        <v>0</v>
      </c>
      <c r="F587" s="7"/>
      <c r="G587" s="7">
        <f t="shared" si="63"/>
        <v>0</v>
      </c>
      <c r="H587" s="7">
        <f>+IFERROR(+VLOOKUP(A587,'Trial Balance'!$A$12:$C$428,3,0),0)</f>
        <v>0</v>
      </c>
      <c r="I587" s="7"/>
      <c r="J587" s="7">
        <f t="shared" si="64"/>
        <v>0</v>
      </c>
      <c r="K587" s="7">
        <f>+IFERROR(+VLOOKUP(A587,'TB2019-20'!$A$12:$C$414,2,0),0)</f>
        <v>0</v>
      </c>
      <c r="L587" s="7"/>
      <c r="M587" s="7">
        <f t="shared" si="61"/>
        <v>0</v>
      </c>
      <c r="N587" s="7">
        <f>+IFERROR(+VLOOKUP(A587,'TB2019-20'!$A$12:$C$414,3,0),0)</f>
        <v>0</v>
      </c>
      <c r="O587" s="7"/>
      <c r="P587" s="7">
        <f t="shared" si="62"/>
        <v>0</v>
      </c>
    </row>
    <row r="588" spans="1:16" x14ac:dyDescent="0.25">
      <c r="A588" s="17" t="s">
        <v>814</v>
      </c>
      <c r="B588" s="7">
        <v>7</v>
      </c>
      <c r="C588" s="7" t="s">
        <v>460</v>
      </c>
      <c r="D588" s="7" t="s">
        <v>460</v>
      </c>
      <c r="E588" s="7">
        <f>+IFERROR(+VLOOKUP(A588,'Trial Balance'!$A$12:$C$428,2,0),0)</f>
        <v>0</v>
      </c>
      <c r="F588" s="7"/>
      <c r="G588" s="7">
        <f t="shared" si="63"/>
        <v>0</v>
      </c>
      <c r="H588" s="7">
        <f>+IFERROR(+VLOOKUP(A588,'Trial Balance'!$A$12:$C$428,3,0),0)</f>
        <v>0</v>
      </c>
      <c r="I588" s="7"/>
      <c r="J588" s="7">
        <f t="shared" si="64"/>
        <v>0</v>
      </c>
      <c r="K588" s="7">
        <f>+IFERROR(+VLOOKUP(A588,'TB2019-20'!$A$12:$C$414,2,0),0)</f>
        <v>0</v>
      </c>
      <c r="L588" s="7"/>
      <c r="M588" s="7">
        <f t="shared" si="61"/>
        <v>0</v>
      </c>
      <c r="N588" s="7">
        <f>+IFERROR(+VLOOKUP(A588,'TB2019-20'!$A$12:$C$414,3,0),0)</f>
        <v>0</v>
      </c>
      <c r="O588" s="7"/>
      <c r="P588" s="7">
        <f t="shared" si="62"/>
        <v>0</v>
      </c>
    </row>
    <row r="589" spans="1:16" x14ac:dyDescent="0.25">
      <c r="A589" s="17" t="s">
        <v>815</v>
      </c>
      <c r="B589" s="7">
        <v>12</v>
      </c>
      <c r="C589" s="7" t="s">
        <v>465</v>
      </c>
      <c r="D589" s="7" t="s">
        <v>478</v>
      </c>
      <c r="E589" s="7">
        <f>+IFERROR(+VLOOKUP(A589,'Trial Balance'!$A$12:$C$428,2,0),0)</f>
        <v>0</v>
      </c>
      <c r="F589" s="7"/>
      <c r="G589" s="7">
        <f t="shared" si="63"/>
        <v>0</v>
      </c>
      <c r="H589" s="7">
        <f>+IFERROR(+VLOOKUP(A589,'Trial Balance'!$A$12:$C$428,3,0),0)</f>
        <v>0</v>
      </c>
      <c r="I589" s="7"/>
      <c r="J589" s="7">
        <f t="shared" si="64"/>
        <v>0</v>
      </c>
      <c r="K589" s="7">
        <f>+IFERROR(+VLOOKUP(A589,'TB2019-20'!$A$12:$C$414,2,0),0)</f>
        <v>0</v>
      </c>
      <c r="L589" s="7"/>
      <c r="M589" s="7">
        <f t="shared" si="61"/>
        <v>0</v>
      </c>
      <c r="N589" s="7">
        <f>+IFERROR(+VLOOKUP(A589,'TB2019-20'!$A$12:$C$414,3,0),0)</f>
        <v>0</v>
      </c>
      <c r="O589" s="7"/>
      <c r="P589" s="7">
        <f t="shared" si="62"/>
        <v>0</v>
      </c>
    </row>
    <row r="590" spans="1:16" x14ac:dyDescent="0.25">
      <c r="A590" s="17" t="s">
        <v>816</v>
      </c>
      <c r="B590" s="7">
        <v>7</v>
      </c>
      <c r="C590" s="7" t="s">
        <v>460</v>
      </c>
      <c r="D590" s="7" t="s">
        <v>460</v>
      </c>
      <c r="E590" s="7">
        <f>+IFERROR(+VLOOKUP(A590,'Trial Balance'!$A$12:$C$428,2,0),0)</f>
        <v>0</v>
      </c>
      <c r="F590" s="7"/>
      <c r="G590" s="7">
        <f t="shared" si="63"/>
        <v>0</v>
      </c>
      <c r="H590" s="7">
        <f>+IFERROR(+VLOOKUP(A590,'Trial Balance'!$A$12:$C$428,3,0),0)</f>
        <v>0</v>
      </c>
      <c r="I590" s="7"/>
      <c r="J590" s="7">
        <f t="shared" si="64"/>
        <v>0</v>
      </c>
      <c r="K590" s="7">
        <f>+IFERROR(+VLOOKUP(A590,'TB2019-20'!$A$12:$C$414,2,0),0)</f>
        <v>0</v>
      </c>
      <c r="L590" s="7"/>
      <c r="M590" s="7">
        <f t="shared" si="61"/>
        <v>0</v>
      </c>
      <c r="N590" s="7">
        <f>+IFERROR(+VLOOKUP(A590,'TB2019-20'!$A$12:$C$414,3,0),0)</f>
        <v>0</v>
      </c>
      <c r="O590" s="7"/>
      <c r="P590" s="7">
        <f t="shared" si="62"/>
        <v>0</v>
      </c>
    </row>
    <row r="591" spans="1:16" x14ac:dyDescent="0.25">
      <c r="A591" s="17" t="s">
        <v>817</v>
      </c>
      <c r="B591" s="7">
        <v>15</v>
      </c>
      <c r="C591" s="7" t="s">
        <v>469</v>
      </c>
      <c r="D591" s="7" t="s">
        <v>470</v>
      </c>
      <c r="E591" s="7">
        <f>+IFERROR(+VLOOKUP(A591,'Trial Balance'!$A$12:$C$428,2,0),0)</f>
        <v>0</v>
      </c>
      <c r="F591" s="7"/>
      <c r="G591" s="7">
        <f t="shared" si="63"/>
        <v>0</v>
      </c>
      <c r="H591" s="7">
        <f>+IFERROR(+VLOOKUP(A591,'Trial Balance'!$A$12:$C$428,3,0),0)</f>
        <v>0</v>
      </c>
      <c r="I591" s="7"/>
      <c r="J591" s="7">
        <f t="shared" si="64"/>
        <v>0</v>
      </c>
      <c r="K591" s="7">
        <f>+IFERROR(+VLOOKUP(A591,'TB2019-20'!$A$12:$C$414,2,0),0)</f>
        <v>1153357</v>
      </c>
      <c r="L591" s="7"/>
      <c r="M591" s="7">
        <f t="shared" ref="M591:M654" si="65">+K591+L591</f>
        <v>1153357</v>
      </c>
      <c r="N591" s="7">
        <f>+IFERROR(+VLOOKUP(A591,'TB2019-20'!$A$12:$C$414,3,0),0)</f>
        <v>0</v>
      </c>
      <c r="O591" s="7"/>
      <c r="P591" s="7">
        <f t="shared" ref="P591:P654" si="66">+N591+O591</f>
        <v>0</v>
      </c>
    </row>
    <row r="592" spans="1:16" x14ac:dyDescent="0.25">
      <c r="A592" s="17" t="s">
        <v>818</v>
      </c>
      <c r="B592" s="7">
        <v>15</v>
      </c>
      <c r="C592" s="7" t="s">
        <v>469</v>
      </c>
      <c r="D592" s="7" t="s">
        <v>470</v>
      </c>
      <c r="E592" s="7">
        <f>+IFERROR(+VLOOKUP(A592,'Trial Balance'!$A$12:$C$428,2,0),0)</f>
        <v>29993</v>
      </c>
      <c r="F592" s="7"/>
      <c r="G592" s="7">
        <f t="shared" si="63"/>
        <v>29993</v>
      </c>
      <c r="H592" s="7">
        <f>+IFERROR(+VLOOKUP(A592,'Trial Balance'!$A$12:$C$428,3,0),0)</f>
        <v>0</v>
      </c>
      <c r="I592" s="7"/>
      <c r="J592" s="7">
        <f t="shared" si="64"/>
        <v>0</v>
      </c>
      <c r="K592" s="7">
        <f>+IFERROR(+VLOOKUP(A592,'TB2019-20'!$A$12:$C$414,2,0),0)</f>
        <v>0</v>
      </c>
      <c r="L592" s="7"/>
      <c r="M592" s="7">
        <f t="shared" si="65"/>
        <v>0</v>
      </c>
      <c r="N592" s="7">
        <f>+IFERROR(+VLOOKUP(A592,'TB2019-20'!$A$12:$C$414,3,0),0)</f>
        <v>0</v>
      </c>
      <c r="O592" s="7"/>
      <c r="P592" s="7">
        <f t="shared" si="66"/>
        <v>0</v>
      </c>
    </row>
    <row r="593" spans="1:16" x14ac:dyDescent="0.25">
      <c r="A593" s="24" t="s">
        <v>819</v>
      </c>
      <c r="B593" s="7">
        <v>7</v>
      </c>
      <c r="C593" s="7" t="s">
        <v>460</v>
      </c>
      <c r="D593" s="7" t="s">
        <v>462</v>
      </c>
      <c r="E593" s="7">
        <f>+IFERROR(+VLOOKUP(A593,'Trial Balance'!$A$12:$C$428,2,0),0)</f>
        <v>0</v>
      </c>
      <c r="F593" s="7"/>
      <c r="G593" s="7">
        <f t="shared" si="63"/>
        <v>0</v>
      </c>
      <c r="H593" s="7">
        <f>+IFERROR(+VLOOKUP(A593,'Trial Balance'!$A$12:$C$428,3,0),0)</f>
        <v>0</v>
      </c>
      <c r="I593" s="7"/>
      <c r="J593" s="7">
        <f t="shared" si="64"/>
        <v>0</v>
      </c>
      <c r="K593" s="7">
        <f>+IFERROR(+VLOOKUP(A593,'TB2019-20'!$A$12:$C$414,2,0),0)</f>
        <v>0</v>
      </c>
      <c r="L593" s="7"/>
      <c r="M593" s="7">
        <f t="shared" si="65"/>
        <v>0</v>
      </c>
      <c r="N593" s="7">
        <f>+IFERROR(+VLOOKUP(A593,'TB2019-20'!$A$12:$C$414,3,0),0)</f>
        <v>0</v>
      </c>
      <c r="O593" s="7"/>
      <c r="P593" s="7">
        <f t="shared" si="66"/>
        <v>0</v>
      </c>
    </row>
    <row r="594" spans="1:16" x14ac:dyDescent="0.25">
      <c r="A594" s="6" t="s">
        <v>820</v>
      </c>
      <c r="B594" s="7">
        <v>7</v>
      </c>
      <c r="C594" s="7" t="s">
        <v>460</v>
      </c>
      <c r="D594" s="7" t="s">
        <v>462</v>
      </c>
      <c r="E594" s="7">
        <f>+IFERROR(+VLOOKUP(A594,'Trial Balance'!$A$12:$C$428,2,0),0)</f>
        <v>0</v>
      </c>
      <c r="F594" s="7"/>
      <c r="G594" s="7">
        <f t="shared" si="63"/>
        <v>0</v>
      </c>
      <c r="H594" s="7">
        <f>+IFERROR(+VLOOKUP(A594,'Trial Balance'!$A$12:$C$428,3,0),0)</f>
        <v>0</v>
      </c>
      <c r="I594" s="7"/>
      <c r="J594" s="7">
        <f t="shared" si="64"/>
        <v>0</v>
      </c>
      <c r="K594" s="7">
        <f>+IFERROR(+VLOOKUP(A594,'TB2019-20'!$A$12:$C$414,2,0),0)</f>
        <v>5552</v>
      </c>
      <c r="L594" s="7"/>
      <c r="M594" s="7">
        <f t="shared" si="65"/>
        <v>5552</v>
      </c>
      <c r="N594" s="7">
        <f>+IFERROR(+VLOOKUP(A594,'TB2019-20'!$A$12:$C$414,3,0),0)</f>
        <v>0</v>
      </c>
      <c r="O594" s="7"/>
      <c r="P594" s="7">
        <f t="shared" si="66"/>
        <v>0</v>
      </c>
    </row>
    <row r="595" spans="1:16" x14ac:dyDescent="0.25">
      <c r="A595" s="7" t="s">
        <v>821</v>
      </c>
      <c r="B595" s="7">
        <v>7</v>
      </c>
      <c r="C595" s="7" t="s">
        <v>460</v>
      </c>
      <c r="D595" s="7" t="s">
        <v>460</v>
      </c>
      <c r="E595" s="7">
        <f>+IFERROR(+VLOOKUP(A595,'Trial Balance'!$A$12:$C$428,2,0),0)</f>
        <v>0</v>
      </c>
      <c r="F595" s="7"/>
      <c r="G595" s="7">
        <f t="shared" si="63"/>
        <v>0</v>
      </c>
      <c r="H595" s="7">
        <f>+IFERROR(+VLOOKUP(A595,'Trial Balance'!$A$12:$C$428,3,0),0)</f>
        <v>0</v>
      </c>
      <c r="I595" s="7"/>
      <c r="J595" s="7">
        <f t="shared" si="64"/>
        <v>0</v>
      </c>
      <c r="K595" s="7">
        <f>+IFERROR(+VLOOKUP(A595,'TB2019-20'!$A$12:$C$414,2,0),0)</f>
        <v>0</v>
      </c>
      <c r="L595" s="7"/>
      <c r="M595" s="7">
        <f t="shared" si="65"/>
        <v>0</v>
      </c>
      <c r="N595" s="7">
        <f>+IFERROR(+VLOOKUP(A595,'TB2019-20'!$A$12:$C$414,3,0),0)</f>
        <v>0</v>
      </c>
      <c r="O595" s="7"/>
      <c r="P595" s="7">
        <f t="shared" si="66"/>
        <v>0</v>
      </c>
    </row>
    <row r="596" spans="1:16" x14ac:dyDescent="0.25">
      <c r="A596" s="10" t="s">
        <v>822</v>
      </c>
      <c r="B596" s="7">
        <v>7</v>
      </c>
      <c r="C596" s="7" t="s">
        <v>460</v>
      </c>
      <c r="D596" s="7" t="s">
        <v>460</v>
      </c>
      <c r="E596" s="7">
        <f>+IFERROR(+VLOOKUP(A596,'Trial Balance'!$A$12:$C$428,2,0),0)</f>
        <v>0</v>
      </c>
      <c r="F596" s="7"/>
      <c r="G596" s="7">
        <f t="shared" si="63"/>
        <v>0</v>
      </c>
      <c r="H596" s="7">
        <f>+IFERROR(+VLOOKUP(A596,'Trial Balance'!$A$12:$C$428,3,0),0)</f>
        <v>0</v>
      </c>
      <c r="I596" s="7"/>
      <c r="J596" s="7">
        <f t="shared" si="64"/>
        <v>0</v>
      </c>
      <c r="K596" s="7">
        <f>+IFERROR(+VLOOKUP(A596,'TB2019-20'!$A$12:$C$414,2,0),0)</f>
        <v>0</v>
      </c>
      <c r="L596" s="7"/>
      <c r="M596" s="7">
        <f t="shared" si="65"/>
        <v>0</v>
      </c>
      <c r="N596" s="7">
        <f>+IFERROR(+VLOOKUP(A596,'TB2019-20'!$A$12:$C$414,3,0),0)</f>
        <v>137081</v>
      </c>
      <c r="O596" s="7"/>
      <c r="P596" s="7">
        <f t="shared" si="66"/>
        <v>137081</v>
      </c>
    </row>
    <row r="597" spans="1:16" x14ac:dyDescent="0.25">
      <c r="A597" s="20" t="s">
        <v>823</v>
      </c>
      <c r="B597" s="7">
        <v>26</v>
      </c>
      <c r="C597" s="7" t="s">
        <v>467</v>
      </c>
      <c r="D597" s="7" t="s">
        <v>493</v>
      </c>
      <c r="E597" s="7">
        <f>+IFERROR(+VLOOKUP(A597,'Trial Balance'!$A$12:$C$428,2,0),0)</f>
        <v>0</v>
      </c>
      <c r="F597" s="7"/>
      <c r="G597" s="7">
        <f t="shared" si="63"/>
        <v>0</v>
      </c>
      <c r="H597" s="7">
        <f>+IFERROR(+VLOOKUP(A597,'Trial Balance'!$A$12:$C$428,3,0),0)</f>
        <v>0</v>
      </c>
      <c r="I597" s="7"/>
      <c r="J597" s="7">
        <f t="shared" si="64"/>
        <v>0</v>
      </c>
      <c r="K597" s="7">
        <f>+IFERROR(+VLOOKUP(A597,'TB2019-20'!$A$12:$C$414,2,0),0)</f>
        <v>0</v>
      </c>
      <c r="L597" s="7"/>
      <c r="M597" s="7">
        <f t="shared" si="65"/>
        <v>0</v>
      </c>
      <c r="N597" s="7">
        <f>+IFERROR(+VLOOKUP(A597,'TB2019-20'!$A$12:$C$414,3,0),0)</f>
        <v>77175</v>
      </c>
      <c r="O597" s="7"/>
      <c r="P597" s="7">
        <f t="shared" si="66"/>
        <v>77175</v>
      </c>
    </row>
    <row r="598" spans="1:16" x14ac:dyDescent="0.25">
      <c r="A598" s="20" t="s">
        <v>824</v>
      </c>
      <c r="B598" s="7">
        <v>24</v>
      </c>
      <c r="C598" s="7" t="s">
        <v>600</v>
      </c>
      <c r="D598" s="7" t="s">
        <v>601</v>
      </c>
      <c r="E598" s="7">
        <f>+IFERROR(+VLOOKUP(A598,'Trial Balance'!$A$12:$C$428,2,0),0)</f>
        <v>59270</v>
      </c>
      <c r="F598" s="7"/>
      <c r="G598" s="7">
        <f t="shared" si="63"/>
        <v>59270</v>
      </c>
      <c r="H598" s="7">
        <f>+IFERROR(+VLOOKUP(A598,'Trial Balance'!$A$12:$C$428,3,0),0)</f>
        <v>0</v>
      </c>
      <c r="I598" s="7"/>
      <c r="J598" s="7">
        <f t="shared" si="64"/>
        <v>0</v>
      </c>
      <c r="K598" s="7">
        <f>+IFERROR(+VLOOKUP(A598,'TB2019-20'!$A$12:$C$414,2,0),0)</f>
        <v>140595</v>
      </c>
      <c r="L598" s="7"/>
      <c r="M598" s="7">
        <f t="shared" si="65"/>
        <v>140595</v>
      </c>
      <c r="N598" s="7">
        <f>+IFERROR(+VLOOKUP(A598,'TB2019-20'!$A$12:$C$414,3,0),0)</f>
        <v>0</v>
      </c>
      <c r="O598" s="7"/>
      <c r="P598" s="7">
        <f t="shared" si="66"/>
        <v>0</v>
      </c>
    </row>
    <row r="599" spans="1:16" x14ac:dyDescent="0.25">
      <c r="A599" s="17" t="s">
        <v>373</v>
      </c>
      <c r="B599" s="7">
        <v>15</v>
      </c>
      <c r="C599" s="7" t="s">
        <v>469</v>
      </c>
      <c r="D599" s="7" t="s">
        <v>470</v>
      </c>
      <c r="E599" s="7">
        <f>+IFERROR(+VLOOKUP(A599,'Trial Balance'!$A$12:$C$428,2,0),0)</f>
        <v>2856394</v>
      </c>
      <c r="F599" s="7"/>
      <c r="G599" s="7">
        <f t="shared" si="63"/>
        <v>2856394</v>
      </c>
      <c r="H599" s="7">
        <f>+IFERROR(+VLOOKUP(A599,'Trial Balance'!$A$12:$C$428,3,0),0)</f>
        <v>0</v>
      </c>
      <c r="I599" s="7"/>
      <c r="J599" s="7">
        <f t="shared" si="64"/>
        <v>0</v>
      </c>
      <c r="K599" s="7">
        <f>+IFERROR(+VLOOKUP(A599,'TB2019-20'!$A$12:$C$414,2,0),0)</f>
        <v>2982040</v>
      </c>
      <c r="L599" s="7"/>
      <c r="M599" s="7">
        <f t="shared" si="65"/>
        <v>2982040</v>
      </c>
      <c r="N599" s="7">
        <f>+IFERROR(+VLOOKUP(A599,'TB2019-20'!$A$12:$C$414,3,0),0)</f>
        <v>0</v>
      </c>
      <c r="O599" s="7"/>
      <c r="P599" s="7">
        <f t="shared" si="66"/>
        <v>0</v>
      </c>
    </row>
    <row r="600" spans="1:16" x14ac:dyDescent="0.25">
      <c r="A600" s="22" t="s">
        <v>374</v>
      </c>
      <c r="B600" s="7">
        <v>15</v>
      </c>
      <c r="C600" s="7" t="s">
        <v>469</v>
      </c>
      <c r="D600" s="7" t="s">
        <v>470</v>
      </c>
      <c r="E600" s="7">
        <f>+IFERROR(+VLOOKUP(A600,'Trial Balance'!$A$12:$C$428,2,0),0)</f>
        <v>168822</v>
      </c>
      <c r="F600" s="7"/>
      <c r="G600" s="7">
        <f t="shared" si="63"/>
        <v>168822</v>
      </c>
      <c r="H600" s="7">
        <f>+IFERROR(+VLOOKUP(A600,'Trial Balance'!$A$12:$C$428,3,0),0)</f>
        <v>0</v>
      </c>
      <c r="I600" s="7"/>
      <c r="J600" s="7">
        <f t="shared" si="64"/>
        <v>0</v>
      </c>
      <c r="K600" s="7">
        <f>+IFERROR(+VLOOKUP(A600,'TB2019-20'!$A$12:$C$414,2,0),0)</f>
        <v>108452</v>
      </c>
      <c r="L600" s="7"/>
      <c r="M600" s="7">
        <f t="shared" si="65"/>
        <v>108452</v>
      </c>
      <c r="N600" s="7">
        <f>+IFERROR(+VLOOKUP(A600,'TB2019-20'!$A$12:$C$414,3,0),0)</f>
        <v>0</v>
      </c>
      <c r="O600" s="7"/>
      <c r="P600" s="7">
        <f t="shared" si="66"/>
        <v>0</v>
      </c>
    </row>
    <row r="601" spans="1:16" x14ac:dyDescent="0.25">
      <c r="A601" s="19" t="s">
        <v>376</v>
      </c>
      <c r="B601" s="7">
        <v>7</v>
      </c>
      <c r="C601" s="7" t="s">
        <v>460</v>
      </c>
      <c r="D601" s="7" t="s">
        <v>460</v>
      </c>
      <c r="E601" s="7">
        <f>+IFERROR(+VLOOKUP(A601,'Trial Balance'!$A$12:$C$428,2,0),0)</f>
        <v>0</v>
      </c>
      <c r="F601" s="7"/>
      <c r="G601" s="7">
        <f t="shared" si="63"/>
        <v>0</v>
      </c>
      <c r="H601" s="7">
        <f>+IFERROR(+VLOOKUP(A601,'Trial Balance'!$A$12:$C$428,3,0),0)</f>
        <v>19308</v>
      </c>
      <c r="I601" s="7"/>
      <c r="J601" s="7">
        <f t="shared" si="64"/>
        <v>19308</v>
      </c>
      <c r="K601" s="7">
        <f>+IFERROR(+VLOOKUP(A601,'TB2019-20'!$A$12:$C$414,2,0),0)</f>
        <v>0</v>
      </c>
      <c r="L601" s="7"/>
      <c r="M601" s="7">
        <f t="shared" si="65"/>
        <v>0</v>
      </c>
      <c r="N601" s="7">
        <f>+IFERROR(+VLOOKUP(A601,'TB2019-20'!$A$12:$C$414,3,0),0)</f>
        <v>9167</v>
      </c>
      <c r="O601" s="7"/>
      <c r="P601" s="7">
        <f t="shared" si="66"/>
        <v>9167</v>
      </c>
    </row>
    <row r="602" spans="1:16" x14ac:dyDescent="0.25">
      <c r="A602" s="17" t="s">
        <v>377</v>
      </c>
      <c r="B602" s="7">
        <v>7</v>
      </c>
      <c r="C602" s="7" t="s">
        <v>460</v>
      </c>
      <c r="D602" s="7" t="s">
        <v>460</v>
      </c>
      <c r="E602" s="7">
        <f>+IFERROR(+VLOOKUP(A602,'Trial Balance'!$A$12:$C$428,2,0),0)</f>
        <v>0</v>
      </c>
      <c r="F602" s="7"/>
      <c r="G602" s="7">
        <f t="shared" si="63"/>
        <v>0</v>
      </c>
      <c r="H602" s="7">
        <f>+IFERROR(+VLOOKUP(A602,'Trial Balance'!$A$12:$C$428,3,0),0)</f>
        <v>586169</v>
      </c>
      <c r="I602" s="7"/>
      <c r="J602" s="7">
        <f t="shared" si="64"/>
        <v>586169</v>
      </c>
      <c r="K602" s="7">
        <f>+IFERROR(+VLOOKUP(A602,'TB2019-20'!$A$12:$C$414,2,0),0)</f>
        <v>0</v>
      </c>
      <c r="L602" s="7"/>
      <c r="M602" s="7">
        <f t="shared" si="65"/>
        <v>0</v>
      </c>
      <c r="N602" s="7">
        <f>+IFERROR(+VLOOKUP(A602,'TB2019-20'!$A$12:$C$414,3,0),0)</f>
        <v>3584869</v>
      </c>
      <c r="O602" s="7"/>
      <c r="P602" s="7">
        <f t="shared" si="66"/>
        <v>3584869</v>
      </c>
    </row>
    <row r="603" spans="1:16" x14ac:dyDescent="0.25">
      <c r="A603" s="19" t="s">
        <v>825</v>
      </c>
      <c r="B603" s="7">
        <v>15</v>
      </c>
      <c r="C603" s="7" t="s">
        <v>469</v>
      </c>
      <c r="D603" s="7" t="s">
        <v>469</v>
      </c>
      <c r="E603" s="7">
        <f>+IFERROR(+VLOOKUP(A603,'Trial Balance'!$A$12:$C$428,2,0),0)</f>
        <v>0</v>
      </c>
      <c r="F603" s="7"/>
      <c r="G603" s="7">
        <f t="shared" si="63"/>
        <v>0</v>
      </c>
      <c r="H603" s="7">
        <f>+IFERROR(+VLOOKUP(A603,'Trial Balance'!$A$12:$C$428,3,0),0)</f>
        <v>0</v>
      </c>
      <c r="I603" s="7"/>
      <c r="J603" s="7">
        <f t="shared" si="64"/>
        <v>0</v>
      </c>
      <c r="K603" s="7">
        <f>+IFERROR(+VLOOKUP(A603,'TB2019-20'!$A$12:$C$414,2,0),0)</f>
        <v>0</v>
      </c>
      <c r="L603" s="7"/>
      <c r="M603" s="7">
        <f t="shared" si="65"/>
        <v>0</v>
      </c>
      <c r="N603" s="7">
        <f>+IFERROR(+VLOOKUP(A603,'TB2019-20'!$A$12:$C$414,3,0),0)</f>
        <v>0</v>
      </c>
      <c r="O603" s="7"/>
      <c r="P603" s="7">
        <f t="shared" si="66"/>
        <v>0</v>
      </c>
    </row>
    <row r="604" spans="1:16" x14ac:dyDescent="0.25">
      <c r="A604" s="21" t="s">
        <v>378</v>
      </c>
      <c r="B604" s="7">
        <v>15</v>
      </c>
      <c r="C604" s="7" t="s">
        <v>469</v>
      </c>
      <c r="D604" s="7" t="s">
        <v>470</v>
      </c>
      <c r="E604" s="7">
        <f>+IFERROR(+VLOOKUP(A604,'Trial Balance'!$A$12:$C$428,2,0),0)</f>
        <v>511714</v>
      </c>
      <c r="F604" s="7"/>
      <c r="G604" s="7">
        <f t="shared" si="63"/>
        <v>511714</v>
      </c>
      <c r="H604" s="7">
        <f>+IFERROR(+VLOOKUP(A604,'Trial Balance'!$A$12:$C$428,3,0),0)</f>
        <v>0</v>
      </c>
      <c r="I604" s="7"/>
      <c r="J604" s="7">
        <f t="shared" si="64"/>
        <v>0</v>
      </c>
      <c r="K604" s="7">
        <f>+IFERROR(+VLOOKUP(A604,'TB2019-20'!$A$12:$C$414,2,0),0)</f>
        <v>0</v>
      </c>
      <c r="L604" s="7"/>
      <c r="M604" s="7">
        <f t="shared" si="65"/>
        <v>0</v>
      </c>
      <c r="N604" s="7">
        <f>+IFERROR(+VLOOKUP(A604,'TB2019-20'!$A$12:$C$414,3,0),0)</f>
        <v>0</v>
      </c>
      <c r="O604" s="7"/>
      <c r="P604" s="7">
        <f t="shared" si="66"/>
        <v>0</v>
      </c>
    </row>
    <row r="605" spans="1:16" x14ac:dyDescent="0.25">
      <c r="A605" s="17" t="s">
        <v>381</v>
      </c>
      <c r="B605" s="7">
        <v>15</v>
      </c>
      <c r="C605" s="7" t="s">
        <v>469</v>
      </c>
      <c r="D605" s="7" t="s">
        <v>470</v>
      </c>
      <c r="E605" s="7">
        <f>+IFERROR(+VLOOKUP(A605,'Trial Balance'!$A$12:$C$428,2,0),0)</f>
        <v>885649</v>
      </c>
      <c r="F605" s="7"/>
      <c r="G605" s="7">
        <f t="shared" si="63"/>
        <v>885649</v>
      </c>
      <c r="H605" s="7">
        <f>+IFERROR(+VLOOKUP(A605,'Trial Balance'!$A$12:$C$428,3,0),0)</f>
        <v>0</v>
      </c>
      <c r="I605" s="7"/>
      <c r="J605" s="7">
        <f t="shared" si="64"/>
        <v>0</v>
      </c>
      <c r="K605" s="7">
        <f>+IFERROR(+VLOOKUP(A605,'TB2019-20'!$A$12:$C$414,2,0),0)</f>
        <v>0</v>
      </c>
      <c r="L605" s="7"/>
      <c r="M605" s="7">
        <f t="shared" si="65"/>
        <v>0</v>
      </c>
      <c r="N605" s="7">
        <f>+IFERROR(+VLOOKUP(A605,'TB2019-20'!$A$12:$C$414,3,0),0)</f>
        <v>0</v>
      </c>
      <c r="O605" s="7"/>
      <c r="P605" s="7">
        <f t="shared" si="66"/>
        <v>0</v>
      </c>
    </row>
    <row r="606" spans="1:16" x14ac:dyDescent="0.25">
      <c r="A606" s="17" t="s">
        <v>379</v>
      </c>
      <c r="B606" s="7">
        <v>7</v>
      </c>
      <c r="C606" s="7" t="s">
        <v>460</v>
      </c>
      <c r="D606" s="7" t="s">
        <v>460</v>
      </c>
      <c r="E606" s="7">
        <f>+IFERROR(+VLOOKUP(A606,'Trial Balance'!$A$12:$C$428,2,0),0)</f>
        <v>0</v>
      </c>
      <c r="F606" s="7"/>
      <c r="G606" s="7">
        <f t="shared" si="63"/>
        <v>0</v>
      </c>
      <c r="H606" s="7">
        <f>+IFERROR(+VLOOKUP(A606,'Trial Balance'!$A$12:$C$428,3,0),0)</f>
        <v>134747</v>
      </c>
      <c r="I606" s="7"/>
      <c r="J606" s="7">
        <f t="shared" si="64"/>
        <v>134747</v>
      </c>
      <c r="K606" s="7">
        <f>+IFERROR(+VLOOKUP(A606,'TB2019-20'!$A$12:$C$414,2,0),0)</f>
        <v>0</v>
      </c>
      <c r="L606" s="7"/>
      <c r="M606" s="7">
        <f t="shared" si="65"/>
        <v>0</v>
      </c>
      <c r="N606" s="7">
        <f>+IFERROR(+VLOOKUP(A606,'TB2019-20'!$A$12:$C$414,3,0),0)</f>
        <v>145449</v>
      </c>
      <c r="O606" s="7"/>
      <c r="P606" s="7">
        <f t="shared" si="66"/>
        <v>145449</v>
      </c>
    </row>
    <row r="607" spans="1:16" x14ac:dyDescent="0.25">
      <c r="A607" s="17" t="s">
        <v>382</v>
      </c>
      <c r="B607" s="7">
        <v>26</v>
      </c>
      <c r="C607" s="7" t="s">
        <v>467</v>
      </c>
      <c r="D607" s="7" t="s">
        <v>493</v>
      </c>
      <c r="E607" s="7">
        <f>+IFERROR(+VLOOKUP(A607,'Trial Balance'!$A$12:$C$428,2,0),0)</f>
        <v>55555</v>
      </c>
      <c r="F607" s="7"/>
      <c r="G607" s="7">
        <f t="shared" si="63"/>
        <v>55555</v>
      </c>
      <c r="H607" s="7">
        <f>+IFERROR(+VLOOKUP(A607,'Trial Balance'!$A$12:$C$428,3,0),0)</f>
        <v>0</v>
      </c>
      <c r="I607" s="7"/>
      <c r="J607" s="7">
        <f t="shared" si="64"/>
        <v>0</v>
      </c>
      <c r="K607" s="7">
        <f>+IFERROR(+VLOOKUP(A607,'TB2019-20'!$A$12:$C$414,2,0),0)</f>
        <v>374511.51</v>
      </c>
      <c r="L607" s="7"/>
      <c r="M607" s="7">
        <f t="shared" si="65"/>
        <v>374511.51</v>
      </c>
      <c r="N607" s="7">
        <f>+IFERROR(+VLOOKUP(A607,'TB2019-20'!$A$12:$C$414,3,0),0)</f>
        <v>0</v>
      </c>
      <c r="O607" s="7"/>
      <c r="P607" s="7">
        <f t="shared" si="66"/>
        <v>0</v>
      </c>
    </row>
    <row r="608" spans="1:16" x14ac:dyDescent="0.25">
      <c r="A608" s="20" t="s">
        <v>383</v>
      </c>
      <c r="B608" s="7">
        <v>19</v>
      </c>
      <c r="C608" s="7" t="s">
        <v>602</v>
      </c>
      <c r="D608" s="7" t="s">
        <v>603</v>
      </c>
      <c r="E608" s="7">
        <f>+IFERROR(+VLOOKUP(A608,'Trial Balance'!$A$12:$C$428,2,0),0)</f>
        <v>26467</v>
      </c>
      <c r="F608" s="7"/>
      <c r="G608" s="7">
        <f t="shared" si="63"/>
        <v>26467</v>
      </c>
      <c r="H608" s="7">
        <f>+IFERROR(+VLOOKUP(A608,'Trial Balance'!$A$12:$C$428,3,0),0)</f>
        <v>0</v>
      </c>
      <c r="I608" s="7"/>
      <c r="J608" s="7">
        <f t="shared" si="64"/>
        <v>0</v>
      </c>
      <c r="K608" s="7">
        <f>+IFERROR(+VLOOKUP(A608,'TB2019-20'!$A$12:$C$414,2,0),0)</f>
        <v>100400</v>
      </c>
      <c r="L608" s="7"/>
      <c r="M608" s="7">
        <f t="shared" si="65"/>
        <v>100400</v>
      </c>
      <c r="N608" s="7">
        <f>+IFERROR(+VLOOKUP(A608,'TB2019-20'!$A$12:$C$414,3,0),0)</f>
        <v>0</v>
      </c>
      <c r="O608" s="7"/>
      <c r="P608" s="7">
        <f t="shared" si="66"/>
        <v>0</v>
      </c>
    </row>
    <row r="609" spans="1:16" x14ac:dyDescent="0.25">
      <c r="A609" s="17" t="s">
        <v>384</v>
      </c>
      <c r="B609" s="7">
        <v>4</v>
      </c>
      <c r="C609" s="7" t="s">
        <v>489</v>
      </c>
      <c r="D609" s="7" t="s">
        <v>490</v>
      </c>
      <c r="E609" s="7">
        <f>+IFERROR(+VLOOKUP(A609,'Trial Balance'!$A$12:$C$428,2,0),0)</f>
        <v>0</v>
      </c>
      <c r="F609" s="7"/>
      <c r="G609" s="7">
        <f t="shared" si="63"/>
        <v>0</v>
      </c>
      <c r="H609" s="7">
        <f>+IFERROR(+VLOOKUP(A609,'Trial Balance'!$A$12:$C$428,3,0),0)</f>
        <v>1882446</v>
      </c>
      <c r="I609" s="7"/>
      <c r="J609" s="7">
        <f t="shared" si="64"/>
        <v>1882446</v>
      </c>
      <c r="K609" s="7">
        <f>+IFERROR(+VLOOKUP(A609,'TB2019-20'!$A$12:$C$414,2,0),0)</f>
        <v>0</v>
      </c>
      <c r="L609" s="7"/>
      <c r="M609" s="7">
        <f t="shared" si="65"/>
        <v>0</v>
      </c>
      <c r="N609" s="7">
        <f>+IFERROR(+VLOOKUP(A609,'TB2019-20'!$A$12:$C$414,3,0),0)</f>
        <v>1749357</v>
      </c>
      <c r="O609" s="7"/>
      <c r="P609" s="7">
        <f t="shared" si="66"/>
        <v>1749357</v>
      </c>
    </row>
    <row r="610" spans="1:16" x14ac:dyDescent="0.25">
      <c r="A610" s="19" t="s">
        <v>385</v>
      </c>
      <c r="B610" s="7">
        <v>7</v>
      </c>
      <c r="C610" s="7" t="s">
        <v>460</v>
      </c>
      <c r="D610" s="7" t="s">
        <v>460</v>
      </c>
      <c r="E610" s="7">
        <f>+IFERROR(+VLOOKUP(A610,'Trial Balance'!$A$12:$C$428,2,0),0)</f>
        <v>0</v>
      </c>
      <c r="F610" s="7"/>
      <c r="G610" s="7">
        <f t="shared" si="63"/>
        <v>0</v>
      </c>
      <c r="H610" s="7">
        <f>+IFERROR(+VLOOKUP(A610,'Trial Balance'!$A$12:$C$428,3,0),0)</f>
        <v>31436</v>
      </c>
      <c r="I610" s="7"/>
      <c r="J610" s="7">
        <f t="shared" si="64"/>
        <v>31436</v>
      </c>
      <c r="K610" s="7">
        <f>+IFERROR(+VLOOKUP(A610,'TB2019-20'!$A$12:$C$414,2,0),0)</f>
        <v>0</v>
      </c>
      <c r="L610" s="7"/>
      <c r="M610" s="7">
        <f t="shared" si="65"/>
        <v>0</v>
      </c>
      <c r="N610" s="7">
        <f>+IFERROR(+VLOOKUP(A610,'TB2019-20'!$A$12:$C$414,3,0),0)</f>
        <v>16225</v>
      </c>
      <c r="O610" s="7"/>
      <c r="P610" s="7">
        <f t="shared" si="66"/>
        <v>16225</v>
      </c>
    </row>
    <row r="611" spans="1:16" x14ac:dyDescent="0.25">
      <c r="A611" s="19" t="s">
        <v>826</v>
      </c>
      <c r="B611" s="7">
        <v>15</v>
      </c>
      <c r="C611" s="7" t="s">
        <v>469</v>
      </c>
      <c r="D611" s="7" t="s">
        <v>469</v>
      </c>
      <c r="E611" s="7">
        <f>+IFERROR(+VLOOKUP(A611,'Trial Balance'!$A$12:$C$428,2,0),0)</f>
        <v>0</v>
      </c>
      <c r="F611" s="7"/>
      <c r="G611" s="7">
        <f t="shared" si="63"/>
        <v>0</v>
      </c>
      <c r="H611" s="7">
        <f>+IFERROR(+VLOOKUP(A611,'Trial Balance'!$A$12:$C$428,3,0),0)</f>
        <v>0</v>
      </c>
      <c r="I611" s="7"/>
      <c r="J611" s="7">
        <f t="shared" si="64"/>
        <v>0</v>
      </c>
      <c r="K611" s="7">
        <f>+IFERROR(+VLOOKUP(A611,'TB2019-20'!$A$12:$C$414,2,0),0)</f>
        <v>0</v>
      </c>
      <c r="L611" s="7"/>
      <c r="M611" s="7">
        <f t="shared" si="65"/>
        <v>0</v>
      </c>
      <c r="N611" s="7">
        <f>+IFERROR(+VLOOKUP(A611,'TB2019-20'!$A$12:$C$414,3,0),0)</f>
        <v>0</v>
      </c>
      <c r="O611" s="7"/>
      <c r="P611" s="7">
        <f t="shared" si="66"/>
        <v>0</v>
      </c>
    </row>
    <row r="612" spans="1:16" x14ac:dyDescent="0.25">
      <c r="A612" s="17" t="s">
        <v>388</v>
      </c>
      <c r="B612" s="7">
        <v>8</v>
      </c>
      <c r="C612" s="7" t="s">
        <v>497</v>
      </c>
      <c r="D612" s="7" t="s">
        <v>567</v>
      </c>
      <c r="E612" s="7">
        <f>+IFERROR(+VLOOKUP(A612,'Trial Balance'!$A$12:$C$428,2,0),0)</f>
        <v>0</v>
      </c>
      <c r="F612" s="7"/>
      <c r="G612" s="7">
        <f t="shared" si="63"/>
        <v>0</v>
      </c>
      <c r="H612" s="7">
        <f>+IFERROR(+VLOOKUP(A612,'Trial Balance'!$A$12:$C$428,3,0),0)</f>
        <v>12150</v>
      </c>
      <c r="I612" s="7"/>
      <c r="J612" s="7">
        <f t="shared" si="64"/>
        <v>12150</v>
      </c>
      <c r="K612" s="7">
        <f>+IFERROR(+VLOOKUP(A612,'TB2019-20'!$A$12:$C$414,2,0),0)</f>
        <v>0</v>
      </c>
      <c r="L612" s="7"/>
      <c r="M612" s="7">
        <f t="shared" si="65"/>
        <v>0</v>
      </c>
      <c r="N612" s="7">
        <f>+IFERROR(+VLOOKUP(A612,'TB2019-20'!$A$12:$C$414,3,0),0)</f>
        <v>10225</v>
      </c>
      <c r="O612" s="7"/>
      <c r="P612" s="7">
        <f t="shared" si="66"/>
        <v>10225</v>
      </c>
    </row>
    <row r="613" spans="1:16" x14ac:dyDescent="0.25">
      <c r="A613" s="17" t="s">
        <v>704</v>
      </c>
      <c r="B613" s="7">
        <v>24</v>
      </c>
      <c r="C613" s="7" t="s">
        <v>600</v>
      </c>
      <c r="D613" s="7" t="s">
        <v>704</v>
      </c>
      <c r="E613" s="7">
        <f>+IFERROR(+VLOOKUP(A613,'Trial Balance'!$A$12:$C$428,2,0),0)</f>
        <v>0</v>
      </c>
      <c r="F613" s="7"/>
      <c r="G613" s="7">
        <f t="shared" si="63"/>
        <v>0</v>
      </c>
      <c r="H613" s="7">
        <f>+IFERROR(+VLOOKUP(A613,'Trial Balance'!$A$12:$C$428,3,0),0)</f>
        <v>0</v>
      </c>
      <c r="I613" s="7"/>
      <c r="J613" s="7">
        <f t="shared" si="64"/>
        <v>0</v>
      </c>
      <c r="K613" s="7">
        <f>+IFERROR(+VLOOKUP(A613,'TB2019-20'!$A$12:$C$414,2,0),0)</f>
        <v>0</v>
      </c>
      <c r="L613" s="7"/>
      <c r="M613" s="7">
        <f t="shared" si="65"/>
        <v>0</v>
      </c>
      <c r="N613" s="7">
        <f>+IFERROR(+VLOOKUP(A613,'TB2019-20'!$A$12:$C$414,3,0),0)</f>
        <v>0</v>
      </c>
      <c r="O613" s="7"/>
      <c r="P613" s="7">
        <f t="shared" si="66"/>
        <v>0</v>
      </c>
    </row>
    <row r="614" spans="1:16" x14ac:dyDescent="0.25">
      <c r="A614" s="17" t="s">
        <v>827</v>
      </c>
      <c r="B614" s="7">
        <v>6</v>
      </c>
      <c r="C614" s="7" t="s">
        <v>828</v>
      </c>
      <c r="D614" s="7" t="s">
        <v>829</v>
      </c>
      <c r="E614" s="7">
        <f>+IFERROR(+VLOOKUP(A614,'Trial Balance'!$A$12:$C$428,2,0),0)</f>
        <v>0</v>
      </c>
      <c r="F614" s="7"/>
      <c r="G614" s="7">
        <f t="shared" si="63"/>
        <v>0</v>
      </c>
      <c r="H614" s="7">
        <f>+IFERROR(+VLOOKUP(A614,'Trial Balance'!$A$12:$C$428,3,0),0)</f>
        <v>43576042.979999997</v>
      </c>
      <c r="I614" s="7"/>
      <c r="J614" s="7">
        <f t="shared" si="64"/>
        <v>43576042.979999997</v>
      </c>
      <c r="K614" s="7">
        <f>+IFERROR(+VLOOKUP(A614,'TB2019-20'!$A$12:$C$414,2,0),0)</f>
        <v>0</v>
      </c>
      <c r="L614" s="7"/>
      <c r="M614" s="7">
        <f t="shared" si="65"/>
        <v>0</v>
      </c>
      <c r="N614" s="7">
        <f>+IFERROR(+VLOOKUP(A614,'TB2019-20'!$A$12:$C$414,3,0),0)</f>
        <v>61843530.590000004</v>
      </c>
      <c r="O614" s="7"/>
      <c r="P614" s="7">
        <f t="shared" si="66"/>
        <v>61843530.590000004</v>
      </c>
    </row>
    <row r="615" spans="1:16" x14ac:dyDescent="0.25">
      <c r="A615" s="17" t="s">
        <v>390</v>
      </c>
      <c r="B615" s="7">
        <v>26</v>
      </c>
      <c r="C615" s="7" t="s">
        <v>467</v>
      </c>
      <c r="D615" s="7" t="s">
        <v>562</v>
      </c>
      <c r="E615" s="7">
        <f>+IFERROR(+VLOOKUP(A615,'Trial Balance'!$A$12:$C$428,2,0),0)</f>
        <v>5000332</v>
      </c>
      <c r="F615" s="7"/>
      <c r="G615" s="7">
        <f t="shared" si="63"/>
        <v>5000332</v>
      </c>
      <c r="H615" s="7">
        <f>+IFERROR(+VLOOKUP(A615,'Trial Balance'!$A$12:$C$428,3,0),0)</f>
        <v>0</v>
      </c>
      <c r="I615" s="7"/>
      <c r="J615" s="7">
        <f t="shared" si="64"/>
        <v>0</v>
      </c>
      <c r="K615" s="7">
        <f>+IFERROR(+VLOOKUP(A615,'TB2019-20'!$A$12:$C$414,2,0),0)</f>
        <v>5558970</v>
      </c>
      <c r="L615" s="7"/>
      <c r="M615" s="7">
        <f t="shared" si="65"/>
        <v>5558970</v>
      </c>
      <c r="N615" s="7">
        <f>+IFERROR(+VLOOKUP(A615,'TB2019-20'!$A$12:$C$414,3,0),0)</f>
        <v>0</v>
      </c>
      <c r="O615" s="7"/>
      <c r="P615" s="7">
        <f t="shared" si="66"/>
        <v>0</v>
      </c>
    </row>
    <row r="616" spans="1:16" x14ac:dyDescent="0.25">
      <c r="A616" s="17" t="s">
        <v>830</v>
      </c>
      <c r="B616" s="7">
        <v>26</v>
      </c>
      <c r="C616" s="7" t="s">
        <v>467</v>
      </c>
      <c r="D616" s="7" t="s">
        <v>831</v>
      </c>
      <c r="E616" s="7">
        <f>+IFERROR(+VLOOKUP(A616,'Trial Balance'!$A$12:$C$428,2,0),0)</f>
        <v>301037.90000000002</v>
      </c>
      <c r="F616" s="7"/>
      <c r="G616" s="7">
        <f t="shared" si="63"/>
        <v>301037.90000000002</v>
      </c>
      <c r="H616" s="7">
        <f>+IFERROR(+VLOOKUP(A616,'Trial Balance'!$A$12:$C$428,3,0),0)</f>
        <v>0</v>
      </c>
      <c r="I616" s="7"/>
      <c r="J616" s="7">
        <f t="shared" si="64"/>
        <v>0</v>
      </c>
      <c r="K616" s="7">
        <f>+IFERROR(+VLOOKUP(A616,'TB2019-20'!$A$12:$C$414,2,0),0)</f>
        <v>237277.27</v>
      </c>
      <c r="L616" s="7"/>
      <c r="M616" s="7">
        <f t="shared" si="65"/>
        <v>237277.27</v>
      </c>
      <c r="N616" s="7">
        <f>+IFERROR(+VLOOKUP(A616,'TB2019-20'!$A$12:$C$414,3,0),0)</f>
        <v>0</v>
      </c>
      <c r="O616" s="7"/>
      <c r="P616" s="7">
        <f t="shared" si="66"/>
        <v>0</v>
      </c>
    </row>
    <row r="617" spans="1:16" x14ac:dyDescent="0.25">
      <c r="A617" s="20" t="s">
        <v>832</v>
      </c>
      <c r="B617" s="7">
        <v>26</v>
      </c>
      <c r="C617" s="7" t="s">
        <v>467</v>
      </c>
      <c r="D617" s="7" t="s">
        <v>507</v>
      </c>
      <c r="E617" s="7">
        <f>+IFERROR(+VLOOKUP(A617,'Trial Balance'!$A$12:$C$428,2,0),0)</f>
        <v>275000</v>
      </c>
      <c r="F617" s="7"/>
      <c r="G617" s="7">
        <f t="shared" si="63"/>
        <v>275000</v>
      </c>
      <c r="H617" s="7">
        <f>+IFERROR(+VLOOKUP(A617,'Trial Balance'!$A$12:$C$428,3,0),0)</f>
        <v>0</v>
      </c>
      <c r="I617" s="7"/>
      <c r="J617" s="7">
        <f t="shared" si="64"/>
        <v>0</v>
      </c>
      <c r="K617" s="7">
        <f>+IFERROR(+VLOOKUP(A617,'TB2019-20'!$A$12:$C$414,2,0),0)</f>
        <v>275000</v>
      </c>
      <c r="L617" s="7"/>
      <c r="M617" s="7">
        <f t="shared" si="65"/>
        <v>275000</v>
      </c>
      <c r="N617" s="7">
        <f>+IFERROR(+VLOOKUP(A617,'TB2019-20'!$A$12:$C$414,3,0),0)</f>
        <v>0</v>
      </c>
      <c r="O617" s="7"/>
      <c r="P617" s="7">
        <f t="shared" si="66"/>
        <v>0</v>
      </c>
    </row>
    <row r="618" spans="1:16" x14ac:dyDescent="0.25">
      <c r="A618" s="17" t="s">
        <v>833</v>
      </c>
      <c r="B618" s="7">
        <v>25</v>
      </c>
      <c r="C618" s="7" t="s">
        <v>521</v>
      </c>
      <c r="D618" s="7" t="s">
        <v>522</v>
      </c>
      <c r="E618" s="7">
        <f>+IFERROR(+VLOOKUP(A618,'Trial Balance'!$A$12:$C$428,2,0),0)</f>
        <v>0</v>
      </c>
      <c r="F618" s="7"/>
      <c r="G618" s="7">
        <f t="shared" si="63"/>
        <v>0</v>
      </c>
      <c r="H618" s="7">
        <f>+IFERROR(+VLOOKUP(A618,'Trial Balance'!$A$12:$C$428,3,0),0)</f>
        <v>0</v>
      </c>
      <c r="I618" s="7"/>
      <c r="J618" s="7">
        <f t="shared" si="64"/>
        <v>0</v>
      </c>
      <c r="K618" s="7">
        <f>+IFERROR(+VLOOKUP(A618,'TB2019-20'!$A$12:$C$414,2,0),0)</f>
        <v>0</v>
      </c>
      <c r="L618" s="7"/>
      <c r="M618" s="7">
        <f t="shared" si="65"/>
        <v>0</v>
      </c>
      <c r="N618" s="7">
        <f>+IFERROR(+VLOOKUP(A618,'TB2019-20'!$A$12:$C$414,3,0),0)</f>
        <v>0</v>
      </c>
      <c r="O618" s="7"/>
      <c r="P618" s="7">
        <f t="shared" si="66"/>
        <v>0</v>
      </c>
    </row>
    <row r="619" spans="1:16" x14ac:dyDescent="0.25">
      <c r="A619" s="23" t="s">
        <v>834</v>
      </c>
      <c r="B619" s="7">
        <v>12</v>
      </c>
      <c r="C619" s="7" t="s">
        <v>465</v>
      </c>
      <c r="D619" s="7" t="s">
        <v>478</v>
      </c>
      <c r="E619" s="7">
        <f>+IFERROR(+VLOOKUP(A619,'Trial Balance'!$A$12:$C$428,2,0),0)</f>
        <v>37000</v>
      </c>
      <c r="F619" s="7"/>
      <c r="G619" s="7">
        <f t="shared" si="63"/>
        <v>37000</v>
      </c>
      <c r="H619" s="7">
        <f>+IFERROR(+VLOOKUP(A619,'Trial Balance'!$A$12:$C$428,3,0),0)</f>
        <v>0</v>
      </c>
      <c r="I619" s="7"/>
      <c r="J619" s="7">
        <f t="shared" si="64"/>
        <v>0</v>
      </c>
      <c r="K619" s="7">
        <f>+IFERROR(+VLOOKUP(A619,'TB2019-20'!$A$12:$C$414,2,0),0)</f>
        <v>73000</v>
      </c>
      <c r="L619" s="7"/>
      <c r="M619" s="7">
        <f t="shared" si="65"/>
        <v>73000</v>
      </c>
      <c r="N619" s="7">
        <f>+IFERROR(+VLOOKUP(A619,'TB2019-20'!$A$12:$C$414,3,0),0)</f>
        <v>0</v>
      </c>
      <c r="O619" s="7"/>
      <c r="P619" s="7">
        <f t="shared" si="66"/>
        <v>0</v>
      </c>
    </row>
    <row r="620" spans="1:16" x14ac:dyDescent="0.25">
      <c r="A620" s="22" t="s">
        <v>394</v>
      </c>
      <c r="B620" s="7">
        <v>7</v>
      </c>
      <c r="C620" s="7" t="s">
        <v>460</v>
      </c>
      <c r="D620" s="7" t="s">
        <v>460</v>
      </c>
      <c r="E620" s="7">
        <f>+IFERROR(+VLOOKUP(A620,'Trial Balance'!$A$12:$C$428,2,0),0)</f>
        <v>0</v>
      </c>
      <c r="F620" s="7"/>
      <c r="G620" s="7">
        <f t="shared" si="63"/>
        <v>0</v>
      </c>
      <c r="H620" s="7">
        <f>+IFERROR(+VLOOKUP(A620,'Trial Balance'!$A$12:$C$428,3,0),0)</f>
        <v>92070</v>
      </c>
      <c r="I620" s="7"/>
      <c r="J620" s="7">
        <f t="shared" si="64"/>
        <v>92070</v>
      </c>
      <c r="K620" s="7">
        <f>+IFERROR(+VLOOKUP(A620,'TB2019-20'!$A$12:$C$414,2,0),0)</f>
        <v>0</v>
      </c>
      <c r="L620" s="7"/>
      <c r="M620" s="7">
        <f t="shared" si="65"/>
        <v>0</v>
      </c>
      <c r="N620" s="7">
        <f>+IFERROR(+VLOOKUP(A620,'TB2019-20'!$A$12:$C$414,3,0),0)</f>
        <v>64723</v>
      </c>
      <c r="O620" s="7"/>
      <c r="P620" s="7">
        <f t="shared" si="66"/>
        <v>64723</v>
      </c>
    </row>
    <row r="621" spans="1:16" x14ac:dyDescent="0.25">
      <c r="A621" s="17" t="s">
        <v>835</v>
      </c>
      <c r="B621" s="7">
        <v>4</v>
      </c>
      <c r="C621" s="7" t="s">
        <v>489</v>
      </c>
      <c r="D621" s="7" t="s">
        <v>836</v>
      </c>
      <c r="E621" s="7">
        <f>+IFERROR(+VLOOKUP(A621,'Trial Balance'!$A$12:$C$428,2,0),0)</f>
        <v>0</v>
      </c>
      <c r="F621" s="7"/>
      <c r="G621" s="7">
        <f t="shared" si="63"/>
        <v>0</v>
      </c>
      <c r="H621" s="7">
        <f>+IFERROR(+VLOOKUP(A621,'Trial Balance'!$A$12:$C$428,3,0),0)</f>
        <v>0</v>
      </c>
      <c r="I621" s="7"/>
      <c r="J621" s="7">
        <f t="shared" si="64"/>
        <v>0</v>
      </c>
      <c r="K621" s="7">
        <f>+IFERROR(+VLOOKUP(A621,'TB2019-20'!$A$12:$C$414,2,0),0)</f>
        <v>0</v>
      </c>
      <c r="L621" s="7"/>
      <c r="M621" s="7">
        <f t="shared" si="65"/>
        <v>0</v>
      </c>
      <c r="N621" s="7">
        <f>+IFERROR(+VLOOKUP(A621,'TB2019-20'!$A$12:$C$414,3,0),0)</f>
        <v>0</v>
      </c>
      <c r="O621" s="7"/>
      <c r="P621" s="7">
        <f t="shared" si="66"/>
        <v>0</v>
      </c>
    </row>
    <row r="622" spans="1:16" x14ac:dyDescent="0.25">
      <c r="A622" s="17" t="s">
        <v>837</v>
      </c>
      <c r="B622" s="7">
        <v>4</v>
      </c>
      <c r="C622" s="7" t="s">
        <v>489</v>
      </c>
      <c r="D622" s="7" t="s">
        <v>836</v>
      </c>
      <c r="E622" s="7">
        <f>+IFERROR(+VLOOKUP(A622,'Trial Balance'!$A$12:$C$428,2,0),0)</f>
        <v>0</v>
      </c>
      <c r="F622" s="7"/>
      <c r="G622" s="7">
        <f t="shared" si="63"/>
        <v>0</v>
      </c>
      <c r="H622" s="7">
        <f>+IFERROR(+VLOOKUP(A622,'Trial Balance'!$A$12:$C$428,3,0),0)</f>
        <v>0</v>
      </c>
      <c r="I622" s="7"/>
      <c r="J622" s="7">
        <f t="shared" si="64"/>
        <v>0</v>
      </c>
      <c r="K622" s="7">
        <f>+IFERROR(+VLOOKUP(A622,'TB2019-20'!$A$12:$C$414,2,0),0)</f>
        <v>0</v>
      </c>
      <c r="L622" s="7"/>
      <c r="M622" s="7">
        <f t="shared" si="65"/>
        <v>0</v>
      </c>
      <c r="N622" s="7">
        <f>+IFERROR(+VLOOKUP(A622,'TB2019-20'!$A$12:$C$414,3,0),0)</f>
        <v>32212</v>
      </c>
      <c r="O622" s="7"/>
      <c r="P622" s="7">
        <f t="shared" si="66"/>
        <v>32212</v>
      </c>
    </row>
    <row r="623" spans="1:16" x14ac:dyDescent="0.25">
      <c r="A623" s="17" t="s">
        <v>838</v>
      </c>
      <c r="B623" s="7">
        <v>4</v>
      </c>
      <c r="C623" s="7" t="s">
        <v>489</v>
      </c>
      <c r="D623" s="7" t="s">
        <v>836</v>
      </c>
      <c r="E623" s="7">
        <f>+IFERROR(+VLOOKUP(A623,'Trial Balance'!$A$12:$C$428,2,0),0)</f>
        <v>0</v>
      </c>
      <c r="F623" s="7"/>
      <c r="G623" s="7">
        <f t="shared" si="63"/>
        <v>0</v>
      </c>
      <c r="H623" s="7">
        <f>+IFERROR(+VLOOKUP(A623,'Trial Balance'!$A$12:$C$428,3,0),0)</f>
        <v>0</v>
      </c>
      <c r="I623" s="7"/>
      <c r="J623" s="7">
        <f t="shared" si="64"/>
        <v>0</v>
      </c>
      <c r="K623" s="7">
        <f>+IFERROR(+VLOOKUP(A623,'TB2019-20'!$A$12:$C$414,2,0),0)</f>
        <v>0</v>
      </c>
      <c r="L623" s="7"/>
      <c r="M623" s="7">
        <f t="shared" si="65"/>
        <v>0</v>
      </c>
      <c r="N623" s="7">
        <f>+IFERROR(+VLOOKUP(A623,'TB2019-20'!$A$12:$C$414,3,0),0)</f>
        <v>98185</v>
      </c>
      <c r="O623" s="7"/>
      <c r="P623" s="7">
        <f t="shared" si="66"/>
        <v>98185</v>
      </c>
    </row>
    <row r="624" spans="1:16" x14ac:dyDescent="0.25">
      <c r="A624" s="22" t="s">
        <v>839</v>
      </c>
      <c r="B624" s="7">
        <v>15</v>
      </c>
      <c r="C624" s="7" t="s">
        <v>469</v>
      </c>
      <c r="D624" s="7" t="s">
        <v>470</v>
      </c>
      <c r="E624" s="7">
        <f>+IFERROR(+VLOOKUP(A624,'Trial Balance'!$A$12:$C$428,2,0),0)</f>
        <v>0</v>
      </c>
      <c r="F624" s="7"/>
      <c r="G624" s="7">
        <f t="shared" si="63"/>
        <v>0</v>
      </c>
      <c r="H624" s="7">
        <f>+IFERROR(+VLOOKUP(A624,'Trial Balance'!$A$12:$C$428,3,0),0)</f>
        <v>0</v>
      </c>
      <c r="I624" s="7"/>
      <c r="J624" s="7">
        <f t="shared" si="64"/>
        <v>0</v>
      </c>
      <c r="K624" s="7">
        <f>+IFERROR(+VLOOKUP(A624,'TB2019-20'!$A$12:$C$414,2,0),0)</f>
        <v>213539</v>
      </c>
      <c r="L624" s="7"/>
      <c r="M624" s="7">
        <f t="shared" si="65"/>
        <v>213539</v>
      </c>
      <c r="N624" s="7">
        <f>+IFERROR(+VLOOKUP(A624,'TB2019-20'!$A$12:$C$414,3,0),0)</f>
        <v>0</v>
      </c>
      <c r="O624" s="7"/>
      <c r="P624" s="7">
        <f t="shared" si="66"/>
        <v>0</v>
      </c>
    </row>
    <row r="625" spans="1:16" x14ac:dyDescent="0.25">
      <c r="A625" s="17" t="s">
        <v>840</v>
      </c>
      <c r="B625" s="7">
        <v>26</v>
      </c>
      <c r="C625" s="7" t="s">
        <v>467</v>
      </c>
      <c r="D625" s="7" t="s">
        <v>493</v>
      </c>
      <c r="E625" s="7">
        <f>+IFERROR(+VLOOKUP(A625,'Trial Balance'!$A$12:$C$428,2,0),0)</f>
        <v>16101.89</v>
      </c>
      <c r="F625" s="7"/>
      <c r="G625" s="7">
        <f t="shared" si="63"/>
        <v>16101.89</v>
      </c>
      <c r="H625" s="7">
        <f>+IFERROR(+VLOOKUP(A625,'Trial Balance'!$A$12:$C$428,3,0),0)</f>
        <v>0</v>
      </c>
      <c r="I625" s="7"/>
      <c r="J625" s="7">
        <f t="shared" si="64"/>
        <v>0</v>
      </c>
      <c r="K625" s="7">
        <f>+IFERROR(+VLOOKUP(A625,'TB2019-20'!$A$12:$C$414,2,0),0)</f>
        <v>199368.3</v>
      </c>
      <c r="L625" s="7"/>
      <c r="M625" s="7">
        <f t="shared" si="65"/>
        <v>199368.3</v>
      </c>
      <c r="N625" s="7">
        <f>+IFERROR(+VLOOKUP(A625,'TB2019-20'!$A$12:$C$414,3,0),0)</f>
        <v>0</v>
      </c>
      <c r="O625" s="7"/>
      <c r="P625" s="7">
        <f t="shared" si="66"/>
        <v>0</v>
      </c>
    </row>
    <row r="626" spans="1:16" x14ac:dyDescent="0.25">
      <c r="A626" s="20" t="s">
        <v>841</v>
      </c>
      <c r="B626" s="7">
        <v>15</v>
      </c>
      <c r="C626" s="7" t="s">
        <v>469</v>
      </c>
      <c r="D626" s="7" t="s">
        <v>470</v>
      </c>
      <c r="E626" s="7">
        <f>+IFERROR(+VLOOKUP(A626,'Trial Balance'!$A$12:$C$428,2,0),0)</f>
        <v>0</v>
      </c>
      <c r="F626" s="7"/>
      <c r="G626" s="7">
        <f t="shared" si="63"/>
        <v>0</v>
      </c>
      <c r="H626" s="7">
        <f>+IFERROR(+VLOOKUP(A626,'Trial Balance'!$A$12:$C$428,3,0),0)</f>
        <v>0</v>
      </c>
      <c r="I626" s="7"/>
      <c r="J626" s="7">
        <f t="shared" si="64"/>
        <v>0</v>
      </c>
      <c r="K626" s="7">
        <f>+IFERROR(+VLOOKUP(A626,'TB2019-20'!$A$12:$C$414,2,0),0)</f>
        <v>1168754</v>
      </c>
      <c r="L626" s="7"/>
      <c r="M626" s="7">
        <f t="shared" si="65"/>
        <v>1168754</v>
      </c>
      <c r="N626" s="7">
        <f>+IFERROR(+VLOOKUP(A626,'TB2019-20'!$A$12:$C$414,3,0),0)</f>
        <v>0</v>
      </c>
      <c r="O626" s="7"/>
      <c r="P626" s="7">
        <f t="shared" si="66"/>
        <v>0</v>
      </c>
    </row>
    <row r="627" spans="1:16" x14ac:dyDescent="0.25">
      <c r="A627" s="7" t="s">
        <v>396</v>
      </c>
      <c r="B627" s="7">
        <v>12</v>
      </c>
      <c r="C627" s="7" t="s">
        <v>465</v>
      </c>
      <c r="D627" s="7" t="s">
        <v>478</v>
      </c>
      <c r="E627" s="7">
        <f>+IFERROR(+VLOOKUP(A627,'Trial Balance'!$A$12:$C$428,2,0),0)</f>
        <v>4000</v>
      </c>
      <c r="F627" s="7"/>
      <c r="G627" s="7">
        <f t="shared" si="63"/>
        <v>4000</v>
      </c>
      <c r="H627" s="7">
        <f>+IFERROR(+VLOOKUP(A627,'Trial Balance'!$A$12:$C$428,3,0),0)</f>
        <v>0</v>
      </c>
      <c r="I627" s="7"/>
      <c r="J627" s="7">
        <f t="shared" si="64"/>
        <v>0</v>
      </c>
      <c r="K627" s="7">
        <f>+IFERROR(+VLOOKUP(A627,'TB2019-20'!$A$12:$C$414,2,0),0)</f>
        <v>22000</v>
      </c>
      <c r="L627" s="7"/>
      <c r="M627" s="7">
        <f t="shared" si="65"/>
        <v>22000</v>
      </c>
      <c r="N627" s="7">
        <f>+IFERROR(+VLOOKUP(A627,'TB2019-20'!$A$12:$C$414,3,0),0)</f>
        <v>0</v>
      </c>
      <c r="O627" s="7"/>
      <c r="P627" s="7">
        <f t="shared" si="66"/>
        <v>0</v>
      </c>
    </row>
    <row r="628" spans="1:16" x14ac:dyDescent="0.25">
      <c r="A628" s="23" t="s">
        <v>842</v>
      </c>
      <c r="B628" s="7">
        <v>12</v>
      </c>
      <c r="C628" s="7" t="s">
        <v>465</v>
      </c>
      <c r="D628" s="7" t="s">
        <v>478</v>
      </c>
      <c r="E628" s="7">
        <f>+IFERROR(+VLOOKUP(A628,'Trial Balance'!$A$12:$C$428,2,0),0)</f>
        <v>0</v>
      </c>
      <c r="F628" s="7"/>
      <c r="G628" s="7">
        <f t="shared" si="63"/>
        <v>0</v>
      </c>
      <c r="H628" s="7">
        <f>+IFERROR(+VLOOKUP(A628,'Trial Balance'!$A$12:$C$428,3,0),0)</f>
        <v>0</v>
      </c>
      <c r="I628" s="7"/>
      <c r="J628" s="7">
        <f t="shared" si="64"/>
        <v>0</v>
      </c>
      <c r="K628" s="7">
        <f>+IFERROR(+VLOOKUP(A628,'TB2019-20'!$A$12:$C$414,2,0),0)</f>
        <v>0</v>
      </c>
      <c r="L628" s="7"/>
      <c r="M628" s="7">
        <f t="shared" si="65"/>
        <v>0</v>
      </c>
      <c r="N628" s="7">
        <f>+IFERROR(+VLOOKUP(A628,'TB2019-20'!$A$12:$C$414,3,0),0)</f>
        <v>0</v>
      </c>
      <c r="O628" s="7"/>
      <c r="P628" s="7">
        <f t="shared" si="66"/>
        <v>0</v>
      </c>
    </row>
    <row r="629" spans="1:16" x14ac:dyDescent="0.25">
      <c r="A629" s="17" t="s">
        <v>843</v>
      </c>
      <c r="B629" s="7">
        <v>15</v>
      </c>
      <c r="C629" s="7" t="s">
        <v>469</v>
      </c>
      <c r="D629" s="7" t="s">
        <v>470</v>
      </c>
      <c r="E629" s="7">
        <f>+IFERROR(+VLOOKUP(A629,'Trial Balance'!$A$12:$C$428,2,0),0)</f>
        <v>0</v>
      </c>
      <c r="F629" s="7"/>
      <c r="G629" s="7">
        <f t="shared" si="63"/>
        <v>0</v>
      </c>
      <c r="H629" s="7">
        <f>+IFERROR(+VLOOKUP(A629,'Trial Balance'!$A$12:$C$428,3,0),0)</f>
        <v>0</v>
      </c>
      <c r="I629" s="7"/>
      <c r="J629" s="7">
        <f t="shared" si="64"/>
        <v>0</v>
      </c>
      <c r="K629" s="7">
        <f>+IFERROR(+VLOOKUP(A629,'TB2019-20'!$A$12:$C$414,2,0),0)</f>
        <v>0</v>
      </c>
      <c r="L629" s="7"/>
      <c r="M629" s="7">
        <f t="shared" si="65"/>
        <v>0</v>
      </c>
      <c r="N629" s="7">
        <f>+IFERROR(+VLOOKUP(A629,'TB2019-20'!$A$12:$C$414,3,0),0)</f>
        <v>0</v>
      </c>
      <c r="O629" s="7"/>
      <c r="P629" s="7">
        <f t="shared" si="66"/>
        <v>0</v>
      </c>
    </row>
    <row r="630" spans="1:16" x14ac:dyDescent="0.25">
      <c r="A630" s="17" t="s">
        <v>397</v>
      </c>
      <c r="B630" s="7">
        <v>7</v>
      </c>
      <c r="C630" s="7" t="s">
        <v>460</v>
      </c>
      <c r="D630" s="7" t="s">
        <v>460</v>
      </c>
      <c r="E630" s="7">
        <f>+IFERROR(+VLOOKUP(A630,'Trial Balance'!$A$12:$C$428,2,0),0)</f>
        <v>0</v>
      </c>
      <c r="F630" s="7"/>
      <c r="G630" s="7">
        <f t="shared" si="63"/>
        <v>0</v>
      </c>
      <c r="H630" s="7">
        <f>+IFERROR(+VLOOKUP(A630,'Trial Balance'!$A$12:$C$428,3,0),0)</f>
        <v>455952</v>
      </c>
      <c r="I630" s="7"/>
      <c r="J630" s="7">
        <f t="shared" si="64"/>
        <v>455952</v>
      </c>
      <c r="K630" s="7">
        <f>+IFERROR(+VLOOKUP(A630,'TB2019-20'!$A$12:$C$414,2,0),0)</f>
        <v>0</v>
      </c>
      <c r="L630" s="7"/>
      <c r="M630" s="7">
        <f t="shared" si="65"/>
        <v>0</v>
      </c>
      <c r="N630" s="7">
        <f>+IFERROR(+VLOOKUP(A630,'TB2019-20'!$A$12:$C$414,3,0),0)</f>
        <v>351168</v>
      </c>
      <c r="O630" s="7"/>
      <c r="P630" s="7">
        <f t="shared" si="66"/>
        <v>351168</v>
      </c>
    </row>
    <row r="631" spans="1:16" x14ac:dyDescent="0.25">
      <c r="A631" s="20" t="s">
        <v>844</v>
      </c>
      <c r="B631" s="7">
        <v>12</v>
      </c>
      <c r="C631" s="7" t="s">
        <v>465</v>
      </c>
      <c r="D631" s="7" t="s">
        <v>466</v>
      </c>
      <c r="E631" s="7">
        <f>+IFERROR(+VLOOKUP(A631,'Trial Balance'!$A$12:$C$428,2,0),0)</f>
        <v>0</v>
      </c>
      <c r="F631" s="7"/>
      <c r="G631" s="7">
        <f t="shared" si="63"/>
        <v>0</v>
      </c>
      <c r="H631" s="7">
        <f>+IFERROR(+VLOOKUP(A631,'Trial Balance'!$A$12:$C$428,3,0),0)</f>
        <v>0</v>
      </c>
      <c r="I631" s="7"/>
      <c r="J631" s="7">
        <f t="shared" si="64"/>
        <v>0</v>
      </c>
      <c r="K631" s="7">
        <f>+IFERROR(+VLOOKUP(A631,'TB2019-20'!$A$12:$C$414,2,0),0)</f>
        <v>0</v>
      </c>
      <c r="L631" s="7"/>
      <c r="M631" s="7">
        <f t="shared" si="65"/>
        <v>0</v>
      </c>
      <c r="N631" s="7">
        <f>+IFERROR(+VLOOKUP(A631,'TB2019-20'!$A$12:$C$414,3,0),0)</f>
        <v>0</v>
      </c>
      <c r="O631" s="7"/>
      <c r="P631" s="7">
        <f t="shared" si="66"/>
        <v>0</v>
      </c>
    </row>
    <row r="632" spans="1:16" x14ac:dyDescent="0.25">
      <c r="A632" s="17" t="s">
        <v>845</v>
      </c>
      <c r="B632" s="7">
        <v>8</v>
      </c>
      <c r="C632" s="7" t="s">
        <v>497</v>
      </c>
      <c r="D632" s="7" t="s">
        <v>567</v>
      </c>
      <c r="E632" s="7">
        <f>+IFERROR(+VLOOKUP(A632,'Trial Balance'!$A$12:$C$428,2,0),0)</f>
        <v>0</v>
      </c>
      <c r="F632" s="7"/>
      <c r="G632" s="7">
        <f t="shared" si="63"/>
        <v>0</v>
      </c>
      <c r="H632" s="7">
        <f>+IFERROR(+VLOOKUP(A632,'Trial Balance'!$A$12:$C$428,3,0),0)</f>
        <v>80773</v>
      </c>
      <c r="I632" s="7"/>
      <c r="J632" s="7">
        <f t="shared" si="64"/>
        <v>80773</v>
      </c>
      <c r="K632" s="7">
        <f>+IFERROR(+VLOOKUP(A632,'TB2019-20'!$A$12:$C$414,2,0),0)</f>
        <v>0</v>
      </c>
      <c r="L632" s="7"/>
      <c r="M632" s="7">
        <f t="shared" si="65"/>
        <v>0</v>
      </c>
      <c r="N632" s="7">
        <f>+IFERROR(+VLOOKUP(A632,'TB2019-20'!$A$12:$C$414,3,0),0)</f>
        <v>101044</v>
      </c>
      <c r="O632" s="7"/>
      <c r="P632" s="7">
        <f t="shared" si="66"/>
        <v>101044</v>
      </c>
    </row>
    <row r="633" spans="1:16" x14ac:dyDescent="0.25">
      <c r="A633" s="8" t="s">
        <v>402</v>
      </c>
      <c r="B633" s="7">
        <v>8</v>
      </c>
      <c r="C633" s="7" t="s">
        <v>497</v>
      </c>
      <c r="D633" s="7" t="s">
        <v>567</v>
      </c>
      <c r="E633" s="7">
        <f>+IFERROR(+VLOOKUP(A633,'Trial Balance'!$A$12:$C$428,2,0),0)</f>
        <v>0</v>
      </c>
      <c r="F633" s="7"/>
      <c r="G633" s="7">
        <f t="shared" si="63"/>
        <v>0</v>
      </c>
      <c r="H633" s="7">
        <f>+IFERROR(+VLOOKUP(A633,'Trial Balance'!$A$12:$C$428,3,0),0)</f>
        <v>85088.53</v>
      </c>
      <c r="I633" s="7"/>
      <c r="J633" s="7">
        <f t="shared" si="64"/>
        <v>85088.53</v>
      </c>
      <c r="K633" s="7">
        <f>+IFERROR(+VLOOKUP(A633,'TB2019-20'!$A$12:$C$414,2,0),0)</f>
        <v>0</v>
      </c>
      <c r="L633" s="7"/>
      <c r="M633" s="7">
        <f t="shared" si="65"/>
        <v>0</v>
      </c>
      <c r="N633" s="7">
        <f>+IFERROR(+VLOOKUP(A633,'TB2019-20'!$A$12:$C$414,3,0),0)</f>
        <v>0</v>
      </c>
      <c r="O633" s="7"/>
      <c r="P633" s="7">
        <f t="shared" si="66"/>
        <v>0</v>
      </c>
    </row>
    <row r="634" spans="1:16" x14ac:dyDescent="0.25">
      <c r="A634" s="22" t="s">
        <v>403</v>
      </c>
      <c r="B634" s="7">
        <v>12</v>
      </c>
      <c r="C634" s="7" t="s">
        <v>465</v>
      </c>
      <c r="D634" s="7" t="s">
        <v>466</v>
      </c>
      <c r="E634" s="7">
        <f>+IFERROR(+VLOOKUP(A634,'Trial Balance'!$A$12:$C$428,2,0),0)</f>
        <v>0</v>
      </c>
      <c r="F634" s="7"/>
      <c r="G634" s="7">
        <f t="shared" si="63"/>
        <v>0</v>
      </c>
      <c r="H634" s="7">
        <f>+IFERROR(+VLOOKUP(A634,'Trial Balance'!$A$12:$C$428,3,0),0)</f>
        <v>0</v>
      </c>
      <c r="I634" s="7"/>
      <c r="J634" s="7">
        <f t="shared" si="64"/>
        <v>0</v>
      </c>
      <c r="K634" s="7">
        <f>+IFERROR(+VLOOKUP(A634,'TB2019-20'!$A$12:$C$414,2,0),0)</f>
        <v>15292</v>
      </c>
      <c r="L634" s="7"/>
      <c r="M634" s="7">
        <f t="shared" si="65"/>
        <v>15292</v>
      </c>
      <c r="N634" s="7">
        <f>+IFERROR(+VLOOKUP(A634,'TB2019-20'!$A$12:$C$414,3,0),0)</f>
        <v>0</v>
      </c>
      <c r="O634" s="7"/>
      <c r="P634" s="7">
        <f t="shared" si="66"/>
        <v>0</v>
      </c>
    </row>
    <row r="635" spans="1:16" x14ac:dyDescent="0.25">
      <c r="A635" s="22" t="s">
        <v>398</v>
      </c>
      <c r="B635" s="7">
        <v>12</v>
      </c>
      <c r="C635" s="7" t="s">
        <v>465</v>
      </c>
      <c r="D635" s="7" t="s">
        <v>466</v>
      </c>
      <c r="E635" s="7">
        <f>+IFERROR(+VLOOKUP(A635,'Trial Balance'!$A$12:$C$428,2,0),0)</f>
        <v>0</v>
      </c>
      <c r="F635" s="7"/>
      <c r="G635" s="7">
        <f t="shared" si="63"/>
        <v>0</v>
      </c>
      <c r="H635" s="7">
        <f>+IFERROR(+VLOOKUP(A635,'Trial Balance'!$A$12:$C$428,3,0),0)</f>
        <v>0</v>
      </c>
      <c r="I635" s="7"/>
      <c r="J635" s="7">
        <f t="shared" si="64"/>
        <v>0</v>
      </c>
      <c r="K635" s="7">
        <f>+IFERROR(+VLOOKUP(A635,'TB2019-20'!$A$12:$C$414,2,0),0)</f>
        <v>44002</v>
      </c>
      <c r="L635" s="7"/>
      <c r="M635" s="7">
        <f t="shared" si="65"/>
        <v>44002</v>
      </c>
      <c r="N635" s="7">
        <f>+IFERROR(+VLOOKUP(A635,'TB2019-20'!$A$12:$C$414,3,0),0)</f>
        <v>0</v>
      </c>
      <c r="O635" s="7"/>
      <c r="P635" s="7">
        <f t="shared" si="66"/>
        <v>0</v>
      </c>
    </row>
    <row r="636" spans="1:16" x14ac:dyDescent="0.25">
      <c r="A636" s="8" t="s">
        <v>399</v>
      </c>
      <c r="B636" s="7">
        <v>12</v>
      </c>
      <c r="C636" s="7" t="s">
        <v>465</v>
      </c>
      <c r="D636" s="7" t="s">
        <v>466</v>
      </c>
      <c r="E636" s="7">
        <f>+IFERROR(+VLOOKUP(A636,'Trial Balance'!$A$12:$C$428,2,0),0)</f>
        <v>68778.240000000005</v>
      </c>
      <c r="F636" s="7"/>
      <c r="G636" s="7">
        <f t="shared" si="63"/>
        <v>68778.240000000005</v>
      </c>
      <c r="H636" s="7">
        <f>+IFERROR(+VLOOKUP(A636,'Trial Balance'!$A$12:$C$428,3,0),0)</f>
        <v>0</v>
      </c>
      <c r="I636" s="7"/>
      <c r="J636" s="7">
        <f t="shared" si="64"/>
        <v>0</v>
      </c>
      <c r="K636" s="7">
        <f>+IFERROR(+VLOOKUP(A636,'TB2019-20'!$A$12:$C$414,2,0),0)</f>
        <v>0</v>
      </c>
      <c r="L636" s="7"/>
      <c r="M636" s="7">
        <f t="shared" si="65"/>
        <v>0</v>
      </c>
      <c r="N636" s="7">
        <f>+IFERROR(+VLOOKUP(A636,'TB2019-20'!$A$12:$C$414,3,0),0)</f>
        <v>0</v>
      </c>
      <c r="O636" s="7"/>
      <c r="P636" s="7">
        <f t="shared" si="66"/>
        <v>0</v>
      </c>
    </row>
    <row r="637" spans="1:16" x14ac:dyDescent="0.25">
      <c r="A637" s="8" t="s">
        <v>400</v>
      </c>
      <c r="B637" s="7">
        <v>12</v>
      </c>
      <c r="C637" s="7" t="s">
        <v>465</v>
      </c>
      <c r="D637" s="7" t="s">
        <v>466</v>
      </c>
      <c r="E637" s="7">
        <f>+IFERROR(+VLOOKUP(A637,'Trial Balance'!$A$12:$C$428,2,0),0)</f>
        <v>0</v>
      </c>
      <c r="F637" s="7"/>
      <c r="G637" s="7">
        <f t="shared" si="63"/>
        <v>0</v>
      </c>
      <c r="H637" s="7">
        <f>+IFERROR(+VLOOKUP(A637,'Trial Balance'!$A$12:$C$428,3,0),0)</f>
        <v>0</v>
      </c>
      <c r="I637" s="7"/>
      <c r="J637" s="7">
        <f t="shared" si="64"/>
        <v>0</v>
      </c>
      <c r="K637" s="7">
        <f>+IFERROR(+VLOOKUP(A637,'TB2019-20'!$A$12:$C$414,2,0),0)</f>
        <v>0</v>
      </c>
      <c r="L637" s="7"/>
      <c r="M637" s="7">
        <f t="shared" si="65"/>
        <v>0</v>
      </c>
      <c r="N637" s="7">
        <f>+IFERROR(+VLOOKUP(A637,'TB2019-20'!$A$12:$C$414,3,0),0)</f>
        <v>0</v>
      </c>
      <c r="O637" s="7"/>
      <c r="P637" s="7">
        <f t="shared" si="66"/>
        <v>0</v>
      </c>
    </row>
    <row r="638" spans="1:16" x14ac:dyDescent="0.25">
      <c r="A638" s="8" t="s">
        <v>401</v>
      </c>
      <c r="B638" s="7">
        <v>12</v>
      </c>
      <c r="C638" s="7" t="s">
        <v>465</v>
      </c>
      <c r="D638" s="7" t="s">
        <v>466</v>
      </c>
      <c r="E638" s="7">
        <f>+IFERROR(+VLOOKUP(A638,'Trial Balance'!$A$12:$C$428,2,0),0)</f>
        <v>0</v>
      </c>
      <c r="F638" s="7"/>
      <c r="G638" s="7">
        <f t="shared" si="63"/>
        <v>0</v>
      </c>
      <c r="H638" s="7">
        <f>+IFERROR(+VLOOKUP(A638,'Trial Balance'!$A$12:$C$428,3,0),0)</f>
        <v>0</v>
      </c>
      <c r="I638" s="7"/>
      <c r="J638" s="7">
        <f t="shared" si="64"/>
        <v>0</v>
      </c>
      <c r="K638" s="7">
        <f>+IFERROR(+VLOOKUP(A638,'TB2019-20'!$A$12:$C$414,2,0),0)</f>
        <v>0</v>
      </c>
      <c r="L638" s="7"/>
      <c r="M638" s="7">
        <f t="shared" si="65"/>
        <v>0</v>
      </c>
      <c r="N638" s="7">
        <f>+IFERROR(+VLOOKUP(A638,'TB2019-20'!$A$12:$C$414,3,0),0)</f>
        <v>0</v>
      </c>
      <c r="O638" s="7"/>
      <c r="P638" s="7">
        <f t="shared" si="66"/>
        <v>0</v>
      </c>
    </row>
    <row r="639" spans="1:16" x14ac:dyDescent="0.25">
      <c r="A639" s="17" t="s">
        <v>846</v>
      </c>
      <c r="B639" s="7">
        <v>26</v>
      </c>
      <c r="C639" s="7" t="s">
        <v>467</v>
      </c>
      <c r="D639" s="7" t="s">
        <v>541</v>
      </c>
      <c r="E639" s="7">
        <f>+IFERROR(+VLOOKUP(A639,'Trial Balance'!$A$12:$C$428,2,0),0)</f>
        <v>0</v>
      </c>
      <c r="F639" s="7"/>
      <c r="G639" s="7">
        <f t="shared" si="63"/>
        <v>0</v>
      </c>
      <c r="H639" s="7">
        <f>+IFERROR(+VLOOKUP(A639,'Trial Balance'!$A$12:$C$428,3,0),0)</f>
        <v>0</v>
      </c>
      <c r="I639" s="7"/>
      <c r="J639" s="7">
        <f t="shared" si="64"/>
        <v>0</v>
      </c>
      <c r="K639" s="7">
        <f>+IFERROR(+VLOOKUP(A639,'TB2019-20'!$A$12:$C$414,2,0),0)</f>
        <v>21</v>
      </c>
      <c r="L639" s="7"/>
      <c r="M639" s="7">
        <f t="shared" si="65"/>
        <v>21</v>
      </c>
      <c r="N639" s="7">
        <f>+IFERROR(+VLOOKUP(A639,'TB2019-20'!$A$12:$C$414,3,0),0)</f>
        <v>0</v>
      </c>
      <c r="O639" s="7"/>
      <c r="P639" s="7">
        <f t="shared" si="66"/>
        <v>0</v>
      </c>
    </row>
    <row r="640" spans="1:16" x14ac:dyDescent="0.25">
      <c r="A640" s="20" t="s">
        <v>847</v>
      </c>
      <c r="B640" s="7">
        <v>12</v>
      </c>
      <c r="C640" s="7" t="s">
        <v>465</v>
      </c>
      <c r="D640" s="7" t="s">
        <v>466</v>
      </c>
      <c r="E640" s="7">
        <f>+IFERROR(+VLOOKUP(A640,'Trial Balance'!$A$12:$C$428,2,0),0)</f>
        <v>0</v>
      </c>
      <c r="F640" s="7"/>
      <c r="G640" s="7">
        <f t="shared" si="63"/>
        <v>0</v>
      </c>
      <c r="H640" s="7">
        <f>+IFERROR(+VLOOKUP(A640,'Trial Balance'!$A$12:$C$428,3,0),0)</f>
        <v>0</v>
      </c>
      <c r="I640" s="7"/>
      <c r="J640" s="7">
        <f t="shared" si="64"/>
        <v>0</v>
      </c>
      <c r="K640" s="7">
        <f>+IFERROR(+VLOOKUP(A640,'TB2019-20'!$A$12:$C$414,2,0),0)</f>
        <v>0</v>
      </c>
      <c r="L640" s="7"/>
      <c r="M640" s="7">
        <f t="shared" si="65"/>
        <v>0</v>
      </c>
      <c r="N640" s="7">
        <f>+IFERROR(+VLOOKUP(A640,'TB2019-20'!$A$12:$C$414,3,0),0)</f>
        <v>0</v>
      </c>
      <c r="O640" s="7"/>
      <c r="P640" s="7">
        <f t="shared" si="66"/>
        <v>0</v>
      </c>
    </row>
    <row r="641" spans="1:16" x14ac:dyDescent="0.25">
      <c r="A641" s="17" t="s">
        <v>848</v>
      </c>
      <c r="B641" s="7">
        <v>8</v>
      </c>
      <c r="C641" s="7" t="s">
        <v>497</v>
      </c>
      <c r="D641" s="7" t="s">
        <v>567</v>
      </c>
      <c r="E641" s="7">
        <f>+IFERROR(+VLOOKUP(A641,'Trial Balance'!$A$12:$C$428,2,0),0)</f>
        <v>0</v>
      </c>
      <c r="F641" s="7"/>
      <c r="G641" s="7">
        <f t="shared" si="63"/>
        <v>0</v>
      </c>
      <c r="H641" s="7">
        <f>+IFERROR(+VLOOKUP(A641,'Trial Balance'!$A$12:$C$428,3,0),0)</f>
        <v>2925</v>
      </c>
      <c r="I641" s="7"/>
      <c r="J641" s="7">
        <f t="shared" si="64"/>
        <v>2925</v>
      </c>
      <c r="K641" s="7">
        <f>+IFERROR(+VLOOKUP(A641,'TB2019-20'!$A$12:$C$414,2,0),0)</f>
        <v>0</v>
      </c>
      <c r="L641" s="7"/>
      <c r="M641" s="7">
        <f t="shared" si="65"/>
        <v>0</v>
      </c>
      <c r="N641" s="7">
        <f>+IFERROR(+VLOOKUP(A641,'TB2019-20'!$A$12:$C$414,3,0),0)</f>
        <v>3900</v>
      </c>
      <c r="O641" s="7"/>
      <c r="P641" s="7">
        <f t="shared" si="66"/>
        <v>3900</v>
      </c>
    </row>
    <row r="642" spans="1:16" x14ac:dyDescent="0.25">
      <c r="A642" s="17" t="s">
        <v>405</v>
      </c>
      <c r="B642" s="7">
        <v>8</v>
      </c>
      <c r="C642" s="7" t="s">
        <v>497</v>
      </c>
      <c r="D642" s="7" t="s">
        <v>567</v>
      </c>
      <c r="E642" s="7">
        <f>+IFERROR(+VLOOKUP(A642,'Trial Balance'!$A$12:$C$428,2,0),0)</f>
        <v>0</v>
      </c>
      <c r="F642" s="7"/>
      <c r="G642" s="7">
        <f t="shared" si="63"/>
        <v>0</v>
      </c>
      <c r="H642" s="7">
        <f>+IFERROR(+VLOOKUP(A642,'Trial Balance'!$A$12:$C$428,3,0),0)</f>
        <v>3756</v>
      </c>
      <c r="I642" s="7"/>
      <c r="J642" s="7">
        <f t="shared" si="64"/>
        <v>3756</v>
      </c>
      <c r="K642" s="7">
        <f>+IFERROR(+VLOOKUP(A642,'TB2019-20'!$A$12:$C$414,2,0),0)</f>
        <v>0</v>
      </c>
      <c r="L642" s="7"/>
      <c r="M642" s="7">
        <f t="shared" si="65"/>
        <v>0</v>
      </c>
      <c r="N642" s="7">
        <f>+IFERROR(+VLOOKUP(A642,'TB2019-20'!$A$12:$C$414,3,0),0)</f>
        <v>5038</v>
      </c>
      <c r="O642" s="7"/>
      <c r="P642" s="7">
        <f t="shared" si="66"/>
        <v>5038</v>
      </c>
    </row>
    <row r="643" spans="1:16" x14ac:dyDescent="0.25">
      <c r="A643" s="17" t="s">
        <v>406</v>
      </c>
      <c r="B643" s="7">
        <v>8</v>
      </c>
      <c r="C643" s="7" t="s">
        <v>497</v>
      </c>
      <c r="D643" s="7" t="s">
        <v>567</v>
      </c>
      <c r="E643" s="7">
        <f>+IFERROR(+VLOOKUP(A643,'Trial Balance'!$A$12:$C$428,2,0),0)</f>
        <v>0</v>
      </c>
      <c r="F643" s="7"/>
      <c r="G643" s="7">
        <f t="shared" si="63"/>
        <v>0</v>
      </c>
      <c r="H643" s="7">
        <f>+IFERROR(+VLOOKUP(A643,'Trial Balance'!$A$12:$C$428,3,0),0)</f>
        <v>12373</v>
      </c>
      <c r="I643" s="7"/>
      <c r="J643" s="7">
        <f t="shared" si="64"/>
        <v>12373</v>
      </c>
      <c r="K643" s="7">
        <f>+IFERROR(+VLOOKUP(A643,'TB2019-20'!$A$12:$C$414,2,0),0)</f>
        <v>0</v>
      </c>
      <c r="L643" s="7"/>
      <c r="M643" s="7">
        <f t="shared" si="65"/>
        <v>0</v>
      </c>
      <c r="N643" s="7">
        <f>+IFERROR(+VLOOKUP(A643,'TB2019-20'!$A$12:$C$414,3,0),0)</f>
        <v>1902</v>
      </c>
      <c r="O643" s="7"/>
      <c r="P643" s="7">
        <f t="shared" si="66"/>
        <v>1902</v>
      </c>
    </row>
    <row r="644" spans="1:16" x14ac:dyDescent="0.25">
      <c r="A644" s="17" t="s">
        <v>849</v>
      </c>
      <c r="B644" s="7">
        <v>8</v>
      </c>
      <c r="C644" s="7" t="s">
        <v>497</v>
      </c>
      <c r="D644" s="7" t="s">
        <v>567</v>
      </c>
      <c r="E644" s="7">
        <f>+IFERROR(+VLOOKUP(A644,'Trial Balance'!$A$12:$C$428,2,0),0)</f>
        <v>0</v>
      </c>
      <c r="F644" s="7"/>
      <c r="G644" s="7">
        <f t="shared" si="63"/>
        <v>0</v>
      </c>
      <c r="H644" s="7">
        <f>+IFERROR(+VLOOKUP(A644,'Trial Balance'!$A$12:$C$428,3,0),0)</f>
        <v>10862.04</v>
      </c>
      <c r="I644" s="7"/>
      <c r="J644" s="7">
        <f t="shared" si="64"/>
        <v>10862.04</v>
      </c>
      <c r="K644" s="7">
        <f>+IFERROR(+VLOOKUP(A644,'TB2019-20'!$A$12:$C$414,2,0),0)</f>
        <v>0</v>
      </c>
      <c r="L644" s="7"/>
      <c r="M644" s="7">
        <f t="shared" si="65"/>
        <v>0</v>
      </c>
      <c r="N644" s="7">
        <f>+IFERROR(+VLOOKUP(A644,'TB2019-20'!$A$12:$C$414,3,0),0)</f>
        <v>16393.04</v>
      </c>
      <c r="O644" s="7"/>
      <c r="P644" s="7">
        <f t="shared" si="66"/>
        <v>16393.04</v>
      </c>
    </row>
    <row r="645" spans="1:16" x14ac:dyDescent="0.25">
      <c r="A645" s="17" t="s">
        <v>850</v>
      </c>
      <c r="B645" s="7">
        <v>8</v>
      </c>
      <c r="C645" s="7" t="s">
        <v>497</v>
      </c>
      <c r="D645" s="7" t="s">
        <v>567</v>
      </c>
      <c r="E645" s="7">
        <f>+IFERROR(+VLOOKUP(A645,'Trial Balance'!$A$12:$C$428,2,0),0)</f>
        <v>0</v>
      </c>
      <c r="F645" s="7"/>
      <c r="G645" s="7">
        <f t="shared" si="63"/>
        <v>0</v>
      </c>
      <c r="H645" s="7">
        <f>+IFERROR(+VLOOKUP(A645,'Trial Balance'!$A$12:$C$428,3,0),0)</f>
        <v>29491</v>
      </c>
      <c r="I645" s="7"/>
      <c r="J645" s="7">
        <f t="shared" si="64"/>
        <v>29491</v>
      </c>
      <c r="K645" s="7">
        <f>+IFERROR(+VLOOKUP(A645,'TB2019-20'!$A$12:$C$414,2,0),0)</f>
        <v>0</v>
      </c>
      <c r="L645" s="7"/>
      <c r="M645" s="7">
        <f t="shared" si="65"/>
        <v>0</v>
      </c>
      <c r="N645" s="7">
        <f>+IFERROR(+VLOOKUP(A645,'TB2019-20'!$A$12:$C$414,3,0),0)</f>
        <v>47856</v>
      </c>
      <c r="O645" s="7"/>
      <c r="P645" s="7">
        <f t="shared" si="66"/>
        <v>47856</v>
      </c>
    </row>
    <row r="646" spans="1:16" x14ac:dyDescent="0.25">
      <c r="A646" s="17" t="s">
        <v>851</v>
      </c>
      <c r="B646" s="7">
        <v>8</v>
      </c>
      <c r="C646" s="7" t="s">
        <v>497</v>
      </c>
      <c r="D646" s="7" t="s">
        <v>567</v>
      </c>
      <c r="E646" s="7">
        <f>+IFERROR(+VLOOKUP(A646,'Trial Balance'!$A$12:$C$428,2,0),0)</f>
        <v>0</v>
      </c>
      <c r="F646" s="7"/>
      <c r="G646" s="7">
        <f t="shared" si="63"/>
        <v>0</v>
      </c>
      <c r="H646" s="7">
        <f>+IFERROR(+VLOOKUP(A646,'Trial Balance'!$A$12:$C$428,3,0),0)</f>
        <v>10850</v>
      </c>
      <c r="I646" s="7"/>
      <c r="J646" s="7">
        <f t="shared" si="64"/>
        <v>10850</v>
      </c>
      <c r="K646" s="7">
        <f>+IFERROR(+VLOOKUP(A646,'TB2019-20'!$A$12:$C$414,2,0),0)</f>
        <v>0</v>
      </c>
      <c r="L646" s="7"/>
      <c r="M646" s="7">
        <f t="shared" si="65"/>
        <v>0</v>
      </c>
      <c r="N646" s="7">
        <f>+IFERROR(+VLOOKUP(A646,'TB2019-20'!$A$12:$C$414,3,0),0)</f>
        <v>1977</v>
      </c>
      <c r="O646" s="7"/>
      <c r="P646" s="7">
        <f t="shared" si="66"/>
        <v>1977</v>
      </c>
    </row>
    <row r="647" spans="1:16" x14ac:dyDescent="0.25">
      <c r="A647" s="19" t="s">
        <v>413</v>
      </c>
      <c r="B647" s="7">
        <v>8</v>
      </c>
      <c r="C647" s="7" t="s">
        <v>497</v>
      </c>
      <c r="D647" s="7" t="s">
        <v>567</v>
      </c>
      <c r="E647" s="7">
        <f>+IFERROR(+VLOOKUP(A647,'Trial Balance'!$A$12:$C$428,2,0),0)</f>
        <v>0</v>
      </c>
      <c r="F647" s="7"/>
      <c r="G647" s="7">
        <f t="shared" si="63"/>
        <v>0</v>
      </c>
      <c r="H647" s="7">
        <f>+IFERROR(+VLOOKUP(A647,'Trial Balance'!$A$12:$C$428,3,0),0)</f>
        <v>5839</v>
      </c>
      <c r="I647" s="7"/>
      <c r="J647" s="7">
        <f t="shared" si="64"/>
        <v>5839</v>
      </c>
      <c r="K647" s="7">
        <f>+IFERROR(+VLOOKUP(A647,'TB2019-20'!$A$12:$C$414,2,0),0)</f>
        <v>0</v>
      </c>
      <c r="L647" s="7"/>
      <c r="M647" s="7">
        <f t="shared" si="65"/>
        <v>0</v>
      </c>
      <c r="N647" s="7">
        <f>+IFERROR(+VLOOKUP(A647,'TB2019-20'!$A$12:$C$414,3,0),0)</f>
        <v>51303.4</v>
      </c>
      <c r="O647" s="7"/>
      <c r="P647" s="7">
        <f t="shared" si="66"/>
        <v>51303.4</v>
      </c>
    </row>
    <row r="648" spans="1:16" x14ac:dyDescent="0.25">
      <c r="A648" s="27" t="s">
        <v>411</v>
      </c>
      <c r="B648" s="7">
        <v>8</v>
      </c>
      <c r="C648" s="7" t="s">
        <v>497</v>
      </c>
      <c r="D648" s="7" t="s">
        <v>567</v>
      </c>
      <c r="E648" s="7">
        <f>+IFERROR(+VLOOKUP(A648,'Trial Balance'!$A$12:$C$428,2,0),0)</f>
        <v>0</v>
      </c>
      <c r="F648" s="7"/>
      <c r="G648" s="7">
        <f t="shared" ref="G648:G711" si="67">+E648+F648</f>
        <v>0</v>
      </c>
      <c r="H648" s="7">
        <f>+IFERROR(+VLOOKUP(A648,'Trial Balance'!$A$12:$C$428,3,0),0)</f>
        <v>122000</v>
      </c>
      <c r="I648" s="7"/>
      <c r="J648" s="7">
        <f t="shared" ref="J648:J711" si="68">+H648+I648</f>
        <v>122000</v>
      </c>
      <c r="K648" s="7">
        <f>+IFERROR(+VLOOKUP(A648,'TB2019-20'!$A$12:$C$414,2,0),0)</f>
        <v>0</v>
      </c>
      <c r="L648" s="7"/>
      <c r="M648" s="7">
        <f t="shared" si="65"/>
        <v>0</v>
      </c>
      <c r="N648" s="7">
        <f>+IFERROR(+VLOOKUP(A648,'TB2019-20'!$A$12:$C$414,3,0),0)</f>
        <v>92000</v>
      </c>
      <c r="O648" s="7"/>
      <c r="P648" s="7">
        <f t="shared" si="66"/>
        <v>92000</v>
      </c>
    </row>
    <row r="649" spans="1:16" x14ac:dyDescent="0.25">
      <c r="A649" s="17" t="s">
        <v>852</v>
      </c>
      <c r="B649" s="7">
        <v>26</v>
      </c>
      <c r="C649" s="7" t="s">
        <v>467</v>
      </c>
      <c r="D649" s="7" t="s">
        <v>853</v>
      </c>
      <c r="E649" s="7">
        <f>+IFERROR(+VLOOKUP(A649,'Trial Balance'!$A$12:$C$428,2,0),0)</f>
        <v>65764</v>
      </c>
      <c r="F649" s="7"/>
      <c r="G649" s="7">
        <f t="shared" si="67"/>
        <v>65764</v>
      </c>
      <c r="H649" s="7">
        <f>+IFERROR(+VLOOKUP(A649,'Trial Balance'!$A$12:$C$428,3,0),0)</f>
        <v>0</v>
      </c>
      <c r="I649" s="7"/>
      <c r="J649" s="7">
        <f t="shared" si="68"/>
        <v>0</v>
      </c>
      <c r="K649" s="7">
        <f>+IFERROR(+VLOOKUP(A649,'TB2019-20'!$A$12:$C$414,2,0),0)</f>
        <v>57609.08</v>
      </c>
      <c r="L649" s="7"/>
      <c r="M649" s="7">
        <f t="shared" si="65"/>
        <v>57609.08</v>
      </c>
      <c r="N649" s="7">
        <f>+IFERROR(+VLOOKUP(A649,'TB2019-20'!$A$12:$C$414,3,0),0)</f>
        <v>0</v>
      </c>
      <c r="O649" s="7"/>
      <c r="P649" s="7">
        <f t="shared" si="66"/>
        <v>0</v>
      </c>
    </row>
    <row r="650" spans="1:16" x14ac:dyDescent="0.25">
      <c r="A650" s="17" t="s">
        <v>415</v>
      </c>
      <c r="B650" s="7">
        <v>7</v>
      </c>
      <c r="C650" s="7" t="s">
        <v>460</v>
      </c>
      <c r="D650" s="7" t="s">
        <v>462</v>
      </c>
      <c r="E650" s="7">
        <f>+IFERROR(+VLOOKUP(A650,'Trial Balance'!$A$12:$C$428,2,0),0)</f>
        <v>0</v>
      </c>
      <c r="F650" s="7"/>
      <c r="G650" s="7">
        <f t="shared" si="67"/>
        <v>0</v>
      </c>
      <c r="H650" s="7">
        <f>+IFERROR(+VLOOKUP(A650,'Trial Balance'!$A$12:$C$428,3,0),0)</f>
        <v>3662</v>
      </c>
      <c r="I650" s="7"/>
      <c r="J650" s="7">
        <f t="shared" si="68"/>
        <v>3662</v>
      </c>
      <c r="K650" s="7">
        <f>+IFERROR(+VLOOKUP(A650,'TB2019-20'!$A$12:$C$414,2,0),0)</f>
        <v>0</v>
      </c>
      <c r="L650" s="7"/>
      <c r="M650" s="7">
        <f t="shared" si="65"/>
        <v>0</v>
      </c>
      <c r="N650" s="7">
        <f>+IFERROR(+VLOOKUP(A650,'TB2019-20'!$A$12:$C$414,3,0),0)</f>
        <v>1579</v>
      </c>
      <c r="O650" s="7"/>
      <c r="P650" s="7">
        <f t="shared" si="66"/>
        <v>1579</v>
      </c>
    </row>
    <row r="651" spans="1:16" x14ac:dyDescent="0.25">
      <c r="A651" s="17" t="s">
        <v>416</v>
      </c>
      <c r="B651" s="7">
        <v>26</v>
      </c>
      <c r="C651" s="7" t="s">
        <v>467</v>
      </c>
      <c r="D651" s="7" t="s">
        <v>530</v>
      </c>
      <c r="E651" s="7">
        <f>+IFERROR(+VLOOKUP(A651,'Trial Balance'!$A$12:$C$428,2,0),0)</f>
        <v>40650</v>
      </c>
      <c r="F651" s="7"/>
      <c r="G651" s="7">
        <f t="shared" si="67"/>
        <v>40650</v>
      </c>
      <c r="H651" s="7">
        <f>+IFERROR(+VLOOKUP(A651,'Trial Balance'!$A$12:$C$428,3,0),0)</f>
        <v>0</v>
      </c>
      <c r="I651" s="7"/>
      <c r="J651" s="7">
        <f t="shared" si="68"/>
        <v>0</v>
      </c>
      <c r="K651" s="7">
        <f>+IFERROR(+VLOOKUP(A651,'TB2019-20'!$A$12:$C$414,2,0),0)</f>
        <v>97188</v>
      </c>
      <c r="L651" s="7"/>
      <c r="M651" s="7">
        <f t="shared" si="65"/>
        <v>97188</v>
      </c>
      <c r="N651" s="7">
        <f>+IFERROR(+VLOOKUP(A651,'TB2019-20'!$A$12:$C$414,3,0),0)</f>
        <v>0</v>
      </c>
      <c r="O651" s="7"/>
      <c r="P651" s="7">
        <f t="shared" si="66"/>
        <v>0</v>
      </c>
    </row>
    <row r="652" spans="1:16" x14ac:dyDescent="0.25">
      <c r="A652" s="24" t="s">
        <v>854</v>
      </c>
      <c r="B652" s="7">
        <v>8</v>
      </c>
      <c r="C652" s="7" t="s">
        <v>497</v>
      </c>
      <c r="D652" s="7" t="s">
        <v>498</v>
      </c>
      <c r="E652" s="7">
        <f>+IFERROR(+VLOOKUP(A652,'Trial Balance'!$A$12:$C$428,2,0),0)</f>
        <v>0</v>
      </c>
      <c r="F652" s="7"/>
      <c r="G652" s="7">
        <f t="shared" si="67"/>
        <v>0</v>
      </c>
      <c r="H652" s="7">
        <f>+IFERROR(+VLOOKUP(A652,'Trial Balance'!$A$12:$C$428,3,0),0)</f>
        <v>0</v>
      </c>
      <c r="I652" s="7"/>
      <c r="J652" s="7">
        <f t="shared" si="68"/>
        <v>0</v>
      </c>
      <c r="K652" s="7">
        <f>+IFERROR(+VLOOKUP(A652,'TB2019-20'!$A$12:$C$414,2,0),0)</f>
        <v>0</v>
      </c>
      <c r="L652" s="7"/>
      <c r="M652" s="7">
        <f t="shared" si="65"/>
        <v>0</v>
      </c>
      <c r="N652" s="7">
        <f>+IFERROR(+VLOOKUP(A652,'TB2019-20'!$A$12:$C$414,3,0),0)</f>
        <v>0</v>
      </c>
      <c r="O652" s="7"/>
      <c r="P652" s="7">
        <f t="shared" si="66"/>
        <v>0</v>
      </c>
    </row>
    <row r="653" spans="1:16" x14ac:dyDescent="0.25">
      <c r="A653" s="17" t="s">
        <v>417</v>
      </c>
      <c r="B653" s="7">
        <v>7</v>
      </c>
      <c r="C653" s="7" t="s">
        <v>460</v>
      </c>
      <c r="D653" s="7" t="s">
        <v>460</v>
      </c>
      <c r="E653" s="7">
        <f>+IFERROR(+VLOOKUP(A653,'Trial Balance'!$A$12:$C$428,2,0),0)</f>
        <v>0</v>
      </c>
      <c r="F653" s="7"/>
      <c r="G653" s="7">
        <f t="shared" si="67"/>
        <v>0</v>
      </c>
      <c r="H653" s="7">
        <f>+IFERROR(+VLOOKUP(A653,'Trial Balance'!$A$12:$C$428,3,0),0)</f>
        <v>41312</v>
      </c>
      <c r="I653" s="7"/>
      <c r="J653" s="7">
        <f t="shared" si="68"/>
        <v>41312</v>
      </c>
      <c r="K653" s="7">
        <f>+IFERROR(+VLOOKUP(A653,'TB2019-20'!$A$12:$C$414,2,0),0)</f>
        <v>0</v>
      </c>
      <c r="L653" s="7"/>
      <c r="M653" s="7">
        <f t="shared" si="65"/>
        <v>0</v>
      </c>
      <c r="N653" s="7">
        <f>+IFERROR(+VLOOKUP(A653,'TB2019-20'!$A$12:$C$414,3,0),0)</f>
        <v>553184</v>
      </c>
      <c r="O653" s="7"/>
      <c r="P653" s="7">
        <f t="shared" si="66"/>
        <v>553184</v>
      </c>
    </row>
    <row r="654" spans="1:16" x14ac:dyDescent="0.25">
      <c r="A654" s="17" t="s">
        <v>855</v>
      </c>
      <c r="B654" s="7">
        <v>19</v>
      </c>
      <c r="C654" s="7" t="s">
        <v>602</v>
      </c>
      <c r="D654" s="7" t="s">
        <v>603</v>
      </c>
      <c r="E654" s="7">
        <f>+IFERROR(+VLOOKUP(A654,'Trial Balance'!$A$12:$C$428,2,0),0)</f>
        <v>72962</v>
      </c>
      <c r="F654" s="7"/>
      <c r="G654" s="7">
        <f t="shared" si="67"/>
        <v>72962</v>
      </c>
      <c r="H654" s="7">
        <f>+IFERROR(+VLOOKUP(A654,'Trial Balance'!$A$12:$C$428,3,0),0)</f>
        <v>0</v>
      </c>
      <c r="I654" s="7"/>
      <c r="J654" s="7">
        <f t="shared" si="68"/>
        <v>0</v>
      </c>
      <c r="K654" s="7">
        <f>+IFERROR(+VLOOKUP(A654,'TB2019-20'!$A$12:$C$414,2,0),0)</f>
        <v>61964</v>
      </c>
      <c r="L654" s="7"/>
      <c r="M654" s="7">
        <f t="shared" si="65"/>
        <v>61964</v>
      </c>
      <c r="N654" s="7">
        <f>+IFERROR(+VLOOKUP(A654,'TB2019-20'!$A$12:$C$414,3,0),0)</f>
        <v>0</v>
      </c>
      <c r="O654" s="7"/>
      <c r="P654" s="7">
        <f t="shared" si="66"/>
        <v>0</v>
      </c>
    </row>
    <row r="655" spans="1:16" x14ac:dyDescent="0.25">
      <c r="A655" s="17" t="s">
        <v>856</v>
      </c>
      <c r="B655" s="7">
        <v>26</v>
      </c>
      <c r="C655" s="7" t="s">
        <v>467</v>
      </c>
      <c r="D655" s="7" t="s">
        <v>570</v>
      </c>
      <c r="E655" s="7">
        <f>+IFERROR(+VLOOKUP(A655,'Trial Balance'!$A$12:$C$428,2,0),0)</f>
        <v>116491</v>
      </c>
      <c r="F655" s="7"/>
      <c r="G655" s="7">
        <f t="shared" si="67"/>
        <v>116491</v>
      </c>
      <c r="H655" s="7">
        <f>+IFERROR(+VLOOKUP(A655,'Trial Balance'!$A$12:$C$428,3,0),0)</f>
        <v>0</v>
      </c>
      <c r="I655" s="7"/>
      <c r="J655" s="7">
        <f t="shared" si="68"/>
        <v>0</v>
      </c>
      <c r="K655" s="7">
        <f>+IFERROR(+VLOOKUP(A655,'TB2019-20'!$A$12:$C$414,2,0),0)</f>
        <v>1281082.44</v>
      </c>
      <c r="L655" s="7"/>
      <c r="M655" s="7">
        <f t="shared" ref="M655:M718" si="69">+K655+L655</f>
        <v>1281082.44</v>
      </c>
      <c r="N655" s="7">
        <f>+IFERROR(+VLOOKUP(A655,'TB2019-20'!$A$12:$C$414,3,0),0)</f>
        <v>0</v>
      </c>
      <c r="O655" s="7"/>
      <c r="P655" s="7">
        <f t="shared" ref="P655:P718" si="70">+N655+O655</f>
        <v>0</v>
      </c>
    </row>
    <row r="656" spans="1:16" x14ac:dyDescent="0.25">
      <c r="A656" s="17" t="s">
        <v>857</v>
      </c>
      <c r="B656" s="7">
        <v>7</v>
      </c>
      <c r="C656" s="7" t="s">
        <v>460</v>
      </c>
      <c r="D656" s="7" t="s">
        <v>460</v>
      </c>
      <c r="E656" s="7">
        <f>+IFERROR(+VLOOKUP(A656,'Trial Balance'!$A$12:$C$428,2,0),0)</f>
        <v>0</v>
      </c>
      <c r="F656" s="7"/>
      <c r="G656" s="7">
        <f t="shared" si="67"/>
        <v>0</v>
      </c>
      <c r="H656" s="7">
        <f>+IFERROR(+VLOOKUP(A656,'Trial Balance'!$A$12:$C$428,3,0),0)</f>
        <v>109340</v>
      </c>
      <c r="I656" s="7"/>
      <c r="J656" s="7">
        <f t="shared" si="68"/>
        <v>109340</v>
      </c>
      <c r="K656" s="7">
        <f>+IFERROR(+VLOOKUP(A656,'TB2019-20'!$A$12:$C$414,2,0),0)</f>
        <v>0</v>
      </c>
      <c r="L656" s="7"/>
      <c r="M656" s="7">
        <f t="shared" si="69"/>
        <v>0</v>
      </c>
      <c r="N656" s="7">
        <f>+IFERROR(+VLOOKUP(A656,'TB2019-20'!$A$12:$C$414,3,0),0)</f>
        <v>88755</v>
      </c>
      <c r="O656" s="7"/>
      <c r="P656" s="7">
        <f t="shared" si="70"/>
        <v>88755</v>
      </c>
    </row>
    <row r="657" spans="1:16" x14ac:dyDescent="0.25">
      <c r="A657" s="22" t="s">
        <v>421</v>
      </c>
      <c r="B657" s="7">
        <v>15</v>
      </c>
      <c r="C657" s="7" t="s">
        <v>469</v>
      </c>
      <c r="D657" s="7" t="s">
        <v>470</v>
      </c>
      <c r="E657" s="7">
        <f>+IFERROR(+VLOOKUP(A657,'Trial Balance'!$A$12:$C$428,2,0),0)</f>
        <v>519122</v>
      </c>
      <c r="F657" s="7"/>
      <c r="G657" s="7">
        <f t="shared" si="67"/>
        <v>519122</v>
      </c>
      <c r="H657" s="7">
        <f>+IFERROR(+VLOOKUP(A657,'Trial Balance'!$A$12:$C$428,3,0),0)</f>
        <v>0</v>
      </c>
      <c r="I657" s="7"/>
      <c r="J657" s="7">
        <f t="shared" si="68"/>
        <v>0</v>
      </c>
      <c r="K657" s="7">
        <f>+IFERROR(+VLOOKUP(A657,'TB2019-20'!$A$12:$C$414,2,0),0)</f>
        <v>333284</v>
      </c>
      <c r="L657" s="7"/>
      <c r="M657" s="7">
        <f t="shared" si="69"/>
        <v>333284</v>
      </c>
      <c r="N657" s="7">
        <f>+IFERROR(+VLOOKUP(A657,'TB2019-20'!$A$12:$C$414,3,0),0)</f>
        <v>0</v>
      </c>
      <c r="O657" s="7"/>
      <c r="P657" s="7">
        <f t="shared" si="70"/>
        <v>0</v>
      </c>
    </row>
    <row r="658" spans="1:16" x14ac:dyDescent="0.25">
      <c r="A658" s="17" t="s">
        <v>858</v>
      </c>
      <c r="B658" s="7">
        <v>22</v>
      </c>
      <c r="C658" s="7" t="s">
        <v>557</v>
      </c>
      <c r="D658" s="7" t="s">
        <v>558</v>
      </c>
      <c r="E658" s="7">
        <f>+IFERROR(+VLOOKUP(A658,'Trial Balance'!$A$12:$C$428,2,0),0)</f>
        <v>1264812.5</v>
      </c>
      <c r="F658" s="7"/>
      <c r="G658" s="7">
        <f t="shared" si="67"/>
        <v>1264812.5</v>
      </c>
      <c r="H658" s="7">
        <f>+IFERROR(+VLOOKUP(A658,'Trial Balance'!$A$12:$C$428,3,0),0)</f>
        <v>0</v>
      </c>
      <c r="I658" s="7"/>
      <c r="J658" s="7">
        <f t="shared" si="68"/>
        <v>0</v>
      </c>
      <c r="K658" s="7">
        <f>+IFERROR(+VLOOKUP(A658,'TB2019-20'!$A$12:$C$414,2,0),0)</f>
        <v>676306.5</v>
      </c>
      <c r="L658" s="7"/>
      <c r="M658" s="7">
        <f t="shared" si="69"/>
        <v>676306.5</v>
      </c>
      <c r="N658" s="7">
        <f>+IFERROR(+VLOOKUP(A658,'TB2019-20'!$A$12:$C$414,3,0),0)</f>
        <v>0</v>
      </c>
      <c r="O658" s="7"/>
      <c r="P658" s="7">
        <f t="shared" si="70"/>
        <v>0</v>
      </c>
    </row>
    <row r="659" spans="1:16" x14ac:dyDescent="0.25">
      <c r="A659" s="17" t="s">
        <v>859</v>
      </c>
      <c r="B659" s="7">
        <v>22</v>
      </c>
      <c r="C659" s="7" t="s">
        <v>557</v>
      </c>
      <c r="D659" s="7" t="s">
        <v>558</v>
      </c>
      <c r="E659" s="7">
        <f>+IFERROR(+VLOOKUP(A659,'Trial Balance'!$A$12:$C$428,2,0),0)</f>
        <v>0</v>
      </c>
      <c r="F659" s="7"/>
      <c r="G659" s="7">
        <f t="shared" si="67"/>
        <v>0</v>
      </c>
      <c r="H659" s="7">
        <f>+IFERROR(+VLOOKUP(A659,'Trial Balance'!$A$12:$C$428,3,0),0)</f>
        <v>0</v>
      </c>
      <c r="I659" s="7"/>
      <c r="J659" s="7">
        <f t="shared" si="68"/>
        <v>0</v>
      </c>
      <c r="K659" s="7">
        <f>+IFERROR(+VLOOKUP(A659,'TB2019-20'!$A$12:$C$414,2,0),0)</f>
        <v>900</v>
      </c>
      <c r="L659" s="7"/>
      <c r="M659" s="7">
        <f t="shared" si="69"/>
        <v>900</v>
      </c>
      <c r="N659" s="7">
        <f>+IFERROR(+VLOOKUP(A659,'TB2019-20'!$A$12:$C$414,3,0),0)</f>
        <v>0</v>
      </c>
      <c r="O659" s="7"/>
      <c r="P659" s="7">
        <f t="shared" si="70"/>
        <v>0</v>
      </c>
    </row>
    <row r="660" spans="1:16" x14ac:dyDescent="0.25">
      <c r="A660" s="17" t="s">
        <v>860</v>
      </c>
      <c r="B660" s="7">
        <v>26</v>
      </c>
      <c r="C660" s="7" t="s">
        <v>467</v>
      </c>
      <c r="D660" s="7" t="s">
        <v>728</v>
      </c>
      <c r="E660" s="7">
        <f>+IFERROR(+VLOOKUP(A660,'Trial Balance'!$A$12:$C$428,2,0),0)</f>
        <v>277187</v>
      </c>
      <c r="F660" s="7"/>
      <c r="G660" s="7">
        <f t="shared" si="67"/>
        <v>277187</v>
      </c>
      <c r="H660" s="7">
        <f>+IFERROR(+VLOOKUP(A660,'Trial Balance'!$A$12:$C$428,3,0),0)</f>
        <v>0</v>
      </c>
      <c r="I660" s="7"/>
      <c r="J660" s="7">
        <f t="shared" si="68"/>
        <v>0</v>
      </c>
      <c r="K660" s="7">
        <f>+IFERROR(+VLOOKUP(A660,'TB2019-20'!$A$12:$C$414,2,0),0)</f>
        <v>350000</v>
      </c>
      <c r="L660" s="7"/>
      <c r="M660" s="7">
        <f t="shared" si="69"/>
        <v>350000</v>
      </c>
      <c r="N660" s="7">
        <f>+IFERROR(+VLOOKUP(A660,'TB2019-20'!$A$12:$C$414,3,0),0)</f>
        <v>0</v>
      </c>
      <c r="O660" s="7"/>
      <c r="P660" s="7">
        <f t="shared" si="70"/>
        <v>0</v>
      </c>
    </row>
    <row r="661" spans="1:16" x14ac:dyDescent="0.25">
      <c r="A661" s="22" t="s">
        <v>861</v>
      </c>
      <c r="B661" s="7">
        <v>15</v>
      </c>
      <c r="C661" s="7" t="s">
        <v>469</v>
      </c>
      <c r="D661" s="7" t="s">
        <v>470</v>
      </c>
      <c r="E661" s="7">
        <f>+IFERROR(+VLOOKUP(A661,'Trial Balance'!$A$12:$C$428,2,0),0)</f>
        <v>0</v>
      </c>
      <c r="F661" s="7"/>
      <c r="G661" s="7">
        <f t="shared" si="67"/>
        <v>0</v>
      </c>
      <c r="H661" s="7">
        <f>+IFERROR(+VLOOKUP(A661,'Trial Balance'!$A$12:$C$428,3,0),0)</f>
        <v>0</v>
      </c>
      <c r="I661" s="7"/>
      <c r="J661" s="7">
        <f t="shared" si="68"/>
        <v>0</v>
      </c>
      <c r="K661" s="7">
        <f>+IFERROR(+VLOOKUP(A661,'TB2019-20'!$A$12:$C$414,2,0),0)</f>
        <v>122689</v>
      </c>
      <c r="L661" s="7"/>
      <c r="M661" s="7">
        <f t="shared" si="69"/>
        <v>122689</v>
      </c>
      <c r="N661" s="7">
        <f>+IFERROR(+VLOOKUP(A661,'TB2019-20'!$A$12:$C$414,3,0),0)</f>
        <v>0</v>
      </c>
      <c r="O661" s="7"/>
      <c r="P661" s="7">
        <f t="shared" si="70"/>
        <v>0</v>
      </c>
    </row>
    <row r="662" spans="1:16" x14ac:dyDescent="0.25">
      <c r="A662" s="24" t="s">
        <v>425</v>
      </c>
      <c r="B662" s="7">
        <v>7</v>
      </c>
      <c r="C662" s="7" t="s">
        <v>460</v>
      </c>
      <c r="D662" s="7" t="s">
        <v>462</v>
      </c>
      <c r="E662" s="7">
        <f>+IFERROR(+VLOOKUP(A662,'Trial Balance'!$A$12:$C$428,2,0),0)</f>
        <v>0</v>
      </c>
      <c r="F662" s="7"/>
      <c r="G662" s="7">
        <f t="shared" si="67"/>
        <v>0</v>
      </c>
      <c r="H662" s="7">
        <f>+IFERROR(+VLOOKUP(A662,'Trial Balance'!$A$12:$C$428,3,0),0)</f>
        <v>0</v>
      </c>
      <c r="I662" s="7"/>
      <c r="J662" s="7">
        <f t="shared" si="68"/>
        <v>0</v>
      </c>
      <c r="K662" s="7">
        <f>+IFERROR(+VLOOKUP(A662,'TB2019-20'!$A$12:$C$414,2,0),0)</f>
        <v>0</v>
      </c>
      <c r="L662" s="7"/>
      <c r="M662" s="7">
        <f t="shared" si="69"/>
        <v>0</v>
      </c>
      <c r="N662" s="7">
        <f>+IFERROR(+VLOOKUP(A662,'TB2019-20'!$A$12:$C$414,3,0),0)</f>
        <v>92820</v>
      </c>
      <c r="O662" s="7"/>
      <c r="P662" s="7">
        <f t="shared" si="70"/>
        <v>92820</v>
      </c>
    </row>
    <row r="663" spans="1:16" x14ac:dyDescent="0.25">
      <c r="A663" s="20" t="s">
        <v>427</v>
      </c>
      <c r="B663" s="7">
        <v>7</v>
      </c>
      <c r="C663" s="7" t="s">
        <v>460</v>
      </c>
      <c r="D663" s="7" t="s">
        <v>460</v>
      </c>
      <c r="E663" s="7">
        <f>+IFERROR(+VLOOKUP(A663,'Trial Balance'!$A$12:$C$428,2,0),0)</f>
        <v>0</v>
      </c>
      <c r="F663" s="7"/>
      <c r="G663" s="7">
        <f t="shared" si="67"/>
        <v>0</v>
      </c>
      <c r="H663" s="7">
        <f>+IFERROR(+VLOOKUP(A663,'Trial Balance'!$A$12:$C$428,3,0),0)</f>
        <v>1871806</v>
      </c>
      <c r="I663" s="7"/>
      <c r="J663" s="7">
        <f t="shared" si="68"/>
        <v>1871806</v>
      </c>
      <c r="K663" s="7">
        <f>+IFERROR(+VLOOKUP(A663,'TB2019-20'!$A$12:$C$414,2,0),0)</f>
        <v>0</v>
      </c>
      <c r="L663" s="7"/>
      <c r="M663" s="7">
        <f t="shared" si="69"/>
        <v>0</v>
      </c>
      <c r="N663" s="7">
        <f>+IFERROR(+VLOOKUP(A663,'TB2019-20'!$A$12:$C$414,3,0),0)</f>
        <v>2274218</v>
      </c>
      <c r="O663" s="7"/>
      <c r="P663" s="7">
        <f t="shared" si="70"/>
        <v>2274218</v>
      </c>
    </row>
    <row r="664" spans="1:16" x14ac:dyDescent="0.25">
      <c r="A664" s="21" t="s">
        <v>862</v>
      </c>
      <c r="B664" s="7">
        <v>7</v>
      </c>
      <c r="C664" s="7" t="s">
        <v>460</v>
      </c>
      <c r="D664" s="7" t="s">
        <v>460</v>
      </c>
      <c r="E664" s="7">
        <f>+IFERROR(+VLOOKUP(A664,'Trial Balance'!$A$12:$C$428,2,0),0)</f>
        <v>0</v>
      </c>
      <c r="F664" s="7"/>
      <c r="G664" s="7">
        <f t="shared" si="67"/>
        <v>0</v>
      </c>
      <c r="H664" s="7">
        <f>+IFERROR(+VLOOKUP(A664,'Trial Balance'!$A$12:$C$428,3,0),0)</f>
        <v>0</v>
      </c>
      <c r="I664" s="7"/>
      <c r="J664" s="7">
        <f t="shared" si="68"/>
        <v>0</v>
      </c>
      <c r="K664" s="7">
        <f>+IFERROR(+VLOOKUP(A664,'TB2019-20'!$A$12:$C$414,2,0),0)</f>
        <v>0</v>
      </c>
      <c r="L664" s="7"/>
      <c r="M664" s="7">
        <f t="shared" si="69"/>
        <v>0</v>
      </c>
      <c r="N664" s="7">
        <f>+IFERROR(+VLOOKUP(A664,'TB2019-20'!$A$12:$C$414,3,0),0)</f>
        <v>0</v>
      </c>
      <c r="O664" s="7"/>
      <c r="P664" s="7">
        <f t="shared" si="70"/>
        <v>0</v>
      </c>
    </row>
    <row r="665" spans="1:16" x14ac:dyDescent="0.25">
      <c r="A665" s="24" t="s">
        <v>428</v>
      </c>
      <c r="B665" s="7">
        <v>26</v>
      </c>
      <c r="C665" s="7" t="s">
        <v>467</v>
      </c>
      <c r="D665" s="7" t="s">
        <v>541</v>
      </c>
      <c r="E665" s="7">
        <f>+IFERROR(+VLOOKUP(A665,'Trial Balance'!$A$12:$C$428,2,0),0)</f>
        <v>122521</v>
      </c>
      <c r="F665" s="7"/>
      <c r="G665" s="7">
        <f t="shared" si="67"/>
        <v>122521</v>
      </c>
      <c r="H665" s="7">
        <f>+IFERROR(+VLOOKUP(A665,'Trial Balance'!$A$12:$C$428,3,0),0)</f>
        <v>0</v>
      </c>
      <c r="I665" s="7"/>
      <c r="J665" s="7">
        <f t="shared" si="68"/>
        <v>0</v>
      </c>
      <c r="K665" s="7">
        <f>+IFERROR(+VLOOKUP(A665,'TB2019-20'!$A$12:$C$414,2,0),0)</f>
        <v>0</v>
      </c>
      <c r="L665" s="7"/>
      <c r="M665" s="7">
        <f t="shared" si="69"/>
        <v>0</v>
      </c>
      <c r="N665" s="7">
        <f>+IFERROR(+VLOOKUP(A665,'TB2019-20'!$A$12:$C$414,3,0),0)</f>
        <v>0</v>
      </c>
      <c r="O665" s="7"/>
      <c r="P665" s="7">
        <f t="shared" si="70"/>
        <v>0</v>
      </c>
    </row>
    <row r="666" spans="1:16" x14ac:dyDescent="0.25">
      <c r="A666" s="24" t="s">
        <v>863</v>
      </c>
      <c r="B666" s="7">
        <v>26</v>
      </c>
      <c r="C666" s="7" t="s">
        <v>467</v>
      </c>
      <c r="D666" s="7" t="s">
        <v>541</v>
      </c>
      <c r="E666" s="7">
        <f>+IFERROR(+VLOOKUP(A666,'Trial Balance'!$A$12:$C$428,2,0),0)</f>
        <v>0</v>
      </c>
      <c r="F666" s="7"/>
      <c r="G666" s="7">
        <f t="shared" si="67"/>
        <v>0</v>
      </c>
      <c r="H666" s="7">
        <f>+IFERROR(+VLOOKUP(A666,'Trial Balance'!$A$12:$C$428,3,0),0)</f>
        <v>0</v>
      </c>
      <c r="I666" s="7"/>
      <c r="J666" s="7">
        <f t="shared" si="68"/>
        <v>0</v>
      </c>
      <c r="K666" s="7">
        <f>+IFERROR(+VLOOKUP(A666,'TB2019-20'!$A$12:$C$414,2,0),0)</f>
        <v>0</v>
      </c>
      <c r="L666" s="7"/>
      <c r="M666" s="7">
        <f t="shared" si="69"/>
        <v>0</v>
      </c>
      <c r="N666" s="7">
        <f>+IFERROR(+VLOOKUP(A666,'TB2019-20'!$A$12:$C$414,3,0),0)</f>
        <v>0</v>
      </c>
      <c r="O666" s="7"/>
      <c r="P666" s="7">
        <f t="shared" si="70"/>
        <v>0</v>
      </c>
    </row>
    <row r="667" spans="1:16" x14ac:dyDescent="0.25">
      <c r="A667" s="24" t="s">
        <v>864</v>
      </c>
      <c r="B667" s="7">
        <v>26</v>
      </c>
      <c r="C667" s="7" t="s">
        <v>467</v>
      </c>
      <c r="D667" s="7" t="s">
        <v>541</v>
      </c>
      <c r="E667" s="7">
        <f>+IFERROR(+VLOOKUP(A667,'Trial Balance'!$A$12:$C$428,2,0),0)</f>
        <v>0</v>
      </c>
      <c r="F667" s="7"/>
      <c r="G667" s="7">
        <f t="shared" si="67"/>
        <v>0</v>
      </c>
      <c r="H667" s="7">
        <f>+IFERROR(+VLOOKUP(A667,'Trial Balance'!$A$12:$C$428,3,0),0)</f>
        <v>0</v>
      </c>
      <c r="I667" s="7"/>
      <c r="J667" s="7">
        <f t="shared" si="68"/>
        <v>0</v>
      </c>
      <c r="K667" s="7">
        <f>+IFERROR(+VLOOKUP(A667,'TB2019-20'!$A$12:$C$414,2,0),0)</f>
        <v>24429.360000000001</v>
      </c>
      <c r="L667" s="7"/>
      <c r="M667" s="7">
        <f t="shared" si="69"/>
        <v>24429.360000000001</v>
      </c>
      <c r="N667" s="7">
        <f>+IFERROR(+VLOOKUP(A667,'TB2019-20'!$A$12:$C$414,3,0),0)</f>
        <v>0</v>
      </c>
      <c r="O667" s="7"/>
      <c r="P667" s="7">
        <f t="shared" si="70"/>
        <v>0</v>
      </c>
    </row>
    <row r="668" spans="1:16" x14ac:dyDescent="0.25">
      <c r="A668" s="17" t="s">
        <v>865</v>
      </c>
      <c r="B668" s="7">
        <v>26</v>
      </c>
      <c r="C668" s="7" t="s">
        <v>467</v>
      </c>
      <c r="D668" s="7" t="s">
        <v>541</v>
      </c>
      <c r="E668" s="7">
        <f>+IFERROR(+VLOOKUP(A668,'Trial Balance'!$A$12:$C$428,2,0),0)</f>
        <v>0</v>
      </c>
      <c r="F668" s="7"/>
      <c r="G668" s="7">
        <f t="shared" si="67"/>
        <v>0</v>
      </c>
      <c r="H668" s="7">
        <f>+IFERROR(+VLOOKUP(A668,'Trial Balance'!$A$12:$C$428,3,0),0)</f>
        <v>0</v>
      </c>
      <c r="I668" s="7"/>
      <c r="J668" s="7">
        <f t="shared" si="68"/>
        <v>0</v>
      </c>
      <c r="K668" s="7">
        <f>+IFERROR(+VLOOKUP(A668,'TB2019-20'!$A$12:$C$414,2,0),0)</f>
        <v>0</v>
      </c>
      <c r="L668" s="7"/>
      <c r="M668" s="7">
        <f t="shared" si="69"/>
        <v>0</v>
      </c>
      <c r="N668" s="7">
        <f>+IFERROR(+VLOOKUP(A668,'TB2019-20'!$A$12:$C$414,3,0),0)</f>
        <v>0</v>
      </c>
      <c r="O668" s="7"/>
      <c r="P668" s="7">
        <f t="shared" si="70"/>
        <v>0</v>
      </c>
    </row>
    <row r="669" spans="1:16" x14ac:dyDescent="0.25">
      <c r="A669" s="17" t="s">
        <v>866</v>
      </c>
      <c r="B669" s="7">
        <v>26</v>
      </c>
      <c r="C669" s="7" t="s">
        <v>467</v>
      </c>
      <c r="D669" s="7" t="s">
        <v>565</v>
      </c>
      <c r="E669" s="7">
        <f>+IFERROR(+VLOOKUP(A669,'Trial Balance'!$A$12:$C$428,2,0),0)</f>
        <v>0</v>
      </c>
      <c r="F669" s="7"/>
      <c r="G669" s="7">
        <f t="shared" si="67"/>
        <v>0</v>
      </c>
      <c r="H669" s="7">
        <f>+IFERROR(+VLOOKUP(A669,'Trial Balance'!$A$12:$C$428,3,0),0)</f>
        <v>0</v>
      </c>
      <c r="I669" s="7"/>
      <c r="J669" s="7">
        <f t="shared" si="68"/>
        <v>0</v>
      </c>
      <c r="K669" s="7">
        <f>+IFERROR(+VLOOKUP(A669,'TB2019-20'!$A$12:$C$414,2,0),0)</f>
        <v>0</v>
      </c>
      <c r="L669" s="7"/>
      <c r="M669" s="7">
        <f t="shared" si="69"/>
        <v>0</v>
      </c>
      <c r="N669" s="7">
        <f>+IFERROR(+VLOOKUP(A669,'TB2019-20'!$A$12:$C$414,3,0),0)</f>
        <v>0</v>
      </c>
      <c r="O669" s="7"/>
      <c r="P669" s="7">
        <f t="shared" si="70"/>
        <v>0</v>
      </c>
    </row>
    <row r="670" spans="1:16" x14ac:dyDescent="0.25">
      <c r="A670" s="17" t="s">
        <v>867</v>
      </c>
      <c r="B670" s="7">
        <v>7</v>
      </c>
      <c r="C670" s="7" t="s">
        <v>460</v>
      </c>
      <c r="D670" s="7" t="s">
        <v>462</v>
      </c>
      <c r="E670" s="7">
        <f>+IFERROR(+VLOOKUP(A670,'Trial Balance'!$A$12:$C$428,2,0),0)</f>
        <v>0</v>
      </c>
      <c r="F670" s="7"/>
      <c r="G670" s="7">
        <f t="shared" si="67"/>
        <v>0</v>
      </c>
      <c r="H670" s="7">
        <f>+IFERROR(+VLOOKUP(A670,'Trial Balance'!$A$12:$C$428,3,0),0)</f>
        <v>0</v>
      </c>
      <c r="I670" s="7"/>
      <c r="J670" s="7">
        <f t="shared" si="68"/>
        <v>0</v>
      </c>
      <c r="K670" s="7">
        <f>+IFERROR(+VLOOKUP(A670,'TB2019-20'!$A$12:$C$414,2,0),0)</f>
        <v>0</v>
      </c>
      <c r="L670" s="7"/>
      <c r="M670" s="7">
        <f t="shared" si="69"/>
        <v>0</v>
      </c>
      <c r="N670" s="7">
        <f>+IFERROR(+VLOOKUP(A670,'TB2019-20'!$A$12:$C$414,3,0),0)</f>
        <v>0</v>
      </c>
      <c r="O670" s="7"/>
      <c r="P670" s="7">
        <f t="shared" si="70"/>
        <v>0</v>
      </c>
    </row>
    <row r="671" spans="1:16" x14ac:dyDescent="0.25">
      <c r="A671" s="17" t="s">
        <v>36</v>
      </c>
      <c r="B671" s="7">
        <v>25</v>
      </c>
      <c r="C671" s="7" t="s">
        <v>521</v>
      </c>
      <c r="D671" s="7" t="s">
        <v>522</v>
      </c>
      <c r="E671" s="7">
        <f>+IFERROR(+VLOOKUP(A671,'Trial Balance'!$A$12:$C$428,2,0),0)</f>
        <v>48970</v>
      </c>
      <c r="F671" s="7"/>
      <c r="G671" s="7">
        <f t="shared" si="67"/>
        <v>48970</v>
      </c>
      <c r="H671" s="7">
        <f>+IFERROR(+VLOOKUP(A671,'Trial Balance'!$A$12:$C$428,3,0),0)</f>
        <v>0</v>
      </c>
      <c r="I671" s="7"/>
      <c r="J671" s="7">
        <f t="shared" si="68"/>
        <v>0</v>
      </c>
      <c r="K671" s="7">
        <f>+IFERROR(+VLOOKUP(A671,'TB2019-20'!$A$12:$C$414,2,0),0)</f>
        <v>0</v>
      </c>
      <c r="L671" s="7"/>
      <c r="M671" s="7">
        <f t="shared" si="69"/>
        <v>0</v>
      </c>
      <c r="N671" s="7">
        <f>+IFERROR(+VLOOKUP(A671,'TB2019-20'!$A$12:$C$414,3,0),0)</f>
        <v>0</v>
      </c>
      <c r="O671" s="7"/>
      <c r="P671" s="7">
        <f t="shared" si="70"/>
        <v>0</v>
      </c>
    </row>
    <row r="672" spans="1:16" x14ac:dyDescent="0.25">
      <c r="A672" s="17" t="s">
        <v>868</v>
      </c>
      <c r="B672" s="7">
        <v>7</v>
      </c>
      <c r="C672" s="7" t="s">
        <v>460</v>
      </c>
      <c r="D672" s="7" t="s">
        <v>460</v>
      </c>
      <c r="E672" s="7">
        <f>+IFERROR(+VLOOKUP(A672,'Trial Balance'!$A$12:$C$428,2,0),0)</f>
        <v>0</v>
      </c>
      <c r="F672" s="7"/>
      <c r="G672" s="7">
        <f t="shared" si="67"/>
        <v>0</v>
      </c>
      <c r="H672" s="7">
        <f>+IFERROR(+VLOOKUP(A672,'Trial Balance'!$A$12:$C$428,3,0),0)</f>
        <v>0</v>
      </c>
      <c r="I672" s="7"/>
      <c r="J672" s="7">
        <f t="shared" si="68"/>
        <v>0</v>
      </c>
      <c r="K672" s="7">
        <f>+IFERROR(+VLOOKUP(A672,'TB2019-20'!$A$12:$C$414,2,0),0)</f>
        <v>0</v>
      </c>
      <c r="L672" s="7"/>
      <c r="M672" s="7">
        <f t="shared" si="69"/>
        <v>0</v>
      </c>
      <c r="N672" s="7">
        <f>+IFERROR(+VLOOKUP(A672,'TB2019-20'!$A$12:$C$414,3,0),0)</f>
        <v>0</v>
      </c>
      <c r="O672" s="7"/>
      <c r="P672" s="7">
        <f t="shared" si="70"/>
        <v>0</v>
      </c>
    </row>
    <row r="673" spans="1:16" x14ac:dyDescent="0.25">
      <c r="A673" s="17" t="s">
        <v>869</v>
      </c>
      <c r="B673" s="7">
        <v>7</v>
      </c>
      <c r="C673" s="7" t="s">
        <v>460</v>
      </c>
      <c r="D673" s="7" t="s">
        <v>462</v>
      </c>
      <c r="E673" s="7">
        <f>+IFERROR(+VLOOKUP(A673,'Trial Balance'!$A$12:$C$428,2,0),0)</f>
        <v>0</v>
      </c>
      <c r="F673" s="7"/>
      <c r="G673" s="7">
        <f t="shared" si="67"/>
        <v>0</v>
      </c>
      <c r="H673" s="7">
        <f>+IFERROR(+VLOOKUP(A673,'Trial Balance'!$A$12:$C$428,3,0),0)</f>
        <v>0</v>
      </c>
      <c r="I673" s="7"/>
      <c r="J673" s="7">
        <f t="shared" si="68"/>
        <v>0</v>
      </c>
      <c r="K673" s="7">
        <f>+IFERROR(+VLOOKUP(A673,'TB2019-20'!$A$12:$C$414,2,0),0)</f>
        <v>0</v>
      </c>
      <c r="L673" s="7"/>
      <c r="M673" s="7">
        <f t="shared" si="69"/>
        <v>0</v>
      </c>
      <c r="N673" s="7">
        <f>+IFERROR(+VLOOKUP(A673,'TB2019-20'!$A$12:$C$414,3,0),0)</f>
        <v>0</v>
      </c>
      <c r="O673" s="7"/>
      <c r="P673" s="7">
        <f t="shared" si="70"/>
        <v>0</v>
      </c>
    </row>
    <row r="674" spans="1:16" x14ac:dyDescent="0.25">
      <c r="A674" s="17" t="s">
        <v>71</v>
      </c>
      <c r="B674" s="7">
        <v>12</v>
      </c>
      <c r="C674" s="7" t="s">
        <v>465</v>
      </c>
      <c r="D674" s="14" t="s">
        <v>550</v>
      </c>
      <c r="E674" s="7">
        <f>+IFERROR(+VLOOKUP(A674,'Trial Balance'!$A$12:$C$428,2,0),0)</f>
        <v>0</v>
      </c>
      <c r="F674" s="7"/>
      <c r="G674" s="7">
        <f t="shared" si="67"/>
        <v>0</v>
      </c>
      <c r="H674" s="7">
        <f>+IFERROR(+VLOOKUP(A674,'Trial Balance'!$A$12:$C$428,3,0),0)</f>
        <v>2852087</v>
      </c>
      <c r="I674" s="7"/>
      <c r="J674" s="7">
        <f t="shared" si="68"/>
        <v>2852087</v>
      </c>
      <c r="K674" s="7">
        <f>+IFERROR(+VLOOKUP(A674,'TB2019-20'!$A$12:$C$414,2,0),0)</f>
        <v>0</v>
      </c>
      <c r="L674" s="7"/>
      <c r="M674" s="7">
        <f t="shared" si="69"/>
        <v>0</v>
      </c>
      <c r="N674" s="7">
        <f>+IFERROR(+VLOOKUP(A674,'TB2019-20'!$A$12:$C$414,3,0),0)</f>
        <v>0</v>
      </c>
      <c r="O674" s="7"/>
      <c r="P674" s="7">
        <f t="shared" si="70"/>
        <v>0</v>
      </c>
    </row>
    <row r="675" spans="1:16" x14ac:dyDescent="0.25">
      <c r="A675" s="17" t="s">
        <v>97</v>
      </c>
      <c r="B675" s="7">
        <v>7</v>
      </c>
      <c r="C675" s="7" t="s">
        <v>460</v>
      </c>
      <c r="D675" s="7" t="s">
        <v>462</v>
      </c>
      <c r="E675" s="7">
        <f>+IFERROR(+VLOOKUP(A675,'Trial Balance'!$A$12:$C$428,2,0),0)</f>
        <v>0</v>
      </c>
      <c r="F675" s="7"/>
      <c r="G675" s="7">
        <f t="shared" si="67"/>
        <v>0</v>
      </c>
      <c r="H675" s="7">
        <f>+IFERROR(+VLOOKUP(A675,'Trial Balance'!$A$12:$C$428,3,0),0)</f>
        <v>0</v>
      </c>
      <c r="I675" s="7"/>
      <c r="J675" s="7">
        <f t="shared" si="68"/>
        <v>0</v>
      </c>
      <c r="K675" s="7">
        <f>+IFERROR(+VLOOKUP(A675,'TB2019-20'!$A$12:$C$414,2,0),0)</f>
        <v>0</v>
      </c>
      <c r="L675" s="7"/>
      <c r="M675" s="7">
        <f t="shared" si="69"/>
        <v>0</v>
      </c>
      <c r="N675" s="7">
        <f>+IFERROR(+VLOOKUP(A675,'TB2019-20'!$A$12:$C$414,3,0),0)</f>
        <v>0</v>
      </c>
      <c r="O675" s="7"/>
      <c r="P675" s="7">
        <f t="shared" si="70"/>
        <v>0</v>
      </c>
    </row>
    <row r="676" spans="1:16" x14ac:dyDescent="0.25">
      <c r="A676" s="17" t="s">
        <v>870</v>
      </c>
      <c r="B676" s="7">
        <v>7</v>
      </c>
      <c r="C676" s="7" t="s">
        <v>460</v>
      </c>
      <c r="D676" s="7" t="s">
        <v>462</v>
      </c>
      <c r="E676" s="7">
        <f>+IFERROR(+VLOOKUP(A676,'Trial Balance'!$A$12:$C$428,2,0),0)</f>
        <v>0</v>
      </c>
      <c r="F676" s="7"/>
      <c r="G676" s="7">
        <f t="shared" si="67"/>
        <v>0</v>
      </c>
      <c r="H676" s="7">
        <f>+IFERROR(+VLOOKUP(A676,'Trial Balance'!$A$12:$C$428,3,0),0)</f>
        <v>0</v>
      </c>
      <c r="I676" s="7"/>
      <c r="J676" s="7">
        <f t="shared" si="68"/>
        <v>0</v>
      </c>
      <c r="K676" s="7">
        <f>+IFERROR(+VLOOKUP(A676,'TB2019-20'!$A$12:$C$414,2,0),0)</f>
        <v>0</v>
      </c>
      <c r="L676" s="7"/>
      <c r="M676" s="7">
        <f t="shared" si="69"/>
        <v>0</v>
      </c>
      <c r="N676" s="7">
        <f>+IFERROR(+VLOOKUP(A676,'TB2019-20'!$A$12:$C$414,3,0),0)</f>
        <v>0</v>
      </c>
      <c r="O676" s="7"/>
      <c r="P676" s="7">
        <f t="shared" si="70"/>
        <v>0</v>
      </c>
    </row>
    <row r="677" spans="1:16" x14ac:dyDescent="0.25">
      <c r="A677" s="17" t="s">
        <v>871</v>
      </c>
      <c r="B677" s="7">
        <v>7</v>
      </c>
      <c r="C677" s="7" t="s">
        <v>460</v>
      </c>
      <c r="D677" s="7" t="s">
        <v>462</v>
      </c>
      <c r="E677" s="7">
        <f>+IFERROR(+VLOOKUP(A677,'Trial Balance'!$A$12:$C$428,2,0),0)</f>
        <v>0</v>
      </c>
      <c r="F677" s="7"/>
      <c r="G677" s="7">
        <f t="shared" si="67"/>
        <v>0</v>
      </c>
      <c r="H677" s="7">
        <f>+IFERROR(+VLOOKUP(A677,'Trial Balance'!$A$12:$C$428,3,0),0)</f>
        <v>0</v>
      </c>
      <c r="I677" s="7"/>
      <c r="J677" s="7">
        <f t="shared" si="68"/>
        <v>0</v>
      </c>
      <c r="K677" s="7">
        <f>+IFERROR(+VLOOKUP(A677,'TB2019-20'!$A$12:$C$414,2,0),0)</f>
        <v>0</v>
      </c>
      <c r="L677" s="7"/>
      <c r="M677" s="7">
        <f t="shared" si="69"/>
        <v>0</v>
      </c>
      <c r="N677" s="7">
        <f>+IFERROR(+VLOOKUP(A677,'TB2019-20'!$A$12:$C$414,3,0),0)</f>
        <v>0</v>
      </c>
      <c r="O677" s="7"/>
      <c r="P677" s="7">
        <f t="shared" si="70"/>
        <v>0</v>
      </c>
    </row>
    <row r="678" spans="1:16" x14ac:dyDescent="0.25">
      <c r="A678" s="17" t="s">
        <v>167</v>
      </c>
      <c r="B678" s="7">
        <v>12</v>
      </c>
      <c r="C678" s="7" t="s">
        <v>465</v>
      </c>
      <c r="D678" s="14" t="s">
        <v>550</v>
      </c>
      <c r="E678" s="7">
        <f>+IFERROR(+VLOOKUP(A678,'Trial Balance'!$A$12:$C$428,2,0),0)</f>
        <v>0</v>
      </c>
      <c r="F678" s="7"/>
      <c r="G678" s="7">
        <f t="shared" si="67"/>
        <v>0</v>
      </c>
      <c r="H678" s="7">
        <f>+IFERROR(+VLOOKUP(A678,'Trial Balance'!$A$12:$C$428,3,0),0)</f>
        <v>446301</v>
      </c>
      <c r="I678" s="7"/>
      <c r="J678" s="7">
        <f t="shared" si="68"/>
        <v>446301</v>
      </c>
      <c r="K678" s="7">
        <f>+IFERROR(+VLOOKUP(A678,'TB2019-20'!$A$12:$C$414,2,0),0)</f>
        <v>0</v>
      </c>
      <c r="L678" s="7"/>
      <c r="M678" s="7">
        <f t="shared" si="69"/>
        <v>0</v>
      </c>
      <c r="N678" s="7">
        <f>+IFERROR(+VLOOKUP(A678,'TB2019-20'!$A$12:$C$414,3,0),0)</f>
        <v>0</v>
      </c>
      <c r="O678" s="7"/>
      <c r="P678" s="7">
        <f t="shared" si="70"/>
        <v>0</v>
      </c>
    </row>
    <row r="679" spans="1:16" x14ac:dyDescent="0.25">
      <c r="A679" s="17" t="s">
        <v>189</v>
      </c>
      <c r="B679" s="7">
        <v>25</v>
      </c>
      <c r="C679" s="7" t="s">
        <v>521</v>
      </c>
      <c r="D679" s="7" t="s">
        <v>661</v>
      </c>
      <c r="E679" s="7">
        <f>+IFERROR(+VLOOKUP(A679,'Trial Balance'!$A$12:$C$428,2,0),0)</f>
        <v>859878</v>
      </c>
      <c r="F679" s="7"/>
      <c r="G679" s="7">
        <f t="shared" si="67"/>
        <v>859878</v>
      </c>
      <c r="H679" s="7">
        <f>+IFERROR(+VLOOKUP(A679,'Trial Balance'!$A$12:$C$428,3,0),0)</f>
        <v>0</v>
      </c>
      <c r="I679" s="7"/>
      <c r="J679" s="7">
        <f t="shared" si="68"/>
        <v>0</v>
      </c>
      <c r="K679" s="7">
        <f>+IFERROR(+VLOOKUP(A679,'TB2019-20'!$A$12:$C$414,2,0),0)</f>
        <v>0</v>
      </c>
      <c r="L679" s="7"/>
      <c r="M679" s="7">
        <f t="shared" si="69"/>
        <v>0</v>
      </c>
      <c r="N679" s="7">
        <f>+IFERROR(+VLOOKUP(A679,'TB2019-20'!$A$12:$C$414,3,0),0)</f>
        <v>0</v>
      </c>
      <c r="O679" s="7"/>
      <c r="P679" s="7">
        <f t="shared" si="70"/>
        <v>0</v>
      </c>
    </row>
    <row r="680" spans="1:16" x14ac:dyDescent="0.25">
      <c r="A680" s="17" t="s">
        <v>201</v>
      </c>
      <c r="B680" s="7">
        <v>7</v>
      </c>
      <c r="C680" s="7" t="s">
        <v>460</v>
      </c>
      <c r="D680" s="7" t="s">
        <v>460</v>
      </c>
      <c r="E680" s="7">
        <f>+IFERROR(+VLOOKUP(A680,'Trial Balance'!$A$12:$C$428,2,0),0)</f>
        <v>0</v>
      </c>
      <c r="F680" s="7"/>
      <c r="G680" s="7">
        <f t="shared" si="67"/>
        <v>0</v>
      </c>
      <c r="H680" s="7">
        <f>+IFERROR(+VLOOKUP(A680,'Trial Balance'!$A$12:$C$428,3,0),0)</f>
        <v>71036</v>
      </c>
      <c r="I680" s="7"/>
      <c r="J680" s="7">
        <f t="shared" si="68"/>
        <v>71036</v>
      </c>
      <c r="K680" s="7">
        <f>+IFERROR(+VLOOKUP(A680,'TB2019-20'!$A$12:$C$414,2,0),0)</f>
        <v>0</v>
      </c>
      <c r="L680" s="7"/>
      <c r="M680" s="7">
        <f t="shared" si="69"/>
        <v>0</v>
      </c>
      <c r="N680" s="7">
        <f>+IFERROR(+VLOOKUP(A680,'TB2019-20'!$A$12:$C$414,3,0),0)</f>
        <v>0</v>
      </c>
      <c r="O680" s="7"/>
      <c r="P680" s="7">
        <f t="shared" si="70"/>
        <v>0</v>
      </c>
    </row>
    <row r="681" spans="1:16" x14ac:dyDescent="0.25">
      <c r="A681" s="17" t="s">
        <v>205</v>
      </c>
      <c r="B681" s="7">
        <v>15</v>
      </c>
      <c r="C681" s="7" t="s">
        <v>469</v>
      </c>
      <c r="D681" s="7" t="s">
        <v>469</v>
      </c>
      <c r="E681" s="7">
        <f>+IFERROR(+VLOOKUP(A681,'Trial Balance'!$A$12:$C$428,2,0),0)</f>
        <v>565401</v>
      </c>
      <c r="F681" s="7"/>
      <c r="G681" s="7">
        <f t="shared" si="67"/>
        <v>565401</v>
      </c>
      <c r="H681" s="7">
        <f>+IFERROR(+VLOOKUP(A681,'Trial Balance'!$A$12:$C$428,3,0),0)</f>
        <v>0</v>
      </c>
      <c r="I681" s="7"/>
      <c r="J681" s="7">
        <f t="shared" si="68"/>
        <v>0</v>
      </c>
      <c r="K681" s="7">
        <f>+IFERROR(+VLOOKUP(A681,'TB2019-20'!$A$12:$C$414,2,0),0)</f>
        <v>0</v>
      </c>
      <c r="L681" s="7"/>
      <c r="M681" s="7">
        <f t="shared" si="69"/>
        <v>0</v>
      </c>
      <c r="N681" s="7">
        <f>+IFERROR(+VLOOKUP(A681,'TB2019-20'!$A$12:$C$414,3,0),0)</f>
        <v>0</v>
      </c>
      <c r="O681" s="7"/>
      <c r="P681" s="7">
        <f t="shared" si="70"/>
        <v>0</v>
      </c>
    </row>
    <row r="682" spans="1:16" x14ac:dyDescent="0.25">
      <c r="A682" s="17" t="s">
        <v>872</v>
      </c>
      <c r="B682" s="7">
        <v>7</v>
      </c>
      <c r="C682" s="7" t="s">
        <v>460</v>
      </c>
      <c r="D682" s="7" t="s">
        <v>462</v>
      </c>
      <c r="E682" s="7">
        <f>+IFERROR(+VLOOKUP(A682,'Trial Balance'!$A$12:$C$428,2,0),0)</f>
        <v>0</v>
      </c>
      <c r="F682" s="7"/>
      <c r="G682" s="7">
        <f t="shared" si="67"/>
        <v>0</v>
      </c>
      <c r="H682" s="7">
        <f>+IFERROR(+VLOOKUP(A682,'Trial Balance'!$A$12:$C$428,3,0),0)</f>
        <v>0</v>
      </c>
      <c r="I682" s="7"/>
      <c r="J682" s="7">
        <f t="shared" si="68"/>
        <v>0</v>
      </c>
      <c r="K682" s="7">
        <f>+IFERROR(+VLOOKUP(A682,'TB2019-20'!$A$12:$C$414,2,0),0)</f>
        <v>0</v>
      </c>
      <c r="L682" s="7"/>
      <c r="M682" s="7">
        <f t="shared" si="69"/>
        <v>0</v>
      </c>
      <c r="N682" s="7">
        <f>+IFERROR(+VLOOKUP(A682,'TB2019-20'!$A$12:$C$414,3,0),0)</f>
        <v>0</v>
      </c>
      <c r="O682" s="7"/>
      <c r="P682" s="7">
        <f t="shared" si="70"/>
        <v>0</v>
      </c>
    </row>
    <row r="683" spans="1:16" x14ac:dyDescent="0.25">
      <c r="A683" s="17" t="s">
        <v>873</v>
      </c>
      <c r="B683" s="7">
        <v>7</v>
      </c>
      <c r="C683" s="7" t="s">
        <v>460</v>
      </c>
      <c r="D683" s="7" t="s">
        <v>462</v>
      </c>
      <c r="E683" s="7">
        <f>+IFERROR(+VLOOKUP(A683,'Trial Balance'!$A$12:$C$428,2,0),0)</f>
        <v>0</v>
      </c>
      <c r="F683" s="7"/>
      <c r="G683" s="7">
        <f t="shared" si="67"/>
        <v>0</v>
      </c>
      <c r="H683" s="7">
        <f>+IFERROR(+VLOOKUP(A683,'Trial Balance'!$A$12:$C$428,3,0),0)</f>
        <v>0</v>
      </c>
      <c r="I683" s="7"/>
      <c r="J683" s="7">
        <f t="shared" si="68"/>
        <v>0</v>
      </c>
      <c r="K683" s="7">
        <f>+IFERROR(+VLOOKUP(A683,'TB2019-20'!$A$12:$C$414,2,0),0)</f>
        <v>0</v>
      </c>
      <c r="L683" s="7"/>
      <c r="M683" s="7">
        <f t="shared" si="69"/>
        <v>0</v>
      </c>
      <c r="N683" s="7">
        <f>+IFERROR(+VLOOKUP(A683,'TB2019-20'!$A$12:$C$414,3,0),0)</f>
        <v>0</v>
      </c>
      <c r="O683" s="7"/>
      <c r="P683" s="7">
        <f t="shared" si="70"/>
        <v>0</v>
      </c>
    </row>
    <row r="684" spans="1:16" x14ac:dyDescent="0.25">
      <c r="A684" s="17" t="s">
        <v>874</v>
      </c>
      <c r="B684" s="7">
        <v>15</v>
      </c>
      <c r="C684" s="7" t="s">
        <v>469</v>
      </c>
      <c r="D684" s="7" t="s">
        <v>469</v>
      </c>
      <c r="E684" s="7">
        <f>+IFERROR(+VLOOKUP(A684,'Trial Balance'!$A$12:$C$428,2,0),0)</f>
        <v>0</v>
      </c>
      <c r="F684" s="7"/>
      <c r="G684" s="7">
        <f t="shared" si="67"/>
        <v>0</v>
      </c>
      <c r="H684" s="7">
        <f>+IFERROR(+VLOOKUP(A684,'Trial Balance'!$A$12:$C$428,3,0),0)</f>
        <v>0</v>
      </c>
      <c r="I684" s="7"/>
      <c r="J684" s="7">
        <f t="shared" si="68"/>
        <v>0</v>
      </c>
      <c r="K684" s="7">
        <f>+IFERROR(+VLOOKUP(A684,'TB2019-20'!$A$12:$C$414,2,0),0)</f>
        <v>0</v>
      </c>
      <c r="L684" s="7"/>
      <c r="M684" s="7">
        <f t="shared" si="69"/>
        <v>0</v>
      </c>
      <c r="N684" s="7">
        <f>+IFERROR(+VLOOKUP(A684,'TB2019-20'!$A$12:$C$414,3,0),0)</f>
        <v>0</v>
      </c>
      <c r="O684" s="7"/>
      <c r="P684" s="7">
        <f t="shared" si="70"/>
        <v>0</v>
      </c>
    </row>
    <row r="685" spans="1:16" x14ac:dyDescent="0.25">
      <c r="A685" s="17" t="s">
        <v>243</v>
      </c>
      <c r="B685" s="7">
        <v>8</v>
      </c>
      <c r="C685" s="7" t="s">
        <v>497</v>
      </c>
      <c r="D685" s="7" t="s">
        <v>498</v>
      </c>
      <c r="E685" s="7">
        <f>+IFERROR(+VLOOKUP(A685,'Trial Balance'!$A$12:$C$428,2,0),0)</f>
        <v>0</v>
      </c>
      <c r="F685" s="7"/>
      <c r="G685" s="7">
        <f t="shared" si="67"/>
        <v>0</v>
      </c>
      <c r="H685" s="7">
        <f>+IFERROR(+VLOOKUP(A685,'Trial Balance'!$A$12:$C$428,3,0),0)</f>
        <v>0</v>
      </c>
      <c r="I685" s="7"/>
      <c r="J685" s="7">
        <f t="shared" si="68"/>
        <v>0</v>
      </c>
      <c r="K685" s="7">
        <f>+IFERROR(+VLOOKUP(A685,'TB2019-20'!$A$12:$C$414,2,0),0)</f>
        <v>0</v>
      </c>
      <c r="L685" s="7"/>
      <c r="M685" s="7">
        <f t="shared" si="69"/>
        <v>0</v>
      </c>
      <c r="N685" s="7">
        <f>+IFERROR(+VLOOKUP(A685,'TB2019-20'!$A$12:$C$414,3,0),0)</f>
        <v>0</v>
      </c>
      <c r="O685" s="7"/>
      <c r="P685" s="7">
        <f t="shared" si="70"/>
        <v>0</v>
      </c>
    </row>
    <row r="686" spans="1:16" x14ac:dyDescent="0.25">
      <c r="A686" s="17" t="s">
        <v>875</v>
      </c>
      <c r="B686" s="7">
        <v>7</v>
      </c>
      <c r="C686" s="7" t="s">
        <v>460</v>
      </c>
      <c r="D686" s="7" t="s">
        <v>462</v>
      </c>
      <c r="E686" s="7">
        <f>+IFERROR(+VLOOKUP(A686,'Trial Balance'!$A$12:$C$428,2,0),0)</f>
        <v>0</v>
      </c>
      <c r="F686" s="7"/>
      <c r="G686" s="7">
        <f t="shared" si="67"/>
        <v>0</v>
      </c>
      <c r="H686" s="7">
        <f>+IFERROR(+VLOOKUP(A686,'Trial Balance'!$A$12:$C$428,3,0),0)</f>
        <v>0</v>
      </c>
      <c r="I686" s="7"/>
      <c r="J686" s="7">
        <f t="shared" si="68"/>
        <v>0</v>
      </c>
      <c r="K686" s="7">
        <f>+IFERROR(+VLOOKUP(A686,'TB2019-20'!$A$12:$C$414,2,0),0)</f>
        <v>0</v>
      </c>
      <c r="L686" s="7"/>
      <c r="M686" s="7">
        <f t="shared" si="69"/>
        <v>0</v>
      </c>
      <c r="N686" s="7">
        <f>+IFERROR(+VLOOKUP(A686,'TB2019-20'!$A$12:$C$414,3,0),0)</f>
        <v>0</v>
      </c>
      <c r="O686" s="7"/>
      <c r="P686" s="7">
        <f t="shared" si="70"/>
        <v>0</v>
      </c>
    </row>
    <row r="687" spans="1:16" x14ac:dyDescent="0.25">
      <c r="A687" s="17" t="s">
        <v>295</v>
      </c>
      <c r="B687" s="7">
        <v>12</v>
      </c>
      <c r="C687" s="7" t="s">
        <v>465</v>
      </c>
      <c r="D687" s="7" t="s">
        <v>466</v>
      </c>
      <c r="E687" s="7">
        <f>+IFERROR(+VLOOKUP(A687,'Trial Balance'!$A$12:$C$428,2,0),0)</f>
        <v>0</v>
      </c>
      <c r="F687" s="7"/>
      <c r="G687" s="7">
        <f t="shared" si="67"/>
        <v>0</v>
      </c>
      <c r="H687" s="7">
        <f>+IFERROR(+VLOOKUP(A687,'Trial Balance'!$A$12:$C$428,3,0),0)</f>
        <v>0</v>
      </c>
      <c r="I687" s="7"/>
      <c r="J687" s="7">
        <f t="shared" si="68"/>
        <v>0</v>
      </c>
      <c r="K687" s="7">
        <f>+IFERROR(+VLOOKUP(A687,'TB2019-20'!$A$12:$C$414,2,0),0)</f>
        <v>0</v>
      </c>
      <c r="L687" s="7"/>
      <c r="M687" s="7">
        <f t="shared" si="69"/>
        <v>0</v>
      </c>
      <c r="N687" s="7">
        <f>+IFERROR(+VLOOKUP(A687,'TB2019-20'!$A$12:$C$414,3,0),0)</f>
        <v>0</v>
      </c>
      <c r="O687" s="7"/>
      <c r="P687" s="7">
        <f t="shared" si="70"/>
        <v>0</v>
      </c>
    </row>
    <row r="688" spans="1:16" x14ac:dyDescent="0.25">
      <c r="A688" s="17" t="s">
        <v>876</v>
      </c>
      <c r="B688" s="7">
        <v>15</v>
      </c>
      <c r="C688" s="7" t="s">
        <v>469</v>
      </c>
      <c r="D688" s="7" t="s">
        <v>469</v>
      </c>
      <c r="E688" s="7">
        <f>+IFERROR(+VLOOKUP(A688,'Trial Balance'!$A$12:$C$428,2,0),0)</f>
        <v>0</v>
      </c>
      <c r="F688" s="7"/>
      <c r="G688" s="7">
        <f t="shared" si="67"/>
        <v>0</v>
      </c>
      <c r="H688" s="7">
        <f>+IFERROR(+VLOOKUP(A688,'Trial Balance'!$A$12:$C$428,3,0),0)</f>
        <v>0</v>
      </c>
      <c r="I688" s="7"/>
      <c r="J688" s="7">
        <f t="shared" si="68"/>
        <v>0</v>
      </c>
      <c r="K688" s="7">
        <f>+IFERROR(+VLOOKUP(A688,'TB2019-20'!$A$12:$C$414,2,0),0)</f>
        <v>0</v>
      </c>
      <c r="L688" s="7"/>
      <c r="M688" s="7">
        <f t="shared" si="69"/>
        <v>0</v>
      </c>
      <c r="N688" s="7">
        <f>+IFERROR(+VLOOKUP(A688,'TB2019-20'!$A$12:$C$414,3,0),0)</f>
        <v>0</v>
      </c>
      <c r="O688" s="7"/>
      <c r="P688" s="7">
        <f t="shared" si="70"/>
        <v>0</v>
      </c>
    </row>
    <row r="689" spans="1:16" x14ac:dyDescent="0.25">
      <c r="A689" s="17" t="s">
        <v>327</v>
      </c>
      <c r="B689" s="7">
        <v>7</v>
      </c>
      <c r="C689" s="7" t="s">
        <v>460</v>
      </c>
      <c r="D689" s="7" t="s">
        <v>460</v>
      </c>
      <c r="E689" s="7">
        <f>+IFERROR(+VLOOKUP(A689,'Trial Balance'!$A$12:$C$428,2,0),0)</f>
        <v>0</v>
      </c>
      <c r="F689" s="7"/>
      <c r="G689" s="7">
        <f t="shared" si="67"/>
        <v>0</v>
      </c>
      <c r="H689" s="7">
        <f>+IFERROR(+VLOOKUP(A689,'Trial Balance'!$A$12:$C$428,3,0),0)</f>
        <v>19934</v>
      </c>
      <c r="I689" s="7"/>
      <c r="J689" s="7">
        <f t="shared" si="68"/>
        <v>19934</v>
      </c>
      <c r="K689" s="7">
        <f>+IFERROR(+VLOOKUP(A689,'TB2019-20'!$A$12:$C$414,2,0),0)</f>
        <v>0</v>
      </c>
      <c r="L689" s="7"/>
      <c r="M689" s="7">
        <f t="shared" si="69"/>
        <v>0</v>
      </c>
      <c r="N689" s="7">
        <f>+IFERROR(+VLOOKUP(A689,'TB2019-20'!$A$12:$C$414,3,0),0)</f>
        <v>0</v>
      </c>
      <c r="O689" s="7"/>
      <c r="P689" s="7">
        <f t="shared" si="70"/>
        <v>0</v>
      </c>
    </row>
    <row r="690" spans="1:16" x14ac:dyDescent="0.25">
      <c r="A690" s="17" t="s">
        <v>877</v>
      </c>
      <c r="B690" s="7">
        <v>15</v>
      </c>
      <c r="C690" s="7" t="s">
        <v>469</v>
      </c>
      <c r="D690" s="7" t="s">
        <v>469</v>
      </c>
      <c r="E690" s="7">
        <f>+IFERROR(+VLOOKUP(A690,'Trial Balance'!$A$12:$C$428,2,0),0)</f>
        <v>0</v>
      </c>
      <c r="F690" s="7"/>
      <c r="G690" s="7">
        <f t="shared" si="67"/>
        <v>0</v>
      </c>
      <c r="H690" s="7">
        <f>+IFERROR(+VLOOKUP(A690,'Trial Balance'!$A$12:$C$428,3,0),0)</f>
        <v>0</v>
      </c>
      <c r="I690" s="7"/>
      <c r="J690" s="7">
        <f t="shared" si="68"/>
        <v>0</v>
      </c>
      <c r="K690" s="7">
        <f>+IFERROR(+VLOOKUP(A690,'TB2019-20'!$A$12:$C$414,2,0),0)</f>
        <v>0</v>
      </c>
      <c r="L690" s="7"/>
      <c r="M690" s="7">
        <f t="shared" si="69"/>
        <v>0</v>
      </c>
      <c r="N690" s="7">
        <f>+IFERROR(+VLOOKUP(A690,'TB2019-20'!$A$12:$C$414,3,0),0)</f>
        <v>0</v>
      </c>
      <c r="O690" s="7"/>
      <c r="P690" s="7">
        <f t="shared" si="70"/>
        <v>0</v>
      </c>
    </row>
    <row r="691" spans="1:16" x14ac:dyDescent="0.25">
      <c r="A691" s="17" t="s">
        <v>340</v>
      </c>
      <c r="B691" s="7">
        <v>4</v>
      </c>
      <c r="C691" s="7" t="s">
        <v>489</v>
      </c>
      <c r="D691" s="7" t="s">
        <v>789</v>
      </c>
      <c r="E691" s="7">
        <f>+IFERROR(+VLOOKUP(A691,'Trial Balance'!$A$12:$C$428,2,0),0)</f>
        <v>0</v>
      </c>
      <c r="F691" s="7"/>
      <c r="G691" s="7">
        <f t="shared" si="67"/>
        <v>0</v>
      </c>
      <c r="H691" s="7">
        <f>+IFERROR(+VLOOKUP(A691,'Trial Balance'!$A$12:$C$428,3,0),0)</f>
        <v>14600000</v>
      </c>
      <c r="I691" s="7"/>
      <c r="J691" s="7">
        <f t="shared" si="68"/>
        <v>14600000</v>
      </c>
      <c r="K691" s="7">
        <f>+IFERROR(+VLOOKUP(A691,'TB2019-20'!$A$12:$C$414,2,0),0)</f>
        <v>0</v>
      </c>
      <c r="L691" s="7"/>
      <c r="M691" s="7">
        <f t="shared" si="69"/>
        <v>0</v>
      </c>
      <c r="N691" s="7">
        <f>+IFERROR(+VLOOKUP(A691,'TB2019-20'!$A$12:$C$414,3,0),0)</f>
        <v>0</v>
      </c>
      <c r="O691" s="7"/>
      <c r="P691" s="7">
        <f t="shared" si="70"/>
        <v>0</v>
      </c>
    </row>
    <row r="692" spans="1:16" x14ac:dyDescent="0.25">
      <c r="A692" s="8" t="s">
        <v>878</v>
      </c>
      <c r="B692" s="7">
        <v>12</v>
      </c>
      <c r="C692" s="7" t="s">
        <v>465</v>
      </c>
      <c r="D692" s="14" t="s">
        <v>550</v>
      </c>
      <c r="E692" s="7">
        <f>+IFERROR(+VLOOKUP(A692,'Trial Balance'!$A$12:$C$428,2,0),0)</f>
        <v>0</v>
      </c>
      <c r="F692" s="7"/>
      <c r="G692" s="7">
        <f t="shared" si="67"/>
        <v>0</v>
      </c>
      <c r="H692" s="7">
        <f>+IFERROR(+VLOOKUP(A692,'Trial Balance'!$A$12:$C$428,3,0),0)</f>
        <v>0</v>
      </c>
      <c r="I692" s="7"/>
      <c r="J692" s="7">
        <f t="shared" si="68"/>
        <v>0</v>
      </c>
      <c r="K692" s="7">
        <f>+IFERROR(+VLOOKUP(A692,'TB2019-20'!$A$12:$C$414,2,0),0)</f>
        <v>0</v>
      </c>
      <c r="L692" s="7"/>
      <c r="M692" s="7">
        <f t="shared" si="69"/>
        <v>0</v>
      </c>
      <c r="N692" s="7">
        <f>+IFERROR(+VLOOKUP(A692,'TB2019-20'!$A$12:$C$414,3,0),0)</f>
        <v>0</v>
      </c>
      <c r="O692" s="7"/>
      <c r="P692" s="7">
        <f t="shared" si="70"/>
        <v>0</v>
      </c>
    </row>
    <row r="693" spans="1:16" x14ac:dyDescent="0.25">
      <c r="A693" s="8" t="s">
        <v>369</v>
      </c>
      <c r="B693" s="7">
        <v>12</v>
      </c>
      <c r="C693" s="7" t="s">
        <v>465</v>
      </c>
      <c r="D693" s="14" t="s">
        <v>550</v>
      </c>
      <c r="E693" s="7">
        <f>+IFERROR(+VLOOKUP(A693,'Trial Balance'!$A$12:$C$428,2,0),0)</f>
        <v>53295.15</v>
      </c>
      <c r="F693" s="7"/>
      <c r="G693" s="7">
        <f t="shared" si="67"/>
        <v>53295.15</v>
      </c>
      <c r="H693" s="7">
        <f>+IFERROR(+VLOOKUP(A693,'Trial Balance'!$A$12:$C$428,3,0),0)</f>
        <v>0</v>
      </c>
      <c r="I693" s="7"/>
      <c r="J693" s="7">
        <f t="shared" si="68"/>
        <v>0</v>
      </c>
      <c r="K693" s="7">
        <f>+IFERROR(+VLOOKUP(A693,'TB2019-20'!$A$12:$C$414,2,0),0)</f>
        <v>0</v>
      </c>
      <c r="L693" s="7"/>
      <c r="M693" s="7">
        <f t="shared" si="69"/>
        <v>0</v>
      </c>
      <c r="N693" s="7">
        <f>+IFERROR(+VLOOKUP(A693,'TB2019-20'!$A$12:$C$414,3,0),0)</f>
        <v>0</v>
      </c>
      <c r="O693" s="7"/>
      <c r="P693" s="7">
        <f t="shared" si="70"/>
        <v>0</v>
      </c>
    </row>
    <row r="694" spans="1:16" x14ac:dyDescent="0.25">
      <c r="A694" s="8" t="s">
        <v>368</v>
      </c>
      <c r="B694" s="7">
        <v>12</v>
      </c>
      <c r="C694" s="7" t="s">
        <v>465</v>
      </c>
      <c r="D694" s="14" t="s">
        <v>550</v>
      </c>
      <c r="E694" s="7">
        <f>+IFERROR(+VLOOKUP(A694,'Trial Balance'!$A$12:$C$428,2,0),0)</f>
        <v>0</v>
      </c>
      <c r="F694" s="7"/>
      <c r="G694" s="7">
        <f t="shared" si="67"/>
        <v>0</v>
      </c>
      <c r="H694" s="7">
        <f>+IFERROR(+VLOOKUP(A694,'Trial Balance'!$A$12:$C$428,3,0),0)</f>
        <v>2852634</v>
      </c>
      <c r="I694" s="7"/>
      <c r="J694" s="7">
        <f t="shared" si="68"/>
        <v>2852634</v>
      </c>
      <c r="K694" s="7">
        <f>+IFERROR(+VLOOKUP(A694,'TB2019-20'!$A$12:$C$414,2,0),0)</f>
        <v>0</v>
      </c>
      <c r="L694" s="7"/>
      <c r="M694" s="7">
        <f t="shared" si="69"/>
        <v>0</v>
      </c>
      <c r="N694" s="7">
        <f>+IFERROR(+VLOOKUP(A694,'TB2019-20'!$A$12:$C$414,3,0),0)</f>
        <v>0</v>
      </c>
      <c r="O694" s="7"/>
      <c r="P694" s="7">
        <f t="shared" si="70"/>
        <v>0</v>
      </c>
    </row>
    <row r="695" spans="1:16" x14ac:dyDescent="0.25">
      <c r="A695" s="17" t="s">
        <v>879</v>
      </c>
      <c r="B695" s="7">
        <v>15</v>
      </c>
      <c r="C695" s="7" t="s">
        <v>469</v>
      </c>
      <c r="D695" s="7" t="s">
        <v>469</v>
      </c>
      <c r="E695" s="7">
        <f>+IFERROR(+VLOOKUP(A695,'Trial Balance'!$A$12:$C$428,2,0),0)</f>
        <v>0</v>
      </c>
      <c r="F695" s="7"/>
      <c r="G695" s="7">
        <f t="shared" si="67"/>
        <v>0</v>
      </c>
      <c r="H695" s="7">
        <f>+IFERROR(+VLOOKUP(A695,'Trial Balance'!$A$12:$C$428,3,0),0)</f>
        <v>0</v>
      </c>
      <c r="I695" s="7"/>
      <c r="J695" s="7">
        <f t="shared" si="68"/>
        <v>0</v>
      </c>
      <c r="K695" s="7">
        <f>+IFERROR(+VLOOKUP(A695,'TB2019-20'!$A$12:$C$414,2,0),0)</f>
        <v>0</v>
      </c>
      <c r="L695" s="7"/>
      <c r="M695" s="7">
        <f t="shared" si="69"/>
        <v>0</v>
      </c>
      <c r="N695" s="7">
        <f>+IFERROR(+VLOOKUP(A695,'TB2019-20'!$A$12:$C$414,3,0),0)</f>
        <v>0</v>
      </c>
      <c r="O695" s="7"/>
      <c r="P695" s="7">
        <f t="shared" si="70"/>
        <v>0</v>
      </c>
    </row>
    <row r="696" spans="1:16" x14ac:dyDescent="0.25">
      <c r="A696" s="17" t="s">
        <v>880</v>
      </c>
      <c r="B696" s="7">
        <v>26</v>
      </c>
      <c r="C696" s="7" t="s">
        <v>467</v>
      </c>
      <c r="D696" s="7" t="s">
        <v>541</v>
      </c>
      <c r="E696" s="7">
        <f>+IFERROR(+VLOOKUP(A696,'Trial Balance'!$A$12:$C$428,2,0),0)</f>
        <v>0</v>
      </c>
      <c r="F696" s="7"/>
      <c r="G696" s="7">
        <f t="shared" si="67"/>
        <v>0</v>
      </c>
      <c r="H696" s="7">
        <f>+IFERROR(+VLOOKUP(A696,'Trial Balance'!$A$12:$C$428,3,0),0)</f>
        <v>0</v>
      </c>
      <c r="I696" s="7"/>
      <c r="J696" s="7">
        <f t="shared" si="68"/>
        <v>0</v>
      </c>
      <c r="K696" s="7">
        <f>+IFERROR(+VLOOKUP(A696,'TB2019-20'!$A$12:$C$414,2,0),0)</f>
        <v>14674</v>
      </c>
      <c r="L696" s="7"/>
      <c r="M696" s="7">
        <f t="shared" si="69"/>
        <v>14674</v>
      </c>
      <c r="N696" s="7">
        <f>+IFERROR(+VLOOKUP(A696,'TB2019-20'!$A$12:$C$414,3,0),0)</f>
        <v>0</v>
      </c>
      <c r="O696" s="7"/>
      <c r="P696" s="7">
        <f t="shared" si="70"/>
        <v>0</v>
      </c>
    </row>
    <row r="697" spans="1:16" x14ac:dyDescent="0.25">
      <c r="A697" s="24" t="s">
        <v>881</v>
      </c>
      <c r="B697" s="7">
        <v>12</v>
      </c>
      <c r="C697" s="7" t="s">
        <v>465</v>
      </c>
      <c r="D697" s="14" t="s">
        <v>546</v>
      </c>
      <c r="E697" s="7">
        <f>+IFERROR(+VLOOKUP(A697,'Trial Balance'!$A$12:$C$428,2,0),0)</f>
        <v>0</v>
      </c>
      <c r="F697" s="7"/>
      <c r="G697" s="7">
        <f t="shared" si="67"/>
        <v>0</v>
      </c>
      <c r="H697" s="7">
        <f>+IFERROR(+VLOOKUP(A697,'Trial Balance'!$A$12:$C$428,3,0),0)</f>
        <v>0</v>
      </c>
      <c r="I697" s="7"/>
      <c r="J697" s="7">
        <f t="shared" si="68"/>
        <v>0</v>
      </c>
      <c r="K697" s="7">
        <f>+IFERROR(+VLOOKUP(A697,'TB2019-20'!$A$12:$C$414,2,0),0)</f>
        <v>0</v>
      </c>
      <c r="L697" s="7"/>
      <c r="M697" s="7">
        <f t="shared" si="69"/>
        <v>0</v>
      </c>
      <c r="N697" s="7">
        <f>+IFERROR(+VLOOKUP(A697,'TB2019-20'!$A$12:$C$414,3,0),0)</f>
        <v>0</v>
      </c>
      <c r="O697" s="7"/>
      <c r="P697" s="7">
        <f t="shared" si="70"/>
        <v>0</v>
      </c>
    </row>
    <row r="698" spans="1:16" x14ac:dyDescent="0.25">
      <c r="A698" s="21" t="s">
        <v>882</v>
      </c>
      <c r="B698" s="7">
        <v>12</v>
      </c>
      <c r="C698" s="7" t="s">
        <v>465</v>
      </c>
      <c r="D698" s="14" t="s">
        <v>546</v>
      </c>
      <c r="E698" s="7">
        <f>+IFERROR(+VLOOKUP(A698,'Trial Balance'!$A$12:$C$428,2,0),0)</f>
        <v>0</v>
      </c>
      <c r="F698" s="7"/>
      <c r="G698" s="7">
        <f t="shared" si="67"/>
        <v>0</v>
      </c>
      <c r="H698" s="7">
        <f>+IFERROR(+VLOOKUP(A698,'Trial Balance'!$A$12:$C$428,3,0),0)</f>
        <v>0</v>
      </c>
      <c r="I698" s="7"/>
      <c r="J698" s="7">
        <f t="shared" si="68"/>
        <v>0</v>
      </c>
      <c r="K698" s="7">
        <f>+IFERROR(+VLOOKUP(A698,'TB2019-20'!$A$12:$C$414,2,0),0)</f>
        <v>0</v>
      </c>
      <c r="L698" s="7"/>
      <c r="M698" s="7">
        <f t="shared" si="69"/>
        <v>0</v>
      </c>
      <c r="N698" s="7">
        <f>+IFERROR(+VLOOKUP(A698,'TB2019-20'!$A$12:$C$414,3,0),0)</f>
        <v>0</v>
      </c>
      <c r="O698" s="7"/>
      <c r="P698" s="7">
        <f t="shared" si="70"/>
        <v>0</v>
      </c>
    </row>
    <row r="699" spans="1:16" x14ac:dyDescent="0.25">
      <c r="A699" s="17" t="s">
        <v>883</v>
      </c>
      <c r="B699" s="7">
        <v>12</v>
      </c>
      <c r="C699" s="7" t="s">
        <v>465</v>
      </c>
      <c r="D699" s="14" t="s">
        <v>546</v>
      </c>
      <c r="E699" s="7">
        <f>+IFERROR(+VLOOKUP(A699,'Trial Balance'!$A$12:$C$428,2,0),0)</f>
        <v>0</v>
      </c>
      <c r="F699" s="7"/>
      <c r="G699" s="7">
        <f t="shared" si="67"/>
        <v>0</v>
      </c>
      <c r="H699" s="7">
        <f>+IFERROR(+VLOOKUP(A699,'Trial Balance'!$A$12:$C$428,3,0),0)</f>
        <v>0</v>
      </c>
      <c r="I699" s="7"/>
      <c r="J699" s="7">
        <f t="shared" si="68"/>
        <v>0</v>
      </c>
      <c r="K699" s="7">
        <f>+IFERROR(+VLOOKUP(A699,'TB2019-20'!$A$12:$C$414,2,0),0)</f>
        <v>0</v>
      </c>
      <c r="L699" s="7"/>
      <c r="M699" s="7">
        <f t="shared" si="69"/>
        <v>0</v>
      </c>
      <c r="N699" s="7">
        <f>+IFERROR(+VLOOKUP(A699,'TB2019-20'!$A$12:$C$414,3,0),0)</f>
        <v>0</v>
      </c>
      <c r="O699" s="7"/>
      <c r="P699" s="7">
        <f t="shared" si="70"/>
        <v>0</v>
      </c>
    </row>
    <row r="700" spans="1:16" x14ac:dyDescent="0.25">
      <c r="A700" s="20" t="s">
        <v>429</v>
      </c>
      <c r="B700" s="7">
        <v>15</v>
      </c>
      <c r="C700" s="7" t="s">
        <v>469</v>
      </c>
      <c r="D700" s="7" t="s">
        <v>470</v>
      </c>
      <c r="E700" s="7">
        <f>+IFERROR(+VLOOKUP(A700,'Trial Balance'!$A$12:$C$428,2,0),0)</f>
        <v>179827</v>
      </c>
      <c r="F700" s="7"/>
      <c r="G700" s="7">
        <f t="shared" si="67"/>
        <v>179827</v>
      </c>
      <c r="H700" s="7">
        <f>+IFERROR(+VLOOKUP(A700,'Trial Balance'!$A$12:$C$428,3,0),0)</f>
        <v>0</v>
      </c>
      <c r="I700" s="7"/>
      <c r="J700" s="7">
        <f t="shared" si="68"/>
        <v>0</v>
      </c>
      <c r="K700" s="7">
        <f>+IFERROR(+VLOOKUP(A700,'TB2019-20'!$A$12:$C$414,2,0),0)</f>
        <v>0</v>
      </c>
      <c r="L700" s="7"/>
      <c r="M700" s="7">
        <f t="shared" si="69"/>
        <v>0</v>
      </c>
      <c r="N700" s="7">
        <f>+IFERROR(+VLOOKUP(A700,'TB2019-20'!$A$12:$C$414,3,0),0)</f>
        <v>0</v>
      </c>
      <c r="O700" s="7"/>
      <c r="P700" s="7">
        <f t="shared" si="70"/>
        <v>0</v>
      </c>
    </row>
    <row r="701" spans="1:16" x14ac:dyDescent="0.25">
      <c r="A701" s="17" t="s">
        <v>430</v>
      </c>
      <c r="B701" s="7">
        <v>10</v>
      </c>
      <c r="C701" s="7" t="s">
        <v>534</v>
      </c>
      <c r="D701" s="7" t="s">
        <v>535</v>
      </c>
      <c r="E701" s="7">
        <f>+IFERROR(+VLOOKUP(A701,'Trial Balance'!$A$12:$C$428,2,0),0)</f>
        <v>2991111</v>
      </c>
      <c r="F701" s="7"/>
      <c r="G701" s="7">
        <f t="shared" si="67"/>
        <v>2991111</v>
      </c>
      <c r="H701" s="7">
        <f>+IFERROR(+VLOOKUP(A701,'Trial Balance'!$A$12:$C$428,3,0),0)</f>
        <v>0</v>
      </c>
      <c r="I701" s="7"/>
      <c r="J701" s="7">
        <f t="shared" si="68"/>
        <v>0</v>
      </c>
      <c r="K701" s="7">
        <f>+IFERROR(+VLOOKUP(A701,'TB2019-20'!$A$12:$C$414,2,0),0)</f>
        <v>2991111</v>
      </c>
      <c r="L701" s="7"/>
      <c r="M701" s="7">
        <f t="shared" si="69"/>
        <v>2991111</v>
      </c>
      <c r="N701" s="7">
        <f>+IFERROR(+VLOOKUP(A701,'TB2019-20'!$A$12:$C$414,3,0),0)</f>
        <v>0</v>
      </c>
      <c r="O701" s="7"/>
      <c r="P701" s="7">
        <f t="shared" si="70"/>
        <v>0</v>
      </c>
    </row>
    <row r="702" spans="1:16" x14ac:dyDescent="0.25">
      <c r="A702" s="17" t="s">
        <v>884</v>
      </c>
      <c r="B702" s="7">
        <v>26</v>
      </c>
      <c r="C702" s="7" t="s">
        <v>467</v>
      </c>
      <c r="D702" s="7" t="s">
        <v>885</v>
      </c>
      <c r="E702" s="7">
        <f>+IFERROR(+VLOOKUP(A702,'Trial Balance'!$A$12:$C$428,2,0),0)</f>
        <v>521794</v>
      </c>
      <c r="F702" s="7"/>
      <c r="G702" s="7">
        <f t="shared" si="67"/>
        <v>521794</v>
      </c>
      <c r="H702" s="7">
        <f>+IFERROR(+VLOOKUP(A702,'Trial Balance'!$A$12:$C$428,3,0),0)</f>
        <v>0</v>
      </c>
      <c r="I702" s="7"/>
      <c r="J702" s="7">
        <f t="shared" si="68"/>
        <v>0</v>
      </c>
      <c r="K702" s="7">
        <f>+IFERROR(+VLOOKUP(A702,'TB2019-20'!$A$12:$C$414,2,0),0)</f>
        <v>332580</v>
      </c>
      <c r="L702" s="7"/>
      <c r="M702" s="7">
        <f t="shared" si="69"/>
        <v>332580</v>
      </c>
      <c r="N702" s="7">
        <f>+IFERROR(+VLOOKUP(A702,'TB2019-20'!$A$12:$C$414,3,0),0)</f>
        <v>0</v>
      </c>
      <c r="O702" s="7"/>
      <c r="P702" s="7">
        <f t="shared" si="70"/>
        <v>0</v>
      </c>
    </row>
    <row r="703" spans="1:16" x14ac:dyDescent="0.25">
      <c r="A703" s="17" t="s">
        <v>432</v>
      </c>
      <c r="B703" s="7">
        <v>26</v>
      </c>
      <c r="C703" s="7" t="s">
        <v>467</v>
      </c>
      <c r="D703" s="7" t="s">
        <v>885</v>
      </c>
      <c r="E703" s="7">
        <f>+IFERROR(+VLOOKUP(A703,'Trial Balance'!$A$12:$C$428,2,0),0)</f>
        <v>271912.74</v>
      </c>
      <c r="F703" s="7"/>
      <c r="G703" s="7">
        <f t="shared" si="67"/>
        <v>271912.74</v>
      </c>
      <c r="H703" s="7">
        <f>+IFERROR(+VLOOKUP(A703,'Trial Balance'!$A$12:$C$428,3,0),0)</f>
        <v>0</v>
      </c>
      <c r="I703" s="7"/>
      <c r="J703" s="7">
        <f t="shared" si="68"/>
        <v>0</v>
      </c>
      <c r="K703" s="7">
        <f>+IFERROR(+VLOOKUP(A703,'TB2019-20'!$A$12:$C$414,2,0),0)</f>
        <v>254656</v>
      </c>
      <c r="L703" s="7"/>
      <c r="M703" s="7">
        <f t="shared" si="69"/>
        <v>254656</v>
      </c>
      <c r="N703" s="7">
        <f>+IFERROR(+VLOOKUP(A703,'TB2019-20'!$A$12:$C$414,3,0),0)</f>
        <v>0</v>
      </c>
      <c r="O703" s="7"/>
      <c r="P703" s="7">
        <f t="shared" si="70"/>
        <v>0</v>
      </c>
    </row>
    <row r="704" spans="1:16" x14ac:dyDescent="0.25">
      <c r="A704" s="19" t="s">
        <v>886</v>
      </c>
      <c r="B704" s="7">
        <v>7</v>
      </c>
      <c r="C704" s="7" t="s">
        <v>460</v>
      </c>
      <c r="D704" s="7" t="s">
        <v>460</v>
      </c>
      <c r="E704" s="7">
        <f>+IFERROR(+VLOOKUP(A704,'Trial Balance'!$A$12:$C$428,2,0),0)</f>
        <v>0</v>
      </c>
      <c r="F704" s="7"/>
      <c r="G704" s="7">
        <f t="shared" si="67"/>
        <v>0</v>
      </c>
      <c r="H704" s="7">
        <f>+IFERROR(+VLOOKUP(A704,'Trial Balance'!$A$12:$C$428,3,0),0)</f>
        <v>0</v>
      </c>
      <c r="I704" s="7"/>
      <c r="J704" s="7">
        <f t="shared" si="68"/>
        <v>0</v>
      </c>
      <c r="K704" s="7">
        <f>+IFERROR(+VLOOKUP(A704,'TB2019-20'!$A$12:$C$414,2,0),0)</f>
        <v>0</v>
      </c>
      <c r="L704" s="7"/>
      <c r="M704" s="7">
        <f t="shared" si="69"/>
        <v>0</v>
      </c>
      <c r="N704" s="7">
        <f>+IFERROR(+VLOOKUP(A704,'TB2019-20'!$A$12:$C$414,3,0),0)</f>
        <v>8130</v>
      </c>
      <c r="O704" s="7"/>
      <c r="P704" s="7">
        <f t="shared" si="70"/>
        <v>8130</v>
      </c>
    </row>
    <row r="705" spans="1:16" x14ac:dyDescent="0.25">
      <c r="A705" s="17" t="s">
        <v>433</v>
      </c>
      <c r="B705" s="7">
        <v>7</v>
      </c>
      <c r="C705" s="7" t="s">
        <v>460</v>
      </c>
      <c r="D705" s="7" t="s">
        <v>460</v>
      </c>
      <c r="E705" s="7">
        <f>+IFERROR(+VLOOKUP(A705,'Trial Balance'!$A$12:$C$428,2,0),0)</f>
        <v>0</v>
      </c>
      <c r="F705" s="7"/>
      <c r="G705" s="7">
        <f t="shared" si="67"/>
        <v>0</v>
      </c>
      <c r="H705" s="7">
        <f>+IFERROR(+VLOOKUP(A705,'Trial Balance'!$A$12:$C$428,3,0),0)</f>
        <v>29906</v>
      </c>
      <c r="I705" s="7"/>
      <c r="J705" s="7">
        <f t="shared" si="68"/>
        <v>29906</v>
      </c>
      <c r="K705" s="7">
        <f>+IFERROR(+VLOOKUP(A705,'TB2019-20'!$A$12:$C$414,2,0),0)</f>
        <v>0</v>
      </c>
      <c r="L705" s="7"/>
      <c r="M705" s="7">
        <f t="shared" si="69"/>
        <v>0</v>
      </c>
      <c r="N705" s="7">
        <f>+IFERROR(+VLOOKUP(A705,'TB2019-20'!$A$12:$C$414,3,0),0)</f>
        <v>4434</v>
      </c>
      <c r="O705" s="7"/>
      <c r="P705" s="7">
        <f t="shared" si="70"/>
        <v>4434</v>
      </c>
    </row>
    <row r="706" spans="1:16" x14ac:dyDescent="0.25">
      <c r="A706" s="17" t="s">
        <v>434</v>
      </c>
      <c r="B706" s="7">
        <v>7</v>
      </c>
      <c r="C706" s="7" t="s">
        <v>460</v>
      </c>
      <c r="D706" s="7" t="s">
        <v>460</v>
      </c>
      <c r="E706" s="7">
        <f>+IFERROR(+VLOOKUP(A706,'Trial Balance'!$A$12:$C$428,2,0),0)</f>
        <v>0</v>
      </c>
      <c r="F706" s="7"/>
      <c r="G706" s="7">
        <f t="shared" si="67"/>
        <v>0</v>
      </c>
      <c r="H706" s="7">
        <f>+IFERROR(+VLOOKUP(A706,'Trial Balance'!$A$12:$C$428,3,0),0)</f>
        <v>1429369</v>
      </c>
      <c r="I706" s="7"/>
      <c r="J706" s="7">
        <f t="shared" si="68"/>
        <v>1429369</v>
      </c>
      <c r="K706" s="7">
        <f>+IFERROR(+VLOOKUP(A706,'TB2019-20'!$A$12:$C$414,2,0),0)</f>
        <v>0</v>
      </c>
      <c r="L706" s="7"/>
      <c r="M706" s="7">
        <f t="shared" si="69"/>
        <v>0</v>
      </c>
      <c r="N706" s="7">
        <f>+IFERROR(+VLOOKUP(A706,'TB2019-20'!$A$12:$C$414,3,0),0)</f>
        <v>699844</v>
      </c>
      <c r="O706" s="7"/>
      <c r="P706" s="7">
        <f t="shared" si="70"/>
        <v>699844</v>
      </c>
    </row>
    <row r="707" spans="1:16" x14ac:dyDescent="0.25">
      <c r="A707" s="19" t="s">
        <v>435</v>
      </c>
      <c r="B707" s="7">
        <v>7</v>
      </c>
      <c r="C707" s="7" t="s">
        <v>460</v>
      </c>
      <c r="D707" s="7" t="s">
        <v>460</v>
      </c>
      <c r="E707" s="7">
        <f>+IFERROR(+VLOOKUP(A707,'Trial Balance'!$A$12:$C$428,2,0),0)</f>
        <v>0</v>
      </c>
      <c r="F707" s="7"/>
      <c r="G707" s="7">
        <f t="shared" si="67"/>
        <v>0</v>
      </c>
      <c r="H707" s="7">
        <f>+IFERROR(+VLOOKUP(A707,'Trial Balance'!$A$12:$C$428,3,0),0)</f>
        <v>12900</v>
      </c>
      <c r="I707" s="7"/>
      <c r="J707" s="7">
        <f t="shared" si="68"/>
        <v>12900</v>
      </c>
      <c r="K707" s="7">
        <f>+IFERROR(+VLOOKUP(A707,'TB2019-20'!$A$12:$C$414,2,0),0)</f>
        <v>0</v>
      </c>
      <c r="L707" s="7"/>
      <c r="M707" s="7">
        <f t="shared" si="69"/>
        <v>0</v>
      </c>
      <c r="N707" s="7">
        <f>+IFERROR(+VLOOKUP(A707,'TB2019-20'!$A$12:$C$414,3,0),0)</f>
        <v>7780</v>
      </c>
      <c r="O707" s="7"/>
      <c r="P707" s="7">
        <f t="shared" si="70"/>
        <v>7780</v>
      </c>
    </row>
    <row r="708" spans="1:16" x14ac:dyDescent="0.25">
      <c r="A708" s="19" t="s">
        <v>887</v>
      </c>
      <c r="B708" s="11">
        <v>7</v>
      </c>
      <c r="C708" s="7" t="s">
        <v>460</v>
      </c>
      <c r="D708" s="7" t="s">
        <v>460</v>
      </c>
      <c r="E708" s="7">
        <f>+IFERROR(+VLOOKUP(A708,'Trial Balance'!$A$12:$C$428,2,0),0)</f>
        <v>0</v>
      </c>
      <c r="F708" s="7"/>
      <c r="G708" s="7">
        <f t="shared" si="67"/>
        <v>0</v>
      </c>
      <c r="H708" s="7">
        <f>+IFERROR(+VLOOKUP(A708,'Trial Balance'!$A$12:$C$428,3,0),0)</f>
        <v>0</v>
      </c>
      <c r="I708" s="7"/>
      <c r="J708" s="7">
        <f t="shared" si="68"/>
        <v>0</v>
      </c>
      <c r="K708" s="7">
        <f>+IFERROR(+VLOOKUP(A708,'TB2019-20'!$A$12:$C$414,2,0),0)</f>
        <v>0</v>
      </c>
      <c r="L708" s="7"/>
      <c r="M708" s="7">
        <f t="shared" si="69"/>
        <v>0</v>
      </c>
      <c r="N708" s="7">
        <f>+IFERROR(+VLOOKUP(A708,'TB2019-20'!$A$12:$C$414,3,0),0)</f>
        <v>0</v>
      </c>
      <c r="O708" s="7"/>
      <c r="P708" s="7">
        <f t="shared" si="70"/>
        <v>0</v>
      </c>
    </row>
    <row r="709" spans="1:16" x14ac:dyDescent="0.25">
      <c r="A709" s="17" t="s">
        <v>888</v>
      </c>
      <c r="B709" s="7">
        <v>7</v>
      </c>
      <c r="C709" s="7" t="s">
        <v>460</v>
      </c>
      <c r="D709" s="7" t="s">
        <v>460</v>
      </c>
      <c r="E709" s="7">
        <f>+IFERROR(+VLOOKUP(A709,'Trial Balance'!$A$12:$C$428,2,0),0)</f>
        <v>0</v>
      </c>
      <c r="F709" s="7"/>
      <c r="G709" s="7">
        <f t="shared" si="67"/>
        <v>0</v>
      </c>
      <c r="H709" s="7">
        <f>+IFERROR(+VLOOKUP(A709,'Trial Balance'!$A$12:$C$428,3,0),0)</f>
        <v>0</v>
      </c>
      <c r="I709" s="7"/>
      <c r="J709" s="7">
        <f t="shared" si="68"/>
        <v>0</v>
      </c>
      <c r="K709" s="7">
        <f>+IFERROR(+VLOOKUP(A709,'TB2019-20'!$A$12:$C$414,2,0),0)</f>
        <v>0</v>
      </c>
      <c r="L709" s="7"/>
      <c r="M709" s="7">
        <f t="shared" si="69"/>
        <v>0</v>
      </c>
      <c r="N709" s="7">
        <f>+IFERROR(+VLOOKUP(A709,'TB2019-20'!$A$12:$C$414,3,0),0)</f>
        <v>0</v>
      </c>
      <c r="O709" s="7"/>
      <c r="P709" s="7">
        <f t="shared" si="70"/>
        <v>0</v>
      </c>
    </row>
    <row r="710" spans="1:16" x14ac:dyDescent="0.25">
      <c r="A710" s="21" t="s">
        <v>889</v>
      </c>
      <c r="B710" s="7">
        <v>15</v>
      </c>
      <c r="C710" s="7" t="s">
        <v>469</v>
      </c>
      <c r="D710" s="7" t="s">
        <v>470</v>
      </c>
      <c r="E710" s="7">
        <f>+IFERROR(+VLOOKUP(A710,'Trial Balance'!$A$12:$C$428,2,0),0)</f>
        <v>0</v>
      </c>
      <c r="F710" s="7"/>
      <c r="G710" s="7">
        <f t="shared" si="67"/>
        <v>0</v>
      </c>
      <c r="H710" s="7">
        <f>+IFERROR(+VLOOKUP(A710,'Trial Balance'!$A$12:$C$428,3,0),0)</f>
        <v>0</v>
      </c>
      <c r="I710" s="7"/>
      <c r="J710" s="7">
        <f t="shared" si="68"/>
        <v>0</v>
      </c>
      <c r="K710" s="7">
        <f>+IFERROR(+VLOOKUP(A710,'TB2019-20'!$A$12:$C$414,2,0),0)</f>
        <v>0</v>
      </c>
      <c r="L710" s="7"/>
      <c r="M710" s="7">
        <f t="shared" si="69"/>
        <v>0</v>
      </c>
      <c r="N710" s="7">
        <f>+IFERROR(+VLOOKUP(A710,'TB2019-20'!$A$12:$C$414,3,0),0)</f>
        <v>0</v>
      </c>
      <c r="O710" s="7"/>
      <c r="P710" s="7">
        <f t="shared" si="70"/>
        <v>0</v>
      </c>
    </row>
    <row r="711" spans="1:16" x14ac:dyDescent="0.25">
      <c r="A711" s="23" t="s">
        <v>890</v>
      </c>
      <c r="B711" s="7">
        <v>7</v>
      </c>
      <c r="C711" s="7" t="s">
        <v>460</v>
      </c>
      <c r="D711" s="7" t="s">
        <v>460</v>
      </c>
      <c r="E711" s="7">
        <f>+IFERROR(+VLOOKUP(A711,'Trial Balance'!$A$12:$C$428,2,0),0)</f>
        <v>0</v>
      </c>
      <c r="F711" s="7"/>
      <c r="G711" s="7">
        <f t="shared" si="67"/>
        <v>0</v>
      </c>
      <c r="H711" s="7">
        <f>+IFERROR(+VLOOKUP(A711,'Trial Balance'!$A$12:$C$428,3,0),0)</f>
        <v>232050</v>
      </c>
      <c r="I711" s="7"/>
      <c r="J711" s="7">
        <f t="shared" si="68"/>
        <v>232050</v>
      </c>
      <c r="K711" s="7">
        <f>+IFERROR(+VLOOKUP(A711,'TB2019-20'!$A$12:$C$414,2,0),0)</f>
        <v>0</v>
      </c>
      <c r="L711" s="7"/>
      <c r="M711" s="7">
        <f t="shared" si="69"/>
        <v>0</v>
      </c>
      <c r="N711" s="7">
        <f>+IFERROR(+VLOOKUP(A711,'TB2019-20'!$A$12:$C$414,3,0),0)</f>
        <v>226800</v>
      </c>
      <c r="O711" s="7"/>
      <c r="P711" s="7">
        <f t="shared" si="70"/>
        <v>226800</v>
      </c>
    </row>
    <row r="712" spans="1:16" x14ac:dyDescent="0.25">
      <c r="A712" s="20" t="s">
        <v>891</v>
      </c>
      <c r="B712" s="7">
        <v>26</v>
      </c>
      <c r="C712" s="7" t="s">
        <v>467</v>
      </c>
      <c r="D712" s="7" t="s">
        <v>530</v>
      </c>
      <c r="E712" s="7">
        <f>+IFERROR(+VLOOKUP(A712,'Trial Balance'!$A$12:$C$428,2,0),0)</f>
        <v>0</v>
      </c>
      <c r="F712" s="7"/>
      <c r="G712" s="7">
        <f t="shared" ref="G712:G726" si="71">+E712+F712</f>
        <v>0</v>
      </c>
      <c r="H712" s="7">
        <f>+IFERROR(+VLOOKUP(A712,'Trial Balance'!$A$12:$C$428,3,0),0)</f>
        <v>0</v>
      </c>
      <c r="I712" s="7"/>
      <c r="J712" s="7">
        <f t="shared" ref="J712:J726" si="72">+H712+I712</f>
        <v>0</v>
      </c>
      <c r="K712" s="7">
        <f>+IFERROR(+VLOOKUP(A712,'TB2019-20'!$A$12:$C$414,2,0),0)</f>
        <v>0</v>
      </c>
      <c r="L712" s="7"/>
      <c r="M712" s="7">
        <f t="shared" si="69"/>
        <v>0</v>
      </c>
      <c r="N712" s="7">
        <f>+IFERROR(+VLOOKUP(A712,'TB2019-20'!$A$12:$C$414,3,0),0)</f>
        <v>0</v>
      </c>
      <c r="O712" s="7"/>
      <c r="P712" s="7">
        <f t="shared" si="70"/>
        <v>0</v>
      </c>
    </row>
    <row r="713" spans="1:16" x14ac:dyDescent="0.25">
      <c r="A713" s="20" t="s">
        <v>439</v>
      </c>
      <c r="B713" s="7">
        <v>26</v>
      </c>
      <c r="C713" s="7" t="s">
        <v>467</v>
      </c>
      <c r="D713" s="7" t="s">
        <v>530</v>
      </c>
      <c r="E713" s="7">
        <f>+IFERROR(+VLOOKUP(A713,'Trial Balance'!$A$12:$C$428,2,0),0)</f>
        <v>290915</v>
      </c>
      <c r="F713" s="7"/>
      <c r="G713" s="7">
        <f t="shared" si="71"/>
        <v>290915</v>
      </c>
      <c r="H713" s="7">
        <f>+IFERROR(+VLOOKUP(A713,'Trial Balance'!$A$12:$C$428,3,0),0)</f>
        <v>0</v>
      </c>
      <c r="I713" s="7"/>
      <c r="J713" s="7">
        <f t="shared" si="72"/>
        <v>0</v>
      </c>
      <c r="K713" s="7">
        <f>+IFERROR(+VLOOKUP(A713,'TB2019-20'!$A$12:$C$414,2,0),0)</f>
        <v>199906.5</v>
      </c>
      <c r="L713" s="7"/>
      <c r="M713" s="7">
        <f t="shared" si="69"/>
        <v>199906.5</v>
      </c>
      <c r="N713" s="7">
        <f>+IFERROR(+VLOOKUP(A713,'TB2019-20'!$A$12:$C$414,3,0),0)</f>
        <v>0</v>
      </c>
      <c r="O713" s="7"/>
      <c r="P713" s="7">
        <f t="shared" si="70"/>
        <v>0</v>
      </c>
    </row>
    <row r="714" spans="1:16" x14ac:dyDescent="0.25">
      <c r="A714" s="17" t="s">
        <v>440</v>
      </c>
      <c r="B714" s="7">
        <v>26</v>
      </c>
      <c r="C714" s="7" t="s">
        <v>467</v>
      </c>
      <c r="D714" s="7" t="s">
        <v>892</v>
      </c>
      <c r="E714" s="7">
        <f>+IFERROR(+VLOOKUP(A714,'Trial Balance'!$A$12:$C$428,2,0),0)</f>
        <v>6129998</v>
      </c>
      <c r="F714" s="7"/>
      <c r="G714" s="7">
        <f t="shared" si="71"/>
        <v>6129998</v>
      </c>
      <c r="H714" s="7">
        <f>+IFERROR(+VLOOKUP(A714,'Trial Balance'!$A$12:$C$428,3,0),0)</f>
        <v>0</v>
      </c>
      <c r="I714" s="7"/>
      <c r="J714" s="7">
        <f t="shared" si="72"/>
        <v>0</v>
      </c>
      <c r="K714" s="7">
        <f>+IFERROR(+VLOOKUP(A714,'TB2019-20'!$A$12:$C$414,2,0),0)</f>
        <v>6659960</v>
      </c>
      <c r="L714" s="7"/>
      <c r="M714" s="7">
        <f t="shared" si="69"/>
        <v>6659960</v>
      </c>
      <c r="N714" s="7">
        <f>+IFERROR(+VLOOKUP(A714,'TB2019-20'!$A$12:$C$414,3,0),0)</f>
        <v>0</v>
      </c>
      <c r="O714" s="7"/>
      <c r="P714" s="7">
        <f t="shared" si="70"/>
        <v>0</v>
      </c>
    </row>
    <row r="715" spans="1:16" x14ac:dyDescent="0.25">
      <c r="A715" s="17" t="s">
        <v>441</v>
      </c>
      <c r="B715" s="7">
        <v>22</v>
      </c>
      <c r="C715" s="7" t="s">
        <v>557</v>
      </c>
      <c r="D715" s="7" t="s">
        <v>558</v>
      </c>
      <c r="E715" s="7">
        <f>+IFERROR(+VLOOKUP(A715,'Trial Balance'!$A$12:$C$428,2,0),0)</f>
        <v>384685059</v>
      </c>
      <c r="F715" s="7"/>
      <c r="G715" s="7">
        <f t="shared" si="71"/>
        <v>384685059</v>
      </c>
      <c r="H715" s="7">
        <f>+IFERROR(+VLOOKUP(A715,'Trial Balance'!$A$12:$C$428,3,0),0)</f>
        <v>0</v>
      </c>
      <c r="I715" s="7"/>
      <c r="J715" s="7">
        <f t="shared" si="72"/>
        <v>0</v>
      </c>
      <c r="K715" s="7">
        <f>+IFERROR(+VLOOKUP(A715,'TB2019-20'!$A$12:$C$414,2,0),0)</f>
        <v>237660256.5</v>
      </c>
      <c r="L715" s="7"/>
      <c r="M715" s="7">
        <f t="shared" si="69"/>
        <v>237660256.5</v>
      </c>
      <c r="N715" s="7">
        <f>+IFERROR(+VLOOKUP(A715,'TB2019-20'!$A$12:$C$414,3,0),0)</f>
        <v>0</v>
      </c>
      <c r="O715" s="7"/>
      <c r="P715" s="7">
        <f t="shared" si="70"/>
        <v>0</v>
      </c>
    </row>
    <row r="716" spans="1:16" x14ac:dyDescent="0.25">
      <c r="A716" s="17" t="s">
        <v>442</v>
      </c>
      <c r="B716" s="7">
        <v>17</v>
      </c>
      <c r="C716" s="7" t="s">
        <v>474</v>
      </c>
      <c r="D716" s="7" t="s">
        <v>475</v>
      </c>
      <c r="E716" s="7">
        <f>+IFERROR(+VLOOKUP(A716,'Trial Balance'!$A$12:$C$428,2,0),0)</f>
        <v>1371677.02</v>
      </c>
      <c r="F716" s="7"/>
      <c r="G716" s="7">
        <f t="shared" si="71"/>
        <v>1371677.02</v>
      </c>
      <c r="H716" s="7">
        <f>+IFERROR(+VLOOKUP(A716,'Trial Balance'!$A$12:$C$428,3,0),0)</f>
        <v>0</v>
      </c>
      <c r="I716" s="7"/>
      <c r="J716" s="7">
        <f t="shared" si="72"/>
        <v>0</v>
      </c>
      <c r="K716" s="7">
        <f>+IFERROR(+VLOOKUP(A716,'TB2019-20'!$A$12:$C$414,2,0),0)</f>
        <v>0</v>
      </c>
      <c r="L716" s="7"/>
      <c r="M716" s="7">
        <f t="shared" si="69"/>
        <v>0</v>
      </c>
      <c r="N716" s="7">
        <f>+IFERROR(+VLOOKUP(A716,'TB2019-20'!$A$12:$C$414,3,0),0)</f>
        <v>841449.98</v>
      </c>
      <c r="O716" s="7"/>
      <c r="P716" s="7">
        <f t="shared" si="70"/>
        <v>841449.98</v>
      </c>
    </row>
    <row r="717" spans="1:16" x14ac:dyDescent="0.25">
      <c r="A717" s="17" t="s">
        <v>443</v>
      </c>
      <c r="B717" s="7">
        <v>10</v>
      </c>
      <c r="C717" s="7" t="s">
        <v>534</v>
      </c>
      <c r="D717" s="7" t="s">
        <v>893</v>
      </c>
      <c r="E717" s="7">
        <f>+IFERROR(+VLOOKUP(A717,'Trial Balance'!$A$12:$C$428,2,0),0)</f>
        <v>133008</v>
      </c>
      <c r="F717" s="7"/>
      <c r="G717" s="7">
        <f t="shared" si="71"/>
        <v>133008</v>
      </c>
      <c r="H717" s="7">
        <f>+IFERROR(+VLOOKUP(A717,'Trial Balance'!$A$12:$C$428,3,0),0)</f>
        <v>0</v>
      </c>
      <c r="I717" s="7"/>
      <c r="J717" s="7">
        <f t="shared" si="72"/>
        <v>0</v>
      </c>
      <c r="K717" s="7">
        <f>+IFERROR(+VLOOKUP(A717,'TB2019-20'!$A$12:$C$414,2,0),0)</f>
        <v>172560</v>
      </c>
      <c r="L717" s="7"/>
      <c r="M717" s="7">
        <f t="shared" si="69"/>
        <v>172560</v>
      </c>
      <c r="N717" s="7">
        <f>+IFERROR(+VLOOKUP(A717,'TB2019-20'!$A$12:$C$414,3,0),0)</f>
        <v>0</v>
      </c>
      <c r="O717" s="7"/>
      <c r="P717" s="7">
        <f t="shared" si="70"/>
        <v>0</v>
      </c>
    </row>
    <row r="718" spans="1:16" x14ac:dyDescent="0.25">
      <c r="A718" s="17" t="s">
        <v>444</v>
      </c>
      <c r="B718" s="9">
        <v>10</v>
      </c>
      <c r="C718" s="7" t="s">
        <v>534</v>
      </c>
      <c r="D718" s="7" t="s">
        <v>893</v>
      </c>
      <c r="E718" s="7">
        <f>+IFERROR(+VLOOKUP(A718,'Trial Balance'!$A$12:$C$428,2,0),0)</f>
        <v>180000</v>
      </c>
      <c r="F718" s="7"/>
      <c r="G718" s="7">
        <f t="shared" si="71"/>
        <v>180000</v>
      </c>
      <c r="H718" s="7">
        <f>+IFERROR(+VLOOKUP(A718,'Trial Balance'!$A$12:$C$428,3,0),0)</f>
        <v>0</v>
      </c>
      <c r="I718" s="7"/>
      <c r="J718" s="7">
        <f t="shared" si="72"/>
        <v>0</v>
      </c>
      <c r="K718" s="7">
        <f>+IFERROR(+VLOOKUP(A718,'TB2019-20'!$A$12:$C$414,2,0),0)</f>
        <v>229919.2</v>
      </c>
      <c r="L718" s="7"/>
      <c r="M718" s="7">
        <f t="shared" si="69"/>
        <v>229919.2</v>
      </c>
      <c r="N718" s="7">
        <f>+IFERROR(+VLOOKUP(A718,'TB2019-20'!$A$12:$C$414,3,0),0)</f>
        <v>0</v>
      </c>
      <c r="O718" s="7"/>
      <c r="P718" s="7">
        <f t="shared" si="70"/>
        <v>0</v>
      </c>
    </row>
    <row r="719" spans="1:16" x14ac:dyDescent="0.25">
      <c r="A719" s="19" t="s">
        <v>894</v>
      </c>
      <c r="B719" s="7">
        <v>7</v>
      </c>
      <c r="C719" s="7" t="s">
        <v>460</v>
      </c>
      <c r="D719" s="7" t="s">
        <v>462</v>
      </c>
      <c r="E719" s="7">
        <f>+IFERROR(+VLOOKUP(A719,'Trial Balance'!$A$12:$C$428,2,0),0)</f>
        <v>0</v>
      </c>
      <c r="F719" s="7"/>
      <c r="G719" s="7">
        <f t="shared" si="71"/>
        <v>0</v>
      </c>
      <c r="H719" s="7">
        <f>+IFERROR(+VLOOKUP(A719,'Trial Balance'!$A$12:$C$428,3,0),0)</f>
        <v>0</v>
      </c>
      <c r="I719" s="7"/>
      <c r="J719" s="7">
        <f t="shared" si="72"/>
        <v>0</v>
      </c>
      <c r="K719" s="7">
        <f>+IFERROR(+VLOOKUP(A719,'TB2019-20'!$A$12:$C$414,2,0),0)</f>
        <v>0</v>
      </c>
      <c r="L719" s="7"/>
      <c r="M719" s="7">
        <f t="shared" ref="M719:M726" si="73">+K719+L719</f>
        <v>0</v>
      </c>
      <c r="N719" s="7">
        <f>+IFERROR(+VLOOKUP(A719,'TB2019-20'!$A$12:$C$414,3,0),0)</f>
        <v>52406</v>
      </c>
      <c r="O719" s="7"/>
      <c r="P719" s="7">
        <f t="shared" ref="P719:P726" si="74">+N719+O719</f>
        <v>52406</v>
      </c>
    </row>
    <row r="720" spans="1:16" x14ac:dyDescent="0.25">
      <c r="A720" s="17" t="s">
        <v>895</v>
      </c>
      <c r="B720" s="7">
        <v>26</v>
      </c>
      <c r="C720" s="7" t="s">
        <v>467</v>
      </c>
      <c r="D720" s="7" t="s">
        <v>493</v>
      </c>
      <c r="E720" s="7">
        <f>+IFERROR(+VLOOKUP(A720,'Trial Balance'!$A$12:$C$428,2,0),0)</f>
        <v>7547</v>
      </c>
      <c r="F720" s="7"/>
      <c r="G720" s="7">
        <f t="shared" si="71"/>
        <v>7547</v>
      </c>
      <c r="H720" s="7">
        <f>+IFERROR(+VLOOKUP(A720,'Trial Balance'!$A$12:$C$428,3,0),0)</f>
        <v>0</v>
      </c>
      <c r="I720" s="7"/>
      <c r="J720" s="7">
        <f t="shared" si="72"/>
        <v>0</v>
      </c>
      <c r="K720" s="7">
        <f>+IFERROR(+VLOOKUP(A720,'TB2019-20'!$A$12:$C$414,2,0),0)</f>
        <v>5716</v>
      </c>
      <c r="L720" s="7"/>
      <c r="M720" s="7">
        <f t="shared" si="73"/>
        <v>5716</v>
      </c>
      <c r="N720" s="7">
        <f>+IFERROR(+VLOOKUP(A720,'TB2019-20'!$A$12:$C$414,3,0),0)</f>
        <v>0</v>
      </c>
      <c r="O720" s="7"/>
      <c r="P720" s="7">
        <f t="shared" si="74"/>
        <v>0</v>
      </c>
    </row>
    <row r="721" spans="1:16" x14ac:dyDescent="0.25">
      <c r="A721" s="17" t="s">
        <v>446</v>
      </c>
      <c r="B721" s="7">
        <v>7</v>
      </c>
      <c r="C721" s="7" t="s">
        <v>460</v>
      </c>
      <c r="D721" s="7" t="s">
        <v>460</v>
      </c>
      <c r="E721" s="7">
        <f>+IFERROR(+VLOOKUP(A721,'Trial Balance'!$A$12:$C$428,2,0),0)</f>
        <v>0</v>
      </c>
      <c r="F721" s="7"/>
      <c r="G721" s="7">
        <f t="shared" si="71"/>
        <v>0</v>
      </c>
      <c r="H721" s="7">
        <f>+IFERROR(+VLOOKUP(A721,'Trial Balance'!$A$12:$C$428,3,0),0)</f>
        <v>0</v>
      </c>
      <c r="I721" s="7"/>
      <c r="J721" s="7">
        <f t="shared" si="72"/>
        <v>0</v>
      </c>
      <c r="K721" s="7">
        <f>+IFERROR(+VLOOKUP(A721,'TB2019-20'!$A$12:$C$414,2,0),0)</f>
        <v>0</v>
      </c>
      <c r="L721" s="7"/>
      <c r="M721" s="7">
        <f t="shared" si="73"/>
        <v>0</v>
      </c>
      <c r="N721" s="7">
        <f>+IFERROR(+VLOOKUP(A721,'TB2019-20'!$A$12:$C$414,3,0),0)</f>
        <v>0</v>
      </c>
      <c r="O721" s="7"/>
      <c r="P721" s="7">
        <f t="shared" si="74"/>
        <v>0</v>
      </c>
    </row>
    <row r="722" spans="1:16" x14ac:dyDescent="0.25">
      <c r="A722" s="17" t="s">
        <v>896</v>
      </c>
      <c r="B722" s="7">
        <v>7</v>
      </c>
      <c r="C722" s="7" t="s">
        <v>460</v>
      </c>
      <c r="D722" s="7" t="s">
        <v>460</v>
      </c>
      <c r="E722" s="7">
        <f>+IFERROR(+VLOOKUP(A722,'Trial Balance'!$A$12:$C$428,2,0),0)</f>
        <v>0</v>
      </c>
      <c r="F722" s="7"/>
      <c r="G722" s="7">
        <f t="shared" si="71"/>
        <v>0</v>
      </c>
      <c r="H722" s="7">
        <f>+IFERROR(+VLOOKUP(A722,'Trial Balance'!$A$12:$C$428,3,0),0)</f>
        <v>0</v>
      </c>
      <c r="I722" s="7"/>
      <c r="J722" s="7">
        <f t="shared" si="72"/>
        <v>0</v>
      </c>
      <c r="K722" s="7">
        <f>+IFERROR(+VLOOKUP(A722,'TB2019-20'!$A$12:$C$414,2,0),0)</f>
        <v>0</v>
      </c>
      <c r="L722" s="7"/>
      <c r="M722" s="7">
        <f t="shared" si="73"/>
        <v>0</v>
      </c>
      <c r="N722" s="7">
        <f>+IFERROR(+VLOOKUP(A722,'TB2019-20'!$A$12:$C$414,3,0),0)</f>
        <v>142942</v>
      </c>
      <c r="O722" s="7"/>
      <c r="P722" s="7">
        <f t="shared" si="74"/>
        <v>142942</v>
      </c>
    </row>
    <row r="723" spans="1:16" x14ac:dyDescent="0.25">
      <c r="A723" s="20" t="s">
        <v>447</v>
      </c>
      <c r="B723" s="7">
        <v>15</v>
      </c>
      <c r="C723" s="7" t="s">
        <v>469</v>
      </c>
      <c r="D723" s="7" t="s">
        <v>470</v>
      </c>
      <c r="E723" s="7">
        <f>+IFERROR(+VLOOKUP(A723,'Trial Balance'!$A$12:$C$428,2,0),0)</f>
        <v>31034983</v>
      </c>
      <c r="F723" s="7"/>
      <c r="G723" s="7">
        <f t="shared" si="71"/>
        <v>31034983</v>
      </c>
      <c r="H723" s="7">
        <f>+IFERROR(+VLOOKUP(A723,'Trial Balance'!$A$12:$C$428,3,0),0)</f>
        <v>0</v>
      </c>
      <c r="I723" s="7"/>
      <c r="J723" s="7">
        <f t="shared" si="72"/>
        <v>0</v>
      </c>
      <c r="K723" s="7">
        <f>+IFERROR(+VLOOKUP(A723,'TB2019-20'!$A$12:$C$414,2,0),0)</f>
        <v>18060676</v>
      </c>
      <c r="L723" s="7"/>
      <c r="M723" s="7">
        <f t="shared" si="73"/>
        <v>18060676</v>
      </c>
      <c r="N723" s="7">
        <f>+IFERROR(+VLOOKUP(A723,'TB2019-20'!$A$12:$C$414,3,0),0)</f>
        <v>0</v>
      </c>
      <c r="O723" s="7"/>
      <c r="P723" s="7">
        <f t="shared" si="74"/>
        <v>0</v>
      </c>
    </row>
    <row r="724" spans="1:16" x14ac:dyDescent="0.25">
      <c r="A724" s="8" t="s">
        <v>213</v>
      </c>
      <c r="B724" s="11">
        <v>8</v>
      </c>
      <c r="C724" s="7" t="s">
        <v>465</v>
      </c>
      <c r="D724" s="7" t="s">
        <v>898</v>
      </c>
      <c r="E724" s="7">
        <f>+IFERROR(+VLOOKUP(A724,'Trial Balance'!$A$12:$C$428,2,0),0)</f>
        <v>2745000</v>
      </c>
      <c r="F724" s="7"/>
      <c r="G724" s="7">
        <f t="shared" si="71"/>
        <v>2745000</v>
      </c>
      <c r="H724" s="7">
        <f>+IFERROR(+VLOOKUP(A724,'Trial Balance'!$A$12:$C$428,3,0),0)</f>
        <v>0</v>
      </c>
      <c r="I724" s="7"/>
      <c r="J724" s="7">
        <f t="shared" si="72"/>
        <v>0</v>
      </c>
      <c r="K724" s="7">
        <f>+IFERROR(+VLOOKUP(A724,'TB2019-20'!$A$12:$C$414,2,0),0)</f>
        <v>0</v>
      </c>
      <c r="L724" s="7"/>
      <c r="M724" s="7">
        <f t="shared" si="73"/>
        <v>0</v>
      </c>
      <c r="N724" s="7">
        <f>+IFERROR(+VLOOKUP(A724,'TB2019-20'!$A$12:$C$414,3,0),0)</f>
        <v>0</v>
      </c>
      <c r="O724" s="7"/>
      <c r="P724" s="7">
        <f t="shared" si="74"/>
        <v>0</v>
      </c>
    </row>
    <row r="725" spans="1:16" x14ac:dyDescent="0.25">
      <c r="A725" s="24" t="s">
        <v>448</v>
      </c>
      <c r="B725" s="7">
        <v>7</v>
      </c>
      <c r="C725" s="7" t="s">
        <v>460</v>
      </c>
      <c r="D725" s="7" t="s">
        <v>462</v>
      </c>
      <c r="E725" s="7">
        <f>+IFERROR(+VLOOKUP(A725,'Trial Balance'!$A$12:$C$428,2,0),0)</f>
        <v>0</v>
      </c>
      <c r="F725" s="7"/>
      <c r="G725" s="7">
        <f t="shared" si="71"/>
        <v>0</v>
      </c>
      <c r="H725" s="7">
        <f>+IFERROR(+VLOOKUP(A725,'Trial Balance'!$A$12:$C$428,3,0),0)</f>
        <v>19017</v>
      </c>
      <c r="I725" s="7"/>
      <c r="J725" s="7">
        <f t="shared" si="72"/>
        <v>19017</v>
      </c>
      <c r="K725" s="7">
        <f>+IFERROR(+VLOOKUP(A725,'TB2019-20'!$A$12:$C$414,2,0),0)</f>
        <v>0</v>
      </c>
      <c r="L725" s="7"/>
      <c r="M725" s="7">
        <f t="shared" si="73"/>
        <v>0</v>
      </c>
      <c r="N725" s="7">
        <f>+IFERROR(+VLOOKUP(A725,'TB2019-20'!$A$12:$C$414,3,0),0)</f>
        <v>0</v>
      </c>
      <c r="O725" s="7"/>
      <c r="P725" s="7">
        <f t="shared" si="74"/>
        <v>0</v>
      </c>
    </row>
    <row r="726" spans="1:16" x14ac:dyDescent="0.25">
      <c r="A726" s="17" t="s">
        <v>897</v>
      </c>
      <c r="B726" s="11">
        <v>8</v>
      </c>
      <c r="C726" s="7" t="s">
        <v>465</v>
      </c>
      <c r="D726" s="7" t="s">
        <v>898</v>
      </c>
      <c r="E726" s="7">
        <f>+IFERROR(+VLOOKUP(A726,'Trial Balance'!$A$12:$C$428,2,0),0)</f>
        <v>0</v>
      </c>
      <c r="F726" s="7"/>
      <c r="G726" s="7">
        <f t="shared" si="71"/>
        <v>0</v>
      </c>
      <c r="H726" s="7">
        <f>+IFERROR(+VLOOKUP(A726,'Trial Balance'!$A$12:$C$428,3,0),0)</f>
        <v>0</v>
      </c>
      <c r="I726" s="7"/>
      <c r="J726" s="7">
        <f t="shared" si="72"/>
        <v>0</v>
      </c>
      <c r="K726" s="7">
        <f>+IFERROR(+VLOOKUP(A726,'TB2019-20'!$A$12:$C$414,2,0),0)</f>
        <v>0</v>
      </c>
      <c r="L726" s="7"/>
      <c r="M726" s="7">
        <f t="shared" si="73"/>
        <v>0</v>
      </c>
      <c r="N726" s="7">
        <f>+IFERROR(+VLOOKUP(A726,'TB2019-20'!$A$12:$C$414,3,0),0)</f>
        <v>0</v>
      </c>
      <c r="O726" s="7"/>
      <c r="P726" s="7">
        <f t="shared" si="74"/>
        <v>0</v>
      </c>
    </row>
    <row r="727" spans="1:16" ht="15.75" thickBot="1" x14ac:dyDescent="0.3">
      <c r="A727" s="28"/>
      <c r="B727" s="28"/>
      <c r="C727" s="28"/>
      <c r="D727" s="28"/>
      <c r="E727" s="28">
        <f t="shared" ref="E727:J727" si="75">+SUM(E5:E726)</f>
        <v>1414542251.77</v>
      </c>
      <c r="F727" s="28">
        <f t="shared" si="75"/>
        <v>-974703</v>
      </c>
      <c r="G727" s="28">
        <f t="shared" si="75"/>
        <v>1413567548.77</v>
      </c>
      <c r="H727" s="28">
        <f t="shared" si="75"/>
        <v>1414542251.55</v>
      </c>
      <c r="I727" s="28">
        <f t="shared" si="75"/>
        <v>-974703</v>
      </c>
      <c r="J727" s="28">
        <f t="shared" si="75"/>
        <v>1413567548.55</v>
      </c>
      <c r="K727" s="28">
        <f t="shared" ref="K727:P727" si="76">+SUM(K5:K726)</f>
        <v>1255100493.1099999</v>
      </c>
      <c r="L727" s="28">
        <f t="shared" si="76"/>
        <v>-750</v>
      </c>
      <c r="M727" s="28">
        <f t="shared" si="76"/>
        <v>1255099743.1099999</v>
      </c>
      <c r="N727" s="28">
        <f t="shared" si="76"/>
        <v>1255100003.1100001</v>
      </c>
      <c r="O727" s="28">
        <f t="shared" si="76"/>
        <v>-750</v>
      </c>
      <c r="P727" s="28">
        <f t="shared" si="76"/>
        <v>1255099253.1100001</v>
      </c>
    </row>
    <row r="728" spans="1:16" ht="15.75" thickTop="1" x14ac:dyDescent="0.25"/>
    <row r="729" spans="1:16" x14ac:dyDescent="0.25">
      <c r="E729" s="29">
        <v>1414542251.77</v>
      </c>
      <c r="F729" s="29"/>
      <c r="G729" s="29">
        <v>1414542251.77</v>
      </c>
      <c r="H729" s="29">
        <v>1414542251.77</v>
      </c>
      <c r="I729" s="29"/>
      <c r="J729" s="29">
        <v>1414542251.77</v>
      </c>
      <c r="K729" s="29">
        <v>1255100493.1099999</v>
      </c>
      <c r="L729" s="29"/>
      <c r="M729" s="29">
        <v>1255100493.1099999</v>
      </c>
      <c r="N729" s="29">
        <v>1255100493.1099999</v>
      </c>
      <c r="O729" s="29"/>
      <c r="P729" s="29">
        <v>1255100493.1099999</v>
      </c>
    </row>
    <row r="730" spans="1:16" x14ac:dyDescent="0.25">
      <c r="E730" s="3">
        <f>+E727-E729</f>
        <v>0</v>
      </c>
      <c r="G730" s="3">
        <f>+G727-G729</f>
        <v>-974703</v>
      </c>
      <c r="H730" s="3">
        <f>+H727-H729</f>
        <v>-0.22000002861022949</v>
      </c>
      <c r="I730" s="3"/>
      <c r="J730" s="3">
        <f>+J727-J729</f>
        <v>-974703.22000002861</v>
      </c>
      <c r="K730" s="3">
        <f>+K727-K729</f>
        <v>0</v>
      </c>
      <c r="M730" s="3">
        <f>+M727-M729</f>
        <v>-750</v>
      </c>
      <c r="N730" s="3">
        <f>+N727-N729</f>
        <v>-489.99999976158142</v>
      </c>
      <c r="O730" s="3"/>
      <c r="P730" s="3">
        <f>+P727-P729</f>
        <v>-1239.9999997615814</v>
      </c>
    </row>
    <row r="731" spans="1:16" x14ac:dyDescent="0.25">
      <c r="G731" s="3">
        <f>+G727-J727</f>
        <v>0.22000002861022949</v>
      </c>
    </row>
    <row r="735" spans="1:16" x14ac:dyDescent="0.25">
      <c r="G735" s="3"/>
      <c r="J735" s="3"/>
    </row>
  </sheetData>
  <autoFilter ref="A4:J727" xr:uid="{00000000-0009-0000-0000-000007000000}"/>
  <customSheetViews>
    <customSheetView guid="{334DC1DD-AD60-4D12-A532-9CEE6201A253}" scale="70" showAutoFilter="1">
      <pane ySplit="4" topLeftCell="A5" activePane="bottomLeft" state="frozen"/>
      <selection pane="bottomLeft" activeCell="B241" sqref="B241:D241"/>
      <pageMargins left="0.7" right="0.7" top="0.75" bottom="0.75" header="0.3" footer="0.3"/>
      <autoFilter ref="A4:J724" xr:uid="{5D710F27-AD57-4421-ADC9-75B7310FF99B}"/>
    </customSheetView>
    <customSheetView guid="{BD5AA3B3-719E-4481-B722-8DE3E8101662}" scale="70" showAutoFilter="1">
      <pane ySplit="4" topLeftCell="A5" activePane="bottomLeft" state="frozen"/>
      <selection pane="bottomLeft" activeCell="B241" sqref="B241:D241"/>
      <pageMargins left="0.7" right="0.7" top="0.75" bottom="0.75" header="0.3" footer="0.3"/>
      <autoFilter ref="A4:J724" xr:uid="{ECDA425B-7424-46B3-BFA8-C8ACAF1B6552}"/>
    </customSheetView>
  </customSheetViews>
  <mergeCells count="2">
    <mergeCell ref="E3:J3"/>
    <mergeCell ref="K3:P3"/>
  </mergeCells>
  <conditionalFormatting sqref="A4">
    <cfRule type="duplicateValues" dxfId="11" priority="9"/>
  </conditionalFormatting>
  <conditionalFormatting sqref="A725:A727 A1:A7 A32:A76 A209:A242 A9:A23 A333:A346 A244:A331 A507 A509:A722 A348:A500 A502 A504:A505 A78:A207">
    <cfRule type="duplicateValues" dxfId="10" priority="8"/>
  </conditionalFormatting>
  <conditionalFormatting sqref="B328:D328">
    <cfRule type="duplicateValues" dxfId="9" priority="6"/>
  </conditionalFormatting>
  <conditionalFormatting sqref="B328:D328">
    <cfRule type="duplicateValues" dxfId="8" priority="7"/>
  </conditionalFormatting>
  <conditionalFormatting sqref="A725:A727 A5:A7 A32:A76 A209:A242 A9:A23 A333:A346 A244:A331 A507 A509:A722 A348:A500 A502 A504:A505 A78:A207">
    <cfRule type="duplicateValues" dxfId="7" priority="10"/>
  </conditionalFormatting>
  <conditionalFormatting sqref="A723:A724">
    <cfRule type="duplicateValues" dxfId="6" priority="3"/>
  </conditionalFormatting>
  <conditionalFormatting sqref="A723:A724">
    <cfRule type="duplicateValues" dxfId="5" priority="4"/>
  </conditionalFormatting>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52"/>
  <sheetViews>
    <sheetView topLeftCell="A358" workbookViewId="0">
      <selection activeCell="B389" sqref="B389"/>
    </sheetView>
  </sheetViews>
  <sheetFormatPr defaultRowHeight="15" x14ac:dyDescent="0.25"/>
  <cols>
    <col min="1" max="1" width="44.7109375" bestFit="1" customWidth="1"/>
    <col min="2" max="2" width="24.5703125" style="244" customWidth="1"/>
    <col min="3" max="3" width="16.85546875" style="244" bestFit="1" customWidth="1"/>
    <col min="4" max="4" width="17.7109375" style="244" bestFit="1" customWidth="1"/>
    <col min="5" max="5" width="17.5703125" style="244" bestFit="1" customWidth="1"/>
    <col min="6" max="6" width="10" style="244" bestFit="1" customWidth="1"/>
    <col min="7" max="7" width="16" style="244" customWidth="1"/>
    <col min="8" max="8" width="13.7109375" style="244" bestFit="1" customWidth="1"/>
    <col min="9" max="10" width="9.140625" style="244"/>
  </cols>
  <sheetData>
    <row r="1" spans="1:8" ht="15.75" x14ac:dyDescent="0.25">
      <c r="A1" s="1841" t="s">
        <v>0</v>
      </c>
      <c r="B1" s="1841"/>
      <c r="C1" s="1841"/>
    </row>
    <row r="2" spans="1:8" x14ac:dyDescent="0.25">
      <c r="A2" s="1834" t="s">
        <v>1</v>
      </c>
      <c r="B2" s="1834"/>
      <c r="C2" s="1834"/>
    </row>
    <row r="3" spans="1:8" x14ac:dyDescent="0.25">
      <c r="A3" s="1834" t="s">
        <v>2</v>
      </c>
      <c r="B3" s="1834"/>
      <c r="C3" s="1834"/>
    </row>
    <row r="4" spans="1:8" x14ac:dyDescent="0.25">
      <c r="A4" s="1834" t="s">
        <v>3</v>
      </c>
      <c r="B4" s="1834"/>
      <c r="C4" s="1834"/>
    </row>
    <row r="5" spans="1:8" x14ac:dyDescent="0.25">
      <c r="A5" s="1842" t="s">
        <v>4</v>
      </c>
      <c r="B5" s="1842"/>
      <c r="C5" s="1842"/>
    </row>
    <row r="6" spans="1:8" ht="15.75" x14ac:dyDescent="0.25">
      <c r="A6" s="1843" t="s">
        <v>5</v>
      </c>
      <c r="B6" s="1843"/>
      <c r="C6" s="1843"/>
    </row>
    <row r="7" spans="1:8" x14ac:dyDescent="0.25">
      <c r="A7" s="1834" t="s">
        <v>6</v>
      </c>
      <c r="B7" s="1834"/>
      <c r="C7" s="1834"/>
    </row>
    <row r="8" spans="1:8" x14ac:dyDescent="0.25">
      <c r="A8" s="1" t="s">
        <v>7</v>
      </c>
      <c r="B8" s="1835" t="s">
        <v>8</v>
      </c>
      <c r="C8" s="1836"/>
    </row>
    <row r="9" spans="1:8" x14ac:dyDescent="0.25">
      <c r="A9" s="2" t="s">
        <v>9</v>
      </c>
      <c r="B9" s="1837" t="s">
        <v>6</v>
      </c>
      <c r="C9" s="1838"/>
    </row>
    <row r="10" spans="1:8" x14ac:dyDescent="0.25">
      <c r="A10" s="2" t="s">
        <v>7</v>
      </c>
      <c r="B10" s="1839" t="s">
        <v>10</v>
      </c>
      <c r="C10" s="1840"/>
    </row>
    <row r="11" spans="1:8" x14ac:dyDescent="0.25">
      <c r="A11" s="2" t="s">
        <v>7</v>
      </c>
      <c r="B11" s="245" t="s">
        <v>11</v>
      </c>
      <c r="C11" s="245" t="s">
        <v>12</v>
      </c>
      <c r="D11" s="244" t="s">
        <v>900</v>
      </c>
      <c r="E11" s="244" t="s">
        <v>901</v>
      </c>
      <c r="F11" s="244" t="s">
        <v>902</v>
      </c>
      <c r="G11" s="244" t="s">
        <v>903</v>
      </c>
      <c r="H11" s="244" t="s">
        <v>904</v>
      </c>
    </row>
    <row r="12" spans="1:8" x14ac:dyDescent="0.25">
      <c r="A12" s="236" t="s">
        <v>13</v>
      </c>
      <c r="B12" s="237">
        <v>67823511</v>
      </c>
      <c r="C12" s="238"/>
      <c r="D12" s="244">
        <f>+IFERROR(+VLOOKUP(A12,'TB final'!$A$5:$J$726,5,0),0)</f>
        <v>67823511</v>
      </c>
      <c r="E12" s="244">
        <f>+IFERROR(+VLOOKUP(A12,'TB final'!$A$5:$J$726,8,0),0)</f>
        <v>0</v>
      </c>
      <c r="F12" s="244">
        <f t="shared" ref="F12:F75" si="0">+B12-D12</f>
        <v>0</v>
      </c>
      <c r="G12" s="244">
        <f t="shared" ref="G12:G75" si="1">+C12-E12</f>
        <v>0</v>
      </c>
      <c r="H12" s="244">
        <f>+F12+G12</f>
        <v>0</v>
      </c>
    </row>
    <row r="13" spans="1:8" x14ac:dyDescent="0.25">
      <c r="A13" s="8" t="s">
        <v>15</v>
      </c>
      <c r="B13" s="239">
        <v>13000000</v>
      </c>
      <c r="C13" s="240"/>
      <c r="D13" s="244">
        <f>+IFERROR(+VLOOKUP(A13,'TB final'!$A$5:$J$726,5,0),0)</f>
        <v>13000000</v>
      </c>
      <c r="E13" s="244">
        <f>+IFERROR(+VLOOKUP(A13,'TB final'!$A$5:$J$726,8,0),0)</f>
        <v>0</v>
      </c>
      <c r="F13" s="244">
        <f t="shared" si="0"/>
        <v>0</v>
      </c>
      <c r="G13" s="244">
        <f t="shared" si="1"/>
        <v>0</v>
      </c>
      <c r="H13" s="244">
        <f t="shared" ref="H13:H76" si="2">+F13+G13</f>
        <v>0</v>
      </c>
    </row>
    <row r="14" spans="1:8" x14ac:dyDescent="0.25">
      <c r="A14" s="8" t="s">
        <v>16</v>
      </c>
      <c r="B14" s="239">
        <v>69186</v>
      </c>
      <c r="C14" s="240"/>
      <c r="D14" s="244">
        <f>+IFERROR(+VLOOKUP(A14,'TB final'!$A$5:$J$726,5,0),0)</f>
        <v>69186</v>
      </c>
      <c r="E14" s="244">
        <f>+IFERROR(+VLOOKUP(A14,'TB final'!$A$5:$J$726,8,0),0)</f>
        <v>0</v>
      </c>
      <c r="F14" s="244">
        <f t="shared" si="0"/>
        <v>0</v>
      </c>
      <c r="G14" s="244">
        <f t="shared" si="1"/>
        <v>0</v>
      </c>
      <c r="H14" s="244">
        <f t="shared" si="2"/>
        <v>0</v>
      </c>
    </row>
    <row r="15" spans="1:8" x14ac:dyDescent="0.25">
      <c r="A15" s="8" t="s">
        <v>17</v>
      </c>
      <c r="B15" s="239">
        <v>3825310</v>
      </c>
      <c r="C15" s="240"/>
      <c r="D15" s="244">
        <f>+IFERROR(+VLOOKUP(A15,'TB final'!$A$5:$J$726,5,0),0)</f>
        <v>3825310</v>
      </c>
      <c r="E15" s="244">
        <f>+IFERROR(+VLOOKUP(A15,'TB final'!$A$5:$J$726,8,0),0)</f>
        <v>0</v>
      </c>
      <c r="F15" s="244">
        <f t="shared" si="0"/>
        <v>0</v>
      </c>
      <c r="G15" s="244">
        <f t="shared" si="1"/>
        <v>0</v>
      </c>
      <c r="H15" s="244">
        <f t="shared" si="2"/>
        <v>0</v>
      </c>
    </row>
    <row r="16" spans="1:8" x14ac:dyDescent="0.25">
      <c r="A16" s="8" t="s">
        <v>18</v>
      </c>
      <c r="B16" s="240"/>
      <c r="C16" s="239">
        <v>156125</v>
      </c>
      <c r="D16" s="244">
        <f>+IFERROR(+VLOOKUP(A16,'TB final'!$A$5:$J$726,5,0),0)</f>
        <v>0</v>
      </c>
      <c r="E16" s="244">
        <f>+IFERROR(+VLOOKUP(A16,'TB final'!$A$5:$J$726,8,0),0)</f>
        <v>156125</v>
      </c>
      <c r="F16" s="244">
        <f t="shared" si="0"/>
        <v>0</v>
      </c>
      <c r="G16" s="244">
        <f t="shared" si="1"/>
        <v>0</v>
      </c>
      <c r="H16" s="244">
        <f t="shared" si="2"/>
        <v>0</v>
      </c>
    </row>
    <row r="17" spans="1:8" x14ac:dyDescent="0.25">
      <c r="A17" s="8" t="s">
        <v>19</v>
      </c>
      <c r="B17" s="239">
        <v>3124400</v>
      </c>
      <c r="C17" s="240"/>
      <c r="D17" s="244">
        <f>+IFERROR(+VLOOKUP(A17,'TB final'!$A$5:$J$726,5,0),0)</f>
        <v>3124400</v>
      </c>
      <c r="E17" s="244">
        <f>+IFERROR(+VLOOKUP(A17,'TB final'!$A$5:$J$726,8,0),0)</f>
        <v>0</v>
      </c>
      <c r="F17" s="244">
        <f t="shared" si="0"/>
        <v>0</v>
      </c>
      <c r="G17" s="244">
        <f t="shared" si="1"/>
        <v>0</v>
      </c>
      <c r="H17" s="244">
        <f t="shared" si="2"/>
        <v>0</v>
      </c>
    </row>
    <row r="18" spans="1:8" x14ac:dyDescent="0.25">
      <c r="A18" s="8" t="s">
        <v>20</v>
      </c>
      <c r="B18" s="239">
        <v>7858026.4299999997</v>
      </c>
      <c r="C18" s="240"/>
      <c r="D18" s="244">
        <f>+IFERROR(+VLOOKUP(A18,'TB final'!$A$5:$J$726,5,0),0)</f>
        <v>7858026.4299999997</v>
      </c>
      <c r="E18" s="244">
        <f>+IFERROR(+VLOOKUP(A18,'TB final'!$A$5:$J$726,8,0),0)</f>
        <v>0</v>
      </c>
      <c r="F18" s="244">
        <f t="shared" si="0"/>
        <v>0</v>
      </c>
      <c r="G18" s="244">
        <f t="shared" si="1"/>
        <v>0</v>
      </c>
      <c r="H18" s="244">
        <f t="shared" si="2"/>
        <v>0</v>
      </c>
    </row>
    <row r="19" spans="1:8" x14ac:dyDescent="0.25">
      <c r="A19" s="8" t="s">
        <v>21</v>
      </c>
      <c r="B19" s="239">
        <v>4500</v>
      </c>
      <c r="C19" s="240"/>
      <c r="D19" s="244">
        <f>+IFERROR(+VLOOKUP(A19,'TB final'!$A$5:$J$726,5,0),0)</f>
        <v>4500</v>
      </c>
      <c r="E19" s="244">
        <f>+IFERROR(+VLOOKUP(A19,'TB final'!$A$5:$J$726,8,0),0)</f>
        <v>0</v>
      </c>
      <c r="F19" s="244">
        <f t="shared" si="0"/>
        <v>0</v>
      </c>
      <c r="G19" s="244">
        <f t="shared" si="1"/>
        <v>0</v>
      </c>
      <c r="H19" s="244">
        <f t="shared" si="2"/>
        <v>0</v>
      </c>
    </row>
    <row r="20" spans="1:8" x14ac:dyDescent="0.25">
      <c r="A20" s="8" t="s">
        <v>22</v>
      </c>
      <c r="B20" s="240"/>
      <c r="C20" s="239">
        <v>68388</v>
      </c>
      <c r="D20" s="244">
        <f>+IFERROR(+VLOOKUP(A20,'TB final'!$A$5:$J$726,5,0),0)</f>
        <v>0</v>
      </c>
      <c r="E20" s="244">
        <f>+IFERROR(+VLOOKUP(A20,'TB final'!$A$5:$J$726,8,0),0)</f>
        <v>68388</v>
      </c>
      <c r="F20" s="244">
        <f t="shared" si="0"/>
        <v>0</v>
      </c>
      <c r="G20" s="244">
        <f t="shared" si="1"/>
        <v>0</v>
      </c>
      <c r="H20" s="244">
        <f t="shared" si="2"/>
        <v>0</v>
      </c>
    </row>
    <row r="21" spans="1:8" x14ac:dyDescent="0.25">
      <c r="A21" s="8" t="s">
        <v>23</v>
      </c>
      <c r="B21" s="239">
        <v>6461</v>
      </c>
      <c r="C21" s="240"/>
      <c r="D21" s="244">
        <f>+IFERROR(+VLOOKUP(A21,'TB final'!$A$5:$J$726,5,0),0)</f>
        <v>6461</v>
      </c>
      <c r="E21" s="244">
        <f>+IFERROR(+VLOOKUP(A21,'TB final'!$A$5:$J$726,8,0),0)</f>
        <v>0</v>
      </c>
      <c r="F21" s="244">
        <f t="shared" si="0"/>
        <v>0</v>
      </c>
      <c r="G21" s="244">
        <f t="shared" si="1"/>
        <v>0</v>
      </c>
      <c r="H21" s="244">
        <f t="shared" si="2"/>
        <v>0</v>
      </c>
    </row>
    <row r="22" spans="1:8" x14ac:dyDescent="0.25">
      <c r="A22" s="8" t="s">
        <v>24</v>
      </c>
      <c r="B22" s="239">
        <v>1585664</v>
      </c>
      <c r="C22" s="240"/>
      <c r="D22" s="244">
        <f>+IFERROR(+VLOOKUP(A22,'TB final'!$A$5:$J$726,5,0),0)</f>
        <v>1585664</v>
      </c>
      <c r="E22" s="244">
        <f>+IFERROR(+VLOOKUP(A22,'TB final'!$A$5:$J$726,8,0),0)</f>
        <v>0</v>
      </c>
      <c r="F22" s="244">
        <f t="shared" si="0"/>
        <v>0</v>
      </c>
      <c r="G22" s="244">
        <f t="shared" si="1"/>
        <v>0</v>
      </c>
      <c r="H22" s="244">
        <f t="shared" si="2"/>
        <v>0</v>
      </c>
    </row>
    <row r="23" spans="1:8" x14ac:dyDescent="0.25">
      <c r="A23" s="8" t="s">
        <v>25</v>
      </c>
      <c r="B23" s="240"/>
      <c r="C23" s="239">
        <v>2353055</v>
      </c>
      <c r="D23" s="244">
        <f>+IFERROR(+VLOOKUP(A23,'TB final'!$A$5:$J$726,5,0),0)</f>
        <v>0</v>
      </c>
      <c r="E23" s="244">
        <f>+IFERROR(+VLOOKUP(A23,'TB final'!$A$5:$J$726,8,0),0)</f>
        <v>2353055</v>
      </c>
      <c r="F23" s="244">
        <f t="shared" si="0"/>
        <v>0</v>
      </c>
      <c r="G23" s="244">
        <f t="shared" si="1"/>
        <v>0</v>
      </c>
      <c r="H23" s="244">
        <f t="shared" si="2"/>
        <v>0</v>
      </c>
    </row>
    <row r="24" spans="1:8" x14ac:dyDescent="0.25">
      <c r="A24" s="8" t="s">
        <v>26</v>
      </c>
      <c r="B24" s="240"/>
      <c r="C24" s="239">
        <v>941222</v>
      </c>
      <c r="D24" s="244">
        <f>+IFERROR(+VLOOKUP(A24,'TB final'!$A$5:$J$726,5,0),0)</f>
        <v>0</v>
      </c>
      <c r="E24" s="244">
        <f>+IFERROR(+VLOOKUP(A24,'TB final'!$A$5:$J$726,8,0),0)</f>
        <v>941222</v>
      </c>
      <c r="F24" s="244">
        <f t="shared" si="0"/>
        <v>0</v>
      </c>
      <c r="G24" s="244">
        <f t="shared" si="1"/>
        <v>0</v>
      </c>
      <c r="H24" s="244">
        <f t="shared" si="2"/>
        <v>0</v>
      </c>
    </row>
    <row r="25" spans="1:8" x14ac:dyDescent="0.25">
      <c r="A25" s="8" t="s">
        <v>27</v>
      </c>
      <c r="B25" s="239">
        <v>19000</v>
      </c>
      <c r="C25" s="240"/>
      <c r="D25" s="244">
        <f>+IFERROR(+VLOOKUP(A25,'TB final'!$A$5:$J$726,5,0),0)</f>
        <v>19000</v>
      </c>
      <c r="E25" s="244">
        <f>+IFERROR(+VLOOKUP(A25,'TB final'!$A$5:$J$726,8,0),0)</f>
        <v>0</v>
      </c>
      <c r="F25" s="244">
        <f t="shared" si="0"/>
        <v>0</v>
      </c>
      <c r="G25" s="244">
        <f t="shared" si="1"/>
        <v>0</v>
      </c>
      <c r="H25" s="244">
        <f t="shared" si="2"/>
        <v>0</v>
      </c>
    </row>
    <row r="26" spans="1:8" x14ac:dyDescent="0.25">
      <c r="A26" s="8" t="s">
        <v>28</v>
      </c>
      <c r="B26" s="239">
        <v>9000</v>
      </c>
      <c r="C26" s="240"/>
      <c r="D26" s="244">
        <f>+IFERROR(+VLOOKUP(A26,'TB final'!$A$5:$J$726,5,0),0)</f>
        <v>9000</v>
      </c>
      <c r="E26" s="246">
        <f>+IFERROR(+VLOOKUP(A26,'TB final'!$A$5:$J$726,8,0),0)</f>
        <v>0</v>
      </c>
      <c r="F26" s="244">
        <f t="shared" si="0"/>
        <v>0</v>
      </c>
      <c r="G26" s="244">
        <f t="shared" si="1"/>
        <v>0</v>
      </c>
      <c r="H26" s="244">
        <f t="shared" si="2"/>
        <v>0</v>
      </c>
    </row>
    <row r="27" spans="1:8" x14ac:dyDescent="0.25">
      <c r="A27" s="8" t="s">
        <v>29</v>
      </c>
      <c r="B27" s="240"/>
      <c r="C27" s="239">
        <v>50553</v>
      </c>
      <c r="D27" s="244">
        <f>+IFERROR(+VLOOKUP(A27,'TB final'!$A$5:$J$726,5,0),0)</f>
        <v>0</v>
      </c>
      <c r="E27" s="244">
        <f>+IFERROR(+VLOOKUP(A27,'TB final'!$A$5:$J$726,8,0),0)</f>
        <v>50553</v>
      </c>
      <c r="F27" s="244">
        <f t="shared" si="0"/>
        <v>0</v>
      </c>
      <c r="G27" s="244">
        <f t="shared" si="1"/>
        <v>0</v>
      </c>
      <c r="H27" s="244">
        <f t="shared" si="2"/>
        <v>0</v>
      </c>
    </row>
    <row r="28" spans="1:8" x14ac:dyDescent="0.25">
      <c r="A28" s="8" t="s">
        <v>30</v>
      </c>
      <c r="B28" s="239">
        <v>4000</v>
      </c>
      <c r="C28" s="240"/>
      <c r="D28" s="244">
        <f>+IFERROR(+VLOOKUP(A28,'TB final'!$A$5:$J$726,5,0),0)</f>
        <v>4000</v>
      </c>
      <c r="E28" s="244">
        <f>+IFERROR(+VLOOKUP(A28,'TB final'!$A$5:$J$726,8,0),0)</f>
        <v>0</v>
      </c>
      <c r="F28" s="244">
        <f t="shared" si="0"/>
        <v>0</v>
      </c>
      <c r="G28" s="244">
        <f t="shared" si="1"/>
        <v>0</v>
      </c>
      <c r="H28" s="244">
        <f t="shared" si="2"/>
        <v>0</v>
      </c>
    </row>
    <row r="29" spans="1:8" x14ac:dyDescent="0.25">
      <c r="A29" s="8" t="s">
        <v>31</v>
      </c>
      <c r="B29" s="240"/>
      <c r="C29" s="239">
        <v>61249</v>
      </c>
      <c r="D29" s="244">
        <f>+IFERROR(+VLOOKUP(A29,'TB final'!$A$5:$J$726,5,0),0)</f>
        <v>0</v>
      </c>
      <c r="E29" s="244">
        <f>+IFERROR(+VLOOKUP(A29,'TB final'!$A$5:$J$726,8,0),0)</f>
        <v>61249</v>
      </c>
      <c r="F29" s="244">
        <f t="shared" si="0"/>
        <v>0</v>
      </c>
      <c r="G29" s="244">
        <f t="shared" si="1"/>
        <v>0</v>
      </c>
      <c r="H29" s="244">
        <f t="shared" si="2"/>
        <v>0</v>
      </c>
    </row>
    <row r="30" spans="1:8" x14ac:dyDescent="0.25">
      <c r="A30" s="8" t="s">
        <v>32</v>
      </c>
      <c r="B30" s="240"/>
      <c r="C30" s="239">
        <v>1176528</v>
      </c>
      <c r="D30" s="244">
        <f>+IFERROR(+VLOOKUP(A30,'TB final'!$A$5:$J$726,5,0),0)</f>
        <v>0</v>
      </c>
      <c r="E30" s="244">
        <f>+IFERROR(+VLOOKUP(A30,'TB final'!$A$5:$J$726,8,0),0)</f>
        <v>1176528</v>
      </c>
      <c r="F30" s="244">
        <f t="shared" si="0"/>
        <v>0</v>
      </c>
      <c r="G30" s="244">
        <f t="shared" si="1"/>
        <v>0</v>
      </c>
      <c r="H30" s="244">
        <f t="shared" si="2"/>
        <v>0</v>
      </c>
    </row>
    <row r="31" spans="1:8" x14ac:dyDescent="0.25">
      <c r="A31" s="8" t="s">
        <v>33</v>
      </c>
      <c r="B31" s="239">
        <v>134911.04000000001</v>
      </c>
      <c r="C31" s="240"/>
      <c r="D31" s="244">
        <f>+IFERROR(+VLOOKUP(A31,'TB final'!$A$5:$J$726,5,0),0)</f>
        <v>134911.04000000001</v>
      </c>
      <c r="E31" s="244">
        <f>+IFERROR(+VLOOKUP(A31,'TB final'!$A$5:$J$726,8,0),0)</f>
        <v>0</v>
      </c>
      <c r="F31" s="244">
        <f t="shared" si="0"/>
        <v>0</v>
      </c>
      <c r="G31" s="244">
        <f t="shared" si="1"/>
        <v>0</v>
      </c>
      <c r="H31" s="244">
        <f t="shared" si="2"/>
        <v>0</v>
      </c>
    </row>
    <row r="32" spans="1:8" x14ac:dyDescent="0.25">
      <c r="A32" s="8" t="s">
        <v>34</v>
      </c>
      <c r="B32" s="239">
        <v>91200</v>
      </c>
      <c r="C32" s="240"/>
      <c r="D32" s="244">
        <f>+IFERROR(+VLOOKUP(A32,'TB final'!$A$5:$J$726,5,0),0)</f>
        <v>91200</v>
      </c>
      <c r="E32" s="244">
        <f>+IFERROR(+VLOOKUP(A32,'TB final'!$A$5:$J$726,8,0),0)</f>
        <v>0</v>
      </c>
      <c r="F32" s="244">
        <f t="shared" si="0"/>
        <v>0</v>
      </c>
      <c r="G32" s="244">
        <f t="shared" si="1"/>
        <v>0</v>
      </c>
      <c r="H32" s="244">
        <f t="shared" si="2"/>
        <v>0</v>
      </c>
    </row>
    <row r="33" spans="1:8" x14ac:dyDescent="0.25">
      <c r="A33" s="8" t="s">
        <v>35</v>
      </c>
      <c r="B33" s="239">
        <v>97878</v>
      </c>
      <c r="C33" s="240"/>
      <c r="D33" s="244">
        <f>+IFERROR(+VLOOKUP(A33,'TB final'!$A$5:$J$726,5,0),0)</f>
        <v>97878</v>
      </c>
      <c r="E33" s="244">
        <f>+IFERROR(+VLOOKUP(A33,'TB final'!$A$5:$J$726,8,0),0)</f>
        <v>0</v>
      </c>
      <c r="F33" s="244">
        <f t="shared" si="0"/>
        <v>0</v>
      </c>
      <c r="G33" s="244">
        <f t="shared" si="1"/>
        <v>0</v>
      </c>
      <c r="H33" s="244">
        <f t="shared" si="2"/>
        <v>0</v>
      </c>
    </row>
    <row r="34" spans="1:8" x14ac:dyDescent="0.25">
      <c r="A34" s="8" t="s">
        <v>36</v>
      </c>
      <c r="B34" s="239">
        <v>48970</v>
      </c>
      <c r="C34" s="240"/>
      <c r="D34" s="244">
        <f>+IFERROR(+VLOOKUP(A34,'TB final'!$A$5:$J$726,5,0),0)</f>
        <v>48970</v>
      </c>
      <c r="E34" s="244">
        <f>+IFERROR(+VLOOKUP(A34,'TB final'!$A$5:$J$726,8,0),0)</f>
        <v>0</v>
      </c>
      <c r="F34" s="244">
        <f t="shared" si="0"/>
        <v>0</v>
      </c>
      <c r="G34" s="244">
        <f t="shared" si="1"/>
        <v>0</v>
      </c>
      <c r="H34" s="244">
        <f t="shared" si="2"/>
        <v>0</v>
      </c>
    </row>
    <row r="35" spans="1:8" x14ac:dyDescent="0.25">
      <c r="A35" s="8" t="s">
        <v>37</v>
      </c>
      <c r="B35" s="239">
        <v>274305</v>
      </c>
      <c r="C35" s="240"/>
      <c r="D35" s="244">
        <f>+IFERROR(+VLOOKUP(A35,'TB final'!$A$5:$J$726,5,0),0)</f>
        <v>274305</v>
      </c>
      <c r="E35" s="244">
        <f>+IFERROR(+VLOOKUP(A35,'TB final'!$A$5:$J$726,8,0),0)</f>
        <v>0</v>
      </c>
      <c r="F35" s="244">
        <f t="shared" si="0"/>
        <v>0</v>
      </c>
      <c r="G35" s="244">
        <f t="shared" si="1"/>
        <v>0</v>
      </c>
      <c r="H35" s="244">
        <f t="shared" si="2"/>
        <v>0</v>
      </c>
    </row>
    <row r="36" spans="1:8" x14ac:dyDescent="0.25">
      <c r="A36" s="8" t="s">
        <v>38</v>
      </c>
      <c r="B36" s="240"/>
      <c r="C36" s="239">
        <v>262245</v>
      </c>
      <c r="D36" s="244">
        <f>+IFERROR(+VLOOKUP(A36,'TB final'!$A$5:$J$726,5,0),0)</f>
        <v>0</v>
      </c>
      <c r="E36" s="244">
        <f>+IFERROR(+VLOOKUP(A36,'TB final'!$A$5:$J$726,8,0),0)</f>
        <v>262245</v>
      </c>
      <c r="F36" s="244">
        <f t="shared" si="0"/>
        <v>0</v>
      </c>
      <c r="G36" s="244">
        <f t="shared" si="1"/>
        <v>0</v>
      </c>
      <c r="H36" s="244">
        <f t="shared" si="2"/>
        <v>0</v>
      </c>
    </row>
    <row r="37" spans="1:8" x14ac:dyDescent="0.25">
      <c r="A37" s="8" t="s">
        <v>39</v>
      </c>
      <c r="B37" s="240"/>
      <c r="C37" s="239">
        <v>209878</v>
      </c>
      <c r="D37" s="244">
        <f>+IFERROR(+VLOOKUP(A37,'TB final'!$A$5:$J$726,5,0),0)</f>
        <v>0</v>
      </c>
      <c r="E37" s="244">
        <f>+IFERROR(+VLOOKUP(A37,'TB final'!$A$5:$J$726,8,0),0)</f>
        <v>209878</v>
      </c>
      <c r="F37" s="244">
        <f t="shared" si="0"/>
        <v>0</v>
      </c>
      <c r="G37" s="244">
        <f t="shared" si="1"/>
        <v>0</v>
      </c>
      <c r="H37" s="244">
        <f t="shared" si="2"/>
        <v>0</v>
      </c>
    </row>
    <row r="38" spans="1:8" x14ac:dyDescent="0.25">
      <c r="A38" s="8" t="s">
        <v>40</v>
      </c>
      <c r="B38" s="239">
        <v>3207346</v>
      </c>
      <c r="C38" s="240"/>
      <c r="D38" s="244">
        <f>+IFERROR(+VLOOKUP(A38,'TB final'!$A$5:$J$726,5,0),0)</f>
        <v>3207346</v>
      </c>
      <c r="E38" s="244">
        <f>+IFERROR(+VLOOKUP(A38,'TB final'!$A$5:$J$726,8,0),0)</f>
        <v>0</v>
      </c>
      <c r="F38" s="244">
        <f t="shared" si="0"/>
        <v>0</v>
      </c>
      <c r="G38" s="244">
        <f t="shared" si="1"/>
        <v>0</v>
      </c>
      <c r="H38" s="244">
        <f t="shared" si="2"/>
        <v>0</v>
      </c>
    </row>
    <row r="39" spans="1:8" x14ac:dyDescent="0.25">
      <c r="A39" s="8" t="s">
        <v>41</v>
      </c>
      <c r="B39" s="239">
        <v>2575</v>
      </c>
      <c r="C39" s="240"/>
      <c r="D39" s="244">
        <f>+IFERROR(+VLOOKUP(A39,'TB final'!$A$5:$J$726,5,0),0)</f>
        <v>2575</v>
      </c>
      <c r="E39" s="244">
        <f>+IFERROR(+VLOOKUP(A39,'TB final'!$A$5:$J$726,8,0),0)</f>
        <v>0</v>
      </c>
      <c r="F39" s="244">
        <f t="shared" si="0"/>
        <v>0</v>
      </c>
      <c r="G39" s="244">
        <f t="shared" si="1"/>
        <v>0</v>
      </c>
      <c r="H39" s="244">
        <f t="shared" si="2"/>
        <v>0</v>
      </c>
    </row>
    <row r="40" spans="1:8" x14ac:dyDescent="0.25">
      <c r="A40" s="8" t="s">
        <v>42</v>
      </c>
      <c r="B40" s="240"/>
      <c r="C40" s="239">
        <v>82125</v>
      </c>
      <c r="D40" s="244">
        <f>+IFERROR(+VLOOKUP(A40,'TB final'!$A$5:$J$726,5,0),0)</f>
        <v>0</v>
      </c>
      <c r="E40" s="244">
        <f>+IFERROR(+VLOOKUP(A40,'TB final'!$A$5:$J$726,8,0),0)</f>
        <v>82125</v>
      </c>
      <c r="F40" s="244">
        <f t="shared" si="0"/>
        <v>0</v>
      </c>
      <c r="G40" s="244">
        <f t="shared" si="1"/>
        <v>0</v>
      </c>
      <c r="H40" s="244">
        <f t="shared" si="2"/>
        <v>0</v>
      </c>
    </row>
    <row r="41" spans="1:8" x14ac:dyDescent="0.25">
      <c r="A41" s="8" t="s">
        <v>43</v>
      </c>
      <c r="B41" s="239">
        <v>58923230.630000003</v>
      </c>
      <c r="C41" s="240"/>
      <c r="D41" s="244">
        <f>+IFERROR(+VLOOKUP(A41,'TB final'!$A$5:$J$726,5,0),0)</f>
        <v>58923230.630000003</v>
      </c>
      <c r="E41" s="244">
        <f>+IFERROR(+VLOOKUP(A41,'TB final'!$A$5:$J$726,8,0),0)</f>
        <v>0</v>
      </c>
      <c r="F41" s="244">
        <f t="shared" si="0"/>
        <v>0</v>
      </c>
      <c r="G41" s="244">
        <f t="shared" si="1"/>
        <v>0</v>
      </c>
      <c r="H41" s="244">
        <f t="shared" si="2"/>
        <v>0</v>
      </c>
    </row>
    <row r="42" spans="1:8" x14ac:dyDescent="0.25">
      <c r="A42" s="8" t="s">
        <v>45</v>
      </c>
      <c r="B42" s="240"/>
      <c r="C42" s="239">
        <v>20413989</v>
      </c>
      <c r="D42" s="244">
        <f>+IFERROR(+VLOOKUP(A42,'TB final'!$A$5:$J$726,5,0),0)</f>
        <v>0</v>
      </c>
      <c r="E42" s="244">
        <f>+IFERROR(+VLOOKUP(A42,'TB final'!$A$5:$J$726,8,0),0)</f>
        <v>20413989</v>
      </c>
      <c r="F42" s="244">
        <f t="shared" si="0"/>
        <v>0</v>
      </c>
      <c r="G42" s="244">
        <f t="shared" si="1"/>
        <v>0</v>
      </c>
      <c r="H42" s="244">
        <f t="shared" si="2"/>
        <v>0</v>
      </c>
    </row>
    <row r="43" spans="1:8" x14ac:dyDescent="0.25">
      <c r="A43" s="8" t="s">
        <v>46</v>
      </c>
      <c r="B43" s="240"/>
      <c r="C43" s="239">
        <v>32332</v>
      </c>
      <c r="D43" s="244">
        <f>+IFERROR(+VLOOKUP(A43,'TB final'!$A$5:$J$726,5,0),0)</f>
        <v>0</v>
      </c>
      <c r="E43" s="244">
        <f>+IFERROR(+VLOOKUP(A43,'TB final'!$A$5:$J$726,8,0),0)</f>
        <v>32332</v>
      </c>
      <c r="F43" s="244">
        <f t="shared" si="0"/>
        <v>0</v>
      </c>
      <c r="G43" s="244">
        <f t="shared" si="1"/>
        <v>0</v>
      </c>
      <c r="H43" s="244">
        <f t="shared" si="2"/>
        <v>0</v>
      </c>
    </row>
    <row r="44" spans="1:8" x14ac:dyDescent="0.25">
      <c r="A44" s="8" t="s">
        <v>47</v>
      </c>
      <c r="B44" s="239">
        <v>364309</v>
      </c>
      <c r="C44" s="240"/>
      <c r="D44" s="244">
        <f>+IFERROR(+VLOOKUP(A44,'TB final'!$A$5:$J$726,5,0),0)</f>
        <v>364309</v>
      </c>
      <c r="E44" s="244">
        <f>+IFERROR(+VLOOKUP(A44,'TB final'!$A$5:$J$726,8,0),0)</f>
        <v>0</v>
      </c>
      <c r="F44" s="244">
        <f t="shared" si="0"/>
        <v>0</v>
      </c>
      <c r="G44" s="244">
        <f t="shared" si="1"/>
        <v>0</v>
      </c>
      <c r="H44" s="244">
        <f t="shared" si="2"/>
        <v>0</v>
      </c>
    </row>
    <row r="45" spans="1:8" x14ac:dyDescent="0.25">
      <c r="A45" s="8" t="s">
        <v>48</v>
      </c>
      <c r="B45" s="239">
        <v>95263</v>
      </c>
      <c r="C45" s="240"/>
      <c r="D45" s="244">
        <f>+IFERROR(+VLOOKUP(A45,'TB final'!$A$5:$J$726,5,0),0)</f>
        <v>95263</v>
      </c>
      <c r="E45" s="244">
        <f>+IFERROR(+VLOOKUP(A45,'TB final'!$A$5:$J$726,8,0),0)</f>
        <v>0</v>
      </c>
      <c r="F45" s="244">
        <f t="shared" si="0"/>
        <v>0</v>
      </c>
      <c r="G45" s="244">
        <f t="shared" si="1"/>
        <v>0</v>
      </c>
      <c r="H45" s="244">
        <f t="shared" si="2"/>
        <v>0</v>
      </c>
    </row>
    <row r="46" spans="1:8" x14ac:dyDescent="0.25">
      <c r="A46" s="8" t="s">
        <v>49</v>
      </c>
      <c r="B46" s="239">
        <v>81600</v>
      </c>
      <c r="C46" s="240"/>
      <c r="D46" s="244">
        <f>+IFERROR(+VLOOKUP(A46,'TB final'!$A$5:$J$726,5,0),0)</f>
        <v>81600</v>
      </c>
      <c r="E46" s="244">
        <f>+IFERROR(+VLOOKUP(A46,'TB final'!$A$5:$J$726,8,0),0)</f>
        <v>0</v>
      </c>
      <c r="F46" s="244">
        <f t="shared" si="0"/>
        <v>0</v>
      </c>
      <c r="G46" s="244">
        <f t="shared" si="1"/>
        <v>0</v>
      </c>
      <c r="H46" s="244">
        <f t="shared" si="2"/>
        <v>0</v>
      </c>
    </row>
    <row r="47" spans="1:8" x14ac:dyDescent="0.25">
      <c r="A47" s="8" t="s">
        <v>50</v>
      </c>
      <c r="B47" s="239">
        <v>255504</v>
      </c>
      <c r="C47" s="240"/>
      <c r="D47" s="244">
        <f>+IFERROR(+VLOOKUP(A47,'TB final'!$A$5:$J$726,5,0),0)</f>
        <v>255504</v>
      </c>
      <c r="E47" s="244">
        <f>+IFERROR(+VLOOKUP(A47,'TB final'!$A$5:$J$726,8,0),0)</f>
        <v>0</v>
      </c>
      <c r="F47" s="244">
        <f t="shared" si="0"/>
        <v>0</v>
      </c>
      <c r="G47" s="244">
        <f t="shared" si="1"/>
        <v>0</v>
      </c>
      <c r="H47" s="244">
        <f t="shared" si="2"/>
        <v>0</v>
      </c>
    </row>
    <row r="48" spans="1:8" x14ac:dyDescent="0.25">
      <c r="A48" s="8" t="s">
        <v>52</v>
      </c>
      <c r="B48" s="240"/>
      <c r="C48" s="239">
        <v>4520</v>
      </c>
      <c r="D48" s="244">
        <f>+IFERROR(+VLOOKUP(A48,'TB final'!$A$5:$J$726,5,0),0)</f>
        <v>0</v>
      </c>
      <c r="E48" s="244">
        <f>+IFERROR(+VLOOKUP(A48,'TB final'!$A$5:$J$726,8,0),0)</f>
        <v>4520</v>
      </c>
      <c r="F48" s="244">
        <f t="shared" si="0"/>
        <v>0</v>
      </c>
      <c r="G48" s="244">
        <f t="shared" si="1"/>
        <v>0</v>
      </c>
      <c r="H48" s="244">
        <f t="shared" si="2"/>
        <v>0</v>
      </c>
    </row>
    <row r="49" spans="1:8" x14ac:dyDescent="0.25">
      <c r="A49" s="8" t="s">
        <v>71</v>
      </c>
      <c r="B49" s="240"/>
      <c r="C49" s="239">
        <v>2852087</v>
      </c>
      <c r="D49" s="244">
        <f>+IFERROR(+VLOOKUP(A49,'TB final'!$A$5:$J$726,5,0),0)</f>
        <v>0</v>
      </c>
      <c r="E49" s="244">
        <f>+IFERROR(+VLOOKUP(A49,'TB final'!$A$5:$J$726,8,0),0)</f>
        <v>2852087</v>
      </c>
      <c r="F49" s="244">
        <f t="shared" si="0"/>
        <v>0</v>
      </c>
      <c r="G49" s="244">
        <f t="shared" si="1"/>
        <v>0</v>
      </c>
      <c r="H49" s="244">
        <f t="shared" si="2"/>
        <v>0</v>
      </c>
    </row>
    <row r="50" spans="1:8" x14ac:dyDescent="0.25">
      <c r="A50" s="8" t="s">
        <v>72</v>
      </c>
      <c r="B50" s="239">
        <v>61274.11</v>
      </c>
      <c r="C50" s="240"/>
      <c r="D50" s="244">
        <f>+IFERROR(+VLOOKUP(A50,'TB final'!$A$5:$J$726,5,0),0)</f>
        <v>61274.11</v>
      </c>
      <c r="E50" s="244">
        <f>+IFERROR(+VLOOKUP(A50,'TB final'!$A$5:$J$726,8,0),0)</f>
        <v>0</v>
      </c>
      <c r="F50" s="244">
        <f t="shared" si="0"/>
        <v>0</v>
      </c>
      <c r="G50" s="244">
        <f t="shared" si="1"/>
        <v>0</v>
      </c>
      <c r="H50" s="244">
        <f t="shared" si="2"/>
        <v>0</v>
      </c>
    </row>
    <row r="51" spans="1:8" x14ac:dyDescent="0.25">
      <c r="A51" s="8" t="s">
        <v>73</v>
      </c>
      <c r="B51" s="239">
        <v>19377618</v>
      </c>
      <c r="C51" s="240"/>
      <c r="D51" s="244">
        <f>+IFERROR(+VLOOKUP(A51,'TB final'!$A$5:$J$726,5,0),0)</f>
        <v>19377618</v>
      </c>
      <c r="E51" s="244">
        <f>+IFERROR(+VLOOKUP(A51,'TB final'!$A$5:$J$726,8,0),0)</f>
        <v>0</v>
      </c>
      <c r="F51" s="244">
        <f t="shared" si="0"/>
        <v>0</v>
      </c>
      <c r="G51" s="244">
        <f t="shared" si="1"/>
        <v>0</v>
      </c>
      <c r="H51" s="244">
        <f t="shared" si="2"/>
        <v>0</v>
      </c>
    </row>
    <row r="52" spans="1:8" x14ac:dyDescent="0.25">
      <c r="A52" s="8" t="s">
        <v>74</v>
      </c>
      <c r="B52" s="239">
        <v>396306</v>
      </c>
      <c r="C52" s="240"/>
      <c r="D52" s="244">
        <f>+IFERROR(+VLOOKUP(A52,'TB final'!$A$5:$J$726,5,0),0)</f>
        <v>396306</v>
      </c>
      <c r="E52" s="244">
        <f>+IFERROR(+VLOOKUP(A52,'TB final'!$A$5:$J$726,8,0),0)</f>
        <v>0</v>
      </c>
      <c r="F52" s="244">
        <f t="shared" si="0"/>
        <v>0</v>
      </c>
      <c r="G52" s="244">
        <f t="shared" si="1"/>
        <v>0</v>
      </c>
      <c r="H52" s="244">
        <f t="shared" si="2"/>
        <v>0</v>
      </c>
    </row>
    <row r="53" spans="1:8" x14ac:dyDescent="0.25">
      <c r="A53" s="8" t="s">
        <v>75</v>
      </c>
      <c r="B53" s="240"/>
      <c r="C53" s="239">
        <v>638291</v>
      </c>
      <c r="D53" s="244">
        <f>+IFERROR(+VLOOKUP(A53,'TB final'!$A$5:$J$726,5,0),0)</f>
        <v>0</v>
      </c>
      <c r="E53" s="244">
        <f>+IFERROR(+VLOOKUP(A53,'TB final'!$A$5:$J$726,8,0),0)</f>
        <v>638291</v>
      </c>
      <c r="F53" s="244">
        <f t="shared" si="0"/>
        <v>0</v>
      </c>
      <c r="G53" s="244">
        <f t="shared" si="1"/>
        <v>0</v>
      </c>
      <c r="H53" s="244">
        <f t="shared" si="2"/>
        <v>0</v>
      </c>
    </row>
    <row r="54" spans="1:8" x14ac:dyDescent="0.25">
      <c r="A54" s="8" t="s">
        <v>76</v>
      </c>
      <c r="B54" s="239">
        <v>4000</v>
      </c>
      <c r="C54" s="240"/>
      <c r="D54" s="244">
        <f>+IFERROR(+VLOOKUP(A54,'TB final'!$A$5:$J$726,5,0),0)</f>
        <v>4000</v>
      </c>
      <c r="E54" s="244">
        <f>+IFERROR(+VLOOKUP(A54,'TB final'!$A$5:$J$726,8,0),0)</f>
        <v>0</v>
      </c>
      <c r="F54" s="244">
        <f t="shared" si="0"/>
        <v>0</v>
      </c>
      <c r="G54" s="244">
        <f t="shared" si="1"/>
        <v>0</v>
      </c>
      <c r="H54" s="244">
        <f t="shared" si="2"/>
        <v>0</v>
      </c>
    </row>
    <row r="55" spans="1:8" x14ac:dyDescent="0.25">
      <c r="A55" s="8" t="s">
        <v>77</v>
      </c>
      <c r="B55" s="239">
        <v>34675595</v>
      </c>
      <c r="C55" s="240"/>
      <c r="D55" s="244">
        <f>+IFERROR(+VLOOKUP(A55,'TB final'!$A$5:$J$726,5,0),0)</f>
        <v>34675595</v>
      </c>
      <c r="E55" s="244">
        <f>+IFERROR(+VLOOKUP(A55,'TB final'!$A$5:$J$726,8,0),0)</f>
        <v>0</v>
      </c>
      <c r="F55" s="244">
        <f t="shared" si="0"/>
        <v>0</v>
      </c>
      <c r="G55" s="244">
        <f t="shared" si="1"/>
        <v>0</v>
      </c>
      <c r="H55" s="244">
        <f t="shared" si="2"/>
        <v>0</v>
      </c>
    </row>
    <row r="56" spans="1:8" x14ac:dyDescent="0.25">
      <c r="A56" s="8" t="s">
        <v>78</v>
      </c>
      <c r="B56" s="239">
        <v>614111</v>
      </c>
      <c r="C56" s="240"/>
      <c r="D56" s="244">
        <f>+IFERROR(+VLOOKUP(A56,'TB final'!$A$5:$J$726,5,0),0)</f>
        <v>614111</v>
      </c>
      <c r="E56" s="244">
        <f>+IFERROR(+VLOOKUP(A56,'TB final'!$A$5:$J$726,8,0),0)</f>
        <v>0</v>
      </c>
      <c r="F56" s="244">
        <f t="shared" si="0"/>
        <v>0</v>
      </c>
      <c r="G56" s="244">
        <f t="shared" si="1"/>
        <v>0</v>
      </c>
      <c r="H56" s="244">
        <f t="shared" si="2"/>
        <v>0</v>
      </c>
    </row>
    <row r="57" spans="1:8" x14ac:dyDescent="0.25">
      <c r="A57" s="8" t="s">
        <v>79</v>
      </c>
      <c r="B57" s="239">
        <v>25835930</v>
      </c>
      <c r="C57" s="240"/>
      <c r="D57" s="244">
        <f>+IFERROR(+VLOOKUP(A57,'TB final'!$A$5:$J$726,5,0),0)</f>
        <v>25835930</v>
      </c>
      <c r="E57" s="244">
        <f>+IFERROR(+VLOOKUP(A57,'TB final'!$A$5:$J$726,8,0),0)</f>
        <v>0</v>
      </c>
      <c r="F57" s="244">
        <f t="shared" si="0"/>
        <v>0</v>
      </c>
      <c r="G57" s="244">
        <f t="shared" si="1"/>
        <v>0</v>
      </c>
      <c r="H57" s="244">
        <f t="shared" si="2"/>
        <v>0</v>
      </c>
    </row>
    <row r="58" spans="1:8" x14ac:dyDescent="0.25">
      <c r="A58" s="8" t="s">
        <v>80</v>
      </c>
      <c r="B58" s="239">
        <v>171625</v>
      </c>
      <c r="C58" s="240"/>
      <c r="D58" s="244">
        <f>+IFERROR(+VLOOKUP(A58,'TB final'!$A$5:$J$726,5,0),0)</f>
        <v>171625</v>
      </c>
      <c r="E58" s="244">
        <f>+IFERROR(+VLOOKUP(A58,'TB final'!$A$5:$J$726,8,0),0)</f>
        <v>0</v>
      </c>
      <c r="F58" s="244">
        <f t="shared" si="0"/>
        <v>0</v>
      </c>
      <c r="G58" s="244">
        <f t="shared" si="1"/>
        <v>0</v>
      </c>
      <c r="H58" s="244">
        <f t="shared" si="2"/>
        <v>0</v>
      </c>
    </row>
    <row r="59" spans="1:8" x14ac:dyDescent="0.25">
      <c r="A59" s="8" t="s">
        <v>81</v>
      </c>
      <c r="B59" s="239">
        <v>61275</v>
      </c>
      <c r="C59" s="240"/>
      <c r="D59" s="244">
        <f>+IFERROR(+VLOOKUP(A59,'TB final'!$A$5:$J$726,5,0),0)</f>
        <v>61275</v>
      </c>
      <c r="E59" s="244">
        <f>+IFERROR(+VLOOKUP(A59,'TB final'!$A$5:$J$726,8,0),0)</f>
        <v>0</v>
      </c>
      <c r="F59" s="244">
        <f t="shared" si="0"/>
        <v>0</v>
      </c>
      <c r="G59" s="244">
        <f t="shared" si="1"/>
        <v>0</v>
      </c>
      <c r="H59" s="244">
        <f t="shared" si="2"/>
        <v>0</v>
      </c>
    </row>
    <row r="60" spans="1:8" x14ac:dyDescent="0.25">
      <c r="A60" s="8" t="s">
        <v>82</v>
      </c>
      <c r="B60" s="239">
        <v>38717565.439999998</v>
      </c>
      <c r="C60" s="240"/>
      <c r="D60" s="244">
        <f>+IFERROR(+VLOOKUP(A60,'TB final'!$A$5:$J$726,5,0),0)</f>
        <v>38717565.439999998</v>
      </c>
      <c r="E60" s="244">
        <f>+IFERROR(+VLOOKUP(A60,'TB final'!$A$5:$J$726,8,0),0)</f>
        <v>0</v>
      </c>
      <c r="F60" s="244">
        <f t="shared" si="0"/>
        <v>0</v>
      </c>
      <c r="G60" s="244">
        <f t="shared" si="1"/>
        <v>0</v>
      </c>
      <c r="H60" s="244">
        <f t="shared" si="2"/>
        <v>0</v>
      </c>
    </row>
    <row r="61" spans="1:8" x14ac:dyDescent="0.25">
      <c r="A61" s="8" t="s">
        <v>83</v>
      </c>
      <c r="B61" s="239">
        <v>313371</v>
      </c>
      <c r="C61" s="240"/>
      <c r="D61" s="244">
        <f>+IFERROR(+VLOOKUP(A61,'TB final'!$A$5:$J$726,5,0),0)</f>
        <v>313371</v>
      </c>
      <c r="E61" s="244">
        <f>+IFERROR(+VLOOKUP(A61,'TB final'!$A$5:$J$726,8,0),0)</f>
        <v>0</v>
      </c>
      <c r="F61" s="244">
        <f t="shared" si="0"/>
        <v>0</v>
      </c>
      <c r="G61" s="244">
        <f t="shared" si="1"/>
        <v>0</v>
      </c>
      <c r="H61" s="244">
        <f t="shared" si="2"/>
        <v>0</v>
      </c>
    </row>
    <row r="62" spans="1:8" x14ac:dyDescent="0.25">
      <c r="A62" s="8" t="s">
        <v>84</v>
      </c>
      <c r="B62" s="239">
        <v>81671</v>
      </c>
      <c r="C62" s="240"/>
      <c r="D62" s="244">
        <f>+IFERROR(+VLOOKUP(A62,'TB final'!$A$5:$J$726,5,0),0)</f>
        <v>81671</v>
      </c>
      <c r="E62" s="244">
        <f>+IFERROR(+VLOOKUP(A62,'TB final'!$A$5:$J$726,8,0),0)</f>
        <v>0</v>
      </c>
      <c r="F62" s="244">
        <f t="shared" si="0"/>
        <v>0</v>
      </c>
      <c r="G62" s="244">
        <f t="shared" si="1"/>
        <v>0</v>
      </c>
      <c r="H62" s="244">
        <f t="shared" si="2"/>
        <v>0</v>
      </c>
    </row>
    <row r="63" spans="1:8" x14ac:dyDescent="0.25">
      <c r="A63" s="8" t="s">
        <v>85</v>
      </c>
      <c r="B63" s="239">
        <v>1806809</v>
      </c>
      <c r="C63" s="240"/>
      <c r="D63" s="244">
        <f>+IFERROR(+VLOOKUP(A63,'TB final'!$A$5:$J$726,5,0),0)</f>
        <v>1806809</v>
      </c>
      <c r="E63" s="244">
        <f>+IFERROR(+VLOOKUP(A63,'TB final'!$A$5:$J$726,8,0),0)</f>
        <v>0</v>
      </c>
      <c r="F63" s="244">
        <f t="shared" si="0"/>
        <v>0</v>
      </c>
      <c r="G63" s="244">
        <f t="shared" si="1"/>
        <v>0</v>
      </c>
      <c r="H63" s="244">
        <f t="shared" si="2"/>
        <v>0</v>
      </c>
    </row>
    <row r="64" spans="1:8" x14ac:dyDescent="0.25">
      <c r="A64" s="8" t="s">
        <v>86</v>
      </c>
      <c r="B64" s="239">
        <v>744525.7</v>
      </c>
      <c r="C64" s="240"/>
      <c r="D64" s="244">
        <f>+IFERROR(+VLOOKUP(A64,'TB final'!$A$5:$J$726,5,0),0)</f>
        <v>744525.7</v>
      </c>
      <c r="E64" s="244">
        <f>+IFERROR(+VLOOKUP(A64,'TB final'!$A$5:$J$726,8,0),0)</f>
        <v>0</v>
      </c>
      <c r="F64" s="244">
        <f t="shared" si="0"/>
        <v>0</v>
      </c>
      <c r="G64" s="244">
        <f t="shared" si="1"/>
        <v>0</v>
      </c>
      <c r="H64" s="244">
        <f t="shared" si="2"/>
        <v>0</v>
      </c>
    </row>
    <row r="65" spans="1:8" x14ac:dyDescent="0.25">
      <c r="A65" s="8" t="s">
        <v>87</v>
      </c>
      <c r="B65" s="239">
        <v>7000</v>
      </c>
      <c r="C65" s="240"/>
      <c r="D65" s="244">
        <f>+IFERROR(+VLOOKUP(A65,'TB final'!$A$5:$J$726,5,0),0)</f>
        <v>7000</v>
      </c>
      <c r="E65" s="244">
        <f>+IFERROR(+VLOOKUP(A65,'TB final'!$A$5:$J$726,8,0),0)</f>
        <v>0</v>
      </c>
      <c r="F65" s="244">
        <f t="shared" si="0"/>
        <v>0</v>
      </c>
      <c r="G65" s="244">
        <f t="shared" si="1"/>
        <v>0</v>
      </c>
      <c r="H65" s="244">
        <f t="shared" si="2"/>
        <v>0</v>
      </c>
    </row>
    <row r="66" spans="1:8" x14ac:dyDescent="0.25">
      <c r="A66" s="8" t="s">
        <v>88</v>
      </c>
      <c r="B66" s="239">
        <v>57713</v>
      </c>
      <c r="C66" s="240"/>
      <c r="D66" s="244">
        <f>+IFERROR(+VLOOKUP(A66,'TB final'!$A$5:$J$726,5,0),0)</f>
        <v>57713</v>
      </c>
      <c r="E66" s="244">
        <f>+IFERROR(+VLOOKUP(A66,'TB final'!$A$5:$J$726,8,0),0)</f>
        <v>0</v>
      </c>
      <c r="F66" s="244">
        <f t="shared" si="0"/>
        <v>0</v>
      </c>
      <c r="G66" s="244">
        <f t="shared" si="1"/>
        <v>0</v>
      </c>
      <c r="H66" s="244">
        <f t="shared" si="2"/>
        <v>0</v>
      </c>
    </row>
    <row r="67" spans="1:8" x14ac:dyDescent="0.25">
      <c r="A67" s="8" t="s">
        <v>89</v>
      </c>
      <c r="B67" s="240"/>
      <c r="C67" s="239">
        <v>23574</v>
      </c>
      <c r="D67" s="244">
        <f>+IFERROR(+VLOOKUP(A67,'TB final'!$A$5:$J$726,5,0),0)</f>
        <v>0</v>
      </c>
      <c r="E67" s="244">
        <f>+IFERROR(+VLOOKUP(A67,'TB final'!$A$5:$J$726,8,0),0)</f>
        <v>23574</v>
      </c>
      <c r="F67" s="244">
        <f t="shared" si="0"/>
        <v>0</v>
      </c>
      <c r="G67" s="244">
        <f t="shared" si="1"/>
        <v>0</v>
      </c>
      <c r="H67" s="244">
        <f t="shared" si="2"/>
        <v>0</v>
      </c>
    </row>
    <row r="68" spans="1:8" x14ac:dyDescent="0.25">
      <c r="A68" s="8" t="s">
        <v>90</v>
      </c>
      <c r="B68" s="240"/>
      <c r="C68" s="239">
        <v>206714</v>
      </c>
      <c r="D68" s="244">
        <f>+IFERROR(+VLOOKUP(A68,'TB final'!$A$5:$J$726,5,0),0)</f>
        <v>0</v>
      </c>
      <c r="E68" s="244">
        <f>+IFERROR(+VLOOKUP(A68,'TB final'!$A$5:$J$726,8,0),0)</f>
        <v>206714</v>
      </c>
      <c r="F68" s="244">
        <f t="shared" si="0"/>
        <v>0</v>
      </c>
      <c r="G68" s="244">
        <f t="shared" si="1"/>
        <v>0</v>
      </c>
      <c r="H68" s="244">
        <f t="shared" si="2"/>
        <v>0</v>
      </c>
    </row>
    <row r="69" spans="1:8" x14ac:dyDescent="0.25">
      <c r="A69" s="8" t="s">
        <v>91</v>
      </c>
      <c r="B69" s="239">
        <v>30655</v>
      </c>
      <c r="C69" s="240"/>
      <c r="D69" s="244">
        <f>+IFERROR(+VLOOKUP(A69,'TB final'!$A$5:$J$726,5,0),0)</f>
        <v>30655</v>
      </c>
      <c r="E69" s="244">
        <f>+IFERROR(+VLOOKUP(A69,'TB final'!$A$5:$J$726,8,0),0)</f>
        <v>0</v>
      </c>
      <c r="F69" s="244">
        <f t="shared" si="0"/>
        <v>0</v>
      </c>
      <c r="G69" s="244">
        <f t="shared" si="1"/>
        <v>0</v>
      </c>
      <c r="H69" s="244">
        <f t="shared" si="2"/>
        <v>0</v>
      </c>
    </row>
    <row r="70" spans="1:8" x14ac:dyDescent="0.25">
      <c r="A70" s="8" t="s">
        <v>92</v>
      </c>
      <c r="B70" s="239">
        <v>25835</v>
      </c>
      <c r="C70" s="240"/>
      <c r="D70" s="244">
        <f>+IFERROR(+VLOOKUP(A70,'TB final'!$A$5:$J$726,5,0),0)</f>
        <v>25835</v>
      </c>
      <c r="E70" s="244">
        <f>+IFERROR(+VLOOKUP(A70,'TB final'!$A$5:$J$726,8,0),0)</f>
        <v>0</v>
      </c>
      <c r="F70" s="244">
        <f t="shared" si="0"/>
        <v>0</v>
      </c>
      <c r="G70" s="244">
        <f t="shared" si="1"/>
        <v>0</v>
      </c>
      <c r="H70" s="244">
        <f t="shared" si="2"/>
        <v>0</v>
      </c>
    </row>
    <row r="71" spans="1:8" x14ac:dyDescent="0.25">
      <c r="A71" s="8" t="s">
        <v>93</v>
      </c>
      <c r="B71" s="239">
        <v>62901</v>
      </c>
      <c r="C71" s="240"/>
      <c r="D71" s="244">
        <f>+IFERROR(+VLOOKUP(A71,'TB final'!$A$5:$J$726,5,0),0)</f>
        <v>62901</v>
      </c>
      <c r="E71" s="244">
        <f>+IFERROR(+VLOOKUP(A71,'TB final'!$A$5:$J$726,8,0),0)</f>
        <v>0</v>
      </c>
      <c r="F71" s="244">
        <f t="shared" si="0"/>
        <v>0</v>
      </c>
      <c r="G71" s="244">
        <f t="shared" si="1"/>
        <v>0</v>
      </c>
      <c r="H71" s="244">
        <f t="shared" si="2"/>
        <v>0</v>
      </c>
    </row>
    <row r="72" spans="1:8" x14ac:dyDescent="0.25">
      <c r="A72" s="8" t="s">
        <v>94</v>
      </c>
      <c r="B72" s="239">
        <v>44221.5</v>
      </c>
      <c r="C72" s="240"/>
      <c r="D72" s="244">
        <f>+IFERROR(+VLOOKUP(A72,'TB final'!$A$5:$J$726,5,0),0)</f>
        <v>44221.5</v>
      </c>
      <c r="E72" s="244">
        <f>+IFERROR(+VLOOKUP(A72,'TB final'!$A$5:$J$726,8,0),0)</f>
        <v>0</v>
      </c>
      <c r="F72" s="244">
        <f t="shared" si="0"/>
        <v>0</v>
      </c>
      <c r="G72" s="244">
        <f t="shared" si="1"/>
        <v>0</v>
      </c>
      <c r="H72" s="244">
        <f t="shared" si="2"/>
        <v>0</v>
      </c>
    </row>
    <row r="73" spans="1:8" x14ac:dyDescent="0.25">
      <c r="A73" s="8" t="s">
        <v>1437</v>
      </c>
      <c r="B73" s="239">
        <v>500</v>
      </c>
      <c r="C73" s="240"/>
      <c r="D73" s="244">
        <f>+IFERROR(+VLOOKUP(A73,'TB final'!$A$5:$J$726,5,0),0)</f>
        <v>500</v>
      </c>
      <c r="E73" s="244">
        <f>+IFERROR(+VLOOKUP(A73,'TB final'!$A$5:$J$726,8,0),0)</f>
        <v>0</v>
      </c>
      <c r="F73" s="244">
        <f t="shared" si="0"/>
        <v>0</v>
      </c>
      <c r="G73" s="244">
        <f t="shared" si="1"/>
        <v>0</v>
      </c>
      <c r="H73" s="244">
        <f t="shared" si="2"/>
        <v>0</v>
      </c>
    </row>
    <row r="74" spans="1:8" x14ac:dyDescent="0.25">
      <c r="A74" s="8" t="s">
        <v>95</v>
      </c>
      <c r="B74" s="239">
        <v>629000</v>
      </c>
      <c r="C74" s="240"/>
      <c r="D74" s="244">
        <f>+IFERROR(+VLOOKUP(A74,'TB final'!$A$5:$J$726,5,0),0)</f>
        <v>629000</v>
      </c>
      <c r="E74" s="244">
        <f>+IFERROR(+VLOOKUP(A74,'TB final'!$A$5:$J$726,8,0),0)</f>
        <v>0</v>
      </c>
      <c r="F74" s="244">
        <f t="shared" si="0"/>
        <v>0</v>
      </c>
      <c r="G74" s="244">
        <f t="shared" si="1"/>
        <v>0</v>
      </c>
      <c r="H74" s="244">
        <f t="shared" si="2"/>
        <v>0</v>
      </c>
    </row>
    <row r="75" spans="1:8" x14ac:dyDescent="0.25">
      <c r="A75" s="8" t="s">
        <v>1362</v>
      </c>
      <c r="B75" s="240"/>
      <c r="C75" s="239">
        <v>247500</v>
      </c>
      <c r="D75" s="244">
        <f>+IFERROR(+VLOOKUP(A75,'TB final'!$A$5:$J$726,5,0),0)</f>
        <v>0</v>
      </c>
      <c r="E75" s="244">
        <f>+IFERROR(+VLOOKUP(A75,'TB final'!$A$5:$J$726,8,0),0)</f>
        <v>247500</v>
      </c>
      <c r="F75" s="244">
        <f t="shared" si="0"/>
        <v>0</v>
      </c>
      <c r="G75" s="244">
        <f t="shared" si="1"/>
        <v>0</v>
      </c>
      <c r="H75" s="244">
        <f t="shared" si="2"/>
        <v>0</v>
      </c>
    </row>
    <row r="76" spans="1:8" x14ac:dyDescent="0.25">
      <c r="A76" s="8" t="s">
        <v>98</v>
      </c>
      <c r="B76" s="240"/>
      <c r="C76" s="239">
        <v>2151570</v>
      </c>
      <c r="D76" s="244">
        <f>+IFERROR(+VLOOKUP(A76,'TB final'!$A$5:$J$726,5,0),0)</f>
        <v>0</v>
      </c>
      <c r="E76" s="244">
        <f>+IFERROR(+VLOOKUP(A76,'TB final'!$A$5:$J$726,8,0),0)</f>
        <v>2151570</v>
      </c>
      <c r="F76" s="244">
        <f t="shared" ref="F76:F139" si="3">+B76-D76</f>
        <v>0</v>
      </c>
      <c r="G76" s="244">
        <f t="shared" ref="G76:G139" si="4">+C76-E76</f>
        <v>0</v>
      </c>
      <c r="H76" s="244">
        <f t="shared" si="2"/>
        <v>0</v>
      </c>
    </row>
    <row r="77" spans="1:8" x14ac:dyDescent="0.25">
      <c r="A77" s="8" t="s">
        <v>99</v>
      </c>
      <c r="B77" s="240"/>
      <c r="C77" s="239">
        <v>20264926</v>
      </c>
      <c r="D77" s="244">
        <f>+IFERROR(+VLOOKUP(A77,'TB final'!$A$5:$J$726,5,0),0)</f>
        <v>0</v>
      </c>
      <c r="E77" s="244">
        <f>+IFERROR(+VLOOKUP(A77,'TB final'!$A$5:$J$726,8,0),0)</f>
        <v>20264926</v>
      </c>
      <c r="F77" s="244">
        <f t="shared" si="3"/>
        <v>0</v>
      </c>
      <c r="G77" s="244">
        <f t="shared" si="4"/>
        <v>0</v>
      </c>
      <c r="H77" s="244">
        <f t="shared" ref="H77:H140" si="5">+F77+G77</f>
        <v>0</v>
      </c>
    </row>
    <row r="78" spans="1:8" x14ac:dyDescent="0.25">
      <c r="A78" s="8" t="s">
        <v>100</v>
      </c>
      <c r="B78" s="239">
        <v>1137100</v>
      </c>
      <c r="C78" s="240"/>
      <c r="D78" s="244">
        <f>+IFERROR(+VLOOKUP(A78,'TB final'!$A$5:$J$726,5,0),0)</f>
        <v>1137100</v>
      </c>
      <c r="E78" s="244">
        <f>+IFERROR(+VLOOKUP(A78,'TB final'!$A$5:$J$726,8,0),0)</f>
        <v>0</v>
      </c>
      <c r="F78" s="244">
        <f t="shared" si="3"/>
        <v>0</v>
      </c>
      <c r="G78" s="244">
        <f t="shared" si="4"/>
        <v>0</v>
      </c>
      <c r="H78" s="244">
        <f t="shared" si="5"/>
        <v>0</v>
      </c>
    </row>
    <row r="79" spans="1:8" x14ac:dyDescent="0.25">
      <c r="A79" s="8" t="s">
        <v>101</v>
      </c>
      <c r="B79" s="239">
        <v>6800</v>
      </c>
      <c r="C79" s="240"/>
      <c r="D79" s="244">
        <f>+IFERROR(+VLOOKUP(A79,'TB final'!$A$5:$J$726,5,0),0)</f>
        <v>6800</v>
      </c>
      <c r="E79" s="244">
        <f>+IFERROR(+VLOOKUP(A79,'TB final'!$A$5:$J$726,8,0),0)</f>
        <v>0</v>
      </c>
      <c r="F79" s="244">
        <f t="shared" si="3"/>
        <v>0</v>
      </c>
      <c r="G79" s="244">
        <f t="shared" si="4"/>
        <v>0</v>
      </c>
      <c r="H79" s="244">
        <f t="shared" si="5"/>
        <v>0</v>
      </c>
    </row>
    <row r="80" spans="1:8" x14ac:dyDescent="0.25">
      <c r="A80" s="8" t="s">
        <v>102</v>
      </c>
      <c r="B80" s="239">
        <v>200000</v>
      </c>
      <c r="C80" s="240"/>
      <c r="D80" s="244">
        <f>+IFERROR(+VLOOKUP(A80,'TB final'!$A$5:$J$726,5,0),0)</f>
        <v>200000</v>
      </c>
      <c r="E80" s="244">
        <f>+IFERROR(+VLOOKUP(A80,'TB final'!$A$5:$J$726,8,0),0)</f>
        <v>0</v>
      </c>
      <c r="F80" s="244">
        <f t="shared" si="3"/>
        <v>0</v>
      </c>
      <c r="G80" s="244">
        <f t="shared" si="4"/>
        <v>0</v>
      </c>
      <c r="H80" s="244">
        <f t="shared" si="5"/>
        <v>0</v>
      </c>
    </row>
    <row r="81" spans="1:8" x14ac:dyDescent="0.25">
      <c r="A81" s="8" t="s">
        <v>103</v>
      </c>
      <c r="B81" s="239">
        <v>10777</v>
      </c>
      <c r="C81" s="240"/>
      <c r="D81" s="244">
        <f>+IFERROR(+VLOOKUP(A81,'TB final'!$A$5:$J$726,5,0),0)</f>
        <v>10777</v>
      </c>
      <c r="E81" s="244">
        <f>+IFERROR(+VLOOKUP(A81,'TB final'!$A$5:$J$726,8,0),0)</f>
        <v>0</v>
      </c>
      <c r="F81" s="244">
        <f t="shared" si="3"/>
        <v>0</v>
      </c>
      <c r="G81" s="244">
        <f t="shared" si="4"/>
        <v>0</v>
      </c>
      <c r="H81" s="244">
        <f t="shared" si="5"/>
        <v>0</v>
      </c>
    </row>
    <row r="82" spans="1:8" x14ac:dyDescent="0.25">
      <c r="A82" s="8" t="s">
        <v>104</v>
      </c>
      <c r="B82" s="239">
        <v>4778693</v>
      </c>
      <c r="C82" s="240"/>
      <c r="D82" s="244">
        <f>+IFERROR(+VLOOKUP(A82,'TB final'!$A$5:$J$726,5,0),0)</f>
        <v>4778693</v>
      </c>
      <c r="E82" s="244">
        <f>+IFERROR(+VLOOKUP(A82,'TB final'!$A$5:$J$726,8,0),0)</f>
        <v>0</v>
      </c>
      <c r="F82" s="244">
        <f t="shared" si="3"/>
        <v>0</v>
      </c>
      <c r="G82" s="244">
        <f t="shared" si="4"/>
        <v>0</v>
      </c>
      <c r="H82" s="244">
        <f t="shared" si="5"/>
        <v>0</v>
      </c>
    </row>
    <row r="83" spans="1:8" x14ac:dyDescent="0.25">
      <c r="A83" s="8" t="s">
        <v>105</v>
      </c>
      <c r="B83" s="239">
        <v>50000</v>
      </c>
      <c r="C83" s="240"/>
      <c r="D83" s="244">
        <f>+IFERROR(+VLOOKUP(A83,'TB final'!$A$5:$J$726,5,0),0)</f>
        <v>50000</v>
      </c>
      <c r="E83" s="244">
        <f>+IFERROR(+VLOOKUP(A83,'TB final'!$A$5:$J$726,8,0),0)</f>
        <v>0</v>
      </c>
      <c r="F83" s="244">
        <f t="shared" si="3"/>
        <v>0</v>
      </c>
      <c r="G83" s="244">
        <f t="shared" si="4"/>
        <v>0</v>
      </c>
      <c r="H83" s="244">
        <f t="shared" si="5"/>
        <v>0</v>
      </c>
    </row>
    <row r="84" spans="1:8" x14ac:dyDescent="0.25">
      <c r="A84" s="8" t="s">
        <v>106</v>
      </c>
      <c r="B84" s="239">
        <v>248200</v>
      </c>
      <c r="C84" s="240"/>
      <c r="D84" s="244">
        <f>+IFERROR(+VLOOKUP(A84,'TB final'!$A$5:$J$726,5,0),0)</f>
        <v>248200</v>
      </c>
      <c r="E84" s="244">
        <f>+IFERROR(+VLOOKUP(A84,'TB final'!$A$5:$J$726,8,0),0)</f>
        <v>0</v>
      </c>
      <c r="F84" s="244">
        <f t="shared" si="3"/>
        <v>0</v>
      </c>
      <c r="G84" s="244">
        <f t="shared" si="4"/>
        <v>0</v>
      </c>
      <c r="H84" s="244">
        <f t="shared" si="5"/>
        <v>0</v>
      </c>
    </row>
    <row r="85" spans="1:8" x14ac:dyDescent="0.25">
      <c r="A85" s="8" t="s">
        <v>107</v>
      </c>
      <c r="B85" s="239">
        <v>206250</v>
      </c>
      <c r="C85" s="240"/>
      <c r="D85" s="244">
        <f>+IFERROR(+VLOOKUP(A85,'TB final'!$A$5:$J$726,5,0),0)</f>
        <v>206250</v>
      </c>
      <c r="E85" s="244">
        <f>+IFERROR(+VLOOKUP(A85,'TB final'!$A$5:$J$726,8,0),0)</f>
        <v>0</v>
      </c>
      <c r="F85" s="244">
        <f t="shared" si="3"/>
        <v>0</v>
      </c>
      <c r="G85" s="244">
        <f t="shared" si="4"/>
        <v>0</v>
      </c>
      <c r="H85" s="244">
        <f t="shared" si="5"/>
        <v>0</v>
      </c>
    </row>
    <row r="86" spans="1:8" x14ac:dyDescent="0.25">
      <c r="A86" s="8" t="s">
        <v>108</v>
      </c>
      <c r="B86" s="239">
        <v>125000</v>
      </c>
      <c r="C86" s="240"/>
      <c r="D86" s="244">
        <f>+IFERROR(+VLOOKUP(A86,'TB final'!$A$5:$J$726,5,0),0)</f>
        <v>125000</v>
      </c>
      <c r="E86" s="244">
        <f>+IFERROR(+VLOOKUP(A86,'TB final'!$A$5:$J$726,8,0),0)</f>
        <v>0</v>
      </c>
      <c r="F86" s="244">
        <f t="shared" si="3"/>
        <v>0</v>
      </c>
      <c r="G86" s="244">
        <f t="shared" si="4"/>
        <v>0</v>
      </c>
      <c r="H86" s="244">
        <f t="shared" si="5"/>
        <v>0</v>
      </c>
    </row>
    <row r="87" spans="1:8" x14ac:dyDescent="0.25">
      <c r="A87" s="8" t="s">
        <v>109</v>
      </c>
      <c r="B87" s="239">
        <v>1861537</v>
      </c>
      <c r="C87" s="240"/>
      <c r="D87" s="244">
        <f>+IFERROR(+VLOOKUP(A87,'TB final'!$A$5:$J$726,5,0),0)</f>
        <v>1861537</v>
      </c>
      <c r="E87" s="244">
        <f>+IFERROR(+VLOOKUP(A87,'TB final'!$A$5:$J$726,8,0),0)</f>
        <v>0</v>
      </c>
      <c r="F87" s="244">
        <f t="shared" si="3"/>
        <v>0</v>
      </c>
      <c r="G87" s="244">
        <f t="shared" si="4"/>
        <v>0</v>
      </c>
      <c r="H87" s="244">
        <f t="shared" si="5"/>
        <v>0</v>
      </c>
    </row>
    <row r="88" spans="1:8" x14ac:dyDescent="0.25">
      <c r="A88" s="8" t="s">
        <v>110</v>
      </c>
      <c r="B88" s="239">
        <v>1834185</v>
      </c>
      <c r="C88" s="240"/>
      <c r="D88" s="244">
        <f>+IFERROR(+VLOOKUP(A88,'TB final'!$A$5:$J$726,5,0),0)</f>
        <v>1834185</v>
      </c>
      <c r="E88" s="244">
        <f>+IFERROR(+VLOOKUP(A88,'TB final'!$A$5:$J$726,8,0),0)</f>
        <v>0</v>
      </c>
      <c r="F88" s="244">
        <f t="shared" si="3"/>
        <v>0</v>
      </c>
      <c r="G88" s="244">
        <f t="shared" si="4"/>
        <v>0</v>
      </c>
      <c r="H88" s="244">
        <f t="shared" si="5"/>
        <v>0</v>
      </c>
    </row>
    <row r="89" spans="1:8" x14ac:dyDescent="0.25">
      <c r="A89" s="8" t="s">
        <v>111</v>
      </c>
      <c r="B89" s="239">
        <v>46790</v>
      </c>
      <c r="C89" s="240"/>
      <c r="D89" s="244">
        <f>+IFERROR(+VLOOKUP(A89,'TB final'!$A$5:$J$726,5,0),0)</f>
        <v>46790</v>
      </c>
      <c r="E89" s="244">
        <f>+IFERROR(+VLOOKUP(A89,'TB final'!$A$5:$J$726,8,0),0)</f>
        <v>0</v>
      </c>
      <c r="F89" s="244">
        <f t="shared" si="3"/>
        <v>0</v>
      </c>
      <c r="G89" s="244">
        <f t="shared" si="4"/>
        <v>0</v>
      </c>
      <c r="H89" s="244">
        <f t="shared" si="5"/>
        <v>0</v>
      </c>
    </row>
    <row r="90" spans="1:8" x14ac:dyDescent="0.25">
      <c r="A90" s="8" t="s">
        <v>112</v>
      </c>
      <c r="B90" s="239">
        <v>46907</v>
      </c>
      <c r="C90" s="240"/>
      <c r="D90" s="244">
        <f>+IFERROR(+VLOOKUP(A90,'TB final'!$A$5:$J$726,5,0),0)</f>
        <v>46907</v>
      </c>
      <c r="E90" s="244">
        <f>+IFERROR(+VLOOKUP(A90,'TB final'!$A$5:$J$726,8,0),0)</f>
        <v>0</v>
      </c>
      <c r="F90" s="244">
        <f t="shared" si="3"/>
        <v>0</v>
      </c>
      <c r="G90" s="244">
        <f t="shared" si="4"/>
        <v>0</v>
      </c>
      <c r="H90" s="244">
        <f t="shared" si="5"/>
        <v>0</v>
      </c>
    </row>
    <row r="91" spans="1:8" x14ac:dyDescent="0.25">
      <c r="A91" s="8" t="s">
        <v>113</v>
      </c>
      <c r="B91" s="239">
        <v>103253</v>
      </c>
      <c r="C91" s="240"/>
      <c r="D91" s="244">
        <f>+IFERROR(+VLOOKUP(A91,'TB final'!$A$5:$J$726,5,0),0)</f>
        <v>103253</v>
      </c>
      <c r="E91" s="244">
        <f>+IFERROR(+VLOOKUP(A91,'TB final'!$A$5:$J$726,8,0),0)</f>
        <v>0</v>
      </c>
      <c r="F91" s="244">
        <f t="shared" si="3"/>
        <v>0</v>
      </c>
      <c r="G91" s="244">
        <f t="shared" si="4"/>
        <v>0</v>
      </c>
      <c r="H91" s="244">
        <f t="shared" si="5"/>
        <v>0</v>
      </c>
    </row>
    <row r="92" spans="1:8" x14ac:dyDescent="0.25">
      <c r="A92" s="8" t="s">
        <v>114</v>
      </c>
      <c r="B92" s="239">
        <v>13466161</v>
      </c>
      <c r="C92" s="240"/>
      <c r="D92" s="244">
        <f>+IFERROR(+VLOOKUP(A92,'TB final'!$A$5:$J$726,5,0),0)</f>
        <v>13466161</v>
      </c>
      <c r="E92" s="244">
        <f>+IFERROR(+VLOOKUP(A92,'TB final'!$A$5:$J$726,8,0),0)</f>
        <v>0</v>
      </c>
      <c r="F92" s="244">
        <f t="shared" si="3"/>
        <v>0</v>
      </c>
      <c r="G92" s="244">
        <f t="shared" si="4"/>
        <v>0</v>
      </c>
      <c r="H92" s="244">
        <f t="shared" si="5"/>
        <v>0</v>
      </c>
    </row>
    <row r="93" spans="1:8" x14ac:dyDescent="0.25">
      <c r="A93" s="8" t="s">
        <v>115</v>
      </c>
      <c r="B93" s="239">
        <v>369149</v>
      </c>
      <c r="C93" s="240"/>
      <c r="D93" s="244">
        <f>+IFERROR(+VLOOKUP(A93,'TB final'!$A$5:$J$726,5,0),0)</f>
        <v>369149</v>
      </c>
      <c r="E93" s="244">
        <f>+IFERROR(+VLOOKUP(A93,'TB final'!$A$5:$J$726,8,0),0)</f>
        <v>0</v>
      </c>
      <c r="F93" s="244">
        <f t="shared" si="3"/>
        <v>0</v>
      </c>
      <c r="G93" s="244">
        <f t="shared" si="4"/>
        <v>0</v>
      </c>
      <c r="H93" s="244">
        <f t="shared" si="5"/>
        <v>0</v>
      </c>
    </row>
    <row r="94" spans="1:8" x14ac:dyDescent="0.25">
      <c r="A94" s="8" t="s">
        <v>598</v>
      </c>
      <c r="B94" s="240"/>
      <c r="C94" s="239">
        <v>24300</v>
      </c>
      <c r="D94" s="244">
        <f>+IFERROR(+VLOOKUP(A94,'TB final'!$A$5:$J$726,5,0),0)</f>
        <v>0</v>
      </c>
      <c r="E94" s="244">
        <f>+IFERROR(+VLOOKUP(A94,'TB final'!$A$5:$J$726,8,0),0)</f>
        <v>24300</v>
      </c>
      <c r="F94" s="244">
        <f t="shared" si="3"/>
        <v>0</v>
      </c>
      <c r="G94" s="244">
        <f t="shared" si="4"/>
        <v>0</v>
      </c>
      <c r="H94" s="244">
        <f t="shared" si="5"/>
        <v>0</v>
      </c>
    </row>
    <row r="95" spans="1:8" x14ac:dyDescent="0.25">
      <c r="A95" s="8" t="s">
        <v>116</v>
      </c>
      <c r="B95" s="240"/>
      <c r="C95" s="239">
        <v>334448</v>
      </c>
      <c r="D95" s="244">
        <f>+IFERROR(+VLOOKUP(A95,'TB final'!$A$5:$J$726,5,0),0)</f>
        <v>0</v>
      </c>
      <c r="E95" s="244">
        <f>+IFERROR(+VLOOKUP(A95,'TB final'!$A$5:$J$726,8,0),0)</f>
        <v>334448</v>
      </c>
      <c r="F95" s="244">
        <f t="shared" si="3"/>
        <v>0</v>
      </c>
      <c r="G95" s="244">
        <f t="shared" si="4"/>
        <v>0</v>
      </c>
      <c r="H95" s="244">
        <f t="shared" si="5"/>
        <v>0</v>
      </c>
    </row>
    <row r="96" spans="1:8" x14ac:dyDescent="0.25">
      <c r="A96" s="8" t="s">
        <v>117</v>
      </c>
      <c r="B96" s="239">
        <v>6000</v>
      </c>
      <c r="C96" s="240"/>
      <c r="D96" s="244">
        <f>+IFERROR(+VLOOKUP(A96,'TB final'!$A$5:$J$726,5,0),0)</f>
        <v>6000</v>
      </c>
      <c r="E96" s="244">
        <f>+IFERROR(+VLOOKUP(A96,'TB final'!$A$5:$J$726,8,0),0)</f>
        <v>0</v>
      </c>
      <c r="F96" s="244">
        <f t="shared" si="3"/>
        <v>0</v>
      </c>
      <c r="G96" s="244">
        <f t="shared" si="4"/>
        <v>0</v>
      </c>
      <c r="H96" s="244">
        <f t="shared" si="5"/>
        <v>0</v>
      </c>
    </row>
    <row r="97" spans="1:8" x14ac:dyDescent="0.25">
      <c r="A97" s="8" t="s">
        <v>118</v>
      </c>
      <c r="B97" s="240"/>
      <c r="C97" s="239">
        <v>16211566</v>
      </c>
      <c r="D97" s="244">
        <f>+IFERROR(+VLOOKUP(A97,'TB final'!$A$5:$J$726,5,0),0)</f>
        <v>0</v>
      </c>
      <c r="E97" s="244">
        <f>+IFERROR(+VLOOKUP(A97,'TB final'!$A$5:$J$726,8,0),0)</f>
        <v>16211566</v>
      </c>
      <c r="F97" s="244">
        <f t="shared" si="3"/>
        <v>0</v>
      </c>
      <c r="G97" s="244">
        <f t="shared" si="4"/>
        <v>0</v>
      </c>
      <c r="H97" s="244">
        <f t="shared" si="5"/>
        <v>0</v>
      </c>
    </row>
    <row r="98" spans="1:8" x14ac:dyDescent="0.25">
      <c r="A98" s="8" t="s">
        <v>119</v>
      </c>
      <c r="B98" s="239">
        <v>28500</v>
      </c>
      <c r="C98" s="240"/>
      <c r="D98" s="244">
        <f>+IFERROR(+VLOOKUP(A98,'TB final'!$A$5:$J$726,5,0),0)</f>
        <v>28500</v>
      </c>
      <c r="E98" s="244">
        <f>+IFERROR(+VLOOKUP(A98,'TB final'!$A$5:$J$726,8,0),0)</f>
        <v>0</v>
      </c>
      <c r="F98" s="244">
        <f t="shared" si="3"/>
        <v>0</v>
      </c>
      <c r="G98" s="244">
        <f t="shared" si="4"/>
        <v>0</v>
      </c>
      <c r="H98" s="244">
        <f t="shared" si="5"/>
        <v>0</v>
      </c>
    </row>
    <row r="99" spans="1:8" x14ac:dyDescent="0.25">
      <c r="A99" s="8" t="s">
        <v>120</v>
      </c>
      <c r="B99" s="239">
        <v>30200530</v>
      </c>
      <c r="C99" s="240"/>
      <c r="D99" s="244">
        <f>+IFERROR(+VLOOKUP(A99,'TB final'!$A$5:$J$726,5,0),0)</f>
        <v>30200530</v>
      </c>
      <c r="E99" s="244">
        <f>+IFERROR(+VLOOKUP(A99,'TB final'!$A$5:$J$726,8,0),0)</f>
        <v>0</v>
      </c>
      <c r="F99" s="244">
        <f t="shared" si="3"/>
        <v>0</v>
      </c>
      <c r="G99" s="244">
        <f t="shared" si="4"/>
        <v>0</v>
      </c>
      <c r="H99" s="244">
        <f t="shared" si="5"/>
        <v>0</v>
      </c>
    </row>
    <row r="100" spans="1:8" x14ac:dyDescent="0.25">
      <c r="A100" s="8" t="s">
        <v>121</v>
      </c>
      <c r="B100" s="239">
        <v>811474.84</v>
      </c>
      <c r="C100" s="240"/>
      <c r="D100" s="244">
        <f>+IFERROR(+VLOOKUP(A100,'TB final'!$A$5:$J$726,5,0),0)</f>
        <v>811474.84</v>
      </c>
      <c r="E100" s="244">
        <f>+IFERROR(+VLOOKUP(A100,'TB final'!$A$5:$J$726,8,0),0)</f>
        <v>0</v>
      </c>
      <c r="F100" s="244">
        <f t="shared" si="3"/>
        <v>0</v>
      </c>
      <c r="G100" s="244">
        <f t="shared" si="4"/>
        <v>0</v>
      </c>
      <c r="H100" s="244">
        <f t="shared" si="5"/>
        <v>0</v>
      </c>
    </row>
    <row r="101" spans="1:8" x14ac:dyDescent="0.25">
      <c r="A101" s="8" t="s">
        <v>122</v>
      </c>
      <c r="B101" s="239">
        <v>890949</v>
      </c>
      <c r="C101" s="240"/>
      <c r="D101" s="244">
        <f>+IFERROR(+VLOOKUP(A101,'TB final'!$A$5:$J$726,5,0),0)</f>
        <v>890949</v>
      </c>
      <c r="E101" s="244">
        <f>+IFERROR(+VLOOKUP(A101,'TB final'!$A$5:$J$726,8,0),0)</f>
        <v>0</v>
      </c>
      <c r="F101" s="244">
        <f t="shared" si="3"/>
        <v>0</v>
      </c>
      <c r="G101" s="244">
        <f t="shared" si="4"/>
        <v>0</v>
      </c>
      <c r="H101" s="244">
        <f t="shared" si="5"/>
        <v>0</v>
      </c>
    </row>
    <row r="102" spans="1:8" x14ac:dyDescent="0.25">
      <c r="A102" s="8" t="s">
        <v>123</v>
      </c>
      <c r="B102" s="239">
        <v>56000</v>
      </c>
      <c r="C102" s="240"/>
      <c r="D102" s="244">
        <f>+IFERROR(+VLOOKUP(A102,'TB final'!$A$5:$J$726,5,0),0)</f>
        <v>56000</v>
      </c>
      <c r="E102" s="244">
        <f>+IFERROR(+VLOOKUP(A102,'TB final'!$A$5:$J$726,8,0),0)</f>
        <v>0</v>
      </c>
      <c r="F102" s="244">
        <f t="shared" si="3"/>
        <v>0</v>
      </c>
      <c r="G102" s="244">
        <f t="shared" si="4"/>
        <v>0</v>
      </c>
      <c r="H102" s="244">
        <f t="shared" si="5"/>
        <v>0</v>
      </c>
    </row>
    <row r="103" spans="1:8" x14ac:dyDescent="0.25">
      <c r="A103" s="8" t="s">
        <v>124</v>
      </c>
      <c r="B103" s="240"/>
      <c r="C103" s="239">
        <v>4423234</v>
      </c>
      <c r="D103" s="244">
        <f>+IFERROR(+VLOOKUP(A103,'TB final'!$A$5:$J$726,5,0),0)</f>
        <v>0</v>
      </c>
      <c r="E103" s="244">
        <f>+IFERROR(+VLOOKUP(A103,'TB final'!$A$5:$J$726,8,0),0)</f>
        <v>4423234</v>
      </c>
      <c r="F103" s="244">
        <f t="shared" si="3"/>
        <v>0</v>
      </c>
      <c r="G103" s="244">
        <f t="shared" si="4"/>
        <v>0</v>
      </c>
      <c r="H103" s="244">
        <f t="shared" si="5"/>
        <v>0</v>
      </c>
    </row>
    <row r="104" spans="1:8" x14ac:dyDescent="0.25">
      <c r="A104" s="8" t="s">
        <v>125</v>
      </c>
      <c r="B104" s="239">
        <v>26188107.010000002</v>
      </c>
      <c r="C104" s="240"/>
      <c r="D104" s="244">
        <f>+IFERROR(+VLOOKUP(A104,'TB final'!$A$5:$J$726,5,0),0)</f>
        <v>26188107.010000002</v>
      </c>
      <c r="E104" s="244">
        <f>+IFERROR(+VLOOKUP(A104,'TB final'!$A$5:$J$726,8,0),0)</f>
        <v>0</v>
      </c>
      <c r="F104" s="244">
        <f t="shared" si="3"/>
        <v>0</v>
      </c>
      <c r="G104" s="244">
        <f t="shared" si="4"/>
        <v>0</v>
      </c>
      <c r="H104" s="244">
        <f t="shared" si="5"/>
        <v>0</v>
      </c>
    </row>
    <row r="105" spans="1:8" x14ac:dyDescent="0.25">
      <c r="A105" s="8" t="s">
        <v>126</v>
      </c>
      <c r="B105" s="240"/>
      <c r="C105" s="239">
        <v>26922650</v>
      </c>
      <c r="D105" s="244">
        <f>+IFERROR(+VLOOKUP(A105,'TB final'!$A$5:$J$726,5,0),0)</f>
        <v>0</v>
      </c>
      <c r="E105" s="244">
        <f>+IFERROR(+VLOOKUP(A105,'TB final'!$A$5:$J$726,8,0),0)</f>
        <v>26922650</v>
      </c>
      <c r="F105" s="244">
        <f t="shared" si="3"/>
        <v>0</v>
      </c>
      <c r="G105" s="244">
        <f t="shared" si="4"/>
        <v>0</v>
      </c>
      <c r="H105" s="244">
        <f t="shared" si="5"/>
        <v>0</v>
      </c>
    </row>
    <row r="106" spans="1:8" x14ac:dyDescent="0.25">
      <c r="A106" s="8" t="s">
        <v>127</v>
      </c>
      <c r="B106" s="239">
        <v>212650</v>
      </c>
      <c r="C106" s="240"/>
      <c r="D106" s="244">
        <f>+IFERROR(+VLOOKUP(A106,'TB final'!$A$5:$J$726,5,0),0)</f>
        <v>212650</v>
      </c>
      <c r="E106" s="244">
        <f>+IFERROR(+VLOOKUP(A106,'TB final'!$A$5:$J$726,8,0),0)</f>
        <v>0</v>
      </c>
      <c r="F106" s="244">
        <f t="shared" si="3"/>
        <v>0</v>
      </c>
      <c r="G106" s="244">
        <f t="shared" si="4"/>
        <v>0</v>
      </c>
      <c r="H106" s="244">
        <f t="shared" si="5"/>
        <v>0</v>
      </c>
    </row>
    <row r="107" spans="1:8" x14ac:dyDescent="0.25">
      <c r="A107" s="8" t="s">
        <v>128</v>
      </c>
      <c r="B107" s="239">
        <v>15900</v>
      </c>
      <c r="C107" s="240"/>
      <c r="D107" s="244">
        <f>+IFERROR(+VLOOKUP(A107,'TB final'!$A$5:$J$726,5,0),0)</f>
        <v>15900</v>
      </c>
      <c r="E107" s="244">
        <f>+IFERROR(+VLOOKUP(A107,'TB final'!$A$5:$J$726,8,0),0)</f>
        <v>0</v>
      </c>
      <c r="F107" s="244">
        <f t="shared" si="3"/>
        <v>0</v>
      </c>
      <c r="G107" s="244">
        <f t="shared" si="4"/>
        <v>0</v>
      </c>
      <c r="H107" s="244">
        <f t="shared" si="5"/>
        <v>0</v>
      </c>
    </row>
    <row r="108" spans="1:8" x14ac:dyDescent="0.25">
      <c r="A108" s="8" t="s">
        <v>129</v>
      </c>
      <c r="B108" s="239">
        <v>2277589</v>
      </c>
      <c r="C108" s="240"/>
      <c r="D108" s="244">
        <f>+IFERROR(+VLOOKUP(A108,'TB final'!$A$5:$J$726,5,0),0)</f>
        <v>2277589</v>
      </c>
      <c r="E108" s="244">
        <f>+IFERROR(+VLOOKUP(A108,'TB final'!$A$5:$J$726,8,0),0)</f>
        <v>0</v>
      </c>
      <c r="F108" s="244">
        <f t="shared" si="3"/>
        <v>0</v>
      </c>
      <c r="G108" s="244">
        <f t="shared" si="4"/>
        <v>0</v>
      </c>
      <c r="H108" s="244">
        <f t="shared" si="5"/>
        <v>0</v>
      </c>
    </row>
    <row r="109" spans="1:8" x14ac:dyDescent="0.25">
      <c r="A109" s="8" t="s">
        <v>131</v>
      </c>
      <c r="B109" s="239">
        <v>64575</v>
      </c>
      <c r="C109" s="240"/>
      <c r="D109" s="244">
        <f>+IFERROR(+VLOOKUP(A109,'TB final'!$A$5:$J$726,5,0),0)</f>
        <v>64575</v>
      </c>
      <c r="E109" s="244">
        <f>+IFERROR(+VLOOKUP(A109,'TB final'!$A$5:$J$726,8,0),0)</f>
        <v>0</v>
      </c>
      <c r="F109" s="244">
        <f t="shared" si="3"/>
        <v>0</v>
      </c>
      <c r="G109" s="244">
        <f t="shared" si="4"/>
        <v>0</v>
      </c>
      <c r="H109" s="244">
        <f t="shared" si="5"/>
        <v>0</v>
      </c>
    </row>
    <row r="110" spans="1:8" x14ac:dyDescent="0.25">
      <c r="A110" s="8" t="s">
        <v>132</v>
      </c>
      <c r="B110" s="239">
        <v>244646.5</v>
      </c>
      <c r="C110" s="240"/>
      <c r="D110" s="244">
        <f>+IFERROR(+VLOOKUP(A110,'TB final'!$A$5:$J$726,5,0),0)</f>
        <v>244646.5</v>
      </c>
      <c r="E110" s="244">
        <f>+IFERROR(+VLOOKUP(A110,'TB final'!$A$5:$J$726,8,0),0)</f>
        <v>0</v>
      </c>
      <c r="F110" s="244">
        <f t="shared" si="3"/>
        <v>0</v>
      </c>
      <c r="G110" s="244">
        <f t="shared" si="4"/>
        <v>0</v>
      </c>
      <c r="H110" s="244">
        <f t="shared" si="5"/>
        <v>0</v>
      </c>
    </row>
    <row r="111" spans="1:8" x14ac:dyDescent="0.25">
      <c r="A111" s="8" t="s">
        <v>133</v>
      </c>
      <c r="B111" s="239">
        <v>66582536</v>
      </c>
      <c r="C111" s="240"/>
      <c r="D111" s="244">
        <f>+IFERROR(+VLOOKUP(A111,'TB final'!$A$5:$J$726,5,0),0)</f>
        <v>66582536</v>
      </c>
      <c r="E111" s="244">
        <f>+IFERROR(+VLOOKUP(A111,'TB final'!$A$5:$J$726,8,0),0)</f>
        <v>0</v>
      </c>
      <c r="F111" s="244">
        <f t="shared" si="3"/>
        <v>0</v>
      </c>
      <c r="G111" s="244">
        <f t="shared" si="4"/>
        <v>0</v>
      </c>
      <c r="H111" s="244">
        <f t="shared" si="5"/>
        <v>0</v>
      </c>
    </row>
    <row r="112" spans="1:8" x14ac:dyDescent="0.25">
      <c r="A112" s="8" t="s">
        <v>134</v>
      </c>
      <c r="B112" s="239">
        <v>218259</v>
      </c>
      <c r="C112" s="240"/>
      <c r="D112" s="244">
        <f>+IFERROR(+VLOOKUP(A112,'TB final'!$A$5:$J$726,5,0),0)</f>
        <v>218259</v>
      </c>
      <c r="E112" s="244">
        <f>+IFERROR(+VLOOKUP(A112,'TB final'!$A$5:$J$726,8,0),0)</f>
        <v>0</v>
      </c>
      <c r="F112" s="244">
        <f t="shared" si="3"/>
        <v>0</v>
      </c>
      <c r="G112" s="244">
        <f t="shared" si="4"/>
        <v>0</v>
      </c>
      <c r="H112" s="244">
        <f t="shared" si="5"/>
        <v>0</v>
      </c>
    </row>
    <row r="113" spans="1:8" x14ac:dyDescent="0.25">
      <c r="A113" s="8" t="s">
        <v>135</v>
      </c>
      <c r="B113" s="239">
        <v>50000</v>
      </c>
      <c r="C113" s="240"/>
      <c r="D113" s="244">
        <f>+IFERROR(+VLOOKUP(A113,'TB final'!$A$5:$J$726,5,0),0)</f>
        <v>50000</v>
      </c>
      <c r="E113" s="244">
        <f>+IFERROR(+VLOOKUP(A113,'TB final'!$A$5:$J$726,8,0),0)</f>
        <v>0</v>
      </c>
      <c r="F113" s="244">
        <f t="shared" si="3"/>
        <v>0</v>
      </c>
      <c r="G113" s="244">
        <f t="shared" si="4"/>
        <v>0</v>
      </c>
      <c r="H113" s="244">
        <f t="shared" si="5"/>
        <v>0</v>
      </c>
    </row>
    <row r="114" spans="1:8" x14ac:dyDescent="0.25">
      <c r="A114" s="8" t="s">
        <v>136</v>
      </c>
      <c r="B114" s="239">
        <v>116330</v>
      </c>
      <c r="C114" s="240"/>
      <c r="D114" s="244">
        <f>+IFERROR(+VLOOKUP(A114,'TB final'!$A$5:$J$726,5,0),0)</f>
        <v>116330</v>
      </c>
      <c r="E114" s="244">
        <f>+IFERROR(+VLOOKUP(A114,'TB final'!$A$5:$J$726,8,0),0)</f>
        <v>0</v>
      </c>
      <c r="F114" s="244">
        <f t="shared" si="3"/>
        <v>0</v>
      </c>
      <c r="G114" s="244">
        <f t="shared" si="4"/>
        <v>0</v>
      </c>
      <c r="H114" s="244">
        <f t="shared" si="5"/>
        <v>0</v>
      </c>
    </row>
    <row r="115" spans="1:8" x14ac:dyDescent="0.25">
      <c r="A115" s="8" t="s">
        <v>137</v>
      </c>
      <c r="B115" s="239">
        <v>7700</v>
      </c>
      <c r="C115" s="240"/>
      <c r="D115" s="244">
        <f>+IFERROR(+VLOOKUP(A115,'TB final'!$A$5:$J$726,5,0),0)</f>
        <v>7700</v>
      </c>
      <c r="E115" s="244">
        <f>+IFERROR(+VLOOKUP(A115,'TB final'!$A$5:$J$726,8,0),0)</f>
        <v>0</v>
      </c>
      <c r="F115" s="244">
        <f t="shared" si="3"/>
        <v>0</v>
      </c>
      <c r="G115" s="244">
        <f t="shared" si="4"/>
        <v>0</v>
      </c>
      <c r="H115" s="244">
        <f t="shared" si="5"/>
        <v>0</v>
      </c>
    </row>
    <row r="116" spans="1:8" x14ac:dyDescent="0.25">
      <c r="A116" s="8" t="s">
        <v>138</v>
      </c>
      <c r="B116" s="239">
        <v>2854617</v>
      </c>
      <c r="C116" s="240"/>
      <c r="D116" s="244">
        <f>+IFERROR(+VLOOKUP(A116,'TB final'!$A$5:$J$726,5,0),0)</f>
        <v>2854617</v>
      </c>
      <c r="E116" s="244">
        <f>+IFERROR(+VLOOKUP(A116,'TB final'!$A$5:$J$726,8,0),0)</f>
        <v>0</v>
      </c>
      <c r="F116" s="244">
        <f t="shared" si="3"/>
        <v>0</v>
      </c>
      <c r="G116" s="244">
        <f t="shared" si="4"/>
        <v>0</v>
      </c>
      <c r="H116" s="244">
        <f t="shared" si="5"/>
        <v>0</v>
      </c>
    </row>
    <row r="117" spans="1:8" x14ac:dyDescent="0.25">
      <c r="A117" s="8" t="s">
        <v>139</v>
      </c>
      <c r="B117" s="240"/>
      <c r="C117" s="239">
        <v>279076</v>
      </c>
      <c r="D117" s="244">
        <f>+IFERROR(+VLOOKUP(A117,'TB final'!$A$5:$J$726,5,0),0)</f>
        <v>0</v>
      </c>
      <c r="E117" s="244">
        <f>+IFERROR(+VLOOKUP(A117,'TB final'!$A$5:$J$726,8,0),0)</f>
        <v>279076</v>
      </c>
      <c r="F117" s="244">
        <f t="shared" si="3"/>
        <v>0</v>
      </c>
      <c r="G117" s="244">
        <f t="shared" si="4"/>
        <v>0</v>
      </c>
      <c r="H117" s="244">
        <f t="shared" si="5"/>
        <v>0</v>
      </c>
    </row>
    <row r="118" spans="1:8" x14ac:dyDescent="0.25">
      <c r="A118" s="8" t="s">
        <v>140</v>
      </c>
      <c r="B118" s="239">
        <v>1654054</v>
      </c>
      <c r="C118" s="240"/>
      <c r="D118" s="244">
        <f>+IFERROR(+VLOOKUP(A118,'TB final'!$A$5:$J$726,5,0),0)</f>
        <v>1654054</v>
      </c>
      <c r="E118" s="244">
        <f>+IFERROR(+VLOOKUP(A118,'TB final'!$A$5:$J$726,8,0),0)</f>
        <v>0</v>
      </c>
      <c r="F118" s="244">
        <f t="shared" si="3"/>
        <v>0</v>
      </c>
      <c r="G118" s="244">
        <f t="shared" si="4"/>
        <v>0</v>
      </c>
      <c r="H118" s="244">
        <f t="shared" si="5"/>
        <v>0</v>
      </c>
    </row>
    <row r="119" spans="1:8" x14ac:dyDescent="0.25">
      <c r="A119" s="8" t="s">
        <v>141</v>
      </c>
      <c r="B119" s="240"/>
      <c r="C119" s="239">
        <v>1088007</v>
      </c>
      <c r="D119" s="244">
        <f>+IFERROR(+VLOOKUP(A119,'TB final'!$A$5:$J$726,5,0),0)</f>
        <v>0</v>
      </c>
      <c r="E119" s="244">
        <f>+IFERROR(+VLOOKUP(A119,'TB final'!$A$5:$J$726,8,0),0)</f>
        <v>1088007</v>
      </c>
      <c r="F119" s="244">
        <f t="shared" si="3"/>
        <v>0</v>
      </c>
      <c r="G119" s="244">
        <f t="shared" si="4"/>
        <v>0</v>
      </c>
      <c r="H119" s="244">
        <f t="shared" si="5"/>
        <v>0</v>
      </c>
    </row>
    <row r="120" spans="1:8" x14ac:dyDescent="0.25">
      <c r="A120" s="8" t="s">
        <v>142</v>
      </c>
      <c r="B120" s="239">
        <v>202312.89</v>
      </c>
      <c r="C120" s="240"/>
      <c r="D120" s="244">
        <f>+IFERROR(+VLOOKUP(A120,'TB final'!$A$5:$J$726,5,0),0)</f>
        <v>202312.89</v>
      </c>
      <c r="E120" s="244">
        <f>+IFERROR(+VLOOKUP(A120,'TB final'!$A$5:$J$726,8,0),0)</f>
        <v>0</v>
      </c>
      <c r="F120" s="244">
        <f t="shared" si="3"/>
        <v>0</v>
      </c>
      <c r="G120" s="244">
        <f t="shared" si="4"/>
        <v>0</v>
      </c>
      <c r="H120" s="244">
        <f t="shared" si="5"/>
        <v>0</v>
      </c>
    </row>
    <row r="121" spans="1:8" x14ac:dyDescent="0.25">
      <c r="A121" s="8" t="s">
        <v>143</v>
      </c>
      <c r="B121" s="239">
        <v>33965000</v>
      </c>
      <c r="C121" s="240"/>
      <c r="D121" s="244">
        <f>+IFERROR(+VLOOKUP(A121,'TB final'!$A$5:$J$726,5,0),0)</f>
        <v>33965000</v>
      </c>
      <c r="E121" s="244">
        <f>+IFERROR(+VLOOKUP(A121,'TB final'!$A$5:$J$726,8,0),0)</f>
        <v>0</v>
      </c>
      <c r="F121" s="244">
        <f t="shared" si="3"/>
        <v>0</v>
      </c>
      <c r="G121" s="244">
        <f t="shared" si="4"/>
        <v>0</v>
      </c>
      <c r="H121" s="244">
        <f t="shared" si="5"/>
        <v>0</v>
      </c>
    </row>
    <row r="122" spans="1:8" x14ac:dyDescent="0.25">
      <c r="A122" s="8" t="s">
        <v>144</v>
      </c>
      <c r="B122" s="239">
        <v>8000</v>
      </c>
      <c r="C122" s="240"/>
      <c r="D122" s="244">
        <f>+IFERROR(+VLOOKUP(A122,'TB final'!$A$5:$J$726,5,0),0)</f>
        <v>8000</v>
      </c>
      <c r="E122" s="244">
        <f>+IFERROR(+VLOOKUP(A122,'TB final'!$A$5:$J$726,8,0),0)</f>
        <v>0</v>
      </c>
      <c r="F122" s="244">
        <f t="shared" si="3"/>
        <v>0</v>
      </c>
      <c r="G122" s="244">
        <f t="shared" si="4"/>
        <v>0</v>
      </c>
      <c r="H122" s="244">
        <f t="shared" si="5"/>
        <v>0</v>
      </c>
    </row>
    <row r="123" spans="1:8" x14ac:dyDescent="0.25">
      <c r="A123" s="8" t="s">
        <v>145</v>
      </c>
      <c r="B123" s="239">
        <v>1330213.03</v>
      </c>
      <c r="C123" s="240"/>
      <c r="D123" s="244">
        <f>+IFERROR(+VLOOKUP(A123,'TB final'!$A$5:$J$726,5,0),0)</f>
        <v>1330213.03</v>
      </c>
      <c r="E123" s="244">
        <f>+IFERROR(+VLOOKUP(A123,'TB final'!$A$5:$J$726,8,0),0)</f>
        <v>0</v>
      </c>
      <c r="F123" s="244">
        <f t="shared" si="3"/>
        <v>0</v>
      </c>
      <c r="G123" s="244">
        <f t="shared" si="4"/>
        <v>0</v>
      </c>
      <c r="H123" s="244">
        <f t="shared" si="5"/>
        <v>0</v>
      </c>
    </row>
    <row r="124" spans="1:8" x14ac:dyDescent="0.25">
      <c r="A124" s="8" t="s">
        <v>146</v>
      </c>
      <c r="B124" s="240"/>
      <c r="C124" s="239">
        <v>57671</v>
      </c>
      <c r="D124" s="244">
        <f>+IFERROR(+VLOOKUP(A124,'TB final'!$A$5:$J$726,5,0),0)</f>
        <v>0</v>
      </c>
      <c r="E124" s="244">
        <f>+IFERROR(+VLOOKUP(A124,'TB final'!$A$5:$J$726,8,0),0)</f>
        <v>57671</v>
      </c>
      <c r="F124" s="244">
        <f t="shared" si="3"/>
        <v>0</v>
      </c>
      <c r="G124" s="244">
        <f t="shared" si="4"/>
        <v>0</v>
      </c>
      <c r="H124" s="244">
        <f t="shared" si="5"/>
        <v>0</v>
      </c>
    </row>
    <row r="125" spans="1:8" x14ac:dyDescent="0.25">
      <c r="A125" s="8" t="s">
        <v>147</v>
      </c>
      <c r="B125" s="240"/>
      <c r="C125" s="239">
        <v>1800000</v>
      </c>
      <c r="D125" s="244">
        <f>+IFERROR(+VLOOKUP(A125,'TB final'!$A$5:$J$726,5,0),0)</f>
        <v>0</v>
      </c>
      <c r="E125" s="244">
        <f>+IFERROR(+VLOOKUP(A125,'TB final'!$A$5:$J$726,8,0),0)</f>
        <v>1800000</v>
      </c>
      <c r="F125" s="244">
        <f t="shared" si="3"/>
        <v>0</v>
      </c>
      <c r="G125" s="244">
        <f t="shared" si="4"/>
        <v>0</v>
      </c>
      <c r="H125" s="244">
        <f t="shared" si="5"/>
        <v>0</v>
      </c>
    </row>
    <row r="126" spans="1:8" x14ac:dyDescent="0.25">
      <c r="A126" s="8" t="s">
        <v>1363</v>
      </c>
      <c r="B126" s="239">
        <v>921661</v>
      </c>
      <c r="C126" s="240"/>
      <c r="D126" s="244">
        <f>+IFERROR(+VLOOKUP(A126,'TB final'!$A$5:$J$726,5,0),0)</f>
        <v>921661</v>
      </c>
      <c r="E126" s="244">
        <f>+IFERROR(+VLOOKUP(A126,'TB final'!$A$5:$J$726,8,0),0)</f>
        <v>0</v>
      </c>
      <c r="F126" s="244">
        <f t="shared" si="3"/>
        <v>0</v>
      </c>
      <c r="G126" s="244">
        <f t="shared" si="4"/>
        <v>0</v>
      </c>
      <c r="H126" s="244">
        <f t="shared" si="5"/>
        <v>0</v>
      </c>
    </row>
    <row r="127" spans="1:8" x14ac:dyDescent="0.25">
      <c r="A127" s="8" t="s">
        <v>149</v>
      </c>
      <c r="B127" s="239">
        <v>45000</v>
      </c>
      <c r="C127" s="240"/>
      <c r="D127" s="244">
        <f>+IFERROR(+VLOOKUP(A127,'TB final'!$A$5:$J$726,5,0),0)</f>
        <v>45000</v>
      </c>
      <c r="E127" s="244">
        <f>+IFERROR(+VLOOKUP(A127,'TB final'!$A$5:$J$726,8,0),0)</f>
        <v>0</v>
      </c>
      <c r="F127" s="244">
        <f t="shared" si="3"/>
        <v>0</v>
      </c>
      <c r="G127" s="244">
        <f t="shared" si="4"/>
        <v>0</v>
      </c>
      <c r="H127" s="244">
        <f t="shared" si="5"/>
        <v>0</v>
      </c>
    </row>
    <row r="128" spans="1:8" x14ac:dyDescent="0.25">
      <c r="A128" s="8" t="s">
        <v>151</v>
      </c>
      <c r="B128" s="239">
        <v>36000</v>
      </c>
      <c r="C128" s="240"/>
      <c r="D128" s="244">
        <f>+IFERROR(+VLOOKUP(A128,'TB final'!$A$5:$J$726,5,0),0)</f>
        <v>36000</v>
      </c>
      <c r="E128" s="244">
        <f>+IFERROR(+VLOOKUP(A128,'TB final'!$A$5:$J$726,8,0),0)</f>
        <v>0</v>
      </c>
      <c r="F128" s="244">
        <f t="shared" si="3"/>
        <v>0</v>
      </c>
      <c r="G128" s="244">
        <f t="shared" si="4"/>
        <v>0</v>
      </c>
      <c r="H128" s="244">
        <f t="shared" si="5"/>
        <v>0</v>
      </c>
    </row>
    <row r="129" spans="1:8" x14ac:dyDescent="0.25">
      <c r="A129" s="8" t="s">
        <v>2479</v>
      </c>
      <c r="B129" s="239">
        <v>76133</v>
      </c>
      <c r="C129" s="240"/>
      <c r="D129" s="244">
        <f>+IFERROR(+VLOOKUP(A129,'TB final'!$A$5:$J$726,5,0),0)</f>
        <v>76133</v>
      </c>
      <c r="E129" s="244">
        <f>+IFERROR(+VLOOKUP(A129,'TB final'!$A$5:$J$726,8,0),0)</f>
        <v>0</v>
      </c>
      <c r="F129" s="244">
        <f t="shared" si="3"/>
        <v>0</v>
      </c>
      <c r="G129" s="244">
        <f t="shared" si="4"/>
        <v>0</v>
      </c>
      <c r="H129" s="244">
        <f t="shared" si="5"/>
        <v>0</v>
      </c>
    </row>
    <row r="130" spans="1:8" x14ac:dyDescent="0.25">
      <c r="A130" s="8" t="s">
        <v>152</v>
      </c>
      <c r="B130" s="240"/>
      <c r="C130" s="239">
        <v>8459</v>
      </c>
      <c r="D130" s="244">
        <f>+IFERROR(+VLOOKUP(A130,'TB final'!$A$5:$J$726,5,0),0)</f>
        <v>0</v>
      </c>
      <c r="E130" s="244">
        <f>+IFERROR(+VLOOKUP(A130,'TB final'!$A$5:$J$726,8,0),0)</f>
        <v>8459</v>
      </c>
      <c r="F130" s="244">
        <f t="shared" si="3"/>
        <v>0</v>
      </c>
      <c r="G130" s="244">
        <f t="shared" si="4"/>
        <v>0</v>
      </c>
      <c r="H130" s="244">
        <f t="shared" si="5"/>
        <v>0</v>
      </c>
    </row>
    <row r="131" spans="1:8" x14ac:dyDescent="0.25">
      <c r="A131" s="8" t="s">
        <v>153</v>
      </c>
      <c r="B131" s="240"/>
      <c r="C131" s="239">
        <v>116424</v>
      </c>
      <c r="D131" s="244">
        <f>+IFERROR(+VLOOKUP(A131,'TB final'!$A$5:$J$726,5,0),0)</f>
        <v>0</v>
      </c>
      <c r="E131" s="244">
        <f>+IFERROR(+VLOOKUP(A131,'TB final'!$A$5:$J$726,8,0),0)</f>
        <v>116424</v>
      </c>
      <c r="F131" s="244">
        <f t="shared" si="3"/>
        <v>0</v>
      </c>
      <c r="G131" s="244">
        <f t="shared" si="4"/>
        <v>0</v>
      </c>
      <c r="H131" s="244">
        <f t="shared" si="5"/>
        <v>0</v>
      </c>
    </row>
    <row r="132" spans="1:8" x14ac:dyDescent="0.25">
      <c r="A132" s="8" t="s">
        <v>154</v>
      </c>
      <c r="B132" s="240"/>
      <c r="C132" s="239">
        <v>1176528</v>
      </c>
      <c r="D132" s="244">
        <f>+IFERROR(+VLOOKUP(A132,'TB final'!$A$5:$J$726,5,0),0)</f>
        <v>0</v>
      </c>
      <c r="E132" s="244">
        <f>+IFERROR(+VLOOKUP(A132,'TB final'!$A$5:$J$726,8,0),0)</f>
        <v>1176528</v>
      </c>
      <c r="F132" s="244">
        <f t="shared" si="3"/>
        <v>0</v>
      </c>
      <c r="G132" s="244">
        <f t="shared" si="4"/>
        <v>0</v>
      </c>
      <c r="H132" s="244">
        <f t="shared" si="5"/>
        <v>0</v>
      </c>
    </row>
    <row r="133" spans="1:8" x14ac:dyDescent="0.25">
      <c r="A133" s="8" t="s">
        <v>155</v>
      </c>
      <c r="B133" s="239">
        <v>27000</v>
      </c>
      <c r="C133" s="240"/>
      <c r="D133" s="244">
        <f>+IFERROR(+VLOOKUP(A133,'TB final'!$A$5:$J$726,5,0),0)</f>
        <v>27000</v>
      </c>
      <c r="E133" s="244">
        <f>+IFERROR(+VLOOKUP(A133,'TB final'!$A$5:$J$726,8,0),0)</f>
        <v>0</v>
      </c>
      <c r="F133" s="244">
        <f t="shared" si="3"/>
        <v>0</v>
      </c>
      <c r="G133" s="244">
        <f t="shared" si="4"/>
        <v>0</v>
      </c>
      <c r="H133" s="244">
        <f t="shared" si="5"/>
        <v>0</v>
      </c>
    </row>
    <row r="134" spans="1:8" x14ac:dyDescent="0.25">
      <c r="A134" s="8" t="s">
        <v>156</v>
      </c>
      <c r="B134" s="240"/>
      <c r="C134" s="239">
        <v>67381.600000000006</v>
      </c>
      <c r="D134" s="244">
        <f>+IFERROR(+VLOOKUP(A134,'TB final'!$A$5:$J$726,5,0),0)</f>
        <v>0</v>
      </c>
      <c r="E134" s="244">
        <f>+IFERROR(+VLOOKUP(A134,'TB final'!$A$5:$J$726,8,0),0)</f>
        <v>67381.600000000006</v>
      </c>
      <c r="F134" s="244">
        <f t="shared" si="3"/>
        <v>0</v>
      </c>
      <c r="G134" s="244">
        <f t="shared" si="4"/>
        <v>0</v>
      </c>
      <c r="H134" s="244">
        <f t="shared" si="5"/>
        <v>0</v>
      </c>
    </row>
    <row r="135" spans="1:8" x14ac:dyDescent="0.25">
      <c r="A135" s="8" t="s">
        <v>157</v>
      </c>
      <c r="B135" s="239">
        <v>1753713</v>
      </c>
      <c r="C135" s="240"/>
      <c r="D135" s="244">
        <f>+IFERROR(+VLOOKUP(A135,'TB final'!$A$5:$J$726,5,0),0)</f>
        <v>1753713</v>
      </c>
      <c r="E135" s="244">
        <f>+IFERROR(+VLOOKUP(A135,'TB final'!$A$5:$J$726,8,0),0)</f>
        <v>0</v>
      </c>
      <c r="F135" s="244">
        <f t="shared" si="3"/>
        <v>0</v>
      </c>
      <c r="G135" s="244">
        <f t="shared" si="4"/>
        <v>0</v>
      </c>
      <c r="H135" s="244">
        <f t="shared" si="5"/>
        <v>0</v>
      </c>
    </row>
    <row r="136" spans="1:8" x14ac:dyDescent="0.25">
      <c r="A136" s="8" t="s">
        <v>158</v>
      </c>
      <c r="B136" s="239">
        <v>8000</v>
      </c>
      <c r="C136" s="240"/>
      <c r="D136" s="244">
        <f>+IFERROR(+VLOOKUP(A136,'TB final'!$A$5:$J$726,5,0),0)</f>
        <v>8000</v>
      </c>
      <c r="E136" s="244">
        <f>+IFERROR(+VLOOKUP(A136,'TB final'!$A$5:$J$726,8,0),0)</f>
        <v>0</v>
      </c>
      <c r="F136" s="244">
        <f t="shared" si="3"/>
        <v>0</v>
      </c>
      <c r="G136" s="244">
        <f t="shared" si="4"/>
        <v>0</v>
      </c>
      <c r="H136" s="244">
        <f t="shared" si="5"/>
        <v>0</v>
      </c>
    </row>
    <row r="137" spans="1:8" x14ac:dyDescent="0.25">
      <c r="A137" s="8" t="s">
        <v>167</v>
      </c>
      <c r="B137" s="240"/>
      <c r="C137" s="239">
        <v>446301</v>
      </c>
      <c r="D137" s="244">
        <f>+IFERROR(+VLOOKUP(A137,'TB final'!$A$5:$J$726,5,0),0)</f>
        <v>0</v>
      </c>
      <c r="E137" s="244">
        <f>+IFERROR(+VLOOKUP(A137,'TB final'!$A$5:$J$726,8,0),0)</f>
        <v>446301</v>
      </c>
      <c r="F137" s="244">
        <f t="shared" si="3"/>
        <v>0</v>
      </c>
      <c r="G137" s="244">
        <f t="shared" si="4"/>
        <v>0</v>
      </c>
      <c r="H137" s="244">
        <f t="shared" si="5"/>
        <v>0</v>
      </c>
    </row>
    <row r="138" spans="1:8" x14ac:dyDescent="0.25">
      <c r="A138" s="8" t="s">
        <v>168</v>
      </c>
      <c r="B138" s="239">
        <v>74562</v>
      </c>
      <c r="C138" s="240"/>
      <c r="D138" s="244">
        <f>+IFERROR(+VLOOKUP(A138,'TB final'!$A$5:$J$726,5,0),0)</f>
        <v>74562</v>
      </c>
      <c r="E138" s="244">
        <f>+IFERROR(+VLOOKUP(A138,'TB final'!$A$5:$J$726,8,0),0)</f>
        <v>0</v>
      </c>
      <c r="F138" s="244">
        <f t="shared" si="3"/>
        <v>0</v>
      </c>
      <c r="G138" s="244">
        <f t="shared" si="4"/>
        <v>0</v>
      </c>
      <c r="H138" s="244">
        <f t="shared" si="5"/>
        <v>0</v>
      </c>
    </row>
    <row r="139" spans="1:8" x14ac:dyDescent="0.25">
      <c r="A139" s="8" t="s">
        <v>169</v>
      </c>
      <c r="B139" s="239">
        <v>97418771</v>
      </c>
      <c r="C139" s="240"/>
      <c r="D139" s="244">
        <f>+IFERROR(+VLOOKUP(A139,'TB final'!$A$5:$J$726,5,0),0)</f>
        <v>97418771</v>
      </c>
      <c r="E139" s="244">
        <f>+IFERROR(+VLOOKUP(A139,'TB final'!$A$5:$J$726,8,0),0)</f>
        <v>0</v>
      </c>
      <c r="F139" s="244">
        <f t="shared" si="3"/>
        <v>0</v>
      </c>
      <c r="G139" s="244">
        <f t="shared" si="4"/>
        <v>0</v>
      </c>
      <c r="H139" s="244">
        <f t="shared" si="5"/>
        <v>0</v>
      </c>
    </row>
    <row r="140" spans="1:8" x14ac:dyDescent="0.25">
      <c r="A140" s="8" t="s">
        <v>1438</v>
      </c>
      <c r="B140" s="240"/>
      <c r="C140" s="239">
        <v>4370857</v>
      </c>
      <c r="D140" s="244">
        <f>+IFERROR(+VLOOKUP(A140,'TB final'!$A$5:$J$726,5,0),0)</f>
        <v>0</v>
      </c>
      <c r="E140" s="244">
        <f>+IFERROR(+VLOOKUP(A140,'TB final'!$A$5:$J$726,8,0),0)</f>
        <v>4370857</v>
      </c>
      <c r="F140" s="244">
        <f t="shared" ref="F140:F203" si="6">+B140-D140</f>
        <v>0</v>
      </c>
      <c r="G140" s="244">
        <f t="shared" ref="G140:G203" si="7">+C140-E140</f>
        <v>0</v>
      </c>
      <c r="H140" s="244">
        <f t="shared" si="5"/>
        <v>0</v>
      </c>
    </row>
    <row r="141" spans="1:8" x14ac:dyDescent="0.25">
      <c r="A141" s="8" t="s">
        <v>170</v>
      </c>
      <c r="B141" s="240"/>
      <c r="C141" s="239">
        <v>1301094</v>
      </c>
      <c r="D141" s="244">
        <f>+IFERROR(+VLOOKUP(A141,'TB final'!$A$5:$J$726,5,0),0)</f>
        <v>0</v>
      </c>
      <c r="E141" s="244">
        <f>+IFERROR(+VLOOKUP(A141,'TB final'!$A$5:$J$726,8,0),0)</f>
        <v>1301094</v>
      </c>
      <c r="F141" s="244">
        <f t="shared" si="6"/>
        <v>0</v>
      </c>
      <c r="G141" s="244">
        <f t="shared" si="7"/>
        <v>0</v>
      </c>
      <c r="H141" s="244">
        <f t="shared" ref="H141:H204" si="8">+F141+G141</f>
        <v>0</v>
      </c>
    </row>
    <row r="142" spans="1:8" x14ac:dyDescent="0.25">
      <c r="A142" s="8" t="s">
        <v>646</v>
      </c>
      <c r="B142" s="239">
        <v>1301094</v>
      </c>
      <c r="C142" s="240"/>
      <c r="D142" s="244">
        <f>+IFERROR(+VLOOKUP(A142,'TB final'!$A$5:$J$726,5,0),0)</f>
        <v>1301094</v>
      </c>
      <c r="E142" s="244">
        <f>+IFERROR(+VLOOKUP(A142,'TB final'!$A$5:$J$726,8,0),0)</f>
        <v>0</v>
      </c>
      <c r="F142" s="244">
        <f t="shared" si="6"/>
        <v>0</v>
      </c>
      <c r="G142" s="244">
        <f t="shared" si="7"/>
        <v>0</v>
      </c>
      <c r="H142" s="244">
        <f t="shared" si="8"/>
        <v>0</v>
      </c>
    </row>
    <row r="143" spans="1:8" x14ac:dyDescent="0.25">
      <c r="A143" s="8" t="s">
        <v>171</v>
      </c>
      <c r="B143" s="239">
        <v>17190</v>
      </c>
      <c r="C143" s="240"/>
      <c r="D143" s="244">
        <f>+IFERROR(+VLOOKUP(A143,'TB final'!$A$5:$J$726,5,0),0)</f>
        <v>17190</v>
      </c>
      <c r="E143" s="244">
        <f>+IFERROR(+VLOOKUP(A143,'TB final'!$A$5:$J$726,8,0),0)</f>
        <v>0</v>
      </c>
      <c r="F143" s="244">
        <f t="shared" si="6"/>
        <v>0</v>
      </c>
      <c r="G143" s="244">
        <f t="shared" si="7"/>
        <v>0</v>
      </c>
      <c r="H143" s="244">
        <f t="shared" si="8"/>
        <v>0</v>
      </c>
    </row>
    <row r="144" spans="1:8" x14ac:dyDescent="0.25">
      <c r="A144" s="8" t="s">
        <v>3482</v>
      </c>
      <c r="B144" s="239">
        <v>88213</v>
      </c>
      <c r="C144" s="240"/>
      <c r="D144" s="244">
        <f>+IFERROR(+VLOOKUP(A144,'TB final'!$A$5:$J$726,5,0),0)</f>
        <v>88213</v>
      </c>
      <c r="E144" s="244">
        <f>+IFERROR(+VLOOKUP(A144,'TB final'!$A$5:$J$726,8,0),0)</f>
        <v>0</v>
      </c>
      <c r="F144" s="244">
        <f t="shared" si="6"/>
        <v>0</v>
      </c>
      <c r="G144" s="244">
        <f t="shared" si="7"/>
        <v>0</v>
      </c>
      <c r="H144" s="244">
        <f t="shared" si="8"/>
        <v>0</v>
      </c>
    </row>
    <row r="145" spans="1:8" x14ac:dyDescent="0.25">
      <c r="A145" s="8" t="s">
        <v>172</v>
      </c>
      <c r="B145" s="240"/>
      <c r="C145" s="239">
        <v>11630</v>
      </c>
      <c r="D145" s="244">
        <f>+IFERROR(+VLOOKUP(A145,'TB final'!$A$5:$J$726,5,0),0)</f>
        <v>0</v>
      </c>
      <c r="E145" s="244">
        <f>+IFERROR(+VLOOKUP(A145,'TB final'!$A$5:$J$726,8,0),0)</f>
        <v>11630</v>
      </c>
      <c r="F145" s="244">
        <f t="shared" si="6"/>
        <v>0</v>
      </c>
      <c r="G145" s="244">
        <f t="shared" si="7"/>
        <v>0</v>
      </c>
      <c r="H145" s="244">
        <f t="shared" si="8"/>
        <v>0</v>
      </c>
    </row>
    <row r="146" spans="1:8" x14ac:dyDescent="0.25">
      <c r="A146" s="8" t="s">
        <v>173</v>
      </c>
      <c r="B146" s="239">
        <v>330414</v>
      </c>
      <c r="C146" s="240"/>
      <c r="D146" s="244">
        <f>+IFERROR(+VLOOKUP(A146,'TB final'!$A$5:$J$726,5,0),0)</f>
        <v>330414</v>
      </c>
      <c r="E146" s="244">
        <f>+IFERROR(+VLOOKUP(A146,'TB final'!$A$5:$J$726,8,0),0)</f>
        <v>0</v>
      </c>
      <c r="F146" s="244">
        <f t="shared" si="6"/>
        <v>0</v>
      </c>
      <c r="G146" s="244">
        <f t="shared" si="7"/>
        <v>0</v>
      </c>
      <c r="H146" s="244">
        <f t="shared" si="8"/>
        <v>0</v>
      </c>
    </row>
    <row r="147" spans="1:8" x14ac:dyDescent="0.25">
      <c r="A147" s="8" t="s">
        <v>178</v>
      </c>
      <c r="B147" s="239">
        <v>295193</v>
      </c>
      <c r="C147" s="240"/>
      <c r="D147" s="244">
        <f>+IFERROR(+VLOOKUP(A147,'TB final'!$A$5:$J$726,5,0),0)</f>
        <v>295193</v>
      </c>
      <c r="E147" s="244">
        <f>+IFERROR(+VLOOKUP(A147,'TB final'!$A$5:$J$726,8,0),0)</f>
        <v>0</v>
      </c>
      <c r="F147" s="244">
        <f t="shared" si="6"/>
        <v>0</v>
      </c>
      <c r="G147" s="244">
        <f t="shared" si="7"/>
        <v>0</v>
      </c>
      <c r="H147" s="244">
        <f t="shared" si="8"/>
        <v>0</v>
      </c>
    </row>
    <row r="148" spans="1:8" x14ac:dyDescent="0.25">
      <c r="A148" s="8" t="s">
        <v>179</v>
      </c>
      <c r="B148" s="239">
        <v>45574</v>
      </c>
      <c r="C148" s="240"/>
      <c r="D148" s="244">
        <f>+IFERROR(+VLOOKUP(A148,'TB final'!$A$5:$J$726,5,0),0)</f>
        <v>45574</v>
      </c>
      <c r="E148" s="244">
        <f>+IFERROR(+VLOOKUP(A148,'TB final'!$A$5:$J$726,8,0),0)</f>
        <v>0</v>
      </c>
      <c r="F148" s="244">
        <f t="shared" si="6"/>
        <v>0</v>
      </c>
      <c r="G148" s="244">
        <f t="shared" si="7"/>
        <v>0</v>
      </c>
      <c r="H148" s="244">
        <f t="shared" si="8"/>
        <v>0</v>
      </c>
    </row>
    <row r="149" spans="1:8" x14ac:dyDescent="0.25">
      <c r="A149" s="8" t="s">
        <v>180</v>
      </c>
      <c r="B149" s="239">
        <v>907184</v>
      </c>
      <c r="C149" s="240"/>
      <c r="D149" s="244">
        <f>+IFERROR(+VLOOKUP(A149,'TB final'!$A$5:$J$726,5,0),0)</f>
        <v>907184</v>
      </c>
      <c r="E149" s="244">
        <f>+IFERROR(+VLOOKUP(A149,'TB final'!$A$5:$J$726,8,0),0)</f>
        <v>0</v>
      </c>
      <c r="F149" s="244">
        <f t="shared" si="6"/>
        <v>0</v>
      </c>
      <c r="G149" s="244">
        <f t="shared" si="7"/>
        <v>0</v>
      </c>
      <c r="H149" s="244">
        <f t="shared" si="8"/>
        <v>0</v>
      </c>
    </row>
    <row r="150" spans="1:8" x14ac:dyDescent="0.25">
      <c r="A150" s="8" t="s">
        <v>181</v>
      </c>
      <c r="B150" s="239">
        <v>545158</v>
      </c>
      <c r="C150" s="240"/>
      <c r="D150" s="244">
        <f>+IFERROR(+VLOOKUP(A150,'TB final'!$A$5:$J$726,5,0),0)</f>
        <v>545158</v>
      </c>
      <c r="E150" s="244">
        <f>+IFERROR(+VLOOKUP(A150,'TB final'!$A$5:$J$726,8,0),0)</f>
        <v>0</v>
      </c>
      <c r="F150" s="244">
        <f t="shared" si="6"/>
        <v>0</v>
      </c>
      <c r="G150" s="244">
        <f t="shared" si="7"/>
        <v>0</v>
      </c>
      <c r="H150" s="244">
        <f t="shared" si="8"/>
        <v>0</v>
      </c>
    </row>
    <row r="151" spans="1:8" x14ac:dyDescent="0.25">
      <c r="A151" s="8" t="s">
        <v>654</v>
      </c>
      <c r="B151" s="239">
        <v>469083</v>
      </c>
      <c r="C151" s="240"/>
      <c r="D151" s="244">
        <f>+IFERROR(+VLOOKUP(A151,'TB final'!$A$5:$J$726,5,0),0)</f>
        <v>469083</v>
      </c>
      <c r="E151" s="244">
        <f>+IFERROR(+VLOOKUP(A151,'TB final'!$A$5:$J$726,8,0),0)</f>
        <v>0</v>
      </c>
      <c r="F151" s="244">
        <f t="shared" si="6"/>
        <v>0</v>
      </c>
      <c r="G151" s="244">
        <f t="shared" si="7"/>
        <v>0</v>
      </c>
      <c r="H151" s="244">
        <f t="shared" si="8"/>
        <v>0</v>
      </c>
    </row>
    <row r="152" spans="1:8" x14ac:dyDescent="0.25">
      <c r="A152" s="8" t="s">
        <v>182</v>
      </c>
      <c r="B152" s="239">
        <v>1838</v>
      </c>
      <c r="C152" s="240"/>
      <c r="D152" s="244">
        <f>+IFERROR(+VLOOKUP(A152,'TB final'!$A$5:$J$726,5,0),0)</f>
        <v>1838</v>
      </c>
      <c r="E152" s="244">
        <f>+IFERROR(+VLOOKUP(A152,'TB final'!$A$5:$J$726,8,0),0)</f>
        <v>0</v>
      </c>
      <c r="F152" s="244">
        <f t="shared" si="6"/>
        <v>0</v>
      </c>
      <c r="G152" s="244">
        <f t="shared" si="7"/>
        <v>0</v>
      </c>
      <c r="H152" s="244">
        <f t="shared" si="8"/>
        <v>0</v>
      </c>
    </row>
    <row r="153" spans="1:8" x14ac:dyDescent="0.25">
      <c r="A153" s="8" t="s">
        <v>183</v>
      </c>
      <c r="B153" s="239">
        <v>2098</v>
      </c>
      <c r="C153" s="240"/>
      <c r="D153" s="244">
        <f>+IFERROR(+VLOOKUP(A153,'TB final'!$A$5:$J$726,5,0),0)</f>
        <v>2098</v>
      </c>
      <c r="E153" s="244">
        <f>+IFERROR(+VLOOKUP(A153,'TB final'!$A$5:$J$726,8,0),0)</f>
        <v>0</v>
      </c>
      <c r="F153" s="244">
        <f t="shared" si="6"/>
        <v>0</v>
      </c>
      <c r="G153" s="244">
        <f t="shared" si="7"/>
        <v>0</v>
      </c>
      <c r="H153" s="244">
        <f t="shared" si="8"/>
        <v>0</v>
      </c>
    </row>
    <row r="154" spans="1:8" x14ac:dyDescent="0.25">
      <c r="A154" s="8" t="s">
        <v>184</v>
      </c>
      <c r="B154" s="240"/>
      <c r="C154" s="239">
        <v>75929</v>
      </c>
      <c r="D154" s="244">
        <f>+IFERROR(+VLOOKUP(A154,'TB final'!$A$5:$J$726,5,0),0)</f>
        <v>0</v>
      </c>
      <c r="E154" s="244">
        <f>+IFERROR(+VLOOKUP(A154,'TB final'!$A$5:$J$726,8,0),0)</f>
        <v>75929</v>
      </c>
      <c r="F154" s="244">
        <f t="shared" si="6"/>
        <v>0</v>
      </c>
      <c r="G154" s="244">
        <f t="shared" si="7"/>
        <v>0</v>
      </c>
      <c r="H154" s="244">
        <f t="shared" si="8"/>
        <v>0</v>
      </c>
    </row>
    <row r="155" spans="1:8" x14ac:dyDescent="0.25">
      <c r="A155" s="8" t="s">
        <v>185</v>
      </c>
      <c r="B155" s="239">
        <v>368858</v>
      </c>
      <c r="C155" s="240"/>
      <c r="D155" s="244">
        <f>+IFERROR(+VLOOKUP(A155,'TB final'!$A$5:$J$726,5,0),0)</f>
        <v>368858</v>
      </c>
      <c r="E155" s="244">
        <f>+IFERROR(+VLOOKUP(A155,'TB final'!$A$5:$J$726,8,0),0)</f>
        <v>0</v>
      </c>
      <c r="F155" s="244">
        <f t="shared" si="6"/>
        <v>0</v>
      </c>
      <c r="G155" s="244">
        <f t="shared" si="7"/>
        <v>0</v>
      </c>
      <c r="H155" s="244">
        <f t="shared" si="8"/>
        <v>0</v>
      </c>
    </row>
    <row r="156" spans="1:8" x14ac:dyDescent="0.25">
      <c r="A156" s="8" t="s">
        <v>186</v>
      </c>
      <c r="B156" s="239">
        <v>460969</v>
      </c>
      <c r="C156" s="240"/>
      <c r="D156" s="244">
        <f>+IFERROR(+VLOOKUP(A156,'TB final'!$A$5:$J$726,5,0),0)</f>
        <v>460969</v>
      </c>
      <c r="E156" s="244">
        <f>+IFERROR(+VLOOKUP(A156,'TB final'!$A$5:$J$726,8,0),0)</f>
        <v>0</v>
      </c>
      <c r="F156" s="244">
        <f t="shared" si="6"/>
        <v>0</v>
      </c>
      <c r="G156" s="244">
        <f t="shared" si="7"/>
        <v>0</v>
      </c>
      <c r="H156" s="244">
        <f t="shared" si="8"/>
        <v>0</v>
      </c>
    </row>
    <row r="157" spans="1:8" x14ac:dyDescent="0.25">
      <c r="A157" s="8" t="s">
        <v>187</v>
      </c>
      <c r="B157" s="239">
        <v>7</v>
      </c>
      <c r="C157" s="240"/>
      <c r="D157" s="244">
        <f>+IFERROR(+VLOOKUP(A157,'TB final'!$A$5:$J$726,5,0),0)</f>
        <v>7</v>
      </c>
      <c r="E157" s="244">
        <f>+IFERROR(+VLOOKUP(A157,'TB final'!$A$5:$J$726,8,0),0)</f>
        <v>0</v>
      </c>
      <c r="F157" s="244">
        <f t="shared" si="6"/>
        <v>0</v>
      </c>
      <c r="G157" s="244">
        <f t="shared" si="7"/>
        <v>0</v>
      </c>
      <c r="H157" s="244">
        <f t="shared" si="8"/>
        <v>0</v>
      </c>
    </row>
    <row r="158" spans="1:8" x14ac:dyDescent="0.25">
      <c r="A158" s="8" t="s">
        <v>188</v>
      </c>
      <c r="B158" s="239">
        <v>10150</v>
      </c>
      <c r="C158" s="240"/>
      <c r="D158" s="244">
        <f>+IFERROR(+VLOOKUP(A158,'TB final'!$A$5:$J$726,5,0),0)</f>
        <v>10150</v>
      </c>
      <c r="E158" s="244">
        <f>+IFERROR(+VLOOKUP(A158,'TB final'!$A$5:$J$726,8,0),0)</f>
        <v>0</v>
      </c>
      <c r="F158" s="244">
        <f t="shared" si="6"/>
        <v>0</v>
      </c>
      <c r="G158" s="244">
        <f t="shared" si="7"/>
        <v>0</v>
      </c>
      <c r="H158" s="244">
        <f t="shared" si="8"/>
        <v>0</v>
      </c>
    </row>
    <row r="159" spans="1:8" x14ac:dyDescent="0.25">
      <c r="A159" s="8" t="s">
        <v>189</v>
      </c>
      <c r="B159" s="239">
        <v>859878</v>
      </c>
      <c r="C159" s="240"/>
      <c r="D159" s="244">
        <f>+IFERROR(+VLOOKUP(A159,'TB final'!$A$5:$J$726,5,0),0)</f>
        <v>859878</v>
      </c>
      <c r="E159" s="244">
        <f>+IFERROR(+VLOOKUP(A159,'TB final'!$A$5:$J$726,8,0),0)</f>
        <v>0</v>
      </c>
      <c r="F159" s="244">
        <f t="shared" si="6"/>
        <v>0</v>
      </c>
      <c r="G159" s="244">
        <f t="shared" si="7"/>
        <v>0</v>
      </c>
      <c r="H159" s="244">
        <f t="shared" si="8"/>
        <v>0</v>
      </c>
    </row>
    <row r="160" spans="1:8" x14ac:dyDescent="0.25">
      <c r="A160" s="8" t="s">
        <v>190</v>
      </c>
      <c r="B160" s="239">
        <v>468</v>
      </c>
      <c r="C160" s="240"/>
      <c r="D160" s="244">
        <f>+IFERROR(+VLOOKUP(A160,'TB final'!$A$5:$J$726,5,0),0)</f>
        <v>468</v>
      </c>
      <c r="E160" s="244">
        <f>+IFERROR(+VLOOKUP(A160,'TB final'!$A$5:$J$726,8,0),0)</f>
        <v>0</v>
      </c>
      <c r="F160" s="244">
        <f t="shared" si="6"/>
        <v>0</v>
      </c>
      <c r="G160" s="244">
        <f t="shared" si="7"/>
        <v>0</v>
      </c>
      <c r="H160" s="244">
        <f t="shared" si="8"/>
        <v>0</v>
      </c>
    </row>
    <row r="161" spans="1:8" x14ac:dyDescent="0.25">
      <c r="A161" s="8" t="s">
        <v>662</v>
      </c>
      <c r="B161" s="239">
        <v>19982</v>
      </c>
      <c r="C161" s="240"/>
      <c r="D161" s="244">
        <f>+IFERROR(+VLOOKUP(A161,'TB final'!$A$5:$J$726,5,0),0)</f>
        <v>19982</v>
      </c>
      <c r="E161" s="244">
        <f>+IFERROR(+VLOOKUP(A161,'TB final'!$A$5:$J$726,8,0),0)</f>
        <v>0</v>
      </c>
      <c r="F161" s="244">
        <f t="shared" si="6"/>
        <v>0</v>
      </c>
      <c r="G161" s="244">
        <f t="shared" si="7"/>
        <v>0</v>
      </c>
      <c r="H161" s="244">
        <f t="shared" si="8"/>
        <v>0</v>
      </c>
    </row>
    <row r="162" spans="1:8" x14ac:dyDescent="0.25">
      <c r="A162" s="8" t="s">
        <v>192</v>
      </c>
      <c r="B162" s="239">
        <v>7</v>
      </c>
      <c r="C162" s="240"/>
      <c r="D162" s="244">
        <f>+IFERROR(+VLOOKUP(A162,'TB final'!$A$5:$J$726,5,0),0)</f>
        <v>7</v>
      </c>
      <c r="E162" s="244">
        <f>+IFERROR(+VLOOKUP(A162,'TB final'!$A$5:$J$726,8,0),0)</f>
        <v>0</v>
      </c>
      <c r="F162" s="244">
        <f t="shared" si="6"/>
        <v>0</v>
      </c>
      <c r="G162" s="244">
        <f t="shared" si="7"/>
        <v>0</v>
      </c>
      <c r="H162" s="244">
        <f t="shared" si="8"/>
        <v>0</v>
      </c>
    </row>
    <row r="163" spans="1:8" x14ac:dyDescent="0.25">
      <c r="A163" s="8" t="s">
        <v>193</v>
      </c>
      <c r="B163" s="239">
        <v>5531</v>
      </c>
      <c r="C163" s="240"/>
      <c r="D163" s="244">
        <f>+IFERROR(+VLOOKUP(A163,'TB final'!$A$5:$J$726,5,0),0)</f>
        <v>5531</v>
      </c>
      <c r="E163" s="244">
        <f>+IFERROR(+VLOOKUP(A163,'TB final'!$A$5:$J$726,8,0),0)</f>
        <v>0</v>
      </c>
      <c r="F163" s="244">
        <f t="shared" si="6"/>
        <v>0</v>
      </c>
      <c r="G163" s="244">
        <f t="shared" si="7"/>
        <v>0</v>
      </c>
      <c r="H163" s="244">
        <f t="shared" si="8"/>
        <v>0</v>
      </c>
    </row>
    <row r="164" spans="1:8" x14ac:dyDescent="0.25">
      <c r="A164" s="8" t="s">
        <v>194</v>
      </c>
      <c r="B164" s="239">
        <v>4285</v>
      </c>
      <c r="C164" s="240"/>
      <c r="D164" s="244">
        <f>+IFERROR(+VLOOKUP(A164,'TB final'!$A$5:$J$726,5,0),0)</f>
        <v>4285</v>
      </c>
      <c r="E164" s="244">
        <f>+IFERROR(+VLOOKUP(A164,'TB final'!$A$5:$J$726,8,0),0)</f>
        <v>0</v>
      </c>
      <c r="F164" s="244">
        <f t="shared" si="6"/>
        <v>0</v>
      </c>
      <c r="G164" s="244">
        <f t="shared" si="7"/>
        <v>0</v>
      </c>
      <c r="H164" s="244">
        <f t="shared" si="8"/>
        <v>0</v>
      </c>
    </row>
    <row r="165" spans="1:8" x14ac:dyDescent="0.25">
      <c r="A165" s="8" t="s">
        <v>669</v>
      </c>
      <c r="B165" s="240"/>
      <c r="C165" s="239">
        <v>139269</v>
      </c>
      <c r="D165" s="244">
        <f>+IFERROR(+VLOOKUP(A165,'TB final'!$A$5:$J$726,5,0),0)</f>
        <v>0</v>
      </c>
      <c r="E165" s="244">
        <f>+IFERROR(+VLOOKUP(A165,'TB final'!$A$5:$J$726,8,0),0)</f>
        <v>139269</v>
      </c>
      <c r="F165" s="244">
        <f t="shared" si="6"/>
        <v>0</v>
      </c>
      <c r="G165" s="244">
        <f t="shared" si="7"/>
        <v>0</v>
      </c>
      <c r="H165" s="244">
        <f t="shared" si="8"/>
        <v>0</v>
      </c>
    </row>
    <row r="166" spans="1:8" x14ac:dyDescent="0.25">
      <c r="A166" s="8" t="s">
        <v>1439</v>
      </c>
      <c r="B166" s="239">
        <v>10681</v>
      </c>
      <c r="C166" s="240"/>
      <c r="D166" s="244">
        <f>+IFERROR(+VLOOKUP(A166,'TB final'!$A$5:$J$726,5,0),0)</f>
        <v>10681</v>
      </c>
      <c r="E166" s="244">
        <f>+IFERROR(+VLOOKUP(A166,'TB final'!$A$5:$J$726,8,0),0)</f>
        <v>0</v>
      </c>
      <c r="F166" s="244">
        <f t="shared" si="6"/>
        <v>0</v>
      </c>
      <c r="G166" s="244">
        <f t="shared" si="7"/>
        <v>0</v>
      </c>
      <c r="H166" s="244">
        <f t="shared" si="8"/>
        <v>0</v>
      </c>
    </row>
    <row r="167" spans="1:8" x14ac:dyDescent="0.25">
      <c r="A167" s="8" t="s">
        <v>196</v>
      </c>
      <c r="B167" s="239">
        <v>2678489.9500000002</v>
      </c>
      <c r="C167" s="240"/>
      <c r="D167" s="244">
        <f>+IFERROR(+VLOOKUP(A167,'TB final'!$A$5:$J$726,5,0),0)</f>
        <v>2678489.9500000002</v>
      </c>
      <c r="E167" s="244">
        <f>+IFERROR(+VLOOKUP(A167,'TB final'!$A$5:$J$726,8,0),0)</f>
        <v>0</v>
      </c>
      <c r="F167" s="244">
        <f t="shared" si="6"/>
        <v>0</v>
      </c>
      <c r="G167" s="244">
        <f t="shared" si="7"/>
        <v>0</v>
      </c>
      <c r="H167" s="244">
        <f t="shared" si="8"/>
        <v>0</v>
      </c>
    </row>
    <row r="168" spans="1:8" x14ac:dyDescent="0.25">
      <c r="A168" s="8" t="s">
        <v>197</v>
      </c>
      <c r="B168" s="239">
        <v>6</v>
      </c>
      <c r="C168" s="240"/>
      <c r="D168" s="244">
        <f>+IFERROR(+VLOOKUP(A168,'TB final'!$A$5:$J$726,5,0),0)</f>
        <v>6</v>
      </c>
      <c r="E168" s="244">
        <f>+IFERROR(+VLOOKUP(A168,'TB final'!$A$5:$J$726,8,0),0)</f>
        <v>0</v>
      </c>
      <c r="F168" s="244">
        <f t="shared" si="6"/>
        <v>0</v>
      </c>
      <c r="G168" s="244">
        <f t="shared" si="7"/>
        <v>0</v>
      </c>
      <c r="H168" s="244">
        <f t="shared" si="8"/>
        <v>0</v>
      </c>
    </row>
    <row r="169" spans="1:8" x14ac:dyDescent="0.25">
      <c r="A169" s="8" t="s">
        <v>198</v>
      </c>
      <c r="B169" s="239">
        <v>1225</v>
      </c>
      <c r="C169" s="240"/>
      <c r="D169" s="244">
        <f>+IFERROR(+VLOOKUP(A169,'TB final'!$A$5:$J$726,5,0),0)</f>
        <v>1225</v>
      </c>
      <c r="E169" s="244">
        <f>+IFERROR(+VLOOKUP(A169,'TB final'!$A$5:$J$726,8,0),0)</f>
        <v>0</v>
      </c>
      <c r="F169" s="244">
        <f t="shared" si="6"/>
        <v>0</v>
      </c>
      <c r="G169" s="244">
        <f t="shared" si="7"/>
        <v>0</v>
      </c>
      <c r="H169" s="244">
        <f t="shared" si="8"/>
        <v>0</v>
      </c>
    </row>
    <row r="170" spans="1:8" x14ac:dyDescent="0.25">
      <c r="A170" s="8" t="s">
        <v>199</v>
      </c>
      <c r="B170" s="239">
        <v>1577670</v>
      </c>
      <c r="C170" s="240"/>
      <c r="D170" s="244">
        <f>+IFERROR(+VLOOKUP(A170,'TB final'!$A$5:$J$726,5,0),0)</f>
        <v>1577670</v>
      </c>
      <c r="E170" s="244">
        <f>+IFERROR(+VLOOKUP(A170,'TB final'!$A$5:$J$726,8,0),0)</f>
        <v>0</v>
      </c>
      <c r="F170" s="244">
        <f t="shared" si="6"/>
        <v>0</v>
      </c>
      <c r="G170" s="244">
        <f t="shared" si="7"/>
        <v>0</v>
      </c>
      <c r="H170" s="244">
        <f t="shared" si="8"/>
        <v>0</v>
      </c>
    </row>
    <row r="171" spans="1:8" x14ac:dyDescent="0.25">
      <c r="A171" s="8" t="s">
        <v>200</v>
      </c>
      <c r="B171" s="239">
        <v>180000</v>
      </c>
      <c r="C171" s="240"/>
      <c r="D171" s="244">
        <f>+IFERROR(+VLOOKUP(A171,'TB final'!$A$5:$J$726,5,0),0)</f>
        <v>180000</v>
      </c>
      <c r="E171" s="244">
        <f>+IFERROR(+VLOOKUP(A171,'TB final'!$A$5:$J$726,8,0),0)</f>
        <v>0</v>
      </c>
      <c r="F171" s="244">
        <f t="shared" si="6"/>
        <v>0</v>
      </c>
      <c r="G171" s="244">
        <f t="shared" si="7"/>
        <v>0</v>
      </c>
      <c r="H171" s="244">
        <f t="shared" si="8"/>
        <v>0</v>
      </c>
    </row>
    <row r="172" spans="1:8" x14ac:dyDescent="0.25">
      <c r="A172" s="8" t="s">
        <v>201</v>
      </c>
      <c r="B172" s="240"/>
      <c r="C172" s="239">
        <v>71036</v>
      </c>
      <c r="D172" s="244">
        <f>+IFERROR(+VLOOKUP(A172,'TB final'!$A$5:$J$726,5,0),0)</f>
        <v>0</v>
      </c>
      <c r="E172" s="244">
        <f>+IFERROR(+VLOOKUP(A172,'TB final'!$A$5:$J$726,8,0),0)</f>
        <v>71036</v>
      </c>
      <c r="F172" s="244">
        <f t="shared" si="6"/>
        <v>0</v>
      </c>
      <c r="G172" s="244">
        <f t="shared" si="7"/>
        <v>0</v>
      </c>
      <c r="H172" s="244">
        <f t="shared" si="8"/>
        <v>0</v>
      </c>
    </row>
    <row r="173" spans="1:8" x14ac:dyDescent="0.25">
      <c r="A173" s="8" t="s">
        <v>202</v>
      </c>
      <c r="B173" s="239">
        <v>36037</v>
      </c>
      <c r="C173" s="240"/>
      <c r="D173" s="244">
        <f>+IFERROR(+VLOOKUP(A173,'TB final'!$A$5:$J$726,5,0),0)</f>
        <v>36037</v>
      </c>
      <c r="E173" s="244">
        <f>+IFERROR(+VLOOKUP(A173,'TB final'!$A$5:$J$726,8,0),0)</f>
        <v>0</v>
      </c>
      <c r="F173" s="244">
        <f t="shared" si="6"/>
        <v>0</v>
      </c>
      <c r="G173" s="244">
        <f t="shared" si="7"/>
        <v>0</v>
      </c>
      <c r="H173" s="244">
        <f t="shared" si="8"/>
        <v>0</v>
      </c>
    </row>
    <row r="174" spans="1:8" x14ac:dyDescent="0.25">
      <c r="A174" s="8" t="s">
        <v>203</v>
      </c>
      <c r="B174" s="239">
        <v>172778</v>
      </c>
      <c r="C174" s="240"/>
      <c r="D174" s="244">
        <f>+IFERROR(+VLOOKUP(A174,'TB final'!$A$5:$J$726,5,0),0)</f>
        <v>172778</v>
      </c>
      <c r="E174" s="244">
        <f>+IFERROR(+VLOOKUP(A174,'TB final'!$A$5:$J$726,8,0),0)</f>
        <v>0</v>
      </c>
      <c r="F174" s="244">
        <f t="shared" si="6"/>
        <v>0</v>
      </c>
      <c r="G174" s="244">
        <f t="shared" si="7"/>
        <v>0</v>
      </c>
      <c r="H174" s="244">
        <f t="shared" si="8"/>
        <v>0</v>
      </c>
    </row>
    <row r="175" spans="1:8" x14ac:dyDescent="0.25">
      <c r="A175" s="8" t="s">
        <v>204</v>
      </c>
      <c r="B175" s="240"/>
      <c r="C175" s="239">
        <v>6384474</v>
      </c>
      <c r="D175" s="244">
        <f>+IFERROR(+VLOOKUP(A175,'TB final'!$A$5:$J$726,5,0),0)</f>
        <v>0</v>
      </c>
      <c r="E175" s="244">
        <f>+IFERROR(+VLOOKUP(A175,'TB final'!$A$5:$J$726,8,0),0)</f>
        <v>6384474</v>
      </c>
      <c r="F175" s="244">
        <f t="shared" si="6"/>
        <v>0</v>
      </c>
      <c r="G175" s="244">
        <f t="shared" si="7"/>
        <v>0</v>
      </c>
      <c r="H175" s="244">
        <f t="shared" si="8"/>
        <v>0</v>
      </c>
    </row>
    <row r="176" spans="1:8" x14ac:dyDescent="0.25">
      <c r="A176" s="8" t="s">
        <v>205</v>
      </c>
      <c r="B176" s="239">
        <v>565401</v>
      </c>
      <c r="C176" s="240"/>
      <c r="D176" s="244">
        <f>+IFERROR(+VLOOKUP(A176,'TB final'!$A$5:$J$726,5,0),0)</f>
        <v>565401</v>
      </c>
      <c r="E176" s="244">
        <f>+IFERROR(+VLOOKUP(A176,'TB final'!$A$5:$J$726,8,0),0)</f>
        <v>0</v>
      </c>
      <c r="F176" s="244">
        <f t="shared" si="6"/>
        <v>0</v>
      </c>
      <c r="G176" s="244">
        <f t="shared" si="7"/>
        <v>0</v>
      </c>
      <c r="H176" s="244">
        <f t="shared" si="8"/>
        <v>0</v>
      </c>
    </row>
    <row r="177" spans="1:8" x14ac:dyDescent="0.25">
      <c r="A177" s="8" t="s">
        <v>206</v>
      </c>
      <c r="B177" s="239">
        <v>573513</v>
      </c>
      <c r="C177" s="240"/>
      <c r="D177" s="244">
        <f>+IFERROR(+VLOOKUP(A177,'TB final'!$A$5:$J$726,5,0),0)</f>
        <v>573513</v>
      </c>
      <c r="E177" s="244">
        <f>+IFERROR(+VLOOKUP(A177,'TB final'!$A$5:$J$726,8,0),0)</f>
        <v>0</v>
      </c>
      <c r="F177" s="244">
        <f t="shared" si="6"/>
        <v>0</v>
      </c>
      <c r="G177" s="244">
        <f t="shared" si="7"/>
        <v>0</v>
      </c>
      <c r="H177" s="244">
        <f t="shared" si="8"/>
        <v>0</v>
      </c>
    </row>
    <row r="178" spans="1:8" x14ac:dyDescent="0.25">
      <c r="A178" s="8" t="s">
        <v>207</v>
      </c>
      <c r="B178" s="239">
        <v>66000</v>
      </c>
      <c r="C178" s="240"/>
      <c r="D178" s="244">
        <f>+IFERROR(+VLOOKUP(A178,'TB final'!$A$5:$J$726,5,0),0)</f>
        <v>66000</v>
      </c>
      <c r="E178" s="244">
        <f>+IFERROR(+VLOOKUP(A178,'TB final'!$A$5:$J$726,8,0),0)</f>
        <v>0</v>
      </c>
      <c r="F178" s="244">
        <f t="shared" si="6"/>
        <v>0</v>
      </c>
      <c r="G178" s="244">
        <f t="shared" si="7"/>
        <v>0</v>
      </c>
      <c r="H178" s="244">
        <f t="shared" si="8"/>
        <v>0</v>
      </c>
    </row>
    <row r="179" spans="1:8" x14ac:dyDescent="0.25">
      <c r="A179" s="8" t="s">
        <v>208</v>
      </c>
      <c r="B179" s="240"/>
      <c r="C179" s="239">
        <v>537677</v>
      </c>
      <c r="D179" s="244">
        <f>+IFERROR(+VLOOKUP(A179,'TB final'!$A$5:$J$726,5,0),0)</f>
        <v>0</v>
      </c>
      <c r="E179" s="244">
        <f>+IFERROR(+VLOOKUP(A179,'TB final'!$A$5:$J$726,8,0),0)</f>
        <v>537677</v>
      </c>
      <c r="F179" s="244">
        <f t="shared" si="6"/>
        <v>0</v>
      </c>
      <c r="G179" s="244">
        <f t="shared" si="7"/>
        <v>0</v>
      </c>
      <c r="H179" s="244">
        <f t="shared" si="8"/>
        <v>0</v>
      </c>
    </row>
    <row r="180" spans="1:8" x14ac:dyDescent="0.25">
      <c r="A180" s="8" t="s">
        <v>210</v>
      </c>
      <c r="B180" s="240"/>
      <c r="C180" s="239">
        <v>3529583</v>
      </c>
      <c r="D180" s="244">
        <f>+IFERROR(+VLOOKUP(A180,'TB final'!$A$5:$J$726,5,0),0)</f>
        <v>0</v>
      </c>
      <c r="E180" s="244">
        <f>+IFERROR(+VLOOKUP(A180,'TB final'!$A$5:$J$726,8,0),0)</f>
        <v>3529583</v>
      </c>
      <c r="F180" s="244">
        <f t="shared" si="6"/>
        <v>0</v>
      </c>
      <c r="G180" s="244">
        <f t="shared" si="7"/>
        <v>0</v>
      </c>
      <c r="H180" s="244">
        <f t="shared" si="8"/>
        <v>0</v>
      </c>
    </row>
    <row r="181" spans="1:8" x14ac:dyDescent="0.25">
      <c r="A181" s="8" t="s">
        <v>211</v>
      </c>
      <c r="B181" s="240"/>
      <c r="C181" s="239">
        <v>12238807.5</v>
      </c>
      <c r="D181" s="244">
        <f>+IFERROR(+VLOOKUP(A181,'TB final'!$A$5:$J$726,5,0),0)</f>
        <v>0</v>
      </c>
      <c r="E181" s="244">
        <f>+IFERROR(+VLOOKUP(A181,'TB final'!$A$5:$J$726,8,0),0)</f>
        <v>12238807.5</v>
      </c>
      <c r="F181" s="244">
        <f t="shared" si="6"/>
        <v>0</v>
      </c>
      <c r="G181" s="244">
        <f t="shared" si="7"/>
        <v>0</v>
      </c>
      <c r="H181" s="244">
        <f t="shared" si="8"/>
        <v>0</v>
      </c>
    </row>
    <row r="182" spans="1:8" x14ac:dyDescent="0.25">
      <c r="A182" s="8" t="s">
        <v>213</v>
      </c>
      <c r="B182" s="239">
        <v>2745000</v>
      </c>
      <c r="C182" s="240"/>
      <c r="D182" s="244">
        <f>+IFERROR(+VLOOKUP(A182,'TB final'!$A$5:$J$726,5,0),0)</f>
        <v>2745000</v>
      </c>
      <c r="E182" s="244">
        <f>+IFERROR(+VLOOKUP(A182,'TB final'!$A$5:$J$726,8,0),0)</f>
        <v>0</v>
      </c>
      <c r="F182" s="244">
        <f t="shared" si="6"/>
        <v>0</v>
      </c>
      <c r="G182" s="244">
        <f t="shared" si="7"/>
        <v>0</v>
      </c>
      <c r="H182" s="244">
        <f t="shared" si="8"/>
        <v>0</v>
      </c>
    </row>
    <row r="183" spans="1:8" x14ac:dyDescent="0.25">
      <c r="A183" s="8" t="s">
        <v>214</v>
      </c>
      <c r="B183" s="240"/>
      <c r="C183" s="239">
        <v>3244</v>
      </c>
      <c r="D183" s="244">
        <f>+IFERROR(+VLOOKUP(A183,'TB final'!$A$5:$J$726,5,0),0)</f>
        <v>0</v>
      </c>
      <c r="E183" s="244">
        <f>+IFERROR(+VLOOKUP(A183,'TB final'!$A$5:$J$726,8,0),0)</f>
        <v>3244</v>
      </c>
      <c r="F183" s="244">
        <f t="shared" si="6"/>
        <v>0</v>
      </c>
      <c r="G183" s="244">
        <f t="shared" si="7"/>
        <v>0</v>
      </c>
      <c r="H183" s="244">
        <f t="shared" si="8"/>
        <v>0</v>
      </c>
    </row>
    <row r="184" spans="1:8" x14ac:dyDescent="0.25">
      <c r="A184" s="8" t="s">
        <v>215</v>
      </c>
      <c r="B184" s="239">
        <v>6000</v>
      </c>
      <c r="C184" s="240"/>
      <c r="D184" s="244">
        <f>+IFERROR(+VLOOKUP(A184,'TB final'!$A$5:$J$726,5,0),0)</f>
        <v>6000</v>
      </c>
      <c r="E184" s="244">
        <f>+IFERROR(+VLOOKUP(A184,'TB final'!$A$5:$J$726,8,0),0)</f>
        <v>0</v>
      </c>
      <c r="F184" s="244">
        <f t="shared" si="6"/>
        <v>0</v>
      </c>
      <c r="G184" s="244">
        <f t="shared" si="7"/>
        <v>0</v>
      </c>
      <c r="H184" s="244">
        <f t="shared" si="8"/>
        <v>0</v>
      </c>
    </row>
    <row r="185" spans="1:8" x14ac:dyDescent="0.25">
      <c r="A185" s="8" t="s">
        <v>216</v>
      </c>
      <c r="B185" s="239">
        <v>14112</v>
      </c>
      <c r="C185" s="240"/>
      <c r="D185" s="244">
        <f>+IFERROR(+VLOOKUP(A185,'TB final'!$A$5:$J$726,5,0),0)</f>
        <v>14112</v>
      </c>
      <c r="E185" s="244">
        <f>+IFERROR(+VLOOKUP(A185,'TB final'!$A$5:$J$726,8,0),0)</f>
        <v>0</v>
      </c>
      <c r="F185" s="244">
        <f t="shared" si="6"/>
        <v>0</v>
      </c>
      <c r="G185" s="244">
        <f t="shared" si="7"/>
        <v>0</v>
      </c>
      <c r="H185" s="244">
        <f t="shared" si="8"/>
        <v>0</v>
      </c>
    </row>
    <row r="186" spans="1:8" x14ac:dyDescent="0.25">
      <c r="A186" s="8" t="s">
        <v>217</v>
      </c>
      <c r="B186" s="240"/>
      <c r="C186" s="239">
        <v>5721513</v>
      </c>
      <c r="D186" s="244">
        <f>+IFERROR(+VLOOKUP(A186,'TB final'!$A$5:$J$726,5,0),0)</f>
        <v>0</v>
      </c>
      <c r="E186" s="244">
        <f>+IFERROR(+VLOOKUP(A186,'TB final'!$A$5:$J$726,8,0),0)</f>
        <v>5721513</v>
      </c>
      <c r="F186" s="244">
        <f t="shared" si="6"/>
        <v>0</v>
      </c>
      <c r="G186" s="244">
        <f t="shared" si="7"/>
        <v>0</v>
      </c>
      <c r="H186" s="244">
        <f t="shared" si="8"/>
        <v>0</v>
      </c>
    </row>
    <row r="187" spans="1:8" x14ac:dyDescent="0.25">
      <c r="A187" s="8" t="s">
        <v>218</v>
      </c>
      <c r="B187" s="239">
        <v>45230726</v>
      </c>
      <c r="C187" s="240"/>
      <c r="D187" s="244">
        <f>+IFERROR(+VLOOKUP(A187,'TB final'!$A$5:$J$726,5,0),0)</f>
        <v>45230726</v>
      </c>
      <c r="E187" s="244">
        <f>+IFERROR(+VLOOKUP(A187,'TB final'!$A$5:$J$726,8,0),0)</f>
        <v>0</v>
      </c>
      <c r="F187" s="244">
        <f t="shared" si="6"/>
        <v>0</v>
      </c>
      <c r="G187" s="244">
        <f t="shared" si="7"/>
        <v>0</v>
      </c>
      <c r="H187" s="244">
        <f t="shared" si="8"/>
        <v>0</v>
      </c>
    </row>
    <row r="188" spans="1:8" x14ac:dyDescent="0.25">
      <c r="A188" s="8" t="s">
        <v>691</v>
      </c>
      <c r="B188" s="239">
        <v>198086</v>
      </c>
      <c r="C188" s="240"/>
      <c r="D188" s="244">
        <f>+IFERROR(+VLOOKUP(A188,'TB final'!$A$5:$J$726,5,0),0)</f>
        <v>198086</v>
      </c>
      <c r="E188" s="244">
        <f>+IFERROR(+VLOOKUP(A188,'TB final'!$A$5:$J$726,8,0),0)</f>
        <v>0</v>
      </c>
      <c r="F188" s="244">
        <f t="shared" si="6"/>
        <v>0</v>
      </c>
      <c r="G188" s="244">
        <f t="shared" si="7"/>
        <v>0</v>
      </c>
      <c r="H188" s="244">
        <f t="shared" si="8"/>
        <v>0</v>
      </c>
    </row>
    <row r="189" spans="1:8" x14ac:dyDescent="0.25">
      <c r="A189" s="8" t="s">
        <v>692</v>
      </c>
      <c r="B189" s="240"/>
      <c r="C189" s="239">
        <v>198086</v>
      </c>
      <c r="D189" s="244">
        <f>+IFERROR(+VLOOKUP(A189,'TB final'!$A$5:$J$726,5,0),0)</f>
        <v>0</v>
      </c>
      <c r="E189" s="244">
        <f>+IFERROR(+VLOOKUP(A189,'TB final'!$A$5:$J$726,8,0),0)</f>
        <v>198086</v>
      </c>
      <c r="F189" s="244">
        <f t="shared" si="6"/>
        <v>0</v>
      </c>
      <c r="G189" s="244">
        <f t="shared" si="7"/>
        <v>0</v>
      </c>
      <c r="H189" s="244">
        <f t="shared" si="8"/>
        <v>0</v>
      </c>
    </row>
    <row r="190" spans="1:8" x14ac:dyDescent="0.25">
      <c r="A190" s="8" t="s">
        <v>220</v>
      </c>
      <c r="B190" s="239">
        <v>243920</v>
      </c>
      <c r="C190" s="240"/>
      <c r="D190" s="244">
        <f>+IFERROR(+VLOOKUP(A190,'TB final'!$A$5:$J$726,5,0),0)</f>
        <v>243920</v>
      </c>
      <c r="E190" s="244">
        <f>+IFERROR(+VLOOKUP(A190,'TB final'!$A$5:$J$726,8,0),0)</f>
        <v>0</v>
      </c>
      <c r="F190" s="244">
        <f t="shared" si="6"/>
        <v>0</v>
      </c>
      <c r="G190" s="244">
        <f t="shared" si="7"/>
        <v>0</v>
      </c>
      <c r="H190" s="244">
        <f t="shared" si="8"/>
        <v>0</v>
      </c>
    </row>
    <row r="191" spans="1:8" x14ac:dyDescent="0.25">
      <c r="A191" s="8" t="s">
        <v>221</v>
      </c>
      <c r="B191" s="240"/>
      <c r="C191" s="239">
        <v>47229</v>
      </c>
      <c r="D191" s="244">
        <f>+IFERROR(+VLOOKUP(A191,'TB final'!$A$5:$J$726,5,0),0)</f>
        <v>0</v>
      </c>
      <c r="E191" s="244">
        <f>+IFERROR(+VLOOKUP(A191,'TB final'!$A$5:$J$726,8,0),0)</f>
        <v>47229</v>
      </c>
      <c r="F191" s="244">
        <f t="shared" si="6"/>
        <v>0</v>
      </c>
      <c r="G191" s="244">
        <f t="shared" si="7"/>
        <v>0</v>
      </c>
      <c r="H191" s="244">
        <f t="shared" si="8"/>
        <v>0</v>
      </c>
    </row>
    <row r="192" spans="1:8" x14ac:dyDescent="0.25">
      <c r="A192" s="8" t="s">
        <v>3483</v>
      </c>
      <c r="B192" s="239">
        <v>1353054</v>
      </c>
      <c r="C192" s="240"/>
      <c r="D192" s="244">
        <f>+IFERROR(+VLOOKUP(A192,'TB final'!$A$5:$J$726,5,0),0)</f>
        <v>1353054</v>
      </c>
      <c r="E192" s="244">
        <f>+IFERROR(+VLOOKUP(A192,'TB final'!$A$5:$J$726,8,0),0)</f>
        <v>0</v>
      </c>
      <c r="F192" s="244">
        <f t="shared" si="6"/>
        <v>0</v>
      </c>
      <c r="G192" s="244">
        <f t="shared" si="7"/>
        <v>0</v>
      </c>
      <c r="H192" s="244">
        <f t="shared" si="8"/>
        <v>0</v>
      </c>
    </row>
    <row r="193" spans="1:8" x14ac:dyDescent="0.25">
      <c r="A193" s="8" t="s">
        <v>222</v>
      </c>
      <c r="B193" s="239">
        <v>31846</v>
      </c>
      <c r="C193" s="240"/>
      <c r="D193" s="244">
        <f>+IFERROR(+VLOOKUP(A193,'TB final'!$A$5:$J$726,5,0),0)</f>
        <v>31846</v>
      </c>
      <c r="E193" s="244">
        <f>+IFERROR(+VLOOKUP(A193,'TB final'!$A$5:$J$726,8,0),0)</f>
        <v>0</v>
      </c>
      <c r="F193" s="244">
        <f t="shared" si="6"/>
        <v>0</v>
      </c>
      <c r="G193" s="244">
        <f t="shared" si="7"/>
        <v>0</v>
      </c>
      <c r="H193" s="244">
        <f t="shared" si="8"/>
        <v>0</v>
      </c>
    </row>
    <row r="194" spans="1:8" x14ac:dyDescent="0.25">
      <c r="A194" s="8" t="s">
        <v>223</v>
      </c>
      <c r="B194" s="240"/>
      <c r="C194" s="239">
        <v>11871807.5</v>
      </c>
      <c r="D194" s="244">
        <f>+IFERROR(+VLOOKUP(A194,'TB final'!$A$5:$J$726,5,0),0)</f>
        <v>0</v>
      </c>
      <c r="E194" s="244">
        <f>+IFERROR(+VLOOKUP(A194,'TB final'!$A$5:$J$726,8,0),0)</f>
        <v>11871807.5</v>
      </c>
      <c r="F194" s="244">
        <f t="shared" si="6"/>
        <v>0</v>
      </c>
      <c r="G194" s="244">
        <f t="shared" si="7"/>
        <v>0</v>
      </c>
      <c r="H194" s="244">
        <f t="shared" si="8"/>
        <v>0</v>
      </c>
    </row>
    <row r="195" spans="1:8" x14ac:dyDescent="0.25">
      <c r="A195" s="8" t="s">
        <v>224</v>
      </c>
      <c r="B195" s="239">
        <v>136767</v>
      </c>
      <c r="C195" s="240"/>
      <c r="D195" s="244">
        <f>+IFERROR(+VLOOKUP(A195,'TB final'!$A$5:$J$726,5,0),0)</f>
        <v>136767</v>
      </c>
      <c r="E195" s="244">
        <f>+IFERROR(+VLOOKUP(A195,'TB final'!$A$5:$J$726,8,0),0)</f>
        <v>0</v>
      </c>
      <c r="F195" s="244">
        <f t="shared" si="6"/>
        <v>0</v>
      </c>
      <c r="G195" s="244">
        <f t="shared" si="7"/>
        <v>0</v>
      </c>
      <c r="H195" s="244">
        <f t="shared" si="8"/>
        <v>0</v>
      </c>
    </row>
    <row r="196" spans="1:8" x14ac:dyDescent="0.25">
      <c r="A196" s="8" t="s">
        <v>225</v>
      </c>
      <c r="B196" s="239">
        <v>1020022</v>
      </c>
      <c r="C196" s="240"/>
      <c r="D196" s="244">
        <f>+IFERROR(+VLOOKUP(A196,'TB final'!$A$5:$J$726,5,0),0)</f>
        <v>1020022</v>
      </c>
      <c r="E196" s="244">
        <f>+IFERROR(+VLOOKUP(A196,'TB final'!$A$5:$J$726,8,0),0)</f>
        <v>0</v>
      </c>
      <c r="F196" s="244">
        <f t="shared" si="6"/>
        <v>0</v>
      </c>
      <c r="G196" s="244">
        <f t="shared" si="7"/>
        <v>0</v>
      </c>
      <c r="H196" s="244">
        <f t="shared" si="8"/>
        <v>0</v>
      </c>
    </row>
    <row r="197" spans="1:8" x14ac:dyDescent="0.25">
      <c r="A197" s="8" t="s">
        <v>226</v>
      </c>
      <c r="B197" s="239">
        <v>7737390.6699999999</v>
      </c>
      <c r="C197" s="240"/>
      <c r="D197" s="244">
        <f>+IFERROR(+VLOOKUP(A197,'TB final'!$A$5:$J$726,5,0),0)</f>
        <v>7737390.6699999999</v>
      </c>
      <c r="E197" s="244">
        <f>+IFERROR(+VLOOKUP(A197,'TB final'!$A$5:$J$726,8,0),0)</f>
        <v>0</v>
      </c>
      <c r="F197" s="244">
        <f t="shared" si="6"/>
        <v>0</v>
      </c>
      <c r="G197" s="244">
        <f t="shared" si="7"/>
        <v>0</v>
      </c>
      <c r="H197" s="244">
        <f t="shared" si="8"/>
        <v>0</v>
      </c>
    </row>
    <row r="198" spans="1:8" x14ac:dyDescent="0.25">
      <c r="A198" s="8" t="s">
        <v>227</v>
      </c>
      <c r="B198" s="239">
        <v>1231418.3999999999</v>
      </c>
      <c r="C198" s="240"/>
      <c r="D198" s="244">
        <f>+IFERROR(+VLOOKUP(A198,'TB final'!$A$5:$J$726,5,0),0)</f>
        <v>1231418.3999999999</v>
      </c>
      <c r="E198" s="244">
        <f>+IFERROR(+VLOOKUP(A198,'TB final'!$A$5:$J$726,8,0),0)</f>
        <v>0</v>
      </c>
      <c r="F198" s="244">
        <f t="shared" si="6"/>
        <v>0</v>
      </c>
      <c r="G198" s="244">
        <f t="shared" si="7"/>
        <v>0</v>
      </c>
      <c r="H198" s="244">
        <f t="shared" si="8"/>
        <v>0</v>
      </c>
    </row>
    <row r="199" spans="1:8" x14ac:dyDescent="0.25">
      <c r="A199" s="8" t="s">
        <v>228</v>
      </c>
      <c r="B199" s="239">
        <v>411283</v>
      </c>
      <c r="C199" s="240"/>
      <c r="D199" s="244">
        <f>+IFERROR(+VLOOKUP(A199,'TB final'!$A$5:$J$726,5,0),0)</f>
        <v>411283</v>
      </c>
      <c r="E199" s="244">
        <f>+IFERROR(+VLOOKUP(A199,'TB final'!$A$5:$J$726,8,0),0)</f>
        <v>0</v>
      </c>
      <c r="F199" s="244">
        <f t="shared" si="6"/>
        <v>0</v>
      </c>
      <c r="G199" s="244">
        <f t="shared" si="7"/>
        <v>0</v>
      </c>
      <c r="H199" s="244">
        <f t="shared" si="8"/>
        <v>0</v>
      </c>
    </row>
    <row r="200" spans="1:8" x14ac:dyDescent="0.25">
      <c r="A200" s="8" t="s">
        <v>229</v>
      </c>
      <c r="B200" s="240"/>
      <c r="C200" s="239">
        <v>58240</v>
      </c>
      <c r="D200" s="244">
        <f>+IFERROR(+VLOOKUP(A200,'TB final'!$A$5:$J$726,5,0),0)</f>
        <v>0</v>
      </c>
      <c r="E200" s="244">
        <f>+IFERROR(+VLOOKUP(A200,'TB final'!$A$5:$J$726,8,0),0)</f>
        <v>58240</v>
      </c>
      <c r="F200" s="244">
        <f t="shared" si="6"/>
        <v>0</v>
      </c>
      <c r="G200" s="244">
        <f t="shared" si="7"/>
        <v>0</v>
      </c>
      <c r="H200" s="244">
        <f t="shared" si="8"/>
        <v>0</v>
      </c>
    </row>
    <row r="201" spans="1:8" x14ac:dyDescent="0.25">
      <c r="A201" s="8" t="s">
        <v>230</v>
      </c>
      <c r="B201" s="239">
        <v>11000</v>
      </c>
      <c r="C201" s="240"/>
      <c r="D201" s="244">
        <f>+IFERROR(+VLOOKUP(A201,'TB final'!$A$5:$J$726,5,0),0)</f>
        <v>11000</v>
      </c>
      <c r="E201" s="244">
        <f>+IFERROR(+VLOOKUP(A201,'TB final'!$A$5:$J$726,8,0),0)</f>
        <v>0</v>
      </c>
      <c r="F201" s="244">
        <f t="shared" si="6"/>
        <v>0</v>
      </c>
      <c r="G201" s="244">
        <f t="shared" si="7"/>
        <v>0</v>
      </c>
      <c r="H201" s="244">
        <f t="shared" si="8"/>
        <v>0</v>
      </c>
    </row>
    <row r="202" spans="1:8" x14ac:dyDescent="0.25">
      <c r="A202" s="8" t="s">
        <v>231</v>
      </c>
      <c r="B202" s="240"/>
      <c r="C202" s="239">
        <v>2568965</v>
      </c>
      <c r="D202" s="244">
        <f>+IFERROR(+VLOOKUP(A202,'TB final'!$A$5:$J$726,5,0),0)</f>
        <v>0</v>
      </c>
      <c r="E202" s="244">
        <f>+IFERROR(+VLOOKUP(A202,'TB final'!$A$5:$J$726,8,0),0)</f>
        <v>2568965</v>
      </c>
      <c r="F202" s="244">
        <f t="shared" si="6"/>
        <v>0</v>
      </c>
      <c r="G202" s="244">
        <f t="shared" si="7"/>
        <v>0</v>
      </c>
      <c r="H202" s="244">
        <f t="shared" si="8"/>
        <v>0</v>
      </c>
    </row>
    <row r="203" spans="1:8" x14ac:dyDescent="0.25">
      <c r="A203" s="8" t="s">
        <v>232</v>
      </c>
      <c r="B203" s="239">
        <v>3430</v>
      </c>
      <c r="C203" s="240"/>
      <c r="D203" s="244">
        <f>+IFERROR(+VLOOKUP(A203,'TB final'!$A$5:$J$726,5,0),0)</f>
        <v>3430</v>
      </c>
      <c r="E203" s="244">
        <f>+IFERROR(+VLOOKUP(A203,'TB final'!$A$5:$J$726,8,0),0)</f>
        <v>0</v>
      </c>
      <c r="F203" s="244">
        <f t="shared" si="6"/>
        <v>0</v>
      </c>
      <c r="G203" s="244">
        <f t="shared" si="7"/>
        <v>0</v>
      </c>
      <c r="H203" s="244">
        <f t="shared" si="8"/>
        <v>0</v>
      </c>
    </row>
    <row r="204" spans="1:8" x14ac:dyDescent="0.25">
      <c r="A204" s="8" t="s">
        <v>233</v>
      </c>
      <c r="B204" s="239">
        <v>8000</v>
      </c>
      <c r="C204" s="240"/>
      <c r="D204" s="244">
        <f>+IFERROR(+VLOOKUP(A204,'TB final'!$A$5:$J$726,5,0),0)</f>
        <v>8000</v>
      </c>
      <c r="E204" s="244">
        <f>+IFERROR(+VLOOKUP(A204,'TB final'!$A$5:$J$726,8,0),0)</f>
        <v>0</v>
      </c>
      <c r="F204" s="244">
        <f t="shared" ref="F204:F267" si="9">+B204-D204</f>
        <v>0</v>
      </c>
      <c r="G204" s="244">
        <f t="shared" ref="G204:G267" si="10">+C204-E204</f>
        <v>0</v>
      </c>
      <c r="H204" s="244">
        <f t="shared" si="8"/>
        <v>0</v>
      </c>
    </row>
    <row r="205" spans="1:8" x14ac:dyDescent="0.25">
      <c r="A205" s="8" t="s">
        <v>239</v>
      </c>
      <c r="B205" s="239">
        <v>306631</v>
      </c>
      <c r="C205" s="240"/>
      <c r="D205" s="244">
        <f>+IFERROR(+VLOOKUP(A205,'TB final'!$A$5:$J$726,5,0),0)</f>
        <v>306631</v>
      </c>
      <c r="E205" s="244">
        <f>+IFERROR(+VLOOKUP(A205,'TB final'!$A$5:$J$726,8,0),0)</f>
        <v>0</v>
      </c>
      <c r="F205" s="244">
        <f t="shared" si="9"/>
        <v>0</v>
      </c>
      <c r="G205" s="244">
        <f t="shared" si="10"/>
        <v>0</v>
      </c>
      <c r="H205" s="244">
        <f t="shared" ref="H205:H268" si="11">+F205+G205</f>
        <v>0</v>
      </c>
    </row>
    <row r="206" spans="1:8" x14ac:dyDescent="0.25">
      <c r="A206" s="8" t="s">
        <v>242</v>
      </c>
      <c r="B206" s="239">
        <v>2000</v>
      </c>
      <c r="C206" s="240"/>
      <c r="D206" s="244">
        <f>+IFERROR(+VLOOKUP(A206,'TB final'!$A$5:$J$726,5,0),0)</f>
        <v>2000</v>
      </c>
      <c r="E206" s="244">
        <f>+IFERROR(+VLOOKUP(A206,'TB final'!$A$5:$J$726,8,0),0)</f>
        <v>0</v>
      </c>
      <c r="F206" s="244">
        <f t="shared" si="9"/>
        <v>0</v>
      </c>
      <c r="G206" s="244">
        <f t="shared" si="10"/>
        <v>0</v>
      </c>
      <c r="H206" s="244">
        <f t="shared" si="11"/>
        <v>0</v>
      </c>
    </row>
    <row r="207" spans="1:8" x14ac:dyDescent="0.25">
      <c r="A207" s="8" t="s">
        <v>245</v>
      </c>
      <c r="B207" s="240"/>
      <c r="C207" s="239">
        <v>20037</v>
      </c>
      <c r="D207" s="244">
        <f>+IFERROR(+VLOOKUP(A207,'TB final'!$A$5:$J$726,5,0),0)</f>
        <v>0</v>
      </c>
      <c r="E207" s="244">
        <f>+IFERROR(+VLOOKUP(A207,'TB final'!$A$5:$J$726,8,0),0)</f>
        <v>20037</v>
      </c>
      <c r="F207" s="244">
        <f t="shared" si="9"/>
        <v>0</v>
      </c>
      <c r="G207" s="244">
        <f t="shared" si="10"/>
        <v>0</v>
      </c>
      <c r="H207" s="244">
        <f t="shared" si="11"/>
        <v>0</v>
      </c>
    </row>
    <row r="208" spans="1:8" x14ac:dyDescent="0.25">
      <c r="A208" s="8" t="s">
        <v>246</v>
      </c>
      <c r="B208" s="239">
        <v>1000</v>
      </c>
      <c r="C208" s="240"/>
      <c r="D208" s="244">
        <f>+IFERROR(+VLOOKUP(A208,'TB final'!$A$5:$J$726,5,0),0)</f>
        <v>1000</v>
      </c>
      <c r="E208" s="244">
        <f>+IFERROR(+VLOOKUP(A208,'TB final'!$A$5:$J$726,8,0),0)</f>
        <v>0</v>
      </c>
      <c r="F208" s="244">
        <f t="shared" si="9"/>
        <v>0</v>
      </c>
      <c r="G208" s="244">
        <f t="shared" si="10"/>
        <v>0</v>
      </c>
      <c r="H208" s="244">
        <f t="shared" si="11"/>
        <v>0</v>
      </c>
    </row>
    <row r="209" spans="1:8" x14ac:dyDescent="0.25">
      <c r="A209" s="8" t="s">
        <v>248</v>
      </c>
      <c r="B209" s="240"/>
      <c r="C209" s="239">
        <v>379282</v>
      </c>
      <c r="D209" s="244">
        <f>+IFERROR(+VLOOKUP(A209,'TB final'!$A$5:$J$726,5,0),0)</f>
        <v>0</v>
      </c>
      <c r="E209" s="244">
        <f>+IFERROR(+VLOOKUP(A209,'TB final'!$A$5:$J$726,8,0),0)</f>
        <v>379282</v>
      </c>
      <c r="F209" s="244">
        <f t="shared" si="9"/>
        <v>0</v>
      </c>
      <c r="G209" s="244">
        <f t="shared" si="10"/>
        <v>0</v>
      </c>
      <c r="H209" s="244">
        <f t="shared" si="11"/>
        <v>0</v>
      </c>
    </row>
    <row r="210" spans="1:8" x14ac:dyDescent="0.25">
      <c r="A210" s="8" t="s">
        <v>249</v>
      </c>
      <c r="B210" s="239">
        <v>12000</v>
      </c>
      <c r="C210" s="240"/>
      <c r="D210" s="244">
        <f>+IFERROR(+VLOOKUP(A210,'TB final'!$A$5:$J$726,5,0),0)</f>
        <v>12000</v>
      </c>
      <c r="E210" s="244">
        <f>+IFERROR(+VLOOKUP(A210,'TB final'!$A$5:$J$726,8,0),0)</f>
        <v>0</v>
      </c>
      <c r="F210" s="244">
        <f t="shared" si="9"/>
        <v>0</v>
      </c>
      <c r="G210" s="244">
        <f t="shared" si="10"/>
        <v>0</v>
      </c>
      <c r="H210" s="244">
        <f t="shared" si="11"/>
        <v>0</v>
      </c>
    </row>
    <row r="211" spans="1:8" x14ac:dyDescent="0.25">
      <c r="A211" s="8" t="s">
        <v>251</v>
      </c>
      <c r="B211" s="239">
        <v>104715</v>
      </c>
      <c r="C211" s="240"/>
      <c r="D211" s="244">
        <f>+IFERROR(+VLOOKUP(A211,'TB final'!$A$5:$J$726,5,0),0)</f>
        <v>104715</v>
      </c>
      <c r="E211" s="244">
        <f>+IFERROR(+VLOOKUP(A211,'TB final'!$A$5:$J$726,8,0),0)</f>
        <v>0</v>
      </c>
      <c r="F211" s="244">
        <f t="shared" si="9"/>
        <v>0</v>
      </c>
      <c r="G211" s="244">
        <f t="shared" si="10"/>
        <v>0</v>
      </c>
      <c r="H211" s="244">
        <f t="shared" si="11"/>
        <v>0</v>
      </c>
    </row>
    <row r="212" spans="1:8" x14ac:dyDescent="0.25">
      <c r="A212" s="8" t="s">
        <v>252</v>
      </c>
      <c r="B212" s="239">
        <v>88900</v>
      </c>
      <c r="C212" s="240"/>
      <c r="D212" s="244">
        <f>+IFERROR(+VLOOKUP(A212,'TB final'!$A$5:$J$726,5,0),0)</f>
        <v>88900</v>
      </c>
      <c r="E212" s="244">
        <f>+IFERROR(+VLOOKUP(A212,'TB final'!$A$5:$J$726,8,0),0)</f>
        <v>0</v>
      </c>
      <c r="F212" s="244">
        <f t="shared" si="9"/>
        <v>0</v>
      </c>
      <c r="G212" s="244">
        <f t="shared" si="10"/>
        <v>0</v>
      </c>
      <c r="H212" s="244">
        <f t="shared" si="11"/>
        <v>0</v>
      </c>
    </row>
    <row r="213" spans="1:8" x14ac:dyDescent="0.25">
      <c r="A213" s="8" t="s">
        <v>253</v>
      </c>
      <c r="B213" s="240"/>
      <c r="C213" s="239">
        <v>5880</v>
      </c>
      <c r="D213" s="244">
        <f>+IFERROR(+VLOOKUP(A213,'TB final'!$A$5:$J$726,5,0),0)</f>
        <v>0</v>
      </c>
      <c r="E213" s="244">
        <f>+IFERROR(+VLOOKUP(A213,'TB final'!$A$5:$J$726,8,0),0)</f>
        <v>5880</v>
      </c>
      <c r="F213" s="244">
        <f t="shared" si="9"/>
        <v>0</v>
      </c>
      <c r="G213" s="244">
        <f t="shared" si="10"/>
        <v>0</v>
      </c>
      <c r="H213" s="244">
        <f t="shared" si="11"/>
        <v>0</v>
      </c>
    </row>
    <row r="214" spans="1:8" x14ac:dyDescent="0.25">
      <c r="A214" s="8" t="s">
        <v>254</v>
      </c>
      <c r="B214" s="239">
        <v>1024059.47</v>
      </c>
      <c r="C214" s="240"/>
      <c r="D214" s="244">
        <f>+IFERROR(+VLOOKUP(A214,'TB final'!$A$5:$J$726,5,0),0)</f>
        <v>1024059.47</v>
      </c>
      <c r="E214" s="244">
        <f>+IFERROR(+VLOOKUP(A214,'TB final'!$A$5:$J$726,8,0),0)</f>
        <v>0</v>
      </c>
      <c r="F214" s="244">
        <f t="shared" si="9"/>
        <v>0</v>
      </c>
      <c r="G214" s="244">
        <f t="shared" si="10"/>
        <v>0</v>
      </c>
      <c r="H214" s="244">
        <f t="shared" si="11"/>
        <v>0</v>
      </c>
    </row>
    <row r="215" spans="1:8" x14ac:dyDescent="0.25">
      <c r="A215" s="8" t="s">
        <v>255</v>
      </c>
      <c r="B215" s="239">
        <v>59486</v>
      </c>
      <c r="C215" s="240"/>
      <c r="D215" s="244">
        <f>+IFERROR(+VLOOKUP(A215,'TB final'!$A$5:$J$726,5,0),0)</f>
        <v>59486</v>
      </c>
      <c r="E215" s="244">
        <f>+IFERROR(+VLOOKUP(A215,'TB final'!$A$5:$J$726,8,0),0)</f>
        <v>0</v>
      </c>
      <c r="F215" s="244">
        <f t="shared" si="9"/>
        <v>0</v>
      </c>
      <c r="G215" s="244">
        <f t="shared" si="10"/>
        <v>0</v>
      </c>
      <c r="H215" s="244">
        <f t="shared" si="11"/>
        <v>0</v>
      </c>
    </row>
    <row r="216" spans="1:8" x14ac:dyDescent="0.25">
      <c r="A216" s="8" t="s">
        <v>256</v>
      </c>
      <c r="B216" s="239">
        <v>312000</v>
      </c>
      <c r="C216" s="240"/>
      <c r="D216" s="244">
        <f>+IFERROR(+VLOOKUP(A216,'TB final'!$A$5:$J$726,5,0),0)</f>
        <v>312000</v>
      </c>
      <c r="E216" s="244">
        <f>+IFERROR(+VLOOKUP(A216,'TB final'!$A$5:$J$726,8,0),0)</f>
        <v>0</v>
      </c>
      <c r="F216" s="244">
        <f t="shared" si="9"/>
        <v>0</v>
      </c>
      <c r="G216" s="244">
        <f t="shared" si="10"/>
        <v>0</v>
      </c>
      <c r="H216" s="244">
        <f t="shared" si="11"/>
        <v>0</v>
      </c>
    </row>
    <row r="217" spans="1:8" x14ac:dyDescent="0.25">
      <c r="A217" s="8" t="s">
        <v>257</v>
      </c>
      <c r="B217" s="239">
        <v>42660</v>
      </c>
      <c r="C217" s="240"/>
      <c r="D217" s="244">
        <f>+IFERROR(+VLOOKUP(A217,'TB final'!$A$5:$J$726,5,0),0)</f>
        <v>42660</v>
      </c>
      <c r="E217" s="244">
        <f>+IFERROR(+VLOOKUP(A217,'TB final'!$A$5:$J$726,8,0),0)</f>
        <v>0</v>
      </c>
      <c r="F217" s="244">
        <f t="shared" si="9"/>
        <v>0</v>
      </c>
      <c r="G217" s="244">
        <f t="shared" si="10"/>
        <v>0</v>
      </c>
      <c r="H217" s="244">
        <f t="shared" si="11"/>
        <v>0</v>
      </c>
    </row>
    <row r="218" spans="1:8" x14ac:dyDescent="0.25">
      <c r="A218" s="8" t="s">
        <v>258</v>
      </c>
      <c r="B218" s="239">
        <v>2929</v>
      </c>
      <c r="C218" s="240"/>
      <c r="D218" s="244">
        <f>+IFERROR(+VLOOKUP(A218,'TB final'!$A$5:$J$726,5,0),0)</f>
        <v>2929</v>
      </c>
      <c r="E218" s="244">
        <f>+IFERROR(+VLOOKUP(A218,'TB final'!$A$5:$J$726,8,0),0)</f>
        <v>0</v>
      </c>
      <c r="F218" s="244">
        <f t="shared" si="9"/>
        <v>0</v>
      </c>
      <c r="G218" s="244">
        <f t="shared" si="10"/>
        <v>0</v>
      </c>
      <c r="H218" s="244">
        <f t="shared" si="11"/>
        <v>0</v>
      </c>
    </row>
    <row r="219" spans="1:8" x14ac:dyDescent="0.25">
      <c r="A219" s="8" t="s">
        <v>259</v>
      </c>
      <c r="B219" s="239">
        <v>189048</v>
      </c>
      <c r="C219" s="240"/>
      <c r="D219" s="244">
        <f>+IFERROR(+VLOOKUP(A219,'TB final'!$A$5:$J$726,5,0),0)</f>
        <v>189048</v>
      </c>
      <c r="E219" s="244">
        <f>+IFERROR(+VLOOKUP(A219,'TB final'!$A$5:$J$726,8,0),0)</f>
        <v>0</v>
      </c>
      <c r="F219" s="244">
        <f t="shared" si="9"/>
        <v>0</v>
      </c>
      <c r="G219" s="244">
        <f t="shared" si="10"/>
        <v>0</v>
      </c>
      <c r="H219" s="244">
        <f t="shared" si="11"/>
        <v>0</v>
      </c>
    </row>
    <row r="220" spans="1:8" x14ac:dyDescent="0.25">
      <c r="A220" s="8" t="s">
        <v>260</v>
      </c>
      <c r="B220" s="239">
        <v>23600</v>
      </c>
      <c r="C220" s="240"/>
      <c r="D220" s="244">
        <f>+IFERROR(+VLOOKUP(A220,'TB final'!$A$5:$J$726,5,0),0)</f>
        <v>23600</v>
      </c>
      <c r="E220" s="244">
        <f>+IFERROR(+VLOOKUP(A220,'TB final'!$A$5:$J$726,8,0),0)</f>
        <v>0</v>
      </c>
      <c r="F220" s="244">
        <f t="shared" si="9"/>
        <v>0</v>
      </c>
      <c r="G220" s="244">
        <f t="shared" si="10"/>
        <v>0</v>
      </c>
      <c r="H220" s="244">
        <f t="shared" si="11"/>
        <v>0</v>
      </c>
    </row>
    <row r="221" spans="1:8" x14ac:dyDescent="0.25">
      <c r="A221" s="8" t="s">
        <v>261</v>
      </c>
      <c r="B221" s="239">
        <v>3600</v>
      </c>
      <c r="C221" s="240"/>
      <c r="D221" s="244">
        <f>+IFERROR(+VLOOKUP(A221,'TB final'!$A$5:$J$726,5,0),0)</f>
        <v>3600</v>
      </c>
      <c r="E221" s="244">
        <f>+IFERROR(+VLOOKUP(A221,'TB final'!$A$5:$J$726,8,0),0)</f>
        <v>0</v>
      </c>
      <c r="F221" s="244">
        <f t="shared" si="9"/>
        <v>0</v>
      </c>
      <c r="G221" s="244">
        <f t="shared" si="10"/>
        <v>0</v>
      </c>
      <c r="H221" s="244">
        <f t="shared" si="11"/>
        <v>0</v>
      </c>
    </row>
    <row r="222" spans="1:8" x14ac:dyDescent="0.25">
      <c r="A222" s="8" t="s">
        <v>262</v>
      </c>
      <c r="B222" s="239">
        <v>5227186</v>
      </c>
      <c r="C222" s="240"/>
      <c r="D222" s="244">
        <f>+IFERROR(+VLOOKUP(A222,'TB final'!$A$5:$J$726,5,0),0)</f>
        <v>5227186</v>
      </c>
      <c r="E222" s="244">
        <f>+IFERROR(+VLOOKUP(A222,'TB final'!$A$5:$J$726,8,0),0)</f>
        <v>0</v>
      </c>
      <c r="F222" s="244">
        <f t="shared" si="9"/>
        <v>0</v>
      </c>
      <c r="G222" s="244">
        <f t="shared" si="10"/>
        <v>0</v>
      </c>
      <c r="H222" s="244">
        <f t="shared" si="11"/>
        <v>0</v>
      </c>
    </row>
    <row r="223" spans="1:8" x14ac:dyDescent="0.25">
      <c r="A223" s="8" t="s">
        <v>263</v>
      </c>
      <c r="B223" s="239">
        <v>870</v>
      </c>
      <c r="C223" s="240"/>
      <c r="D223" s="244">
        <f>+IFERROR(+VLOOKUP(A223,'TB final'!$A$5:$J$726,5,0),0)</f>
        <v>870</v>
      </c>
      <c r="E223" s="244">
        <f>+IFERROR(+VLOOKUP(A223,'TB final'!$A$5:$J$726,8,0),0)</f>
        <v>0</v>
      </c>
      <c r="F223" s="244">
        <f t="shared" si="9"/>
        <v>0</v>
      </c>
      <c r="G223" s="244">
        <f t="shared" si="10"/>
        <v>0</v>
      </c>
      <c r="H223" s="244">
        <f t="shared" si="11"/>
        <v>0</v>
      </c>
    </row>
    <row r="224" spans="1:8" x14ac:dyDescent="0.25">
      <c r="A224" s="8" t="s">
        <v>264</v>
      </c>
      <c r="B224" s="239">
        <v>1640</v>
      </c>
      <c r="C224" s="240"/>
      <c r="D224" s="244">
        <f>+IFERROR(+VLOOKUP(A224,'TB final'!$A$5:$J$726,5,0),0)</f>
        <v>1640</v>
      </c>
      <c r="E224" s="244">
        <f>+IFERROR(+VLOOKUP(A224,'TB final'!$A$5:$J$726,8,0),0)</f>
        <v>0</v>
      </c>
      <c r="F224" s="244">
        <f t="shared" si="9"/>
        <v>0</v>
      </c>
      <c r="G224" s="244">
        <f t="shared" si="10"/>
        <v>0</v>
      </c>
      <c r="H224" s="244">
        <f t="shared" si="11"/>
        <v>0</v>
      </c>
    </row>
    <row r="225" spans="1:8" x14ac:dyDescent="0.25">
      <c r="A225" s="8" t="s">
        <v>265</v>
      </c>
      <c r="B225" s="239">
        <v>248948</v>
      </c>
      <c r="C225" s="240"/>
      <c r="D225" s="244">
        <f>+IFERROR(+VLOOKUP(A225,'TB final'!$A$5:$J$726,5,0),0)</f>
        <v>248948</v>
      </c>
      <c r="E225" s="244">
        <f>+IFERROR(+VLOOKUP(A225,'TB final'!$A$5:$J$726,8,0),0)</f>
        <v>0</v>
      </c>
      <c r="F225" s="244">
        <f t="shared" si="9"/>
        <v>0</v>
      </c>
      <c r="G225" s="244">
        <f t="shared" si="10"/>
        <v>0</v>
      </c>
      <c r="H225" s="244">
        <f t="shared" si="11"/>
        <v>0</v>
      </c>
    </row>
    <row r="226" spans="1:8" x14ac:dyDescent="0.25">
      <c r="A226" s="7" t="s">
        <v>3471</v>
      </c>
      <c r="B226" s="240"/>
      <c r="C226" s="239">
        <v>902538</v>
      </c>
      <c r="D226" s="244">
        <f>+IFERROR(+VLOOKUP(A226,'TB final'!$A$5:$J$726,5,0),0)</f>
        <v>0</v>
      </c>
      <c r="E226" s="244">
        <f>+IFERROR(+VLOOKUP(A226,'TB final'!$A$5:$J$726,8,0),0)</f>
        <v>902538</v>
      </c>
      <c r="F226" s="244">
        <f t="shared" si="9"/>
        <v>0</v>
      </c>
      <c r="G226" s="244">
        <f t="shared" si="10"/>
        <v>0</v>
      </c>
      <c r="H226" s="244">
        <f t="shared" si="11"/>
        <v>0</v>
      </c>
    </row>
    <row r="227" spans="1:8" x14ac:dyDescent="0.25">
      <c r="A227" s="8" t="s">
        <v>267</v>
      </c>
      <c r="B227" s="240"/>
      <c r="C227" s="239">
        <v>25865</v>
      </c>
      <c r="D227" s="244">
        <f>+IFERROR(+VLOOKUP(A227,'TB final'!$A$5:$J$726,5,0),0)</f>
        <v>0</v>
      </c>
      <c r="E227" s="244">
        <f>+IFERROR(+VLOOKUP(A227,'TB final'!$A$5:$J$726,8,0),0)</f>
        <v>25865</v>
      </c>
      <c r="F227" s="244">
        <f t="shared" si="9"/>
        <v>0</v>
      </c>
      <c r="G227" s="244">
        <f t="shared" si="10"/>
        <v>0</v>
      </c>
      <c r="H227" s="244">
        <f t="shared" si="11"/>
        <v>0</v>
      </c>
    </row>
    <row r="228" spans="1:8" x14ac:dyDescent="0.25">
      <c r="A228" s="8" t="s">
        <v>268</v>
      </c>
      <c r="B228" s="240"/>
      <c r="C228" s="239">
        <v>438710</v>
      </c>
      <c r="D228" s="244">
        <f>+IFERROR(+VLOOKUP(A228,'TB final'!$A$5:$J$726,5,0),0)</f>
        <v>0</v>
      </c>
      <c r="E228" s="244">
        <f>+IFERROR(+VLOOKUP(A228,'TB final'!$A$5:$J$726,8,0),0)</f>
        <v>438710</v>
      </c>
      <c r="F228" s="244">
        <f t="shared" si="9"/>
        <v>0</v>
      </c>
      <c r="G228" s="244">
        <f t="shared" si="10"/>
        <v>0</v>
      </c>
      <c r="H228" s="244">
        <f t="shared" si="11"/>
        <v>0</v>
      </c>
    </row>
    <row r="229" spans="1:8" x14ac:dyDescent="0.25">
      <c r="A229" s="8" t="s">
        <v>269</v>
      </c>
      <c r="B229" s="239">
        <v>6671147.8200000003</v>
      </c>
      <c r="C229" s="240"/>
      <c r="D229" s="244">
        <f>+IFERROR(+VLOOKUP(A229,'TB final'!$A$5:$J$726,5,0),0)</f>
        <v>6671147.8200000003</v>
      </c>
      <c r="E229" s="244">
        <f>+IFERROR(+VLOOKUP(A229,'TB final'!$A$5:$J$726,8,0),0)</f>
        <v>0</v>
      </c>
      <c r="F229" s="244">
        <f t="shared" si="9"/>
        <v>0</v>
      </c>
      <c r="G229" s="244">
        <f t="shared" si="10"/>
        <v>0</v>
      </c>
      <c r="H229" s="244">
        <f t="shared" si="11"/>
        <v>0</v>
      </c>
    </row>
    <row r="230" spans="1:8" x14ac:dyDescent="0.25">
      <c r="A230" s="8" t="s">
        <v>270</v>
      </c>
      <c r="B230" s="240"/>
      <c r="C230" s="239">
        <v>700</v>
      </c>
      <c r="D230" s="244">
        <f>+IFERROR(+VLOOKUP(A230,'TB final'!$A$5:$J$726,5,0),0)</f>
        <v>0</v>
      </c>
      <c r="E230" s="244">
        <f>+IFERROR(+VLOOKUP(A230,'TB final'!$A$5:$J$726,8,0),0)</f>
        <v>700</v>
      </c>
      <c r="F230" s="244">
        <f t="shared" si="9"/>
        <v>0</v>
      </c>
      <c r="G230" s="244">
        <f t="shared" si="10"/>
        <v>0</v>
      </c>
      <c r="H230" s="244">
        <f t="shared" si="11"/>
        <v>0</v>
      </c>
    </row>
    <row r="231" spans="1:8" x14ac:dyDescent="0.25">
      <c r="A231" s="8" t="s">
        <v>271</v>
      </c>
      <c r="B231" s="240"/>
      <c r="C231" s="239">
        <v>269890</v>
      </c>
      <c r="D231" s="244">
        <f>+IFERROR(+VLOOKUP(A231,'TB final'!$A$5:$J$726,5,0),0)</f>
        <v>0</v>
      </c>
      <c r="E231" s="244">
        <f>+IFERROR(+VLOOKUP(A231,'TB final'!$A$5:$J$726,8,0),0)</f>
        <v>269890</v>
      </c>
      <c r="F231" s="244">
        <f t="shared" si="9"/>
        <v>0</v>
      </c>
      <c r="G231" s="244">
        <f t="shared" si="10"/>
        <v>0</v>
      </c>
      <c r="H231" s="244">
        <f t="shared" si="11"/>
        <v>0</v>
      </c>
    </row>
    <row r="232" spans="1:8" x14ac:dyDescent="0.25">
      <c r="A232" s="8" t="s">
        <v>272</v>
      </c>
      <c r="B232" s="240"/>
      <c r="C232" s="239">
        <v>386769</v>
      </c>
      <c r="D232" s="244">
        <f>+IFERROR(+VLOOKUP(A232,'TB final'!$A$5:$J$726,5,0),0)</f>
        <v>0</v>
      </c>
      <c r="E232" s="244">
        <f>+IFERROR(+VLOOKUP(A232,'TB final'!$A$5:$J$726,8,0),0)</f>
        <v>386769</v>
      </c>
      <c r="F232" s="244">
        <f t="shared" si="9"/>
        <v>0</v>
      </c>
      <c r="G232" s="244">
        <f t="shared" si="10"/>
        <v>0</v>
      </c>
      <c r="H232" s="244">
        <f t="shared" si="11"/>
        <v>0</v>
      </c>
    </row>
    <row r="233" spans="1:8" x14ac:dyDescent="0.25">
      <c r="A233" s="8" t="s">
        <v>273</v>
      </c>
      <c r="B233" s="240"/>
      <c r="C233" s="239">
        <v>538166</v>
      </c>
      <c r="D233" s="244">
        <f>+IFERROR(+VLOOKUP(A233,'TB final'!$A$5:$J$726,5,0),0)</f>
        <v>0</v>
      </c>
      <c r="E233" s="244">
        <f>+IFERROR(+VLOOKUP(A233,'TB final'!$A$5:$J$726,8,0),0)</f>
        <v>538166</v>
      </c>
      <c r="F233" s="244">
        <f t="shared" si="9"/>
        <v>0</v>
      </c>
      <c r="G233" s="244">
        <f t="shared" si="10"/>
        <v>0</v>
      </c>
      <c r="H233" s="244">
        <f t="shared" si="11"/>
        <v>0</v>
      </c>
    </row>
    <row r="234" spans="1:8" x14ac:dyDescent="0.25">
      <c r="A234" s="8" t="s">
        <v>274</v>
      </c>
      <c r="B234" s="239">
        <v>75</v>
      </c>
      <c r="C234" s="240"/>
      <c r="D234" s="244">
        <f>+IFERROR(+VLOOKUP(A234,'TB final'!$A$5:$J$726,5,0),0)</f>
        <v>75</v>
      </c>
      <c r="E234" s="244">
        <f>+IFERROR(+VLOOKUP(A234,'TB final'!$A$5:$J$726,8,0),0)</f>
        <v>0</v>
      </c>
      <c r="F234" s="244">
        <f t="shared" si="9"/>
        <v>0</v>
      </c>
      <c r="G234" s="244">
        <f t="shared" si="10"/>
        <v>0</v>
      </c>
      <c r="H234" s="244">
        <f t="shared" si="11"/>
        <v>0</v>
      </c>
    </row>
    <row r="235" spans="1:8" x14ac:dyDescent="0.25">
      <c r="A235" s="8" t="s">
        <v>275</v>
      </c>
      <c r="B235" s="239">
        <v>15855</v>
      </c>
      <c r="C235" s="240"/>
      <c r="D235" s="244">
        <f>+IFERROR(+VLOOKUP(A235,'TB final'!$A$5:$J$726,5,0),0)</f>
        <v>15855</v>
      </c>
      <c r="E235" s="244">
        <f>+IFERROR(+VLOOKUP(A235,'TB final'!$A$5:$J$726,8,0),0)</f>
        <v>0</v>
      </c>
      <c r="F235" s="244">
        <f t="shared" si="9"/>
        <v>0</v>
      </c>
      <c r="G235" s="244">
        <f t="shared" si="10"/>
        <v>0</v>
      </c>
      <c r="H235" s="244">
        <f t="shared" si="11"/>
        <v>0</v>
      </c>
    </row>
    <row r="236" spans="1:8" x14ac:dyDescent="0.25">
      <c r="A236" s="8" t="s">
        <v>276</v>
      </c>
      <c r="B236" s="239">
        <v>75</v>
      </c>
      <c r="C236" s="240"/>
      <c r="D236" s="244">
        <f>+IFERROR(+VLOOKUP(A236,'TB final'!$A$5:$J$726,5,0),0)</f>
        <v>75</v>
      </c>
      <c r="E236" s="244">
        <f>+IFERROR(+VLOOKUP(A236,'TB final'!$A$5:$J$726,8,0),0)</f>
        <v>0</v>
      </c>
      <c r="F236" s="244">
        <f t="shared" si="9"/>
        <v>0</v>
      </c>
      <c r="G236" s="244">
        <f t="shared" si="10"/>
        <v>0</v>
      </c>
      <c r="H236" s="244">
        <f t="shared" si="11"/>
        <v>0</v>
      </c>
    </row>
    <row r="237" spans="1:8" x14ac:dyDescent="0.25">
      <c r="A237" s="8" t="s">
        <v>277</v>
      </c>
      <c r="B237" s="239">
        <v>215300342.28</v>
      </c>
      <c r="C237" s="240"/>
      <c r="D237" s="244">
        <f>+IFERROR(+VLOOKUP(A237,'TB final'!$A$5:$J$726,5,0),0)</f>
        <v>215300342.28</v>
      </c>
      <c r="E237" s="244">
        <f>+IFERROR(+VLOOKUP(A237,'TB final'!$A$5:$J$726,8,0),0)</f>
        <v>0</v>
      </c>
      <c r="F237" s="244">
        <f t="shared" si="9"/>
        <v>0</v>
      </c>
      <c r="G237" s="244">
        <f t="shared" si="10"/>
        <v>0</v>
      </c>
      <c r="H237" s="244">
        <f t="shared" si="11"/>
        <v>0</v>
      </c>
    </row>
    <row r="238" spans="1:8" x14ac:dyDescent="0.25">
      <c r="A238" s="8" t="s">
        <v>278</v>
      </c>
      <c r="B238" s="239">
        <v>98736</v>
      </c>
      <c r="C238" s="240"/>
      <c r="D238" s="244">
        <f>+IFERROR(+VLOOKUP(A238,'TB final'!$A$5:$J$726,5,0),0)</f>
        <v>98736</v>
      </c>
      <c r="E238" s="244">
        <f>+IFERROR(+VLOOKUP(A238,'TB final'!$A$5:$J$726,8,0),0)</f>
        <v>0</v>
      </c>
      <c r="F238" s="244">
        <f t="shared" si="9"/>
        <v>0</v>
      </c>
      <c r="G238" s="244">
        <f t="shared" si="10"/>
        <v>0</v>
      </c>
      <c r="H238" s="244">
        <f t="shared" si="11"/>
        <v>0</v>
      </c>
    </row>
    <row r="239" spans="1:8" x14ac:dyDescent="0.25">
      <c r="A239" s="8" t="s">
        <v>279</v>
      </c>
      <c r="B239" s="240"/>
      <c r="C239" s="239">
        <v>6994370</v>
      </c>
      <c r="D239" s="244">
        <f>+IFERROR(+VLOOKUP(A239,'TB final'!$A$5:$J$726,5,0),0)</f>
        <v>0</v>
      </c>
      <c r="E239" s="244">
        <f>+IFERROR(+VLOOKUP(A239,'TB final'!$A$5:$J$726,8,0),0)</f>
        <v>6994370</v>
      </c>
      <c r="F239" s="244">
        <f t="shared" si="9"/>
        <v>0</v>
      </c>
      <c r="G239" s="244">
        <f t="shared" si="10"/>
        <v>0</v>
      </c>
      <c r="H239" s="244">
        <f t="shared" si="11"/>
        <v>0</v>
      </c>
    </row>
    <row r="240" spans="1:8" x14ac:dyDescent="0.25">
      <c r="A240" s="8" t="s">
        <v>280</v>
      </c>
      <c r="B240" s="239">
        <v>3897944</v>
      </c>
      <c r="C240" s="240"/>
      <c r="D240" s="244">
        <f>+IFERROR(+VLOOKUP(A240,'TB final'!$A$5:$J$726,5,0),0)</f>
        <v>3897944</v>
      </c>
      <c r="E240" s="244">
        <f>+IFERROR(+VLOOKUP(A240,'TB final'!$A$5:$J$726,8,0),0)</f>
        <v>0</v>
      </c>
      <c r="F240" s="244">
        <f t="shared" si="9"/>
        <v>0</v>
      </c>
      <c r="G240" s="244">
        <f t="shared" si="10"/>
        <v>0</v>
      </c>
      <c r="H240" s="244">
        <f t="shared" si="11"/>
        <v>0</v>
      </c>
    </row>
    <row r="241" spans="1:8" x14ac:dyDescent="0.25">
      <c r="A241" s="8" t="s">
        <v>281</v>
      </c>
      <c r="B241" s="240"/>
      <c r="C241" s="239">
        <v>1343333</v>
      </c>
      <c r="D241" s="244">
        <f>+IFERROR(+VLOOKUP(A241,'TB final'!$A$5:$J$726,5,0),0)</f>
        <v>0</v>
      </c>
      <c r="E241" s="244">
        <f>+IFERROR(+VLOOKUP(A241,'TB final'!$A$5:$J$726,8,0),0)</f>
        <v>1343333</v>
      </c>
      <c r="F241" s="244">
        <f t="shared" si="9"/>
        <v>0</v>
      </c>
      <c r="G241" s="244">
        <f t="shared" si="10"/>
        <v>0</v>
      </c>
      <c r="H241" s="244">
        <f t="shared" si="11"/>
        <v>0</v>
      </c>
    </row>
    <row r="242" spans="1:8" x14ac:dyDescent="0.25">
      <c r="A242" s="8" t="s">
        <v>747</v>
      </c>
      <c r="B242" s="239">
        <v>167481</v>
      </c>
      <c r="C242" s="240"/>
      <c r="D242" s="244">
        <f>+IFERROR(+VLOOKUP(A242,'TB final'!$A$5:$J$726,5,0),0)</f>
        <v>167481</v>
      </c>
      <c r="E242" s="244">
        <f>+IFERROR(+VLOOKUP(A242,'TB final'!$A$5:$J$726,8,0),0)</f>
        <v>0</v>
      </c>
      <c r="F242" s="244">
        <f t="shared" si="9"/>
        <v>0</v>
      </c>
      <c r="G242" s="244">
        <f t="shared" si="10"/>
        <v>0</v>
      </c>
      <c r="H242" s="244">
        <f t="shared" si="11"/>
        <v>0</v>
      </c>
    </row>
    <row r="243" spans="1:8" x14ac:dyDescent="0.25">
      <c r="A243" s="8" t="s">
        <v>282</v>
      </c>
      <c r="B243" s="239">
        <v>974500</v>
      </c>
      <c r="C243" s="240"/>
      <c r="D243" s="244">
        <f>+IFERROR(+VLOOKUP(A243,'TB final'!$A$5:$J$726,5,0),0)</f>
        <v>974500</v>
      </c>
      <c r="E243" s="244">
        <f>+IFERROR(+VLOOKUP(A243,'TB final'!$A$5:$J$726,8,0),0)</f>
        <v>0</v>
      </c>
      <c r="F243" s="244">
        <f t="shared" si="9"/>
        <v>0</v>
      </c>
      <c r="G243" s="244">
        <f t="shared" si="10"/>
        <v>0</v>
      </c>
      <c r="H243" s="244">
        <f t="shared" si="11"/>
        <v>0</v>
      </c>
    </row>
    <row r="244" spans="1:8" x14ac:dyDescent="0.25">
      <c r="A244" s="8" t="s">
        <v>283</v>
      </c>
      <c r="B244" s="240"/>
      <c r="C244" s="239">
        <v>124185196.38</v>
      </c>
      <c r="D244" s="244">
        <f>+IFERROR(+VLOOKUP(A244,'TB final'!$A$5:$J$726,5,0),0)</f>
        <v>0</v>
      </c>
      <c r="E244" s="244">
        <f>+IFERROR(+VLOOKUP(A244,'TB final'!$A$5:$J$726,8,0),0)</f>
        <v>124185196.38</v>
      </c>
      <c r="F244" s="244">
        <f t="shared" si="9"/>
        <v>0</v>
      </c>
      <c r="G244" s="244">
        <f t="shared" si="10"/>
        <v>0</v>
      </c>
      <c r="H244" s="244">
        <f t="shared" si="11"/>
        <v>0</v>
      </c>
    </row>
    <row r="245" spans="1:8" x14ac:dyDescent="0.25">
      <c r="A245" s="8" t="s">
        <v>284</v>
      </c>
      <c r="B245" s="240"/>
      <c r="C245" s="239">
        <v>18856500</v>
      </c>
      <c r="D245" s="244">
        <f>+IFERROR(+VLOOKUP(A245,'TB final'!$A$5:$J$726,5,0),0)</f>
        <v>0</v>
      </c>
      <c r="E245" s="244">
        <f>+IFERROR(+VLOOKUP(A245,'TB final'!$A$5:$J$726,8,0),0)</f>
        <v>18856500</v>
      </c>
      <c r="F245" s="244">
        <f t="shared" si="9"/>
        <v>0</v>
      </c>
      <c r="G245" s="244">
        <f t="shared" si="10"/>
        <v>0</v>
      </c>
      <c r="H245" s="244">
        <f t="shared" si="11"/>
        <v>0</v>
      </c>
    </row>
    <row r="246" spans="1:8" x14ac:dyDescent="0.25">
      <c r="A246" s="8" t="s">
        <v>285</v>
      </c>
      <c r="B246" s="239">
        <v>1147078</v>
      </c>
      <c r="C246" s="240"/>
      <c r="D246" s="244">
        <f>+IFERROR(+VLOOKUP(A246,'TB final'!$A$5:$J$726,5,0),0)</f>
        <v>1147078</v>
      </c>
      <c r="E246" s="244">
        <f>+IFERROR(+VLOOKUP(A246,'TB final'!$A$5:$J$726,8,0),0)</f>
        <v>0</v>
      </c>
      <c r="F246" s="244">
        <f t="shared" si="9"/>
        <v>0</v>
      </c>
      <c r="G246" s="244">
        <f t="shared" si="10"/>
        <v>0</v>
      </c>
      <c r="H246" s="244">
        <f t="shared" si="11"/>
        <v>0</v>
      </c>
    </row>
    <row r="247" spans="1:8" x14ac:dyDescent="0.25">
      <c r="A247" s="8" t="s">
        <v>286</v>
      </c>
      <c r="B247" s="240"/>
      <c r="C247" s="239">
        <v>6057874</v>
      </c>
      <c r="D247" s="244">
        <f>+IFERROR(+VLOOKUP(A247,'TB final'!$A$5:$J$726,5,0),0)</f>
        <v>0</v>
      </c>
      <c r="E247" s="244">
        <f>+IFERROR(+VLOOKUP(A247,'TB final'!$A$5:$J$726,8,0),0)</f>
        <v>6057874</v>
      </c>
      <c r="F247" s="244">
        <f t="shared" si="9"/>
        <v>0</v>
      </c>
      <c r="G247" s="244">
        <f t="shared" si="10"/>
        <v>0</v>
      </c>
      <c r="H247" s="244">
        <f t="shared" si="11"/>
        <v>0</v>
      </c>
    </row>
    <row r="248" spans="1:8" x14ac:dyDescent="0.25">
      <c r="A248" s="8" t="s">
        <v>287</v>
      </c>
      <c r="B248" s="240"/>
      <c r="C248" s="239">
        <v>5155701</v>
      </c>
      <c r="D248" s="244">
        <f>+IFERROR(+VLOOKUP(A248,'TB final'!$A$5:$J$726,5,0),0)</f>
        <v>0</v>
      </c>
      <c r="E248" s="244">
        <f>+IFERROR(+VLOOKUP(A248,'TB final'!$A$5:$J$726,8,0),0)</f>
        <v>5155701</v>
      </c>
      <c r="F248" s="244">
        <f t="shared" si="9"/>
        <v>0</v>
      </c>
      <c r="G248" s="244">
        <f t="shared" si="10"/>
        <v>0</v>
      </c>
      <c r="H248" s="244">
        <f t="shared" si="11"/>
        <v>0</v>
      </c>
    </row>
    <row r="249" spans="1:8" x14ac:dyDescent="0.25">
      <c r="A249" s="8" t="s">
        <v>288</v>
      </c>
      <c r="B249" s="240"/>
      <c r="C249" s="239">
        <v>688913</v>
      </c>
      <c r="D249" s="244">
        <f>+IFERROR(+VLOOKUP(A249,'TB final'!$A$5:$J$726,5,0),0)</f>
        <v>0</v>
      </c>
      <c r="E249" s="244">
        <f>+IFERROR(+VLOOKUP(A249,'TB final'!$A$5:$J$726,8,0),0)</f>
        <v>688913</v>
      </c>
      <c r="F249" s="244">
        <f t="shared" si="9"/>
        <v>0</v>
      </c>
      <c r="G249" s="244">
        <f t="shared" si="10"/>
        <v>0</v>
      </c>
      <c r="H249" s="244">
        <f t="shared" si="11"/>
        <v>0</v>
      </c>
    </row>
    <row r="250" spans="1:8" x14ac:dyDescent="0.25">
      <c r="A250" s="8" t="s">
        <v>289</v>
      </c>
      <c r="B250" s="240"/>
      <c r="C250" s="239">
        <v>16345551</v>
      </c>
      <c r="D250" s="244">
        <f>+IFERROR(+VLOOKUP(A250,'TB final'!$A$5:$J$726,5,0),0)</f>
        <v>0</v>
      </c>
      <c r="E250" s="244">
        <f>+IFERROR(+VLOOKUP(A250,'TB final'!$A$5:$J$726,8,0),0)</f>
        <v>16345551</v>
      </c>
      <c r="F250" s="244">
        <f t="shared" si="9"/>
        <v>0</v>
      </c>
      <c r="G250" s="244">
        <f t="shared" si="10"/>
        <v>0</v>
      </c>
      <c r="H250" s="244">
        <f t="shared" si="11"/>
        <v>0</v>
      </c>
    </row>
    <row r="251" spans="1:8" x14ac:dyDescent="0.25">
      <c r="A251" s="8" t="s">
        <v>290</v>
      </c>
      <c r="B251" s="240"/>
      <c r="C251" s="239">
        <v>379192</v>
      </c>
      <c r="D251" s="244">
        <f>+IFERROR(+VLOOKUP(A251,'TB final'!$A$5:$J$726,5,0),0)</f>
        <v>0</v>
      </c>
      <c r="E251" s="244">
        <f>+IFERROR(+VLOOKUP(A251,'TB final'!$A$5:$J$726,8,0),0)</f>
        <v>379192</v>
      </c>
      <c r="F251" s="244">
        <f t="shared" si="9"/>
        <v>0</v>
      </c>
      <c r="G251" s="244">
        <f t="shared" si="10"/>
        <v>0</v>
      </c>
      <c r="H251" s="244">
        <f t="shared" si="11"/>
        <v>0</v>
      </c>
    </row>
    <row r="252" spans="1:8" x14ac:dyDescent="0.25">
      <c r="A252" s="8" t="s">
        <v>291</v>
      </c>
      <c r="B252" s="240"/>
      <c r="C252" s="239">
        <v>1014019</v>
      </c>
      <c r="D252" s="244">
        <f>+IFERROR(+VLOOKUP(A252,'TB final'!$A$5:$J$726,5,0),0)</f>
        <v>0</v>
      </c>
      <c r="E252" s="244">
        <f>+IFERROR(+VLOOKUP(A252,'TB final'!$A$5:$J$726,8,0),0)</f>
        <v>1014019</v>
      </c>
      <c r="F252" s="244">
        <f t="shared" si="9"/>
        <v>0</v>
      </c>
      <c r="G252" s="244">
        <f t="shared" si="10"/>
        <v>0</v>
      </c>
      <c r="H252" s="244">
        <f t="shared" si="11"/>
        <v>0</v>
      </c>
    </row>
    <row r="253" spans="1:8" x14ac:dyDescent="0.25">
      <c r="A253" s="8" t="s">
        <v>292</v>
      </c>
      <c r="B253" s="240"/>
      <c r="C253" s="239">
        <v>598548</v>
      </c>
      <c r="D253" s="244">
        <f>+IFERROR(+VLOOKUP(A253,'TB final'!$A$5:$J$726,5,0),0)</f>
        <v>0</v>
      </c>
      <c r="E253" s="244">
        <f>+IFERROR(+VLOOKUP(A253,'TB final'!$A$5:$J$726,8,0),0)</f>
        <v>598548</v>
      </c>
      <c r="F253" s="244">
        <f t="shared" si="9"/>
        <v>0</v>
      </c>
      <c r="G253" s="244">
        <f t="shared" si="10"/>
        <v>0</v>
      </c>
      <c r="H253" s="244">
        <f t="shared" si="11"/>
        <v>0</v>
      </c>
    </row>
    <row r="254" spans="1:8" x14ac:dyDescent="0.25">
      <c r="A254" s="8" t="s">
        <v>293</v>
      </c>
      <c r="B254" s="240"/>
      <c r="C254" s="239">
        <v>99496148</v>
      </c>
      <c r="D254" s="244">
        <f>+IFERROR(+VLOOKUP(A254,'TB final'!$A$5:$J$726,5,0),0)</f>
        <v>0</v>
      </c>
      <c r="E254" s="244">
        <f>+IFERROR(+VLOOKUP(A254,'TB final'!$A$5:$J$726,8,0),0)</f>
        <v>99496148</v>
      </c>
      <c r="F254" s="244">
        <f t="shared" si="9"/>
        <v>0</v>
      </c>
      <c r="G254" s="244">
        <f t="shared" si="10"/>
        <v>0</v>
      </c>
      <c r="H254" s="244">
        <f t="shared" si="11"/>
        <v>0</v>
      </c>
    </row>
    <row r="255" spans="1:8" x14ac:dyDescent="0.25">
      <c r="A255" s="8" t="s">
        <v>294</v>
      </c>
      <c r="B255" s="240"/>
      <c r="C255" s="239">
        <v>558720</v>
      </c>
      <c r="D255" s="244">
        <f>+IFERROR(+VLOOKUP(A255,'TB final'!$A$5:$J$726,5,0),0)</f>
        <v>0</v>
      </c>
      <c r="E255" s="244">
        <f>+IFERROR(+VLOOKUP(A255,'TB final'!$A$5:$J$726,8,0),0)</f>
        <v>558720</v>
      </c>
      <c r="F255" s="244">
        <f t="shared" si="9"/>
        <v>0</v>
      </c>
      <c r="G255" s="244">
        <f t="shared" si="10"/>
        <v>0</v>
      </c>
      <c r="H255" s="244">
        <f t="shared" si="11"/>
        <v>0</v>
      </c>
    </row>
    <row r="256" spans="1:8" x14ac:dyDescent="0.25">
      <c r="A256" s="8" t="s">
        <v>296</v>
      </c>
      <c r="B256" s="239">
        <v>122153</v>
      </c>
      <c r="C256" s="240"/>
      <c r="D256" s="244">
        <f>+IFERROR(+VLOOKUP(A256,'TB final'!$A$5:$J$726,5,0),0)</f>
        <v>122153</v>
      </c>
      <c r="E256" s="244">
        <f>+IFERROR(+VLOOKUP(A256,'TB final'!$A$5:$J$726,8,0),0)</f>
        <v>0</v>
      </c>
      <c r="F256" s="244">
        <f t="shared" si="9"/>
        <v>0</v>
      </c>
      <c r="G256" s="244">
        <f t="shared" si="10"/>
        <v>0</v>
      </c>
      <c r="H256" s="244">
        <f t="shared" si="11"/>
        <v>0</v>
      </c>
    </row>
    <row r="257" spans="1:8" x14ac:dyDescent="0.25">
      <c r="A257" s="8" t="s">
        <v>297</v>
      </c>
      <c r="B257" s="239">
        <v>271788</v>
      </c>
      <c r="C257" s="240"/>
      <c r="D257" s="244">
        <f>+IFERROR(+VLOOKUP(A257,'TB final'!$A$5:$J$726,5,0),0)</f>
        <v>271788</v>
      </c>
      <c r="E257" s="244">
        <f>+IFERROR(+VLOOKUP(A257,'TB final'!$A$5:$J$726,8,0),0)</f>
        <v>0</v>
      </c>
      <c r="F257" s="244">
        <f t="shared" si="9"/>
        <v>0</v>
      </c>
      <c r="G257" s="244">
        <f t="shared" si="10"/>
        <v>0</v>
      </c>
      <c r="H257" s="244">
        <f t="shared" si="11"/>
        <v>0</v>
      </c>
    </row>
    <row r="258" spans="1:8" x14ac:dyDescent="0.25">
      <c r="A258" s="8" t="s">
        <v>298</v>
      </c>
      <c r="B258" s="239">
        <v>139678</v>
      </c>
      <c r="C258" s="240"/>
      <c r="D258" s="244">
        <f>+IFERROR(+VLOOKUP(A258,'TB final'!$A$5:$J$726,5,0),0)</f>
        <v>139678</v>
      </c>
      <c r="E258" s="244">
        <f>+IFERROR(+VLOOKUP(A258,'TB final'!$A$5:$J$726,8,0),0)</f>
        <v>0</v>
      </c>
      <c r="F258" s="244">
        <f t="shared" si="9"/>
        <v>0</v>
      </c>
      <c r="G258" s="244">
        <f t="shared" si="10"/>
        <v>0</v>
      </c>
      <c r="H258" s="244">
        <f t="shared" si="11"/>
        <v>0</v>
      </c>
    </row>
    <row r="259" spans="1:8" x14ac:dyDescent="0.25">
      <c r="A259" s="8" t="s">
        <v>299</v>
      </c>
      <c r="B259" s="239">
        <v>34285</v>
      </c>
      <c r="C259" s="240"/>
      <c r="D259" s="244">
        <f>+IFERROR(+VLOOKUP(A259,'TB final'!$A$5:$J$726,5,0),0)</f>
        <v>34285</v>
      </c>
      <c r="E259" s="244">
        <f>+IFERROR(+VLOOKUP(A259,'TB final'!$A$5:$J$726,8,0),0)</f>
        <v>0</v>
      </c>
      <c r="F259" s="244">
        <f t="shared" si="9"/>
        <v>0</v>
      </c>
      <c r="G259" s="244">
        <f t="shared" si="10"/>
        <v>0</v>
      </c>
      <c r="H259" s="244">
        <f t="shared" si="11"/>
        <v>0</v>
      </c>
    </row>
    <row r="260" spans="1:8" x14ac:dyDescent="0.25">
      <c r="A260" s="8" t="s">
        <v>657</v>
      </c>
      <c r="B260" s="239">
        <v>1699939</v>
      </c>
      <c r="C260" s="240"/>
      <c r="D260" s="244">
        <f>+IFERROR(+VLOOKUP(A260,'TB final'!$A$5:$J$726,5,0),0)</f>
        <v>1699939</v>
      </c>
      <c r="E260" s="244">
        <f>+IFERROR(+VLOOKUP(A260,'TB final'!$A$5:$J$726,8,0),0)</f>
        <v>0</v>
      </c>
      <c r="F260" s="244">
        <f t="shared" si="9"/>
        <v>0</v>
      </c>
      <c r="G260" s="244">
        <f t="shared" si="10"/>
        <v>0</v>
      </c>
      <c r="H260" s="244">
        <f t="shared" si="11"/>
        <v>0</v>
      </c>
    </row>
    <row r="261" spans="1:8" x14ac:dyDescent="0.25">
      <c r="A261" s="8" t="s">
        <v>300</v>
      </c>
      <c r="B261" s="240"/>
      <c r="C261" s="239">
        <v>3296204.7</v>
      </c>
      <c r="D261" s="244">
        <f>+IFERROR(+VLOOKUP(A261,'TB final'!$A$5:$J$726,5,0),0)</f>
        <v>0</v>
      </c>
      <c r="E261" s="244">
        <f>+IFERROR(+VLOOKUP(A261,'TB final'!$A$5:$J$726,8,0),0)</f>
        <v>3296204.7</v>
      </c>
      <c r="F261" s="244">
        <f t="shared" si="9"/>
        <v>0</v>
      </c>
      <c r="G261" s="244">
        <f t="shared" si="10"/>
        <v>0</v>
      </c>
      <c r="H261" s="244">
        <f t="shared" si="11"/>
        <v>0</v>
      </c>
    </row>
    <row r="262" spans="1:8" x14ac:dyDescent="0.25">
      <c r="A262" s="8" t="s">
        <v>301</v>
      </c>
      <c r="B262" s="239">
        <v>15450441</v>
      </c>
      <c r="C262" s="240"/>
      <c r="D262" s="244">
        <f>+IFERROR(+VLOOKUP(A262,'TB final'!$A$5:$J$726,5,0),0)</f>
        <v>15450441</v>
      </c>
      <c r="E262" s="244">
        <f>+IFERROR(+VLOOKUP(A262,'TB final'!$A$5:$J$726,8,0),0)</f>
        <v>0</v>
      </c>
      <c r="F262" s="244">
        <f t="shared" si="9"/>
        <v>0</v>
      </c>
      <c r="G262" s="244">
        <f t="shared" si="10"/>
        <v>0</v>
      </c>
      <c r="H262" s="244">
        <f t="shared" si="11"/>
        <v>0</v>
      </c>
    </row>
    <row r="263" spans="1:8" x14ac:dyDescent="0.25">
      <c r="A263" s="8" t="s">
        <v>302</v>
      </c>
      <c r="B263" s="240"/>
      <c r="C263" s="239">
        <v>12385</v>
      </c>
      <c r="D263" s="244">
        <f>+IFERROR(+VLOOKUP(A263,'TB final'!$A$5:$J$726,5,0),0)</f>
        <v>0</v>
      </c>
      <c r="E263" s="244">
        <f>+IFERROR(+VLOOKUP(A263,'TB final'!$A$5:$J$726,8,0),0)</f>
        <v>12385</v>
      </c>
      <c r="F263" s="244">
        <f t="shared" si="9"/>
        <v>0</v>
      </c>
      <c r="G263" s="244">
        <f t="shared" si="10"/>
        <v>0</v>
      </c>
      <c r="H263" s="244">
        <f t="shared" si="11"/>
        <v>0</v>
      </c>
    </row>
    <row r="264" spans="1:8" x14ac:dyDescent="0.25">
      <c r="A264" s="8" t="s">
        <v>303</v>
      </c>
      <c r="B264" s="240"/>
      <c r="C264" s="239">
        <v>9346</v>
      </c>
      <c r="D264" s="244">
        <f>+IFERROR(+VLOOKUP(A264,'TB final'!$A$5:$J$726,5,0),0)</f>
        <v>0</v>
      </c>
      <c r="E264" s="244">
        <f>+IFERROR(+VLOOKUP(A264,'TB final'!$A$5:$J$726,8,0),0)</f>
        <v>9346</v>
      </c>
      <c r="F264" s="244">
        <f t="shared" si="9"/>
        <v>0</v>
      </c>
      <c r="G264" s="244">
        <f t="shared" si="10"/>
        <v>0</v>
      </c>
      <c r="H264" s="244">
        <f t="shared" si="11"/>
        <v>0</v>
      </c>
    </row>
    <row r="265" spans="1:8" x14ac:dyDescent="0.25">
      <c r="A265" s="8" t="s">
        <v>304</v>
      </c>
      <c r="B265" s="239">
        <v>245315</v>
      </c>
      <c r="C265" s="240"/>
      <c r="D265" s="244">
        <f>+IFERROR(+VLOOKUP(A265,'TB final'!$A$5:$J$726,5,0),0)</f>
        <v>245315</v>
      </c>
      <c r="E265" s="244">
        <f>+IFERROR(+VLOOKUP(A265,'TB final'!$A$5:$J$726,8,0),0)</f>
        <v>0</v>
      </c>
      <c r="F265" s="244">
        <f t="shared" si="9"/>
        <v>0</v>
      </c>
      <c r="G265" s="244">
        <f t="shared" si="10"/>
        <v>0</v>
      </c>
      <c r="H265" s="244">
        <f t="shared" si="11"/>
        <v>0</v>
      </c>
    </row>
    <row r="266" spans="1:8" x14ac:dyDescent="0.25">
      <c r="A266" s="8" t="s">
        <v>305</v>
      </c>
      <c r="B266" s="239">
        <v>6876013</v>
      </c>
      <c r="C266" s="240"/>
      <c r="D266" s="244">
        <f>+IFERROR(+VLOOKUP(A266,'TB final'!$A$5:$J$726,5,0),0)</f>
        <v>6876013</v>
      </c>
      <c r="E266" s="244">
        <f>+IFERROR(+VLOOKUP(A266,'TB final'!$A$5:$J$726,8,0),0)</f>
        <v>0</v>
      </c>
      <c r="F266" s="244">
        <f t="shared" si="9"/>
        <v>0</v>
      </c>
      <c r="G266" s="244">
        <f t="shared" si="10"/>
        <v>0</v>
      </c>
      <c r="H266" s="244">
        <f t="shared" si="11"/>
        <v>0</v>
      </c>
    </row>
    <row r="267" spans="1:8" x14ac:dyDescent="0.25">
      <c r="A267" s="8" t="s">
        <v>306</v>
      </c>
      <c r="B267" s="239">
        <v>4380095</v>
      </c>
      <c r="C267" s="240"/>
      <c r="D267" s="244">
        <f>+IFERROR(+VLOOKUP(A267,'TB final'!$A$5:$J$726,5,0),0)</f>
        <v>4380095</v>
      </c>
      <c r="E267" s="244">
        <f>+IFERROR(+VLOOKUP(A267,'TB final'!$A$5:$J$726,8,0),0)</f>
        <v>0</v>
      </c>
      <c r="F267" s="244">
        <f t="shared" si="9"/>
        <v>0</v>
      </c>
      <c r="G267" s="244">
        <f t="shared" si="10"/>
        <v>0</v>
      </c>
      <c r="H267" s="244">
        <f t="shared" si="11"/>
        <v>0</v>
      </c>
    </row>
    <row r="268" spans="1:8" x14ac:dyDescent="0.25">
      <c r="A268" s="8" t="s">
        <v>307</v>
      </c>
      <c r="B268" s="239">
        <v>5885577.8399999999</v>
      </c>
      <c r="C268" s="240"/>
      <c r="D268" s="244">
        <f>+IFERROR(+VLOOKUP(A268,'TB final'!$A$5:$J$726,5,0),0)</f>
        <v>5885577.8399999999</v>
      </c>
      <c r="E268" s="244">
        <f>+IFERROR(+VLOOKUP(A268,'TB final'!$A$5:$J$726,8,0),0)</f>
        <v>0</v>
      </c>
      <c r="F268" s="244">
        <f t="shared" ref="F268:F331" si="12">+B268-D268</f>
        <v>0</v>
      </c>
      <c r="G268" s="244">
        <f t="shared" ref="G268:G331" si="13">+C268-E268</f>
        <v>0</v>
      </c>
      <c r="H268" s="244">
        <f t="shared" si="11"/>
        <v>0</v>
      </c>
    </row>
    <row r="269" spans="1:8" x14ac:dyDescent="0.25">
      <c r="A269" s="8" t="s">
        <v>308</v>
      </c>
      <c r="B269" s="240"/>
      <c r="C269" s="239">
        <v>13051000</v>
      </c>
      <c r="D269" s="244">
        <f>+IFERROR(+VLOOKUP(A269,'TB final'!$A$5:$J$726,5,0),0)</f>
        <v>0</v>
      </c>
      <c r="E269" s="244">
        <f>+IFERROR(+VLOOKUP(A269,'TB final'!$A$5:$J$726,8,0),0)</f>
        <v>13051000</v>
      </c>
      <c r="F269" s="244">
        <f t="shared" si="12"/>
        <v>0</v>
      </c>
      <c r="G269" s="244">
        <f t="shared" si="13"/>
        <v>0</v>
      </c>
      <c r="H269" s="244">
        <f t="shared" ref="H269:H332" si="14">+F269+G269</f>
        <v>0</v>
      </c>
    </row>
    <row r="270" spans="1:8" x14ac:dyDescent="0.25">
      <c r="A270" s="8" t="s">
        <v>309</v>
      </c>
      <c r="B270" s="240"/>
      <c r="C270" s="239">
        <v>2563</v>
      </c>
      <c r="D270" s="244">
        <f>+IFERROR(+VLOOKUP(A270,'TB final'!$A$5:$J$726,5,0),0)</f>
        <v>0</v>
      </c>
      <c r="E270" s="244">
        <f>+IFERROR(+VLOOKUP(A270,'TB final'!$A$5:$J$726,8,0),0)</f>
        <v>2563</v>
      </c>
      <c r="F270" s="244">
        <f t="shared" si="12"/>
        <v>0</v>
      </c>
      <c r="G270" s="244">
        <f t="shared" si="13"/>
        <v>0</v>
      </c>
      <c r="H270" s="244">
        <f t="shared" si="14"/>
        <v>0</v>
      </c>
    </row>
    <row r="271" spans="1:8" x14ac:dyDescent="0.25">
      <c r="A271" s="8" t="s">
        <v>310</v>
      </c>
      <c r="B271" s="239">
        <v>10000</v>
      </c>
      <c r="C271" s="240"/>
      <c r="D271" s="244">
        <f>+IFERROR(+VLOOKUP(A271,'TB final'!$A$5:$J$726,5,0),0)</f>
        <v>10000</v>
      </c>
      <c r="E271" s="244">
        <f>+IFERROR(+VLOOKUP(A271,'TB final'!$A$5:$J$726,8,0),0)</f>
        <v>0</v>
      </c>
      <c r="F271" s="244">
        <f t="shared" si="12"/>
        <v>0</v>
      </c>
      <c r="G271" s="244">
        <f t="shared" si="13"/>
        <v>0</v>
      </c>
      <c r="H271" s="244">
        <f t="shared" si="14"/>
        <v>0</v>
      </c>
    </row>
    <row r="272" spans="1:8" x14ac:dyDescent="0.25">
      <c r="A272" s="8" t="s">
        <v>311</v>
      </c>
      <c r="B272" s="239">
        <v>11000</v>
      </c>
      <c r="C272" s="240"/>
      <c r="D272" s="244">
        <f>+IFERROR(+VLOOKUP(A272,'TB final'!$A$5:$J$726,5,0),0)</f>
        <v>11000</v>
      </c>
      <c r="E272" s="244">
        <f>+IFERROR(+VLOOKUP(A272,'TB final'!$A$5:$J$726,8,0),0)</f>
        <v>0</v>
      </c>
      <c r="F272" s="244">
        <f t="shared" si="12"/>
        <v>0</v>
      </c>
      <c r="G272" s="244">
        <f t="shared" si="13"/>
        <v>0</v>
      </c>
      <c r="H272" s="244">
        <f t="shared" si="14"/>
        <v>0</v>
      </c>
    </row>
    <row r="273" spans="1:8" x14ac:dyDescent="0.25">
      <c r="A273" s="8" t="s">
        <v>312</v>
      </c>
      <c r="B273" s="239">
        <v>208079</v>
      </c>
      <c r="C273" s="240"/>
      <c r="D273" s="244">
        <f>+IFERROR(+VLOOKUP(A273,'TB final'!$A$5:$J$726,5,0),0)</f>
        <v>208079</v>
      </c>
      <c r="E273" s="244">
        <f>+IFERROR(+VLOOKUP(A273,'TB final'!$A$5:$J$726,8,0),0)</f>
        <v>0</v>
      </c>
      <c r="F273" s="244">
        <f t="shared" si="12"/>
        <v>0</v>
      </c>
      <c r="G273" s="244">
        <f t="shared" si="13"/>
        <v>0</v>
      </c>
      <c r="H273" s="244">
        <f t="shared" si="14"/>
        <v>0</v>
      </c>
    </row>
    <row r="274" spans="1:8" x14ac:dyDescent="0.25">
      <c r="A274" s="8" t="s">
        <v>313</v>
      </c>
      <c r="B274" s="239">
        <v>3861148</v>
      </c>
      <c r="C274" s="240"/>
      <c r="D274" s="244">
        <f>+IFERROR(+VLOOKUP(A274,'TB final'!$A$5:$J$726,5,0),0)</f>
        <v>3861148</v>
      </c>
      <c r="E274" s="244">
        <f>+IFERROR(+VLOOKUP(A274,'TB final'!$A$5:$J$726,8,0),0)</f>
        <v>0</v>
      </c>
      <c r="F274" s="244">
        <f t="shared" si="12"/>
        <v>0</v>
      </c>
      <c r="G274" s="244">
        <f t="shared" si="13"/>
        <v>0</v>
      </c>
      <c r="H274" s="244">
        <f t="shared" si="14"/>
        <v>0</v>
      </c>
    </row>
    <row r="275" spans="1:8" x14ac:dyDescent="0.25">
      <c r="A275" s="8" t="s">
        <v>314</v>
      </c>
      <c r="B275" s="239">
        <v>3359955</v>
      </c>
      <c r="C275" s="240"/>
      <c r="D275" s="244">
        <f>+IFERROR(+VLOOKUP(A275,'TB final'!$A$5:$J$726,5,0),0)</f>
        <v>3359955</v>
      </c>
      <c r="E275" s="244">
        <f>+IFERROR(+VLOOKUP(A275,'TB final'!$A$5:$J$726,8,0),0)</f>
        <v>0</v>
      </c>
      <c r="F275" s="244">
        <f t="shared" si="12"/>
        <v>0</v>
      </c>
      <c r="G275" s="244">
        <f t="shared" si="13"/>
        <v>0</v>
      </c>
      <c r="H275" s="244">
        <f t="shared" si="14"/>
        <v>0</v>
      </c>
    </row>
    <row r="276" spans="1:8" x14ac:dyDescent="0.25">
      <c r="A276" s="8" t="s">
        <v>315</v>
      </c>
      <c r="B276" s="240"/>
      <c r="C276" s="239">
        <v>20899</v>
      </c>
      <c r="D276" s="244">
        <f>+IFERROR(+VLOOKUP(A276,'TB final'!$A$5:$J$726,5,0),0)</f>
        <v>0</v>
      </c>
      <c r="E276" s="244">
        <f>+IFERROR(+VLOOKUP(A276,'TB final'!$A$5:$J$726,8,0),0)</f>
        <v>20899</v>
      </c>
      <c r="F276" s="244">
        <f t="shared" si="12"/>
        <v>0</v>
      </c>
      <c r="G276" s="244">
        <f t="shared" si="13"/>
        <v>0</v>
      </c>
      <c r="H276" s="244">
        <f t="shared" si="14"/>
        <v>0</v>
      </c>
    </row>
    <row r="277" spans="1:8" x14ac:dyDescent="0.25">
      <c r="A277" s="8" t="s">
        <v>316</v>
      </c>
      <c r="B277" s="240"/>
      <c r="C277" s="239">
        <v>75747</v>
      </c>
      <c r="D277" s="244">
        <f>+IFERROR(+VLOOKUP(A277,'TB final'!$A$5:$J$726,5,0),0)</f>
        <v>0</v>
      </c>
      <c r="E277" s="244">
        <f>+IFERROR(+VLOOKUP(A277,'TB final'!$A$5:$J$726,8,0),0)</f>
        <v>75747</v>
      </c>
      <c r="F277" s="244">
        <f t="shared" si="12"/>
        <v>0</v>
      </c>
      <c r="G277" s="244">
        <f t="shared" si="13"/>
        <v>0</v>
      </c>
      <c r="H277" s="244">
        <f t="shared" si="14"/>
        <v>0</v>
      </c>
    </row>
    <row r="278" spans="1:8" x14ac:dyDescent="0.25">
      <c r="A278" s="8" t="s">
        <v>317</v>
      </c>
      <c r="B278" s="240"/>
      <c r="C278" s="239">
        <v>20899</v>
      </c>
      <c r="D278" s="244">
        <f>+IFERROR(+VLOOKUP(A278,'TB final'!$A$5:$J$726,5,0),0)</f>
        <v>0</v>
      </c>
      <c r="E278" s="244">
        <f>+IFERROR(+VLOOKUP(A278,'TB final'!$A$5:$J$726,8,0),0)</f>
        <v>20899</v>
      </c>
      <c r="F278" s="244">
        <f t="shared" si="12"/>
        <v>0</v>
      </c>
      <c r="G278" s="244">
        <f t="shared" si="13"/>
        <v>0</v>
      </c>
      <c r="H278" s="244">
        <f t="shared" si="14"/>
        <v>0</v>
      </c>
    </row>
    <row r="279" spans="1:8" x14ac:dyDescent="0.25">
      <c r="A279" s="8" t="s">
        <v>2305</v>
      </c>
      <c r="B279" s="240"/>
      <c r="C279" s="239">
        <v>216400</v>
      </c>
      <c r="D279" s="244">
        <f>+IFERROR(+VLOOKUP(A279,'TB final'!$A$5:$J$726,5,0),0)</f>
        <v>0</v>
      </c>
      <c r="E279" s="244">
        <f>+IFERROR(+VLOOKUP(A279,'TB final'!$A$5:$J$726,8,0),0)</f>
        <v>216400</v>
      </c>
      <c r="F279" s="244">
        <f t="shared" si="12"/>
        <v>0</v>
      </c>
      <c r="G279" s="244">
        <f t="shared" si="13"/>
        <v>0</v>
      </c>
      <c r="H279" s="244">
        <f t="shared" si="14"/>
        <v>0</v>
      </c>
    </row>
    <row r="280" spans="1:8" x14ac:dyDescent="0.25">
      <c r="A280" s="8" t="s">
        <v>318</v>
      </c>
      <c r="B280" s="239">
        <v>4800000</v>
      </c>
      <c r="C280" s="240"/>
      <c r="D280" s="244">
        <f>+IFERROR(+VLOOKUP(A280,'TB final'!$A$5:$J$726,5,0),0)</f>
        <v>4800000</v>
      </c>
      <c r="E280" s="244">
        <f>+IFERROR(+VLOOKUP(A280,'TB final'!$A$5:$J$726,8,0),0)</f>
        <v>0</v>
      </c>
      <c r="F280" s="244">
        <f t="shared" si="12"/>
        <v>0</v>
      </c>
      <c r="G280" s="244">
        <f t="shared" si="13"/>
        <v>0</v>
      </c>
      <c r="H280" s="244">
        <f t="shared" si="14"/>
        <v>0</v>
      </c>
    </row>
    <row r="281" spans="1:8" x14ac:dyDescent="0.25">
      <c r="A281" s="8" t="s">
        <v>319</v>
      </c>
      <c r="B281" s="239">
        <v>281990</v>
      </c>
      <c r="C281" s="240"/>
      <c r="D281" s="244">
        <f>+IFERROR(+VLOOKUP(A281,'TB final'!$A$5:$J$726,5,0),0)</f>
        <v>281990</v>
      </c>
      <c r="E281" s="244">
        <f>+IFERROR(+VLOOKUP(A281,'TB final'!$A$5:$J$726,8,0),0)</f>
        <v>0</v>
      </c>
      <c r="F281" s="244">
        <f t="shared" si="12"/>
        <v>0</v>
      </c>
      <c r="G281" s="244">
        <f t="shared" si="13"/>
        <v>0</v>
      </c>
      <c r="H281" s="244">
        <f t="shared" si="14"/>
        <v>0</v>
      </c>
    </row>
    <row r="282" spans="1:8" x14ac:dyDescent="0.25">
      <c r="A282" s="8" t="s">
        <v>320</v>
      </c>
      <c r="B282" s="239">
        <v>806397.4</v>
      </c>
      <c r="C282" s="240"/>
      <c r="D282" s="244">
        <f>+IFERROR(+VLOOKUP(A282,'TB final'!$A$5:$J$726,5,0),0)</f>
        <v>806397.4</v>
      </c>
      <c r="E282" s="244">
        <f>+IFERROR(+VLOOKUP(A282,'TB final'!$A$5:$J$726,8,0),0)</f>
        <v>0</v>
      </c>
      <c r="F282" s="244">
        <f t="shared" si="12"/>
        <v>0</v>
      </c>
      <c r="G282" s="244">
        <f t="shared" si="13"/>
        <v>0</v>
      </c>
      <c r="H282" s="244">
        <f t="shared" si="14"/>
        <v>0</v>
      </c>
    </row>
    <row r="283" spans="1:8" x14ac:dyDescent="0.25">
      <c r="A283" s="8" t="s">
        <v>321</v>
      </c>
      <c r="B283" s="239">
        <v>688233.98</v>
      </c>
      <c r="C283" s="240"/>
      <c r="D283" s="244">
        <f>+IFERROR(+VLOOKUP(A283,'TB final'!$A$5:$J$726,5,0),0)</f>
        <v>688233.98</v>
      </c>
      <c r="E283" s="244">
        <f>+IFERROR(+VLOOKUP(A283,'TB final'!$A$5:$J$726,8,0),0)</f>
        <v>0</v>
      </c>
      <c r="F283" s="244">
        <f t="shared" si="12"/>
        <v>0</v>
      </c>
      <c r="G283" s="244">
        <f t="shared" si="13"/>
        <v>0</v>
      </c>
      <c r="H283" s="244">
        <f t="shared" si="14"/>
        <v>0</v>
      </c>
    </row>
    <row r="284" spans="1:8" x14ac:dyDescent="0.25">
      <c r="A284" s="8" t="s">
        <v>322</v>
      </c>
      <c r="B284" s="240"/>
      <c r="C284" s="239">
        <v>50905004</v>
      </c>
      <c r="D284" s="244">
        <f>+IFERROR(+VLOOKUP(A284,'TB final'!$A$5:$J$726,5,0),0)</f>
        <v>0</v>
      </c>
      <c r="E284" s="244">
        <f>+IFERROR(+VLOOKUP(A284,'TB final'!$A$5:$J$726,8,0),0)</f>
        <v>50905004</v>
      </c>
      <c r="F284" s="244">
        <f t="shared" si="12"/>
        <v>0</v>
      </c>
      <c r="G284" s="244">
        <f t="shared" si="13"/>
        <v>0</v>
      </c>
      <c r="H284" s="244">
        <f t="shared" si="14"/>
        <v>0</v>
      </c>
    </row>
    <row r="285" spans="1:8" x14ac:dyDescent="0.25">
      <c r="A285" s="8" t="s">
        <v>323</v>
      </c>
      <c r="B285" s="239">
        <v>11900</v>
      </c>
      <c r="C285" s="240"/>
      <c r="D285" s="244">
        <f>+IFERROR(+VLOOKUP(A285,'TB final'!$A$5:$J$726,5,0),0)</f>
        <v>11900</v>
      </c>
      <c r="E285" s="244">
        <f>+IFERROR(+VLOOKUP(A285,'TB final'!$A$5:$J$726,8,0),0)</f>
        <v>0</v>
      </c>
      <c r="F285" s="244">
        <f t="shared" si="12"/>
        <v>0</v>
      </c>
      <c r="G285" s="244">
        <f t="shared" si="13"/>
        <v>0</v>
      </c>
      <c r="H285" s="244">
        <f t="shared" si="14"/>
        <v>0</v>
      </c>
    </row>
    <row r="286" spans="1:8" x14ac:dyDescent="0.25">
      <c r="A286" s="8" t="s">
        <v>324</v>
      </c>
      <c r="B286" s="240"/>
      <c r="C286" s="239">
        <v>1692622</v>
      </c>
      <c r="D286" s="244">
        <f>+IFERROR(+VLOOKUP(A286,'TB final'!$A$5:$J$726,5,0),0)</f>
        <v>0</v>
      </c>
      <c r="E286" s="244">
        <f>+IFERROR(+VLOOKUP(A286,'TB final'!$A$5:$J$726,8,0),0)</f>
        <v>1692622</v>
      </c>
      <c r="F286" s="244">
        <f t="shared" si="12"/>
        <v>0</v>
      </c>
      <c r="G286" s="244">
        <f t="shared" si="13"/>
        <v>0</v>
      </c>
      <c r="H286" s="244">
        <f t="shared" si="14"/>
        <v>0</v>
      </c>
    </row>
    <row r="287" spans="1:8" x14ac:dyDescent="0.25">
      <c r="A287" s="8" t="s">
        <v>325</v>
      </c>
      <c r="B287" s="240"/>
      <c r="C287" s="239">
        <v>353.12</v>
      </c>
      <c r="D287" s="244">
        <f>+IFERROR(+VLOOKUP(A287,'TB final'!$A$5:$J$726,5,0),0)</f>
        <v>0</v>
      </c>
      <c r="E287" s="244">
        <f>+IFERROR(+VLOOKUP(A287,'TB final'!$A$5:$J$726,8,0),0)</f>
        <v>353.12</v>
      </c>
      <c r="F287" s="244">
        <f t="shared" si="12"/>
        <v>0</v>
      </c>
      <c r="G287" s="244">
        <f t="shared" si="13"/>
        <v>0</v>
      </c>
      <c r="H287" s="244">
        <f t="shared" si="14"/>
        <v>0</v>
      </c>
    </row>
    <row r="288" spans="1:8" x14ac:dyDescent="0.25">
      <c r="A288" s="8" t="s">
        <v>326</v>
      </c>
      <c r="B288" s="239">
        <v>25272743</v>
      </c>
      <c r="C288" s="240"/>
      <c r="D288" s="244">
        <f>+IFERROR(+VLOOKUP(A288,'TB final'!$A$5:$J$726,5,0),0)</f>
        <v>25272743</v>
      </c>
      <c r="E288" s="244">
        <f>+IFERROR(+VLOOKUP(A288,'TB final'!$A$5:$J$726,8,0),0)</f>
        <v>0</v>
      </c>
      <c r="F288" s="244">
        <f t="shared" si="12"/>
        <v>0</v>
      </c>
      <c r="G288" s="244">
        <f t="shared" si="13"/>
        <v>0</v>
      </c>
      <c r="H288" s="244">
        <f t="shared" si="14"/>
        <v>0</v>
      </c>
    </row>
    <row r="289" spans="1:8" x14ac:dyDescent="0.25">
      <c r="A289" s="8" t="s">
        <v>327</v>
      </c>
      <c r="B289" s="240"/>
      <c r="C289" s="239">
        <v>19934</v>
      </c>
      <c r="D289" s="244">
        <f>+IFERROR(+VLOOKUP(A289,'TB final'!$A$5:$J$726,5,0),0)</f>
        <v>0</v>
      </c>
      <c r="E289" s="244">
        <f>+IFERROR(+VLOOKUP(A289,'TB final'!$A$5:$J$726,8,0),0)</f>
        <v>19934</v>
      </c>
      <c r="F289" s="244">
        <f t="shared" si="12"/>
        <v>0</v>
      </c>
      <c r="G289" s="244">
        <f t="shared" si="13"/>
        <v>0</v>
      </c>
      <c r="H289" s="244">
        <f t="shared" si="14"/>
        <v>0</v>
      </c>
    </row>
    <row r="290" spans="1:8" x14ac:dyDescent="0.25">
      <c r="A290" s="8" t="s">
        <v>328</v>
      </c>
      <c r="B290" s="239">
        <v>347389</v>
      </c>
      <c r="C290" s="240"/>
      <c r="D290" s="244">
        <f>+IFERROR(+VLOOKUP(A290,'TB final'!$A$5:$J$726,5,0),0)</f>
        <v>347389</v>
      </c>
      <c r="E290" s="244">
        <f>+IFERROR(+VLOOKUP(A290,'TB final'!$A$5:$J$726,8,0),0)</f>
        <v>0</v>
      </c>
      <c r="F290" s="244">
        <f t="shared" si="12"/>
        <v>0</v>
      </c>
      <c r="G290" s="244">
        <f t="shared" si="13"/>
        <v>0</v>
      </c>
      <c r="H290" s="244">
        <f t="shared" si="14"/>
        <v>0</v>
      </c>
    </row>
    <row r="291" spans="1:8" x14ac:dyDescent="0.25">
      <c r="A291" s="8" t="s">
        <v>329</v>
      </c>
      <c r="B291" s="240"/>
      <c r="C291" s="239">
        <v>331346</v>
      </c>
      <c r="D291" s="244">
        <f>+IFERROR(+VLOOKUP(A291,'TB final'!$A$5:$J$726,5,0),0)</f>
        <v>0</v>
      </c>
      <c r="E291" s="244">
        <f>+IFERROR(+VLOOKUP(A291,'TB final'!$A$5:$J$726,8,0),0)</f>
        <v>331346</v>
      </c>
      <c r="F291" s="244">
        <f t="shared" si="12"/>
        <v>0</v>
      </c>
      <c r="G291" s="244">
        <f t="shared" si="13"/>
        <v>0</v>
      </c>
      <c r="H291" s="244">
        <f t="shared" si="14"/>
        <v>0</v>
      </c>
    </row>
    <row r="292" spans="1:8" x14ac:dyDescent="0.25">
      <c r="A292" s="8" t="s">
        <v>330</v>
      </c>
      <c r="B292" s="240"/>
      <c r="C292" s="239">
        <v>1029792</v>
      </c>
      <c r="D292" s="244">
        <f>+IFERROR(+VLOOKUP(A292,'TB final'!$A$5:$J$726,5,0),0)</f>
        <v>0</v>
      </c>
      <c r="E292" s="244">
        <f>+IFERROR(+VLOOKUP(A292,'TB final'!$A$5:$J$726,8,0),0)</f>
        <v>1029792</v>
      </c>
      <c r="F292" s="244">
        <f t="shared" si="12"/>
        <v>0</v>
      </c>
      <c r="G292" s="244">
        <f t="shared" si="13"/>
        <v>0</v>
      </c>
      <c r="H292" s="244">
        <f t="shared" si="14"/>
        <v>0</v>
      </c>
    </row>
    <row r="293" spans="1:8" x14ac:dyDescent="0.25">
      <c r="A293" s="8" t="s">
        <v>331</v>
      </c>
      <c r="B293" s="239">
        <v>216000</v>
      </c>
      <c r="C293" s="240"/>
      <c r="D293" s="244">
        <f>+IFERROR(+VLOOKUP(A293,'TB final'!$A$5:$J$726,5,0),0)</f>
        <v>216000</v>
      </c>
      <c r="E293" s="244">
        <f>+IFERROR(+VLOOKUP(A293,'TB final'!$A$5:$J$726,8,0),0)</f>
        <v>0</v>
      </c>
      <c r="F293" s="244">
        <f t="shared" si="12"/>
        <v>0</v>
      </c>
      <c r="G293" s="244">
        <f t="shared" si="13"/>
        <v>0</v>
      </c>
      <c r="H293" s="244">
        <f t="shared" si="14"/>
        <v>0</v>
      </c>
    </row>
    <row r="294" spans="1:8" x14ac:dyDescent="0.25">
      <c r="A294" s="8" t="s">
        <v>332</v>
      </c>
      <c r="B294" s="239">
        <v>1684618</v>
      </c>
      <c r="C294" s="240"/>
      <c r="D294" s="244">
        <f>+IFERROR(+VLOOKUP(A294,'TB final'!$A$5:$J$726,5,0),0)</f>
        <v>1684618</v>
      </c>
      <c r="E294" s="244">
        <f>+IFERROR(+VLOOKUP(A294,'TB final'!$A$5:$J$726,8,0),0)</f>
        <v>0</v>
      </c>
      <c r="F294" s="244">
        <f t="shared" si="12"/>
        <v>0</v>
      </c>
      <c r="G294" s="244">
        <f t="shared" si="13"/>
        <v>0</v>
      </c>
      <c r="H294" s="244">
        <f t="shared" si="14"/>
        <v>0</v>
      </c>
    </row>
    <row r="295" spans="1:8" x14ac:dyDescent="0.25">
      <c r="A295" s="8" t="s">
        <v>333</v>
      </c>
      <c r="B295" s="239">
        <v>2423600</v>
      </c>
      <c r="C295" s="240"/>
      <c r="D295" s="244">
        <f>+IFERROR(+VLOOKUP(A295,'TB final'!$A$5:$J$726,5,0),0)</f>
        <v>2423600</v>
      </c>
      <c r="E295" s="244">
        <f>+IFERROR(+VLOOKUP(A295,'TB final'!$A$5:$J$726,8,0),0)</f>
        <v>0</v>
      </c>
      <c r="F295" s="244">
        <f t="shared" si="12"/>
        <v>0</v>
      </c>
      <c r="G295" s="244">
        <f t="shared" si="13"/>
        <v>0</v>
      </c>
      <c r="H295" s="244">
        <f t="shared" si="14"/>
        <v>0</v>
      </c>
    </row>
    <row r="296" spans="1:8" x14ac:dyDescent="0.25">
      <c r="A296" s="8" t="s">
        <v>334</v>
      </c>
      <c r="B296" s="239">
        <v>8467719</v>
      </c>
      <c r="C296" s="240"/>
      <c r="D296" s="244">
        <f>+IFERROR(+VLOOKUP(A296,'TB final'!$A$5:$J$726,5,0),0)</f>
        <v>8467719</v>
      </c>
      <c r="E296" s="244">
        <f>+IFERROR(+VLOOKUP(A296,'TB final'!$A$5:$J$726,8,0),0)</f>
        <v>0</v>
      </c>
      <c r="F296" s="244">
        <f t="shared" si="12"/>
        <v>0</v>
      </c>
      <c r="G296" s="244">
        <f t="shared" si="13"/>
        <v>0</v>
      </c>
      <c r="H296" s="244">
        <f t="shared" si="14"/>
        <v>0</v>
      </c>
    </row>
    <row r="297" spans="1:8" x14ac:dyDescent="0.25">
      <c r="A297" s="8" t="s">
        <v>335</v>
      </c>
      <c r="B297" s="240"/>
      <c r="C297" s="239">
        <v>714551552.14999998</v>
      </c>
      <c r="D297" s="244">
        <f>+IFERROR(+VLOOKUP(A297,'TB final'!$A$5:$J$726,5,0),0)</f>
        <v>0</v>
      </c>
      <c r="E297" s="244">
        <f>+IFERROR(+VLOOKUP(A297,'TB final'!$A$5:$J$726,8,0),0)</f>
        <v>714551552.14999998</v>
      </c>
      <c r="F297" s="244">
        <f t="shared" si="12"/>
        <v>0</v>
      </c>
      <c r="G297" s="244">
        <f t="shared" si="13"/>
        <v>0</v>
      </c>
      <c r="H297" s="244">
        <f t="shared" si="14"/>
        <v>0</v>
      </c>
    </row>
    <row r="298" spans="1:8" x14ac:dyDescent="0.25">
      <c r="A298" s="8" t="s">
        <v>1436</v>
      </c>
      <c r="B298" s="240"/>
      <c r="C298" s="239">
        <v>80530681.049999997</v>
      </c>
      <c r="D298" s="244">
        <f>+IFERROR(+VLOOKUP(A298,'TB final'!$A$5:$J$726,5,0),0)</f>
        <v>0</v>
      </c>
      <c r="E298" s="244">
        <f>+IFERROR(+VLOOKUP(A298,'TB final'!$A$5:$J$726,8,0),0)</f>
        <v>80530681.049999997</v>
      </c>
      <c r="F298" s="244">
        <f t="shared" si="12"/>
        <v>0</v>
      </c>
      <c r="G298" s="244">
        <f t="shared" si="13"/>
        <v>0</v>
      </c>
      <c r="H298" s="244">
        <f t="shared" si="14"/>
        <v>0</v>
      </c>
    </row>
    <row r="299" spans="1:8" x14ac:dyDescent="0.25">
      <c r="A299" s="8" t="s">
        <v>336</v>
      </c>
      <c r="B299" s="240"/>
      <c r="C299" s="239">
        <v>729659</v>
      </c>
      <c r="D299" s="244">
        <f>+IFERROR(+VLOOKUP(A299,'TB final'!$A$5:$J$726,5,0),0)</f>
        <v>0</v>
      </c>
      <c r="E299" s="244">
        <f>+IFERROR(+VLOOKUP(A299,'TB final'!$A$5:$J$726,8,0),0)</f>
        <v>729659</v>
      </c>
      <c r="F299" s="244">
        <f t="shared" si="12"/>
        <v>0</v>
      </c>
      <c r="G299" s="244">
        <f t="shared" si="13"/>
        <v>0</v>
      </c>
      <c r="H299" s="244">
        <f t="shared" si="14"/>
        <v>0</v>
      </c>
    </row>
    <row r="300" spans="1:8" x14ac:dyDescent="0.25">
      <c r="A300" s="8" t="s">
        <v>337</v>
      </c>
      <c r="B300" s="240"/>
      <c r="C300" s="239">
        <v>941222</v>
      </c>
      <c r="D300" s="244">
        <f>+IFERROR(+VLOOKUP(A300,'TB final'!$A$5:$J$726,5,0),0)</f>
        <v>0</v>
      </c>
      <c r="E300" s="244">
        <f>+IFERROR(+VLOOKUP(A300,'TB final'!$A$5:$J$726,8,0),0)</f>
        <v>941222</v>
      </c>
      <c r="F300" s="244">
        <f t="shared" si="12"/>
        <v>0</v>
      </c>
      <c r="G300" s="244">
        <f t="shared" si="13"/>
        <v>0</v>
      </c>
      <c r="H300" s="244">
        <f t="shared" si="14"/>
        <v>0</v>
      </c>
    </row>
    <row r="301" spans="1:8" x14ac:dyDescent="0.25">
      <c r="A301" s="8" t="s">
        <v>338</v>
      </c>
      <c r="B301" s="240"/>
      <c r="C301" s="239">
        <v>1764791</v>
      </c>
      <c r="D301" s="244">
        <f>+IFERROR(+VLOOKUP(A301,'TB final'!$A$5:$J$726,5,0),0)</f>
        <v>0</v>
      </c>
      <c r="E301" s="244">
        <f>+IFERROR(+VLOOKUP(A301,'TB final'!$A$5:$J$726,8,0),0)</f>
        <v>1764791</v>
      </c>
      <c r="F301" s="244">
        <f t="shared" si="12"/>
        <v>0</v>
      </c>
      <c r="G301" s="244">
        <f t="shared" si="13"/>
        <v>0</v>
      </c>
      <c r="H301" s="244">
        <f t="shared" si="14"/>
        <v>0</v>
      </c>
    </row>
    <row r="302" spans="1:8" x14ac:dyDescent="0.25">
      <c r="A302" s="8" t="s">
        <v>1365</v>
      </c>
      <c r="B302" s="240"/>
      <c r="C302" s="239">
        <v>401154</v>
      </c>
      <c r="D302" s="244">
        <f>+IFERROR(+VLOOKUP(A302,'TB final'!$A$5:$J$726,5,0),0)</f>
        <v>0</v>
      </c>
      <c r="E302" s="244">
        <f>+IFERROR(+VLOOKUP(A302,'TB final'!$A$5:$J$726,8,0),0)</f>
        <v>401154</v>
      </c>
      <c r="F302" s="244">
        <f t="shared" si="12"/>
        <v>0</v>
      </c>
      <c r="G302" s="244">
        <f t="shared" si="13"/>
        <v>0</v>
      </c>
      <c r="H302" s="244">
        <f t="shared" si="14"/>
        <v>0</v>
      </c>
    </row>
    <row r="303" spans="1:8" x14ac:dyDescent="0.25">
      <c r="A303" s="8" t="s">
        <v>340</v>
      </c>
      <c r="B303" s="240"/>
      <c r="C303" s="239">
        <v>14600000</v>
      </c>
      <c r="D303" s="244">
        <f>+IFERROR(+VLOOKUP(A303,'TB final'!$A$5:$J$726,5,0),0)</f>
        <v>0</v>
      </c>
      <c r="E303" s="244">
        <f>+IFERROR(+VLOOKUP(A303,'TB final'!$A$5:$J$726,8,0),0)</f>
        <v>14600000</v>
      </c>
      <c r="F303" s="244">
        <f t="shared" si="12"/>
        <v>0</v>
      </c>
      <c r="G303" s="244">
        <f t="shared" si="13"/>
        <v>0</v>
      </c>
      <c r="H303" s="244">
        <f t="shared" si="14"/>
        <v>0</v>
      </c>
    </row>
    <row r="304" spans="1:8" x14ac:dyDescent="0.25">
      <c r="A304" s="8" t="s">
        <v>341</v>
      </c>
      <c r="B304" s="239">
        <v>78364.399999999994</v>
      </c>
      <c r="C304" s="240"/>
      <c r="D304" s="244">
        <f>+IFERROR(+VLOOKUP(A304,'TB final'!$A$5:$J$726,5,0),0)</f>
        <v>78364.399999999994</v>
      </c>
      <c r="E304" s="244">
        <f>+IFERROR(+VLOOKUP(A304,'TB final'!$A$5:$J$726,8,0),0)</f>
        <v>0</v>
      </c>
      <c r="F304" s="244">
        <f t="shared" si="12"/>
        <v>0</v>
      </c>
      <c r="G304" s="244">
        <f t="shared" si="13"/>
        <v>0</v>
      </c>
      <c r="H304" s="244">
        <f t="shared" si="14"/>
        <v>0</v>
      </c>
    </row>
    <row r="305" spans="1:8" x14ac:dyDescent="0.25">
      <c r="A305" s="8" t="s">
        <v>342</v>
      </c>
      <c r="B305" s="240"/>
      <c r="C305" s="239">
        <v>3874175</v>
      </c>
      <c r="D305" s="244">
        <f>+IFERROR(+VLOOKUP(A305,'TB final'!$A$5:$J$726,5,0),0)</f>
        <v>0</v>
      </c>
      <c r="E305" s="244">
        <f>+IFERROR(+VLOOKUP(A305,'TB final'!$A$5:$J$726,8,0),0)</f>
        <v>3874175</v>
      </c>
      <c r="F305" s="244">
        <f t="shared" si="12"/>
        <v>0</v>
      </c>
      <c r="G305" s="244">
        <f t="shared" si="13"/>
        <v>0</v>
      </c>
      <c r="H305" s="244">
        <f t="shared" si="14"/>
        <v>0</v>
      </c>
    </row>
    <row r="306" spans="1:8" x14ac:dyDescent="0.25">
      <c r="A306" s="8" t="s">
        <v>343</v>
      </c>
      <c r="B306" s="240"/>
      <c r="C306" s="239">
        <v>3118016</v>
      </c>
      <c r="D306" s="244">
        <f>+IFERROR(+VLOOKUP(A306,'TB final'!$A$5:$J$726,5,0),0)</f>
        <v>0</v>
      </c>
      <c r="E306" s="244">
        <f>+IFERROR(+VLOOKUP(A306,'TB final'!$A$5:$J$726,8,0),0)</f>
        <v>3118016</v>
      </c>
      <c r="F306" s="244">
        <f t="shared" si="12"/>
        <v>0</v>
      </c>
      <c r="G306" s="244">
        <f t="shared" si="13"/>
        <v>0</v>
      </c>
      <c r="H306" s="244">
        <f t="shared" si="14"/>
        <v>0</v>
      </c>
    </row>
    <row r="307" spans="1:8" x14ac:dyDescent="0.25">
      <c r="A307" s="8" t="s">
        <v>344</v>
      </c>
      <c r="B307" s="240"/>
      <c r="C307" s="239">
        <v>117270</v>
      </c>
      <c r="D307" s="244">
        <f>+IFERROR(+VLOOKUP(A307,'TB final'!$A$5:$J$726,5,0),0)</f>
        <v>0</v>
      </c>
      <c r="E307" s="244">
        <f>+IFERROR(+VLOOKUP(A307,'TB final'!$A$5:$J$726,8,0),0)</f>
        <v>117270</v>
      </c>
      <c r="F307" s="244">
        <f t="shared" si="12"/>
        <v>0</v>
      </c>
      <c r="G307" s="244">
        <f t="shared" si="13"/>
        <v>0</v>
      </c>
      <c r="H307" s="244">
        <f t="shared" si="14"/>
        <v>0</v>
      </c>
    </row>
    <row r="308" spans="1:8" x14ac:dyDescent="0.25">
      <c r="A308" s="8" t="s">
        <v>345</v>
      </c>
      <c r="B308" s="240"/>
      <c r="C308" s="239">
        <v>25470</v>
      </c>
      <c r="D308" s="244">
        <f>+IFERROR(+VLOOKUP(A308,'TB final'!$A$5:$J$726,5,0),0)</f>
        <v>0</v>
      </c>
      <c r="E308" s="244">
        <f>+IFERROR(+VLOOKUP(A308,'TB final'!$A$5:$J$726,8,0),0)</f>
        <v>25470</v>
      </c>
      <c r="F308" s="244">
        <f t="shared" si="12"/>
        <v>0</v>
      </c>
      <c r="G308" s="244">
        <f t="shared" si="13"/>
        <v>0</v>
      </c>
      <c r="H308" s="244">
        <f t="shared" si="14"/>
        <v>0</v>
      </c>
    </row>
    <row r="309" spans="1:8" x14ac:dyDescent="0.25">
      <c r="A309" s="8" t="s">
        <v>346</v>
      </c>
      <c r="B309" s="240"/>
      <c r="C309" s="239">
        <v>8664946</v>
      </c>
      <c r="D309" s="244">
        <f>+IFERROR(+VLOOKUP(A309,'TB final'!$A$5:$J$726,5,0),0)</f>
        <v>0</v>
      </c>
      <c r="E309" s="244">
        <f>+IFERROR(+VLOOKUP(A309,'TB final'!$A$5:$J$726,8,0),0)</f>
        <v>8664946</v>
      </c>
      <c r="F309" s="244">
        <f t="shared" si="12"/>
        <v>0</v>
      </c>
      <c r="G309" s="244">
        <f t="shared" si="13"/>
        <v>0</v>
      </c>
      <c r="H309" s="244">
        <f t="shared" si="14"/>
        <v>0</v>
      </c>
    </row>
    <row r="310" spans="1:8" x14ac:dyDescent="0.25">
      <c r="A310" s="8" t="s">
        <v>347</v>
      </c>
      <c r="B310" s="239">
        <v>703243</v>
      </c>
      <c r="C310" s="240"/>
      <c r="D310" s="244">
        <f>+IFERROR(+VLOOKUP(A310,'TB final'!$A$5:$J$726,5,0),0)</f>
        <v>703243</v>
      </c>
      <c r="E310" s="244">
        <f>+IFERROR(+VLOOKUP(A310,'TB final'!$A$5:$J$726,8,0),0)</f>
        <v>0</v>
      </c>
      <c r="F310" s="244">
        <f t="shared" si="12"/>
        <v>0</v>
      </c>
      <c r="G310" s="244">
        <f t="shared" si="13"/>
        <v>0</v>
      </c>
      <c r="H310" s="244">
        <f t="shared" si="14"/>
        <v>0</v>
      </c>
    </row>
    <row r="311" spans="1:8" x14ac:dyDescent="0.25">
      <c r="A311" s="8" t="s">
        <v>348</v>
      </c>
      <c r="B311" s="240"/>
      <c r="C311" s="239">
        <v>204940</v>
      </c>
      <c r="D311" s="244">
        <f>+IFERROR(+VLOOKUP(A311,'TB final'!$A$5:$J$726,5,0),0)</f>
        <v>0</v>
      </c>
      <c r="E311" s="244">
        <f>+IFERROR(+VLOOKUP(A311,'TB final'!$A$5:$J$726,8,0),0)</f>
        <v>204940</v>
      </c>
      <c r="F311" s="244">
        <f t="shared" si="12"/>
        <v>0</v>
      </c>
      <c r="G311" s="244">
        <f t="shared" si="13"/>
        <v>0</v>
      </c>
      <c r="H311" s="244">
        <f t="shared" si="14"/>
        <v>0</v>
      </c>
    </row>
    <row r="312" spans="1:8" x14ac:dyDescent="0.25">
      <c r="A312" s="8" t="s">
        <v>349</v>
      </c>
      <c r="B312" s="240"/>
      <c r="C312" s="239">
        <v>18748332</v>
      </c>
      <c r="D312" s="244">
        <f>+IFERROR(+VLOOKUP(A312,'TB final'!$A$5:$J$726,5,0),0)</f>
        <v>0</v>
      </c>
      <c r="E312" s="244">
        <f>+IFERROR(+VLOOKUP(A312,'TB final'!$A$5:$J$726,8,0),0)</f>
        <v>18748332</v>
      </c>
      <c r="F312" s="244">
        <f t="shared" si="12"/>
        <v>0</v>
      </c>
      <c r="G312" s="244">
        <f t="shared" si="13"/>
        <v>0</v>
      </c>
      <c r="H312" s="244">
        <f t="shared" si="14"/>
        <v>0</v>
      </c>
    </row>
    <row r="313" spans="1:8" x14ac:dyDescent="0.25">
      <c r="A313" s="8" t="s">
        <v>368</v>
      </c>
      <c r="B313" s="240"/>
      <c r="C313" s="239">
        <v>2852634</v>
      </c>
      <c r="D313" s="244">
        <f>+IFERROR(+VLOOKUP(A313,'TB final'!$A$5:$J$726,5,0),0)</f>
        <v>0</v>
      </c>
      <c r="E313" s="244">
        <f>+IFERROR(+VLOOKUP(A313,'TB final'!$A$5:$J$726,8,0),0)</f>
        <v>2852634</v>
      </c>
      <c r="F313" s="244">
        <f t="shared" si="12"/>
        <v>0</v>
      </c>
      <c r="G313" s="244">
        <f t="shared" si="13"/>
        <v>0</v>
      </c>
      <c r="H313" s="244">
        <f t="shared" si="14"/>
        <v>0</v>
      </c>
    </row>
    <row r="314" spans="1:8" x14ac:dyDescent="0.25">
      <c r="A314" s="8" t="s">
        <v>369</v>
      </c>
      <c r="B314" s="239">
        <v>53295.15</v>
      </c>
      <c r="C314" s="240"/>
      <c r="D314" s="244">
        <f>+IFERROR(+VLOOKUP(A314,'TB final'!$A$5:$J$726,5,0),0)</f>
        <v>53295.15</v>
      </c>
      <c r="E314" s="244">
        <f>+IFERROR(+VLOOKUP(A314,'TB final'!$A$5:$J$726,8,0),0)</f>
        <v>0</v>
      </c>
      <c r="F314" s="244">
        <f t="shared" si="12"/>
        <v>0</v>
      </c>
      <c r="G314" s="244">
        <f t="shared" si="13"/>
        <v>0</v>
      </c>
      <c r="H314" s="244">
        <f t="shared" si="14"/>
        <v>0</v>
      </c>
    </row>
    <row r="315" spans="1:8" x14ac:dyDescent="0.25">
      <c r="A315" s="8" t="s">
        <v>370</v>
      </c>
      <c r="B315" s="239">
        <v>29993</v>
      </c>
      <c r="C315" s="240"/>
      <c r="D315" s="244">
        <f>+IFERROR(+VLOOKUP(A315,'TB final'!$A$5:$J$726,5,0),0)</f>
        <v>29993</v>
      </c>
      <c r="E315" s="244">
        <f>+IFERROR(+VLOOKUP(A315,'TB final'!$A$5:$J$726,8,0),0)</f>
        <v>0</v>
      </c>
      <c r="F315" s="244">
        <f t="shared" si="12"/>
        <v>0</v>
      </c>
      <c r="G315" s="244">
        <f t="shared" si="13"/>
        <v>0</v>
      </c>
      <c r="H315" s="244">
        <f t="shared" si="14"/>
        <v>0</v>
      </c>
    </row>
    <row r="316" spans="1:8" x14ac:dyDescent="0.25">
      <c r="A316" s="8" t="s">
        <v>371</v>
      </c>
      <c r="B316" s="239">
        <v>20183</v>
      </c>
      <c r="C316" s="240"/>
      <c r="D316" s="244">
        <f>+IFERROR(+VLOOKUP(A316,'TB final'!$A$5:$J$726,5,0),0)</f>
        <v>20183</v>
      </c>
      <c r="E316" s="244">
        <f>+IFERROR(+VLOOKUP(A316,'TB final'!$A$5:$J$726,8,0),0)</f>
        <v>0</v>
      </c>
      <c r="F316" s="244">
        <f t="shared" si="12"/>
        <v>0</v>
      </c>
      <c r="G316" s="244">
        <f t="shared" si="13"/>
        <v>0</v>
      </c>
      <c r="H316" s="244">
        <f t="shared" si="14"/>
        <v>0</v>
      </c>
    </row>
    <row r="317" spans="1:8" x14ac:dyDescent="0.25">
      <c r="A317" s="8" t="s">
        <v>824</v>
      </c>
      <c r="B317" s="239">
        <v>59270</v>
      </c>
      <c r="C317" s="240"/>
      <c r="D317" s="244">
        <f>+IFERROR(+VLOOKUP(A317,'TB final'!$A$5:$J$726,5,0),0)</f>
        <v>59270</v>
      </c>
      <c r="E317" s="244">
        <f>+IFERROR(+VLOOKUP(A317,'TB final'!$A$5:$J$726,8,0),0)</f>
        <v>0</v>
      </c>
      <c r="F317" s="244">
        <f t="shared" si="12"/>
        <v>0</v>
      </c>
      <c r="G317" s="244">
        <f t="shared" si="13"/>
        <v>0</v>
      </c>
      <c r="H317" s="244">
        <f t="shared" si="14"/>
        <v>0</v>
      </c>
    </row>
    <row r="318" spans="1:8" x14ac:dyDescent="0.25">
      <c r="A318" s="8" t="s">
        <v>372</v>
      </c>
      <c r="B318" s="240"/>
      <c r="C318" s="239">
        <v>2456715</v>
      </c>
      <c r="D318" s="244">
        <f>+IFERROR(+VLOOKUP(A318,'TB final'!$A$5:$J$726,5,0),0)</f>
        <v>0</v>
      </c>
      <c r="E318" s="244">
        <f>+IFERROR(+VLOOKUP(A318,'TB final'!$A$5:$J$726,8,0),0)</f>
        <v>2456715</v>
      </c>
      <c r="F318" s="244">
        <f t="shared" si="12"/>
        <v>0</v>
      </c>
      <c r="G318" s="244">
        <f t="shared" si="13"/>
        <v>0</v>
      </c>
      <c r="H318" s="244">
        <f t="shared" si="14"/>
        <v>0</v>
      </c>
    </row>
    <row r="319" spans="1:8" x14ac:dyDescent="0.25">
      <c r="A319" s="8" t="s">
        <v>373</v>
      </c>
      <c r="B319" s="239">
        <v>2856394</v>
      </c>
      <c r="C319" s="240"/>
      <c r="D319" s="244">
        <f>+IFERROR(+VLOOKUP(A319,'TB final'!$A$5:$J$726,5,0),0)</f>
        <v>2856394</v>
      </c>
      <c r="E319" s="244">
        <f>+IFERROR(+VLOOKUP(A319,'TB final'!$A$5:$J$726,8,0),0)</f>
        <v>0</v>
      </c>
      <c r="F319" s="244">
        <f t="shared" si="12"/>
        <v>0</v>
      </c>
      <c r="G319" s="244">
        <f t="shared" si="13"/>
        <v>0</v>
      </c>
      <c r="H319" s="244">
        <f t="shared" si="14"/>
        <v>0</v>
      </c>
    </row>
    <row r="320" spans="1:8" x14ac:dyDescent="0.25">
      <c r="A320" s="8" t="s">
        <v>374</v>
      </c>
      <c r="B320" s="239">
        <v>168822</v>
      </c>
      <c r="C320" s="240"/>
      <c r="D320" s="244">
        <f>+IFERROR(+VLOOKUP(A320,'TB final'!$A$5:$J$726,5,0),0)</f>
        <v>168822</v>
      </c>
      <c r="E320" s="244">
        <f>+IFERROR(+VLOOKUP(A320,'TB final'!$A$5:$J$726,8,0),0)</f>
        <v>0</v>
      </c>
      <c r="F320" s="244">
        <f t="shared" si="12"/>
        <v>0</v>
      </c>
      <c r="G320" s="244">
        <f t="shared" si="13"/>
        <v>0</v>
      </c>
      <c r="H320" s="244">
        <f t="shared" si="14"/>
        <v>0</v>
      </c>
    </row>
    <row r="321" spans="1:8" x14ac:dyDescent="0.25">
      <c r="A321" s="8" t="s">
        <v>376</v>
      </c>
      <c r="B321" s="240"/>
      <c r="C321" s="239">
        <v>19308</v>
      </c>
      <c r="D321" s="244">
        <f>+IFERROR(+VLOOKUP(A321,'TB final'!$A$5:$J$726,5,0),0)</f>
        <v>0</v>
      </c>
      <c r="E321" s="244">
        <f>+IFERROR(+VLOOKUP(A321,'TB final'!$A$5:$J$726,8,0),0)</f>
        <v>19308</v>
      </c>
      <c r="F321" s="244">
        <f t="shared" si="12"/>
        <v>0</v>
      </c>
      <c r="G321" s="244">
        <f t="shared" si="13"/>
        <v>0</v>
      </c>
      <c r="H321" s="244">
        <f t="shared" si="14"/>
        <v>0</v>
      </c>
    </row>
    <row r="322" spans="1:8" x14ac:dyDescent="0.25">
      <c r="A322" s="8" t="s">
        <v>377</v>
      </c>
      <c r="B322" s="240"/>
      <c r="C322" s="239">
        <v>586169</v>
      </c>
      <c r="D322" s="244">
        <f>+IFERROR(+VLOOKUP(A322,'TB final'!$A$5:$J$726,5,0),0)</f>
        <v>0</v>
      </c>
      <c r="E322" s="244">
        <f>+IFERROR(+VLOOKUP(A322,'TB final'!$A$5:$J$726,8,0),0)</f>
        <v>586169</v>
      </c>
      <c r="F322" s="244">
        <f t="shared" si="12"/>
        <v>0</v>
      </c>
      <c r="G322" s="244">
        <f t="shared" si="13"/>
        <v>0</v>
      </c>
      <c r="H322" s="244">
        <f t="shared" si="14"/>
        <v>0</v>
      </c>
    </row>
    <row r="323" spans="1:8" x14ac:dyDescent="0.25">
      <c r="A323" s="8" t="s">
        <v>378</v>
      </c>
      <c r="B323" s="239">
        <v>511714</v>
      </c>
      <c r="C323" s="240"/>
      <c r="D323" s="244">
        <f>+IFERROR(+VLOOKUP(A323,'TB final'!$A$5:$J$726,5,0),0)</f>
        <v>511714</v>
      </c>
      <c r="E323" s="244">
        <f>+IFERROR(+VLOOKUP(A323,'TB final'!$A$5:$J$726,8,0),0)</f>
        <v>0</v>
      </c>
      <c r="F323" s="244">
        <f t="shared" si="12"/>
        <v>0</v>
      </c>
      <c r="G323" s="244">
        <f t="shared" si="13"/>
        <v>0</v>
      </c>
      <c r="H323" s="244">
        <f t="shared" si="14"/>
        <v>0</v>
      </c>
    </row>
    <row r="324" spans="1:8" x14ac:dyDescent="0.25">
      <c r="A324" s="8" t="s">
        <v>379</v>
      </c>
      <c r="B324" s="240"/>
      <c r="C324" s="239">
        <v>134747</v>
      </c>
      <c r="D324" s="244">
        <f>+IFERROR(+VLOOKUP(A324,'TB final'!$A$5:$J$726,5,0),0)</f>
        <v>0</v>
      </c>
      <c r="E324" s="244">
        <f>+IFERROR(+VLOOKUP(A324,'TB final'!$A$5:$J$726,8,0),0)</f>
        <v>134747</v>
      </c>
      <c r="F324" s="244">
        <f t="shared" si="12"/>
        <v>0</v>
      </c>
      <c r="G324" s="244">
        <f t="shared" si="13"/>
        <v>0</v>
      </c>
      <c r="H324" s="244">
        <f t="shared" si="14"/>
        <v>0</v>
      </c>
    </row>
    <row r="325" spans="1:8" x14ac:dyDescent="0.25">
      <c r="A325" s="8" t="s">
        <v>380</v>
      </c>
      <c r="B325" s="239">
        <v>173031</v>
      </c>
      <c r="C325" s="240"/>
      <c r="D325" s="244">
        <f>+IFERROR(+VLOOKUP(A325,'TB final'!$A$5:$J$726,5,0),0)</f>
        <v>173031</v>
      </c>
      <c r="E325" s="244">
        <f>+IFERROR(+VLOOKUP(A325,'TB final'!$A$5:$J$726,8,0),0)</f>
        <v>0</v>
      </c>
      <c r="F325" s="244">
        <f t="shared" si="12"/>
        <v>0</v>
      </c>
      <c r="G325" s="244">
        <f t="shared" si="13"/>
        <v>0</v>
      </c>
      <c r="H325" s="244">
        <f t="shared" si="14"/>
        <v>0</v>
      </c>
    </row>
    <row r="326" spans="1:8" x14ac:dyDescent="0.25">
      <c r="A326" s="8" t="s">
        <v>381</v>
      </c>
      <c r="B326" s="239">
        <v>885649</v>
      </c>
      <c r="C326" s="240"/>
      <c r="D326" s="244">
        <f>+IFERROR(+VLOOKUP(A326,'TB final'!$A$5:$J$726,5,0),0)</f>
        <v>885649</v>
      </c>
      <c r="E326" s="244">
        <f>+IFERROR(+VLOOKUP(A326,'TB final'!$A$5:$J$726,8,0),0)</f>
        <v>0</v>
      </c>
      <c r="F326" s="244">
        <f t="shared" si="12"/>
        <v>0</v>
      </c>
      <c r="G326" s="244">
        <f t="shared" si="13"/>
        <v>0</v>
      </c>
      <c r="H326" s="244">
        <f t="shared" si="14"/>
        <v>0</v>
      </c>
    </row>
    <row r="327" spans="1:8" x14ac:dyDescent="0.25">
      <c r="A327" s="8" t="s">
        <v>382</v>
      </c>
      <c r="B327" s="239">
        <v>55555</v>
      </c>
      <c r="C327" s="240"/>
      <c r="D327" s="244">
        <f>+IFERROR(+VLOOKUP(A327,'TB final'!$A$5:$J$726,5,0),0)</f>
        <v>55555</v>
      </c>
      <c r="E327" s="244">
        <f>+IFERROR(+VLOOKUP(A327,'TB final'!$A$5:$J$726,8,0),0)</f>
        <v>0</v>
      </c>
      <c r="F327" s="244">
        <f t="shared" si="12"/>
        <v>0</v>
      </c>
      <c r="G327" s="244">
        <f t="shared" si="13"/>
        <v>0</v>
      </c>
      <c r="H327" s="244">
        <f t="shared" si="14"/>
        <v>0</v>
      </c>
    </row>
    <row r="328" spans="1:8" x14ac:dyDescent="0.25">
      <c r="A328" s="8" t="s">
        <v>383</v>
      </c>
      <c r="B328" s="239">
        <v>26467</v>
      </c>
      <c r="C328" s="240"/>
      <c r="D328" s="244">
        <f>+IFERROR(+VLOOKUP(A328,'TB final'!$A$5:$J$726,5,0),0)</f>
        <v>26467</v>
      </c>
      <c r="E328" s="244">
        <f>+IFERROR(+VLOOKUP(A328,'TB final'!$A$5:$J$726,8,0),0)</f>
        <v>0</v>
      </c>
      <c r="F328" s="244">
        <f t="shared" si="12"/>
        <v>0</v>
      </c>
      <c r="G328" s="244">
        <f t="shared" si="13"/>
        <v>0</v>
      </c>
      <c r="H328" s="244">
        <f t="shared" si="14"/>
        <v>0</v>
      </c>
    </row>
    <row r="329" spans="1:8" x14ac:dyDescent="0.25">
      <c r="A329" s="8" t="s">
        <v>384</v>
      </c>
      <c r="B329" s="240"/>
      <c r="C329" s="239">
        <v>1882446</v>
      </c>
      <c r="D329" s="244">
        <f>+IFERROR(+VLOOKUP(A329,'TB final'!$A$5:$J$726,5,0),0)</f>
        <v>0</v>
      </c>
      <c r="E329" s="244">
        <f>+IFERROR(+VLOOKUP(A329,'TB final'!$A$5:$J$726,8,0),0)</f>
        <v>1882446</v>
      </c>
      <c r="F329" s="244">
        <f t="shared" si="12"/>
        <v>0</v>
      </c>
      <c r="G329" s="244">
        <f t="shared" si="13"/>
        <v>0</v>
      </c>
      <c r="H329" s="244">
        <f t="shared" si="14"/>
        <v>0</v>
      </c>
    </row>
    <row r="330" spans="1:8" x14ac:dyDescent="0.25">
      <c r="A330" s="8" t="s">
        <v>385</v>
      </c>
      <c r="B330" s="240"/>
      <c r="C330" s="239">
        <v>31436</v>
      </c>
      <c r="D330" s="244">
        <f>+IFERROR(+VLOOKUP(A330,'TB final'!$A$5:$J$726,5,0),0)</f>
        <v>0</v>
      </c>
      <c r="E330" s="244">
        <f>+IFERROR(+VLOOKUP(A330,'TB final'!$A$5:$J$726,8,0),0)</f>
        <v>31436</v>
      </c>
      <c r="F330" s="244">
        <f t="shared" si="12"/>
        <v>0</v>
      </c>
      <c r="G330" s="244">
        <f t="shared" si="13"/>
        <v>0</v>
      </c>
      <c r="H330" s="244">
        <f t="shared" si="14"/>
        <v>0</v>
      </c>
    </row>
    <row r="331" spans="1:8" x14ac:dyDescent="0.25">
      <c r="A331" s="8" t="s">
        <v>386</v>
      </c>
      <c r="B331" s="240"/>
      <c r="C331" s="239">
        <v>33750</v>
      </c>
      <c r="D331" s="244">
        <f>+IFERROR(+VLOOKUP(A331,'TB final'!$A$5:$J$726,5,0),0)</f>
        <v>0</v>
      </c>
      <c r="E331" s="244">
        <f>+IFERROR(+VLOOKUP(A331,'TB final'!$A$5:$J$726,8,0),0)</f>
        <v>33750</v>
      </c>
      <c r="F331" s="244">
        <f t="shared" si="12"/>
        <v>0</v>
      </c>
      <c r="G331" s="244">
        <f t="shared" si="13"/>
        <v>0</v>
      </c>
      <c r="H331" s="244">
        <f t="shared" si="14"/>
        <v>0</v>
      </c>
    </row>
    <row r="332" spans="1:8" x14ac:dyDescent="0.25">
      <c r="A332" s="8" t="s">
        <v>387</v>
      </c>
      <c r="B332" s="240"/>
      <c r="C332" s="239">
        <v>2195</v>
      </c>
      <c r="D332" s="244">
        <f>+IFERROR(+VLOOKUP(A332,'TB final'!$A$5:$J$726,5,0),0)</f>
        <v>0</v>
      </c>
      <c r="E332" s="244">
        <f>+IFERROR(+VLOOKUP(A332,'TB final'!$A$5:$J$726,8,0),0)</f>
        <v>2195</v>
      </c>
      <c r="F332" s="244">
        <f t="shared" ref="F332:F389" si="15">+B332-D332</f>
        <v>0</v>
      </c>
      <c r="G332" s="244">
        <f t="shared" ref="G332:G389" si="16">+C332-E332</f>
        <v>0</v>
      </c>
      <c r="H332" s="244">
        <f t="shared" si="14"/>
        <v>0</v>
      </c>
    </row>
    <row r="333" spans="1:8" x14ac:dyDescent="0.25">
      <c r="A333" s="8" t="s">
        <v>388</v>
      </c>
      <c r="B333" s="240"/>
      <c r="C333" s="239">
        <v>12150</v>
      </c>
      <c r="D333" s="244">
        <f>+IFERROR(+VLOOKUP(A333,'TB final'!$A$5:$J$726,5,0),0)</f>
        <v>0</v>
      </c>
      <c r="E333" s="244">
        <f>+IFERROR(+VLOOKUP(A333,'TB final'!$A$5:$J$726,8,0),0)</f>
        <v>12150</v>
      </c>
      <c r="F333" s="244">
        <f t="shared" si="15"/>
        <v>0</v>
      </c>
      <c r="G333" s="244">
        <f t="shared" si="16"/>
        <v>0</v>
      </c>
      <c r="H333" s="244">
        <f t="shared" ref="H333:H389" si="17">+F333+G333</f>
        <v>0</v>
      </c>
    </row>
    <row r="334" spans="1:8" x14ac:dyDescent="0.25">
      <c r="A334" s="8" t="s">
        <v>389</v>
      </c>
      <c r="B334" s="240"/>
      <c r="C334" s="239">
        <v>43576042.979999997</v>
      </c>
      <c r="D334" s="244">
        <f>+IFERROR(+VLOOKUP(A334,'TB final'!$A$5:$J$726,5,0),0)</f>
        <v>0</v>
      </c>
      <c r="E334" s="244">
        <f>+IFERROR(+VLOOKUP(A334,'TB final'!$A$5:$J$726,8,0),0)</f>
        <v>43576042.979999997</v>
      </c>
      <c r="F334" s="244">
        <f t="shared" si="15"/>
        <v>0</v>
      </c>
      <c r="G334" s="244">
        <f t="shared" si="16"/>
        <v>0</v>
      </c>
      <c r="H334" s="244">
        <f t="shared" si="17"/>
        <v>0</v>
      </c>
    </row>
    <row r="335" spans="1:8" x14ac:dyDescent="0.25">
      <c r="A335" s="8" t="s">
        <v>390</v>
      </c>
      <c r="B335" s="239">
        <v>5000332</v>
      </c>
      <c r="C335" s="240"/>
      <c r="D335" s="244">
        <f>+IFERROR(+VLOOKUP(A335,'TB final'!$A$5:$J$726,5,0),0)</f>
        <v>5000332</v>
      </c>
      <c r="E335" s="244">
        <f>+IFERROR(+VLOOKUP(A335,'TB final'!$A$5:$J$726,8,0),0)</f>
        <v>0</v>
      </c>
      <c r="F335" s="244">
        <f t="shared" si="15"/>
        <v>0</v>
      </c>
      <c r="G335" s="244">
        <f t="shared" si="16"/>
        <v>0</v>
      </c>
      <c r="H335" s="244">
        <f t="shared" si="17"/>
        <v>0</v>
      </c>
    </row>
    <row r="336" spans="1:8" x14ac:dyDescent="0.25">
      <c r="A336" s="8" t="s">
        <v>391</v>
      </c>
      <c r="B336" s="239">
        <v>301037.90000000002</v>
      </c>
      <c r="C336" s="240"/>
      <c r="D336" s="244">
        <f>+IFERROR(+VLOOKUP(A336,'TB final'!$A$5:$J$726,5,0),0)</f>
        <v>301037.90000000002</v>
      </c>
      <c r="E336" s="244">
        <f>+IFERROR(+VLOOKUP(A336,'TB final'!$A$5:$J$726,8,0),0)</f>
        <v>0</v>
      </c>
      <c r="F336" s="244">
        <f t="shared" si="15"/>
        <v>0</v>
      </c>
      <c r="G336" s="244">
        <f t="shared" si="16"/>
        <v>0</v>
      </c>
      <c r="H336" s="244">
        <f t="shared" si="17"/>
        <v>0</v>
      </c>
    </row>
    <row r="337" spans="1:8" x14ac:dyDescent="0.25">
      <c r="A337" s="8" t="s">
        <v>832</v>
      </c>
      <c r="B337" s="239">
        <v>275000</v>
      </c>
      <c r="C337" s="240"/>
      <c r="D337" s="244">
        <f>+IFERROR(+VLOOKUP(A337,'TB final'!$A$5:$J$726,5,0),0)</f>
        <v>275000</v>
      </c>
      <c r="E337" s="244">
        <f>+IFERROR(+VLOOKUP(A337,'TB final'!$A$5:$J$726,8,0),0)</f>
        <v>0</v>
      </c>
      <c r="F337" s="244">
        <f t="shared" si="15"/>
        <v>0</v>
      </c>
      <c r="G337" s="244">
        <f t="shared" si="16"/>
        <v>0</v>
      </c>
      <c r="H337" s="244">
        <f t="shared" si="17"/>
        <v>0</v>
      </c>
    </row>
    <row r="338" spans="1:8" x14ac:dyDescent="0.25">
      <c r="A338" s="8" t="s">
        <v>392</v>
      </c>
      <c r="B338" s="239">
        <v>2500</v>
      </c>
      <c r="C338" s="240"/>
      <c r="D338" s="244">
        <f>+IFERROR(+VLOOKUP(A338,'TB final'!$A$5:$J$726,5,0),0)</f>
        <v>2500</v>
      </c>
      <c r="E338" s="244">
        <f>+IFERROR(+VLOOKUP(A338,'TB final'!$A$5:$J$726,8,0),0)</f>
        <v>0</v>
      </c>
      <c r="F338" s="244">
        <f t="shared" si="15"/>
        <v>0</v>
      </c>
      <c r="G338" s="244">
        <f t="shared" si="16"/>
        <v>0</v>
      </c>
      <c r="H338" s="244">
        <f t="shared" si="17"/>
        <v>0</v>
      </c>
    </row>
    <row r="339" spans="1:8" x14ac:dyDescent="0.25">
      <c r="A339" s="8" t="s">
        <v>393</v>
      </c>
      <c r="B339" s="239">
        <v>37000</v>
      </c>
      <c r="C339" s="240"/>
      <c r="D339" s="244">
        <f>+IFERROR(+VLOOKUP(A339,'TB final'!$A$5:$J$726,5,0),0)</f>
        <v>37000</v>
      </c>
      <c r="E339" s="244">
        <f>+IFERROR(+VLOOKUP(A339,'TB final'!$A$5:$J$726,8,0),0)</f>
        <v>0</v>
      </c>
      <c r="F339" s="244">
        <f t="shared" si="15"/>
        <v>0</v>
      </c>
      <c r="G339" s="244">
        <f t="shared" si="16"/>
        <v>0</v>
      </c>
      <c r="H339" s="244">
        <f t="shared" si="17"/>
        <v>0</v>
      </c>
    </row>
    <row r="340" spans="1:8" x14ac:dyDescent="0.25">
      <c r="A340" s="8" t="s">
        <v>394</v>
      </c>
      <c r="B340" s="240"/>
      <c r="C340" s="239">
        <v>92070</v>
      </c>
      <c r="D340" s="244">
        <f>+IFERROR(+VLOOKUP(A340,'TB final'!$A$5:$J$726,5,0),0)</f>
        <v>0</v>
      </c>
      <c r="E340" s="244">
        <f>+IFERROR(+VLOOKUP(A340,'TB final'!$A$5:$J$726,8,0),0)</f>
        <v>92070</v>
      </c>
      <c r="F340" s="244">
        <f t="shared" si="15"/>
        <v>0</v>
      </c>
      <c r="G340" s="244">
        <f t="shared" si="16"/>
        <v>0</v>
      </c>
      <c r="H340" s="244">
        <f t="shared" si="17"/>
        <v>0</v>
      </c>
    </row>
    <row r="341" spans="1:8" x14ac:dyDescent="0.25">
      <c r="A341" s="8" t="s">
        <v>395</v>
      </c>
      <c r="B341" s="239">
        <v>16101.89</v>
      </c>
      <c r="C341" s="240"/>
      <c r="D341" s="244">
        <f>+IFERROR(+VLOOKUP(A341,'TB final'!$A$5:$J$726,5,0),0)</f>
        <v>16101.89</v>
      </c>
      <c r="E341" s="244">
        <f>+IFERROR(+VLOOKUP(A341,'TB final'!$A$5:$J$726,8,0),0)</f>
        <v>0</v>
      </c>
      <c r="F341" s="244">
        <f t="shared" si="15"/>
        <v>0</v>
      </c>
      <c r="G341" s="244">
        <f t="shared" si="16"/>
        <v>0</v>
      </c>
      <c r="H341" s="244">
        <f t="shared" si="17"/>
        <v>0</v>
      </c>
    </row>
    <row r="342" spans="1:8" x14ac:dyDescent="0.25">
      <c r="A342" s="8" t="s">
        <v>396</v>
      </c>
      <c r="B342" s="239">
        <v>4000</v>
      </c>
      <c r="C342" s="240"/>
      <c r="D342" s="244">
        <f>+IFERROR(+VLOOKUP(A342,'TB final'!$A$5:$J$726,5,0),0)</f>
        <v>4000</v>
      </c>
      <c r="E342" s="244">
        <f>+IFERROR(+VLOOKUP(A342,'TB final'!$A$5:$J$726,8,0),0)</f>
        <v>0</v>
      </c>
      <c r="F342" s="244">
        <f t="shared" si="15"/>
        <v>0</v>
      </c>
      <c r="G342" s="244">
        <f t="shared" si="16"/>
        <v>0</v>
      </c>
      <c r="H342" s="244">
        <f t="shared" si="17"/>
        <v>0</v>
      </c>
    </row>
    <row r="343" spans="1:8" x14ac:dyDescent="0.25">
      <c r="A343" s="8" t="s">
        <v>397</v>
      </c>
      <c r="B343" s="240"/>
      <c r="C343" s="239">
        <v>455952</v>
      </c>
      <c r="D343" s="244">
        <f>+IFERROR(+VLOOKUP(A343,'TB final'!$A$5:$J$726,5,0),0)</f>
        <v>0</v>
      </c>
      <c r="E343" s="244">
        <f>+IFERROR(+VLOOKUP(A343,'TB final'!$A$5:$J$726,8,0),0)</f>
        <v>455952</v>
      </c>
      <c r="F343" s="244">
        <f t="shared" si="15"/>
        <v>0</v>
      </c>
      <c r="G343" s="244">
        <f t="shared" si="16"/>
        <v>0</v>
      </c>
      <c r="H343" s="244">
        <f t="shared" si="17"/>
        <v>0</v>
      </c>
    </row>
    <row r="344" spans="1:8" x14ac:dyDescent="0.25">
      <c r="A344" s="8" t="s">
        <v>399</v>
      </c>
      <c r="B344" s="239">
        <v>68778.240000000005</v>
      </c>
      <c r="C344" s="240"/>
      <c r="D344" s="244">
        <f>+IFERROR(+VLOOKUP(A344,'TB final'!$A$5:$J$726,5,0),0)</f>
        <v>68778.240000000005</v>
      </c>
      <c r="E344" s="244">
        <f>+IFERROR(+VLOOKUP(A344,'TB final'!$A$5:$J$726,8,0),0)</f>
        <v>0</v>
      </c>
      <c r="F344" s="244">
        <f t="shared" si="15"/>
        <v>0</v>
      </c>
      <c r="G344" s="244">
        <f t="shared" si="16"/>
        <v>0</v>
      </c>
      <c r="H344" s="244">
        <f t="shared" si="17"/>
        <v>0</v>
      </c>
    </row>
    <row r="345" spans="1:8" x14ac:dyDescent="0.25">
      <c r="A345" s="8" t="s">
        <v>402</v>
      </c>
      <c r="B345" s="240"/>
      <c r="C345" s="239">
        <v>85088.53</v>
      </c>
      <c r="D345" s="244">
        <f>+IFERROR(+VLOOKUP(A345,'TB final'!$A$5:$J$726,5,0),0)</f>
        <v>0</v>
      </c>
      <c r="E345" s="244">
        <f>+IFERROR(+VLOOKUP(A345,'TB final'!$A$5:$J$726,8,0),0)</f>
        <v>85088.53</v>
      </c>
      <c r="F345" s="244">
        <f t="shared" si="15"/>
        <v>0</v>
      </c>
      <c r="G345" s="244">
        <f t="shared" si="16"/>
        <v>0</v>
      </c>
      <c r="H345" s="244">
        <f t="shared" si="17"/>
        <v>0</v>
      </c>
    </row>
    <row r="346" spans="1:8" x14ac:dyDescent="0.25">
      <c r="A346" s="8" t="s">
        <v>404</v>
      </c>
      <c r="B346" s="239">
        <v>12349</v>
      </c>
      <c r="C346" s="240"/>
      <c r="D346" s="244">
        <f>+IFERROR(+VLOOKUP(A346,'TB final'!$A$5:$J$726,5,0),0)</f>
        <v>12349</v>
      </c>
      <c r="E346" s="244">
        <f>+IFERROR(+VLOOKUP(A346,'TB final'!$A$5:$J$726,8,0),0)</f>
        <v>0</v>
      </c>
      <c r="F346" s="244">
        <f t="shared" si="15"/>
        <v>0</v>
      </c>
      <c r="G346" s="244">
        <f t="shared" si="16"/>
        <v>0</v>
      </c>
      <c r="H346" s="244">
        <f t="shared" si="17"/>
        <v>0</v>
      </c>
    </row>
    <row r="347" spans="1:8" x14ac:dyDescent="0.25">
      <c r="A347" s="8" t="s">
        <v>405</v>
      </c>
      <c r="B347" s="240"/>
      <c r="C347" s="239">
        <v>3756</v>
      </c>
      <c r="D347" s="244">
        <f>+IFERROR(+VLOOKUP(A347,'TB final'!$A$5:$J$726,5,0),0)</f>
        <v>0</v>
      </c>
      <c r="E347" s="244">
        <f>+IFERROR(+VLOOKUP(A347,'TB final'!$A$5:$J$726,8,0),0)</f>
        <v>3756</v>
      </c>
      <c r="F347" s="244">
        <f t="shared" si="15"/>
        <v>0</v>
      </c>
      <c r="G347" s="244">
        <f t="shared" si="16"/>
        <v>0</v>
      </c>
      <c r="H347" s="244">
        <f t="shared" si="17"/>
        <v>0</v>
      </c>
    </row>
    <row r="348" spans="1:8" x14ac:dyDescent="0.25">
      <c r="A348" s="8" t="s">
        <v>406</v>
      </c>
      <c r="B348" s="240"/>
      <c r="C348" s="239">
        <v>12373</v>
      </c>
      <c r="D348" s="244">
        <f>+IFERROR(+VLOOKUP(A348,'TB final'!$A$5:$J$726,5,0),0)</f>
        <v>0</v>
      </c>
      <c r="E348" s="244">
        <f>+IFERROR(+VLOOKUP(A348,'TB final'!$A$5:$J$726,8,0),0)</f>
        <v>12373</v>
      </c>
      <c r="F348" s="244">
        <f t="shared" si="15"/>
        <v>0</v>
      </c>
      <c r="G348" s="244">
        <f t="shared" si="16"/>
        <v>0</v>
      </c>
      <c r="H348" s="244">
        <f t="shared" si="17"/>
        <v>0</v>
      </c>
    </row>
    <row r="349" spans="1:8" x14ac:dyDescent="0.25">
      <c r="A349" s="8" t="s">
        <v>407</v>
      </c>
      <c r="B349" s="240"/>
      <c r="C349" s="239">
        <v>10862.04</v>
      </c>
      <c r="D349" s="244">
        <f>+IFERROR(+VLOOKUP(A349,'TB final'!$A$5:$J$726,5,0),0)</f>
        <v>0</v>
      </c>
      <c r="E349" s="244">
        <f>+IFERROR(+VLOOKUP(A349,'TB final'!$A$5:$J$726,8,0),0)</f>
        <v>10862.04</v>
      </c>
      <c r="F349" s="244">
        <f t="shared" si="15"/>
        <v>0</v>
      </c>
      <c r="G349" s="244">
        <f t="shared" si="16"/>
        <v>0</v>
      </c>
      <c r="H349" s="244">
        <f t="shared" si="17"/>
        <v>0</v>
      </c>
    </row>
    <row r="350" spans="1:8" x14ac:dyDescent="0.25">
      <c r="A350" s="8" t="s">
        <v>408</v>
      </c>
      <c r="B350" s="240"/>
      <c r="C350" s="239">
        <v>29491</v>
      </c>
      <c r="D350" s="244">
        <f>+IFERROR(+VLOOKUP(A350,'TB final'!$A$5:$J$726,5,0),0)</f>
        <v>0</v>
      </c>
      <c r="E350" s="244">
        <f>+IFERROR(+VLOOKUP(A350,'TB final'!$A$5:$J$726,8,0),0)</f>
        <v>29491</v>
      </c>
      <c r="F350" s="244">
        <f t="shared" si="15"/>
        <v>0</v>
      </c>
      <c r="G350" s="244">
        <f t="shared" si="16"/>
        <v>0</v>
      </c>
      <c r="H350" s="244">
        <f t="shared" si="17"/>
        <v>0</v>
      </c>
    </row>
    <row r="351" spans="1:8" x14ac:dyDescent="0.25">
      <c r="A351" s="8" t="s">
        <v>409</v>
      </c>
      <c r="B351" s="240"/>
      <c r="C351" s="239">
        <v>2925</v>
      </c>
      <c r="D351" s="244">
        <f>+IFERROR(+VLOOKUP(A351,'TB final'!$A$5:$J$726,5,0),0)</f>
        <v>0</v>
      </c>
      <c r="E351" s="244">
        <f>+IFERROR(+VLOOKUP(A351,'TB final'!$A$5:$J$726,8,0),0)</f>
        <v>2925</v>
      </c>
      <c r="F351" s="244">
        <f t="shared" si="15"/>
        <v>0</v>
      </c>
      <c r="G351" s="244">
        <f t="shared" si="16"/>
        <v>0</v>
      </c>
      <c r="H351" s="244">
        <f t="shared" si="17"/>
        <v>0</v>
      </c>
    </row>
    <row r="352" spans="1:8" x14ac:dyDescent="0.25">
      <c r="A352" s="8" t="s">
        <v>410</v>
      </c>
      <c r="B352" s="240"/>
      <c r="C352" s="239">
        <v>80773</v>
      </c>
      <c r="D352" s="244">
        <f>+IFERROR(+VLOOKUP(A352,'TB final'!$A$5:$J$726,5,0),0)</f>
        <v>0</v>
      </c>
      <c r="E352" s="244">
        <f>+IFERROR(+VLOOKUP(A352,'TB final'!$A$5:$J$726,8,0),0)</f>
        <v>80773</v>
      </c>
      <c r="F352" s="244">
        <f t="shared" si="15"/>
        <v>0</v>
      </c>
      <c r="G352" s="244">
        <f t="shared" si="16"/>
        <v>0</v>
      </c>
      <c r="H352" s="244">
        <f t="shared" si="17"/>
        <v>0</v>
      </c>
    </row>
    <row r="353" spans="1:8" x14ac:dyDescent="0.25">
      <c r="A353" s="8" t="s">
        <v>411</v>
      </c>
      <c r="B353" s="240"/>
      <c r="C353" s="239">
        <v>122000</v>
      </c>
      <c r="D353" s="244">
        <f>+IFERROR(+VLOOKUP(A353,'TB final'!$A$5:$J$726,5,0),0)</f>
        <v>0</v>
      </c>
      <c r="E353" s="244">
        <f>+IFERROR(+VLOOKUP(A353,'TB final'!$A$5:$J$726,8,0),0)</f>
        <v>122000</v>
      </c>
      <c r="F353" s="244">
        <f t="shared" si="15"/>
        <v>0</v>
      </c>
      <c r="G353" s="244">
        <f t="shared" si="16"/>
        <v>0</v>
      </c>
      <c r="H353" s="244">
        <f t="shared" si="17"/>
        <v>0</v>
      </c>
    </row>
    <row r="354" spans="1:8" x14ac:dyDescent="0.25">
      <c r="A354" s="8" t="s">
        <v>412</v>
      </c>
      <c r="B354" s="240"/>
      <c r="C354" s="239">
        <v>10850</v>
      </c>
      <c r="D354" s="244">
        <f>+IFERROR(+VLOOKUP(A354,'TB final'!$A$5:$J$726,5,0),0)</f>
        <v>0</v>
      </c>
      <c r="E354" s="244">
        <f>+IFERROR(+VLOOKUP(A354,'TB final'!$A$5:$J$726,8,0),0)</f>
        <v>10850</v>
      </c>
      <c r="F354" s="244">
        <f t="shared" si="15"/>
        <v>0</v>
      </c>
      <c r="G354" s="244">
        <f t="shared" si="16"/>
        <v>0</v>
      </c>
      <c r="H354" s="244">
        <f t="shared" si="17"/>
        <v>0</v>
      </c>
    </row>
    <row r="355" spans="1:8" x14ac:dyDescent="0.25">
      <c r="A355" s="8" t="s">
        <v>413</v>
      </c>
      <c r="B355" s="240"/>
      <c r="C355" s="239">
        <v>5839</v>
      </c>
      <c r="D355" s="244">
        <f>+IFERROR(+VLOOKUP(A355,'TB final'!$A$5:$J$726,5,0),0)</f>
        <v>0</v>
      </c>
      <c r="E355" s="244">
        <f>+IFERROR(+VLOOKUP(A355,'TB final'!$A$5:$J$726,8,0),0)</f>
        <v>5839</v>
      </c>
      <c r="F355" s="244">
        <f t="shared" si="15"/>
        <v>0</v>
      </c>
      <c r="G355" s="244">
        <f t="shared" si="16"/>
        <v>0</v>
      </c>
      <c r="H355" s="244">
        <f t="shared" si="17"/>
        <v>0</v>
      </c>
    </row>
    <row r="356" spans="1:8" x14ac:dyDescent="0.25">
      <c r="A356" s="8" t="s">
        <v>414</v>
      </c>
      <c r="B356" s="239">
        <v>65764</v>
      </c>
      <c r="C356" s="240"/>
      <c r="D356" s="244">
        <f>+IFERROR(+VLOOKUP(A356,'TB final'!$A$5:$J$726,5,0),0)</f>
        <v>65764</v>
      </c>
      <c r="E356" s="244">
        <f>+IFERROR(+VLOOKUP(A356,'TB final'!$A$5:$J$726,8,0),0)</f>
        <v>0</v>
      </c>
      <c r="F356" s="244">
        <f t="shared" si="15"/>
        <v>0</v>
      </c>
      <c r="G356" s="244">
        <f t="shared" si="16"/>
        <v>0</v>
      </c>
      <c r="H356" s="244">
        <f t="shared" si="17"/>
        <v>0</v>
      </c>
    </row>
    <row r="357" spans="1:8" x14ac:dyDescent="0.25">
      <c r="A357" s="8" t="s">
        <v>415</v>
      </c>
      <c r="B357" s="240"/>
      <c r="C357" s="239">
        <v>3662</v>
      </c>
      <c r="D357" s="244">
        <f>+IFERROR(+VLOOKUP(A357,'TB final'!$A$5:$J$726,5,0),0)</f>
        <v>0</v>
      </c>
      <c r="E357" s="244">
        <f>+IFERROR(+VLOOKUP(A357,'TB final'!$A$5:$J$726,8,0),0)</f>
        <v>3662</v>
      </c>
      <c r="F357" s="244">
        <f t="shared" si="15"/>
        <v>0</v>
      </c>
      <c r="G357" s="244">
        <f t="shared" si="16"/>
        <v>0</v>
      </c>
      <c r="H357" s="244">
        <f t="shared" si="17"/>
        <v>0</v>
      </c>
    </row>
    <row r="358" spans="1:8" x14ac:dyDescent="0.25">
      <c r="A358" s="8" t="s">
        <v>416</v>
      </c>
      <c r="B358" s="239">
        <v>40650</v>
      </c>
      <c r="C358" s="240"/>
      <c r="D358" s="244">
        <f>+IFERROR(+VLOOKUP(A358,'TB final'!$A$5:$J$726,5,0),0)</f>
        <v>40650</v>
      </c>
      <c r="E358" s="244">
        <f>+IFERROR(+VLOOKUP(A358,'TB final'!$A$5:$J$726,8,0),0)</f>
        <v>0</v>
      </c>
      <c r="F358" s="244">
        <f t="shared" si="15"/>
        <v>0</v>
      </c>
      <c r="G358" s="244">
        <f t="shared" si="16"/>
        <v>0</v>
      </c>
      <c r="H358" s="244">
        <f t="shared" si="17"/>
        <v>0</v>
      </c>
    </row>
    <row r="359" spans="1:8" x14ac:dyDescent="0.25">
      <c r="A359" s="8" t="s">
        <v>417</v>
      </c>
      <c r="B359" s="240"/>
      <c r="C359" s="239">
        <v>41312</v>
      </c>
      <c r="D359" s="244">
        <f>+IFERROR(+VLOOKUP(A359,'TB final'!$A$5:$J$726,5,0),0)</f>
        <v>0</v>
      </c>
      <c r="E359" s="244">
        <f>+IFERROR(+VLOOKUP(A359,'TB final'!$A$5:$J$726,8,0),0)</f>
        <v>41312</v>
      </c>
      <c r="F359" s="244">
        <f t="shared" si="15"/>
        <v>0</v>
      </c>
      <c r="G359" s="244">
        <f t="shared" si="16"/>
        <v>0</v>
      </c>
      <c r="H359" s="244">
        <f t="shared" si="17"/>
        <v>0</v>
      </c>
    </row>
    <row r="360" spans="1:8" x14ac:dyDescent="0.25">
      <c r="A360" s="8" t="s">
        <v>418</v>
      </c>
      <c r="B360" s="239">
        <v>72962</v>
      </c>
      <c r="C360" s="240"/>
      <c r="D360" s="244">
        <f>+IFERROR(+VLOOKUP(A360,'TB final'!$A$5:$J$726,5,0),0)</f>
        <v>72962</v>
      </c>
      <c r="E360" s="244">
        <f>+IFERROR(+VLOOKUP(A360,'TB final'!$A$5:$J$726,8,0),0)</f>
        <v>0</v>
      </c>
      <c r="F360" s="244">
        <f t="shared" si="15"/>
        <v>0</v>
      </c>
      <c r="G360" s="244">
        <f t="shared" si="16"/>
        <v>0</v>
      </c>
      <c r="H360" s="244">
        <f t="shared" si="17"/>
        <v>0</v>
      </c>
    </row>
    <row r="361" spans="1:8" x14ac:dyDescent="0.25">
      <c r="A361" s="8" t="s">
        <v>419</v>
      </c>
      <c r="B361" s="239">
        <v>116491</v>
      </c>
      <c r="C361" s="240"/>
      <c r="D361" s="244">
        <f>+IFERROR(+VLOOKUP(A361,'TB final'!$A$5:$J$726,5,0),0)</f>
        <v>116491</v>
      </c>
      <c r="E361" s="244">
        <f>+IFERROR(+VLOOKUP(A361,'TB final'!$A$5:$J$726,8,0),0)</f>
        <v>0</v>
      </c>
      <c r="F361" s="244">
        <f t="shared" si="15"/>
        <v>0</v>
      </c>
      <c r="G361" s="244">
        <f t="shared" si="16"/>
        <v>0</v>
      </c>
      <c r="H361" s="244">
        <f t="shared" si="17"/>
        <v>0</v>
      </c>
    </row>
    <row r="362" spans="1:8" x14ac:dyDescent="0.25">
      <c r="A362" s="8" t="s">
        <v>420</v>
      </c>
      <c r="B362" s="240"/>
      <c r="C362" s="239">
        <v>109340</v>
      </c>
      <c r="D362" s="244">
        <f>+IFERROR(+VLOOKUP(A362,'TB final'!$A$5:$J$726,5,0),0)</f>
        <v>0</v>
      </c>
      <c r="E362" s="244">
        <f>+IFERROR(+VLOOKUP(A362,'TB final'!$A$5:$J$726,8,0),0)</f>
        <v>109340</v>
      </c>
      <c r="F362" s="244">
        <f t="shared" si="15"/>
        <v>0</v>
      </c>
      <c r="G362" s="244">
        <f t="shared" si="16"/>
        <v>0</v>
      </c>
      <c r="H362" s="244">
        <f t="shared" si="17"/>
        <v>0</v>
      </c>
    </row>
    <row r="363" spans="1:8" x14ac:dyDescent="0.25">
      <c r="A363" s="8" t="s">
        <v>421</v>
      </c>
      <c r="B363" s="239">
        <v>519122</v>
      </c>
      <c r="C363" s="240"/>
      <c r="D363" s="244">
        <f>+IFERROR(+VLOOKUP(A363,'TB final'!$A$5:$J$726,5,0),0)</f>
        <v>519122</v>
      </c>
      <c r="E363" s="244">
        <f>+IFERROR(+VLOOKUP(A363,'TB final'!$A$5:$J$726,8,0),0)</f>
        <v>0</v>
      </c>
      <c r="F363" s="244">
        <f t="shared" si="15"/>
        <v>0</v>
      </c>
      <c r="G363" s="244">
        <f t="shared" si="16"/>
        <v>0</v>
      </c>
      <c r="H363" s="244">
        <f t="shared" si="17"/>
        <v>0</v>
      </c>
    </row>
    <row r="364" spans="1:8" x14ac:dyDescent="0.25">
      <c r="A364" s="8" t="s">
        <v>422</v>
      </c>
      <c r="B364" s="240"/>
      <c r="C364" s="239">
        <v>34754</v>
      </c>
      <c r="D364" s="244">
        <f>+IFERROR(+VLOOKUP(A364,'TB final'!$A$5:$J$726,5,0),0)</f>
        <v>0</v>
      </c>
      <c r="E364" s="244">
        <f>+IFERROR(+VLOOKUP(A364,'TB final'!$A$5:$J$726,8,0),0)</f>
        <v>34754</v>
      </c>
      <c r="F364" s="244">
        <f t="shared" si="15"/>
        <v>0</v>
      </c>
      <c r="G364" s="244">
        <f t="shared" si="16"/>
        <v>0</v>
      </c>
      <c r="H364" s="244">
        <f t="shared" si="17"/>
        <v>0</v>
      </c>
    </row>
    <row r="365" spans="1:8" x14ac:dyDescent="0.25">
      <c r="A365" s="8" t="s">
        <v>423</v>
      </c>
      <c r="B365" s="239">
        <v>277187</v>
      </c>
      <c r="C365" s="240"/>
      <c r="D365" s="244">
        <f>+IFERROR(+VLOOKUP(A365,'TB final'!$A$5:$J$726,5,0),0)</f>
        <v>277187</v>
      </c>
      <c r="E365" s="244">
        <f>+IFERROR(+VLOOKUP(A365,'TB final'!$A$5:$J$726,8,0),0)</f>
        <v>0</v>
      </c>
      <c r="F365" s="244">
        <f t="shared" si="15"/>
        <v>0</v>
      </c>
      <c r="G365" s="244">
        <f t="shared" si="16"/>
        <v>0</v>
      </c>
      <c r="H365" s="244">
        <f t="shared" si="17"/>
        <v>0</v>
      </c>
    </row>
    <row r="366" spans="1:8" x14ac:dyDescent="0.25">
      <c r="A366" s="8" t="s">
        <v>424</v>
      </c>
      <c r="B366" s="239">
        <v>1264812.5</v>
      </c>
      <c r="C366" s="240"/>
      <c r="D366" s="244">
        <f>+IFERROR(+VLOOKUP(A366,'TB final'!$A$5:$J$726,5,0),0)</f>
        <v>1264812.5</v>
      </c>
      <c r="E366" s="244">
        <f>+IFERROR(+VLOOKUP(A366,'TB final'!$A$5:$J$726,8,0),0)</f>
        <v>0</v>
      </c>
      <c r="F366" s="244">
        <f t="shared" si="15"/>
        <v>0</v>
      </c>
      <c r="G366" s="244">
        <f t="shared" si="16"/>
        <v>0</v>
      </c>
      <c r="H366" s="244">
        <f t="shared" si="17"/>
        <v>0</v>
      </c>
    </row>
    <row r="367" spans="1:8" x14ac:dyDescent="0.25">
      <c r="A367" s="8" t="s">
        <v>426</v>
      </c>
      <c r="B367" s="240"/>
      <c r="C367" s="239">
        <v>377600</v>
      </c>
      <c r="D367" s="244">
        <f>+IFERROR(+VLOOKUP(A367,'TB final'!$A$5:$J$726,5,0),0)</f>
        <v>0</v>
      </c>
      <c r="E367" s="244">
        <f>+IFERROR(+VLOOKUP(A367,'TB final'!$A$5:$J$726,8,0),0)</f>
        <v>377600</v>
      </c>
      <c r="F367" s="244">
        <f t="shared" si="15"/>
        <v>0</v>
      </c>
      <c r="G367" s="244">
        <f t="shared" si="16"/>
        <v>0</v>
      </c>
      <c r="H367" s="244">
        <f t="shared" si="17"/>
        <v>0</v>
      </c>
    </row>
    <row r="368" spans="1:8" x14ac:dyDescent="0.25">
      <c r="A368" s="8" t="s">
        <v>427</v>
      </c>
      <c r="B368" s="240"/>
      <c r="C368" s="239">
        <v>1871806</v>
      </c>
      <c r="D368" s="244">
        <f>+IFERROR(+VLOOKUP(A368,'TB final'!$A$5:$J$726,5,0),0)</f>
        <v>0</v>
      </c>
      <c r="E368" s="244">
        <f>+IFERROR(+VLOOKUP(A368,'TB final'!$A$5:$J$726,8,0),0)</f>
        <v>1871806</v>
      </c>
      <c r="F368" s="244">
        <f t="shared" si="15"/>
        <v>0</v>
      </c>
      <c r="G368" s="244">
        <f t="shared" si="16"/>
        <v>0</v>
      </c>
      <c r="H368" s="244">
        <f t="shared" si="17"/>
        <v>0</v>
      </c>
    </row>
    <row r="369" spans="1:8" x14ac:dyDescent="0.25">
      <c r="A369" s="8" t="s">
        <v>428</v>
      </c>
      <c r="B369" s="239">
        <v>122521</v>
      </c>
      <c r="C369" s="240"/>
      <c r="D369" s="244">
        <f>+IFERROR(+VLOOKUP(A369,'TB final'!$A$5:$J$726,5,0),0)</f>
        <v>122521</v>
      </c>
      <c r="E369" s="244">
        <f>+IFERROR(+VLOOKUP(A369,'TB final'!$A$5:$J$726,8,0),0)</f>
        <v>0</v>
      </c>
      <c r="F369" s="244">
        <f t="shared" si="15"/>
        <v>0</v>
      </c>
      <c r="G369" s="244">
        <f t="shared" si="16"/>
        <v>0</v>
      </c>
      <c r="H369" s="244">
        <f t="shared" si="17"/>
        <v>0</v>
      </c>
    </row>
    <row r="370" spans="1:8" x14ac:dyDescent="0.25">
      <c r="A370" s="8" t="s">
        <v>429</v>
      </c>
      <c r="B370" s="239">
        <v>179827</v>
      </c>
      <c r="C370" s="240"/>
      <c r="D370" s="244">
        <f>+IFERROR(+VLOOKUP(A370,'TB final'!$A$5:$J$726,5,0),0)</f>
        <v>179827</v>
      </c>
      <c r="E370" s="244">
        <f>+IFERROR(+VLOOKUP(A370,'TB final'!$A$5:$J$726,8,0),0)</f>
        <v>0</v>
      </c>
      <c r="F370" s="244">
        <f t="shared" si="15"/>
        <v>0</v>
      </c>
      <c r="G370" s="244">
        <f t="shared" si="16"/>
        <v>0</v>
      </c>
      <c r="H370" s="244">
        <f t="shared" si="17"/>
        <v>0</v>
      </c>
    </row>
    <row r="371" spans="1:8" x14ac:dyDescent="0.25">
      <c r="A371" s="8" t="s">
        <v>430</v>
      </c>
      <c r="B371" s="239">
        <v>2991111</v>
      </c>
      <c r="C371" s="240"/>
      <c r="D371" s="244">
        <f>+IFERROR(+VLOOKUP(A371,'TB final'!$A$5:$J$726,5,0),0)</f>
        <v>2991111</v>
      </c>
      <c r="E371" s="244">
        <f>+IFERROR(+VLOOKUP(A371,'TB final'!$A$5:$J$726,8,0),0)</f>
        <v>0</v>
      </c>
      <c r="F371" s="244">
        <f t="shared" si="15"/>
        <v>0</v>
      </c>
      <c r="G371" s="244">
        <f t="shared" si="16"/>
        <v>0</v>
      </c>
      <c r="H371" s="244">
        <f t="shared" si="17"/>
        <v>0</v>
      </c>
    </row>
    <row r="372" spans="1:8" x14ac:dyDescent="0.25">
      <c r="A372" s="8" t="s">
        <v>431</v>
      </c>
      <c r="B372" s="239">
        <v>521794</v>
      </c>
      <c r="C372" s="240"/>
      <c r="D372" s="244">
        <f>+IFERROR(+VLOOKUP(A372,'TB final'!$A$5:$J$726,5,0),0)</f>
        <v>521794</v>
      </c>
      <c r="E372" s="244">
        <f>+IFERROR(+VLOOKUP(A372,'TB final'!$A$5:$J$726,8,0),0)</f>
        <v>0</v>
      </c>
      <c r="F372" s="244">
        <f t="shared" si="15"/>
        <v>0</v>
      </c>
      <c r="G372" s="244">
        <f t="shared" si="16"/>
        <v>0</v>
      </c>
      <c r="H372" s="244">
        <f t="shared" si="17"/>
        <v>0</v>
      </c>
    </row>
    <row r="373" spans="1:8" x14ac:dyDescent="0.25">
      <c r="A373" s="8" t="s">
        <v>432</v>
      </c>
      <c r="B373" s="239">
        <v>271912.74</v>
      </c>
      <c r="C373" s="240"/>
      <c r="D373" s="244">
        <f>+IFERROR(+VLOOKUP(A373,'TB final'!$A$5:$J$726,5,0),0)</f>
        <v>271912.74</v>
      </c>
      <c r="E373" s="244">
        <f>+IFERROR(+VLOOKUP(A373,'TB final'!$A$5:$J$726,8,0),0)</f>
        <v>0</v>
      </c>
      <c r="F373" s="244">
        <f t="shared" si="15"/>
        <v>0</v>
      </c>
      <c r="G373" s="244">
        <f t="shared" si="16"/>
        <v>0</v>
      </c>
      <c r="H373" s="244">
        <f t="shared" si="17"/>
        <v>0</v>
      </c>
    </row>
    <row r="374" spans="1:8" x14ac:dyDescent="0.25">
      <c r="A374" s="8" t="s">
        <v>433</v>
      </c>
      <c r="B374" s="240"/>
      <c r="C374" s="239">
        <v>29906</v>
      </c>
      <c r="D374" s="244">
        <f>+IFERROR(+VLOOKUP(A374,'TB final'!$A$5:$J$726,5,0),0)</f>
        <v>0</v>
      </c>
      <c r="E374" s="244">
        <f>+IFERROR(+VLOOKUP(A374,'TB final'!$A$5:$J$726,8,0),0)</f>
        <v>29906</v>
      </c>
      <c r="F374" s="244">
        <f t="shared" si="15"/>
        <v>0</v>
      </c>
      <c r="G374" s="244">
        <f t="shared" si="16"/>
        <v>0</v>
      </c>
      <c r="H374" s="244">
        <f t="shared" si="17"/>
        <v>0</v>
      </c>
    </row>
    <row r="375" spans="1:8" x14ac:dyDescent="0.25">
      <c r="A375" s="8" t="s">
        <v>434</v>
      </c>
      <c r="B375" s="240"/>
      <c r="C375" s="239">
        <v>1429369</v>
      </c>
      <c r="D375" s="244">
        <f>+IFERROR(+VLOOKUP(A375,'TB final'!$A$5:$J$726,5,0),0)</f>
        <v>0</v>
      </c>
      <c r="E375" s="244">
        <f>+IFERROR(+VLOOKUP(A375,'TB final'!$A$5:$J$726,8,0),0)</f>
        <v>1429369</v>
      </c>
      <c r="F375" s="244">
        <f t="shared" si="15"/>
        <v>0</v>
      </c>
      <c r="G375" s="244">
        <f t="shared" si="16"/>
        <v>0</v>
      </c>
      <c r="H375" s="244">
        <f t="shared" si="17"/>
        <v>0</v>
      </c>
    </row>
    <row r="376" spans="1:8" x14ac:dyDescent="0.25">
      <c r="A376" s="8" t="s">
        <v>435</v>
      </c>
      <c r="B376" s="240"/>
      <c r="C376" s="239">
        <v>12900</v>
      </c>
      <c r="D376" s="244">
        <f>+IFERROR(+VLOOKUP(A376,'TB final'!$A$5:$J$726,5,0),0)</f>
        <v>0</v>
      </c>
      <c r="E376" s="244">
        <f>+IFERROR(+VLOOKUP(A376,'TB final'!$A$5:$J$726,8,0),0)</f>
        <v>12900</v>
      </c>
      <c r="F376" s="244">
        <f t="shared" si="15"/>
        <v>0</v>
      </c>
      <c r="G376" s="244">
        <f t="shared" si="16"/>
        <v>0</v>
      </c>
      <c r="H376" s="244">
        <f t="shared" si="17"/>
        <v>0</v>
      </c>
    </row>
    <row r="377" spans="1:8" x14ac:dyDescent="0.25">
      <c r="A377" s="8" t="s">
        <v>436</v>
      </c>
      <c r="B377" s="239">
        <v>5000</v>
      </c>
      <c r="C377" s="240"/>
      <c r="D377" s="244">
        <f>+IFERROR(+VLOOKUP(A377,'TB final'!$A$5:$J$726,5,0),0)</f>
        <v>5000</v>
      </c>
      <c r="E377" s="244">
        <f>+IFERROR(+VLOOKUP(A377,'TB final'!$A$5:$J$726,8,0),0)</f>
        <v>0</v>
      </c>
      <c r="F377" s="244">
        <f t="shared" si="15"/>
        <v>0</v>
      </c>
      <c r="G377" s="244">
        <f t="shared" si="16"/>
        <v>0</v>
      </c>
      <c r="H377" s="244">
        <f t="shared" si="17"/>
        <v>0</v>
      </c>
    </row>
    <row r="378" spans="1:8" x14ac:dyDescent="0.25">
      <c r="A378" s="8" t="s">
        <v>438</v>
      </c>
      <c r="B378" s="240"/>
      <c r="C378" s="239">
        <v>232050</v>
      </c>
      <c r="D378" s="244">
        <f>+IFERROR(+VLOOKUP(A378,'TB final'!$A$5:$J$726,5,0),0)</f>
        <v>0</v>
      </c>
      <c r="E378" s="244">
        <f>+IFERROR(+VLOOKUP(A378,'TB final'!$A$5:$J$726,8,0),0)</f>
        <v>232050</v>
      </c>
      <c r="F378" s="244">
        <f t="shared" si="15"/>
        <v>0</v>
      </c>
      <c r="G378" s="244">
        <f t="shared" si="16"/>
        <v>0</v>
      </c>
      <c r="H378" s="244">
        <f t="shared" si="17"/>
        <v>0</v>
      </c>
    </row>
    <row r="379" spans="1:8" x14ac:dyDescent="0.25">
      <c r="A379" s="8" t="s">
        <v>439</v>
      </c>
      <c r="B379" s="239">
        <v>290915</v>
      </c>
      <c r="C379" s="240"/>
      <c r="D379" s="244">
        <f>+IFERROR(+VLOOKUP(A379,'TB final'!$A$5:$J$726,5,0),0)</f>
        <v>290915</v>
      </c>
      <c r="E379" s="244">
        <f>+IFERROR(+VLOOKUP(A379,'TB final'!$A$5:$J$726,8,0),0)</f>
        <v>0</v>
      </c>
      <c r="F379" s="244">
        <f t="shared" si="15"/>
        <v>0</v>
      </c>
      <c r="G379" s="244">
        <f t="shared" si="16"/>
        <v>0</v>
      </c>
      <c r="H379" s="244">
        <f t="shared" si="17"/>
        <v>0</v>
      </c>
    </row>
    <row r="380" spans="1:8" x14ac:dyDescent="0.25">
      <c r="A380" s="8" t="s">
        <v>440</v>
      </c>
      <c r="B380" s="239">
        <v>6129998</v>
      </c>
      <c r="C380" s="240"/>
      <c r="D380" s="244">
        <f>+IFERROR(+VLOOKUP(A380,'TB final'!$A$5:$J$726,5,0),0)</f>
        <v>6129998</v>
      </c>
      <c r="E380" s="244">
        <f>+IFERROR(+VLOOKUP(A380,'TB final'!$A$5:$J$726,8,0),0)</f>
        <v>0</v>
      </c>
      <c r="F380" s="244">
        <f t="shared" si="15"/>
        <v>0</v>
      </c>
      <c r="G380" s="244">
        <f t="shared" si="16"/>
        <v>0</v>
      </c>
      <c r="H380" s="244">
        <f t="shared" si="17"/>
        <v>0</v>
      </c>
    </row>
    <row r="381" spans="1:8" x14ac:dyDescent="0.25">
      <c r="A381" s="8" t="s">
        <v>441</v>
      </c>
      <c r="B381" s="239">
        <v>384685059</v>
      </c>
      <c r="C381" s="240"/>
      <c r="D381" s="244">
        <f>+IFERROR(+VLOOKUP(A381,'TB final'!$A$5:$J$726,5,0),0)</f>
        <v>384685059</v>
      </c>
      <c r="E381" s="244">
        <f>+IFERROR(+VLOOKUP(A381,'TB final'!$A$5:$J$726,8,0),0)</f>
        <v>0</v>
      </c>
      <c r="F381" s="244">
        <f t="shared" si="15"/>
        <v>0</v>
      </c>
      <c r="G381" s="244">
        <f t="shared" si="16"/>
        <v>0</v>
      </c>
      <c r="H381" s="244">
        <f t="shared" si="17"/>
        <v>0</v>
      </c>
    </row>
    <row r="382" spans="1:8" x14ac:dyDescent="0.25">
      <c r="A382" s="8" t="s">
        <v>442</v>
      </c>
      <c r="B382" s="239">
        <v>1371677.02</v>
      </c>
      <c r="C382" s="240"/>
      <c r="D382" s="244">
        <f>+IFERROR(+VLOOKUP(A382,'TB final'!$A$5:$J$726,5,0),0)</f>
        <v>1371677.02</v>
      </c>
      <c r="E382" s="244">
        <f>+IFERROR(+VLOOKUP(A382,'TB final'!$A$5:$J$726,8,0),0)</f>
        <v>0</v>
      </c>
      <c r="F382" s="244">
        <f t="shared" si="15"/>
        <v>0</v>
      </c>
      <c r="G382" s="244">
        <f t="shared" si="16"/>
        <v>0</v>
      </c>
      <c r="H382" s="244">
        <f t="shared" si="17"/>
        <v>0</v>
      </c>
    </row>
    <row r="383" spans="1:8" x14ac:dyDescent="0.25">
      <c r="A383" s="8" t="s">
        <v>443</v>
      </c>
      <c r="B383" s="239">
        <v>133008</v>
      </c>
      <c r="C383" s="240"/>
      <c r="D383" s="244">
        <f>+IFERROR(+VLOOKUP(A383,'TB final'!$A$5:$J$726,5,0),0)</f>
        <v>133008</v>
      </c>
      <c r="E383" s="244">
        <f>+IFERROR(+VLOOKUP(A383,'TB final'!$A$5:$J$726,8,0),0)</f>
        <v>0</v>
      </c>
      <c r="F383" s="244">
        <f t="shared" si="15"/>
        <v>0</v>
      </c>
      <c r="G383" s="244">
        <f t="shared" si="16"/>
        <v>0</v>
      </c>
      <c r="H383" s="244">
        <f t="shared" si="17"/>
        <v>0</v>
      </c>
    </row>
    <row r="384" spans="1:8" x14ac:dyDescent="0.25">
      <c r="A384" s="8" t="s">
        <v>444</v>
      </c>
      <c r="B384" s="239">
        <v>180000</v>
      </c>
      <c r="C384" s="240"/>
      <c r="D384" s="244">
        <f>+IFERROR(+VLOOKUP(A384,'TB final'!$A$5:$J$726,5,0),0)</f>
        <v>180000</v>
      </c>
      <c r="E384" s="244">
        <f>+IFERROR(+VLOOKUP(A384,'TB final'!$A$5:$J$726,8,0),0)</f>
        <v>0</v>
      </c>
      <c r="F384" s="244">
        <f t="shared" si="15"/>
        <v>0</v>
      </c>
      <c r="G384" s="244">
        <f t="shared" si="16"/>
        <v>0</v>
      </c>
      <c r="H384" s="244">
        <f t="shared" si="17"/>
        <v>0</v>
      </c>
    </row>
    <row r="385" spans="1:8" x14ac:dyDescent="0.25">
      <c r="A385" s="8" t="s">
        <v>445</v>
      </c>
      <c r="B385" s="239">
        <v>7547</v>
      </c>
      <c r="C385" s="240"/>
      <c r="D385" s="244">
        <f>+IFERROR(+VLOOKUP(A385,'TB final'!$A$5:$J$726,5,0),0)</f>
        <v>7547</v>
      </c>
      <c r="E385" s="244">
        <f>+IFERROR(+VLOOKUP(A385,'TB final'!$A$5:$J$726,8,0),0)</f>
        <v>0</v>
      </c>
      <c r="F385" s="244">
        <f t="shared" si="15"/>
        <v>0</v>
      </c>
      <c r="G385" s="244">
        <f t="shared" si="16"/>
        <v>0</v>
      </c>
      <c r="H385" s="244">
        <f t="shared" si="17"/>
        <v>0</v>
      </c>
    </row>
    <row r="386" spans="1:8" x14ac:dyDescent="0.25">
      <c r="A386" s="8" t="s">
        <v>447</v>
      </c>
      <c r="B386" s="239">
        <v>31034983</v>
      </c>
      <c r="C386" s="240"/>
      <c r="D386" s="244">
        <f>+IFERROR(+VLOOKUP(A386,'TB final'!$A$5:$J$726,5,0),0)</f>
        <v>31034983</v>
      </c>
      <c r="E386" s="244">
        <f>+IFERROR(+VLOOKUP(A386,'TB final'!$A$5:$J$726,8,0),0)</f>
        <v>0</v>
      </c>
      <c r="F386" s="244">
        <f t="shared" si="15"/>
        <v>0</v>
      </c>
      <c r="G386" s="244">
        <f t="shared" si="16"/>
        <v>0</v>
      </c>
      <c r="H386" s="244">
        <f t="shared" si="17"/>
        <v>0</v>
      </c>
    </row>
    <row r="387" spans="1:8" x14ac:dyDescent="0.25">
      <c r="A387" s="8" t="s">
        <v>448</v>
      </c>
      <c r="B387" s="240"/>
      <c r="C387" s="239">
        <v>19017</v>
      </c>
      <c r="D387" s="244">
        <f>+IFERROR(+VLOOKUP(A387,'TB final'!$A$5:$J$726,5,0),0)</f>
        <v>0</v>
      </c>
      <c r="E387" s="244">
        <f>+IFERROR(+VLOOKUP(A387,'TB final'!$A$5:$J$726,8,0),0)</f>
        <v>19017</v>
      </c>
      <c r="F387" s="244">
        <f t="shared" si="15"/>
        <v>0</v>
      </c>
      <c r="G387" s="244">
        <f t="shared" si="16"/>
        <v>0</v>
      </c>
      <c r="H387" s="244">
        <f t="shared" si="17"/>
        <v>0</v>
      </c>
    </row>
    <row r="388" spans="1:8" x14ac:dyDescent="0.25">
      <c r="A388" s="1226" t="s">
        <v>3204</v>
      </c>
      <c r="B388" s="240"/>
      <c r="C388" s="239">
        <v>0.22</v>
      </c>
      <c r="D388" s="244">
        <f>+IFERROR(+VLOOKUP(A388,'TB final'!$A$5:$J$726,5,0),0)</f>
        <v>0</v>
      </c>
      <c r="E388" s="244">
        <f>+IFERROR(+VLOOKUP(A388,'TB final'!$A$5:$J$726,8,0),0)</f>
        <v>0</v>
      </c>
      <c r="F388" s="244">
        <f t="shared" si="15"/>
        <v>0</v>
      </c>
      <c r="G388" s="244">
        <f t="shared" si="16"/>
        <v>0.22</v>
      </c>
      <c r="H388" s="244">
        <f t="shared" si="17"/>
        <v>0.22</v>
      </c>
    </row>
    <row r="389" spans="1:8" x14ac:dyDescent="0.25">
      <c r="A389" s="1227" t="s">
        <v>450</v>
      </c>
      <c r="B389" s="1228">
        <v>1414542251.77</v>
      </c>
      <c r="C389" s="1228">
        <v>1414542251.77</v>
      </c>
      <c r="D389" s="244">
        <f>SUM(D12:D388)</f>
        <v>1414542251.77</v>
      </c>
      <c r="E389" s="244">
        <f>SUM(E12:E388)</f>
        <v>1414542251.55</v>
      </c>
      <c r="F389" s="244">
        <f t="shared" si="15"/>
        <v>0</v>
      </c>
      <c r="G389" s="244">
        <f t="shared" si="16"/>
        <v>0.22000002861022949</v>
      </c>
      <c r="H389" s="244">
        <f t="shared" si="17"/>
        <v>0.22000002861022949</v>
      </c>
    </row>
    <row r="390" spans="1:8" x14ac:dyDescent="0.25">
      <c r="A390" s="8"/>
      <c r="B390" s="247"/>
      <c r="C390" s="247"/>
    </row>
    <row r="391" spans="1:8" x14ac:dyDescent="0.25">
      <c r="A391" s="8"/>
      <c r="B391" s="247"/>
      <c r="C391" s="247"/>
    </row>
    <row r="392" spans="1:8" x14ac:dyDescent="0.25">
      <c r="A392" s="8"/>
      <c r="B392" s="247"/>
      <c r="C392" s="247"/>
    </row>
    <row r="393" spans="1:8" x14ac:dyDescent="0.25">
      <c r="A393" s="8"/>
      <c r="B393" s="247"/>
      <c r="C393" s="247"/>
    </row>
    <row r="394" spans="1:8" x14ac:dyDescent="0.25">
      <c r="A394" s="8"/>
      <c r="B394" s="247"/>
      <c r="C394" s="247"/>
    </row>
    <row r="395" spans="1:8" x14ac:dyDescent="0.25">
      <c r="A395" s="8"/>
      <c r="B395" s="247"/>
      <c r="C395" s="247"/>
    </row>
    <row r="396" spans="1:8" x14ac:dyDescent="0.25">
      <c r="A396" s="8"/>
      <c r="B396" s="247"/>
      <c r="C396" s="247"/>
    </row>
    <row r="397" spans="1:8" x14ac:dyDescent="0.25">
      <c r="A397" s="8"/>
      <c r="B397" s="247"/>
      <c r="C397" s="247"/>
    </row>
    <row r="398" spans="1:8" x14ac:dyDescent="0.25">
      <c r="A398" s="8"/>
      <c r="B398" s="247"/>
      <c r="C398" s="247"/>
    </row>
    <row r="399" spans="1:8" x14ac:dyDescent="0.25">
      <c r="A399" s="8"/>
      <c r="B399" s="247"/>
      <c r="C399" s="247"/>
    </row>
    <row r="400" spans="1:8" x14ac:dyDescent="0.25">
      <c r="A400" s="8"/>
      <c r="B400" s="247"/>
      <c r="C400" s="247"/>
    </row>
    <row r="401" spans="1:3" x14ac:dyDescent="0.25">
      <c r="A401" s="8"/>
      <c r="B401" s="247"/>
      <c r="C401" s="247"/>
    </row>
    <row r="402" spans="1:3" x14ac:dyDescent="0.25">
      <c r="A402" s="8"/>
      <c r="B402" s="247"/>
      <c r="C402" s="247"/>
    </row>
    <row r="403" spans="1:3" x14ac:dyDescent="0.25">
      <c r="A403" s="8"/>
      <c r="B403" s="247"/>
      <c r="C403" s="247"/>
    </row>
    <row r="404" spans="1:3" x14ac:dyDescent="0.25">
      <c r="A404" s="8"/>
      <c r="B404" s="247"/>
      <c r="C404" s="247"/>
    </row>
    <row r="405" spans="1:3" x14ac:dyDescent="0.25">
      <c r="A405" s="8"/>
      <c r="B405" s="247"/>
      <c r="C405" s="247"/>
    </row>
    <row r="406" spans="1:3" x14ac:dyDescent="0.25">
      <c r="A406" s="8"/>
      <c r="B406" s="247"/>
      <c r="C406" s="247"/>
    </row>
    <row r="407" spans="1:3" x14ac:dyDescent="0.25">
      <c r="A407" s="8"/>
      <c r="B407" s="247"/>
      <c r="C407" s="247"/>
    </row>
    <row r="408" spans="1:3" x14ac:dyDescent="0.25">
      <c r="A408" s="8"/>
      <c r="B408" s="247"/>
      <c r="C408" s="247"/>
    </row>
    <row r="409" spans="1:3" x14ac:dyDescent="0.25">
      <c r="A409" s="8"/>
      <c r="B409" s="247"/>
      <c r="C409" s="247"/>
    </row>
    <row r="410" spans="1:3" x14ac:dyDescent="0.25">
      <c r="A410" s="8"/>
      <c r="B410" s="247"/>
      <c r="C410" s="247"/>
    </row>
    <row r="411" spans="1:3" x14ac:dyDescent="0.25">
      <c r="A411" s="8"/>
      <c r="B411" s="247"/>
      <c r="C411" s="247"/>
    </row>
    <row r="412" spans="1:3" x14ac:dyDescent="0.25">
      <c r="A412" s="8"/>
      <c r="B412" s="247"/>
      <c r="C412" s="247"/>
    </row>
    <row r="413" spans="1:3" x14ac:dyDescent="0.25">
      <c r="A413" s="8"/>
      <c r="B413" s="247"/>
      <c r="C413" s="247"/>
    </row>
    <row r="414" spans="1:3" x14ac:dyDescent="0.25">
      <c r="A414" s="8"/>
      <c r="B414" s="247"/>
      <c r="C414" s="247"/>
    </row>
    <row r="415" spans="1:3" x14ac:dyDescent="0.25">
      <c r="A415" s="8"/>
      <c r="B415" s="247"/>
      <c r="C415" s="247"/>
    </row>
    <row r="416" spans="1:3" x14ac:dyDescent="0.25">
      <c r="A416" s="8"/>
      <c r="B416" s="247"/>
      <c r="C416" s="247"/>
    </row>
    <row r="417" spans="1:8" x14ac:dyDescent="0.25">
      <c r="A417" s="8"/>
      <c r="B417" s="247"/>
      <c r="C417" s="247"/>
    </row>
    <row r="418" spans="1:8" x14ac:dyDescent="0.25">
      <c r="A418" s="8"/>
      <c r="B418" s="247"/>
      <c r="C418" s="247"/>
    </row>
    <row r="419" spans="1:8" x14ac:dyDescent="0.25">
      <c r="A419" s="8"/>
      <c r="B419" s="247"/>
      <c r="C419" s="247"/>
    </row>
    <row r="420" spans="1:8" x14ac:dyDescent="0.25">
      <c r="A420" s="8"/>
      <c r="B420" s="247"/>
      <c r="C420" s="247"/>
    </row>
    <row r="421" spans="1:8" x14ac:dyDescent="0.25">
      <c r="A421" s="8"/>
      <c r="B421" s="247"/>
      <c r="C421" s="247"/>
    </row>
    <row r="422" spans="1:8" x14ac:dyDescent="0.25">
      <c r="A422" s="8"/>
      <c r="B422" s="247"/>
      <c r="C422" s="247"/>
    </row>
    <row r="423" spans="1:8" x14ac:dyDescent="0.25">
      <c r="A423" s="8"/>
      <c r="B423" s="247"/>
      <c r="C423" s="247"/>
    </row>
    <row r="424" spans="1:8" x14ac:dyDescent="0.25">
      <c r="A424" s="8"/>
      <c r="B424" s="247"/>
      <c r="C424" s="247"/>
    </row>
    <row r="425" spans="1:8" x14ac:dyDescent="0.25">
      <c r="A425" s="8"/>
      <c r="B425" s="247"/>
      <c r="C425" s="247"/>
    </row>
    <row r="426" spans="1:8" x14ac:dyDescent="0.25">
      <c r="A426" s="8"/>
      <c r="B426" s="247"/>
      <c r="C426" s="247"/>
    </row>
    <row r="427" spans="1:8" x14ac:dyDescent="0.25">
      <c r="A427" s="8"/>
      <c r="B427" s="247"/>
      <c r="C427" s="247"/>
    </row>
    <row r="428" spans="1:8" x14ac:dyDescent="0.25">
      <c r="A428" s="8"/>
      <c r="B428" s="247"/>
      <c r="C428" s="247"/>
    </row>
    <row r="429" spans="1:8" x14ac:dyDescent="0.25">
      <c r="A429" s="243"/>
      <c r="B429" s="248"/>
      <c r="C429" s="248"/>
      <c r="D429" s="249"/>
      <c r="E429" s="249"/>
      <c r="F429" s="249"/>
      <c r="G429" s="249"/>
      <c r="H429" s="249"/>
    </row>
    <row r="430" spans="1:8" x14ac:dyDescent="0.25">
      <c r="B430" s="246"/>
      <c r="C430" s="246"/>
    </row>
    <row r="431" spans="1:8" x14ac:dyDescent="0.25">
      <c r="B431" s="246"/>
      <c r="C431" s="246"/>
    </row>
    <row r="432" spans="1:8" x14ac:dyDescent="0.25">
      <c r="B432" s="246"/>
      <c r="C432" s="246"/>
    </row>
    <row r="433" spans="2:3" x14ac:dyDescent="0.25">
      <c r="B433" s="246"/>
      <c r="C433" s="246"/>
    </row>
    <row r="434" spans="2:3" x14ac:dyDescent="0.25">
      <c r="B434" s="246"/>
      <c r="C434" s="246"/>
    </row>
    <row r="435" spans="2:3" x14ac:dyDescent="0.25">
      <c r="B435" s="246"/>
      <c r="C435" s="246"/>
    </row>
    <row r="436" spans="2:3" x14ac:dyDescent="0.25">
      <c r="B436" s="246"/>
      <c r="C436" s="246"/>
    </row>
    <row r="437" spans="2:3" x14ac:dyDescent="0.25">
      <c r="B437" s="246"/>
      <c r="C437" s="246"/>
    </row>
    <row r="438" spans="2:3" x14ac:dyDescent="0.25">
      <c r="B438" s="246"/>
      <c r="C438" s="246"/>
    </row>
    <row r="439" spans="2:3" x14ac:dyDescent="0.25">
      <c r="B439" s="246"/>
      <c r="C439" s="246"/>
    </row>
    <row r="440" spans="2:3" x14ac:dyDescent="0.25">
      <c r="B440" s="246"/>
      <c r="C440" s="246"/>
    </row>
    <row r="441" spans="2:3" x14ac:dyDescent="0.25">
      <c r="B441" s="246"/>
      <c r="C441" s="246"/>
    </row>
    <row r="442" spans="2:3" x14ac:dyDescent="0.25">
      <c r="B442" s="246"/>
      <c r="C442" s="246"/>
    </row>
    <row r="443" spans="2:3" x14ac:dyDescent="0.25">
      <c r="B443" s="246"/>
      <c r="C443" s="246"/>
    </row>
    <row r="444" spans="2:3" x14ac:dyDescent="0.25">
      <c r="B444" s="246"/>
      <c r="C444" s="246"/>
    </row>
    <row r="445" spans="2:3" x14ac:dyDescent="0.25">
      <c r="B445" s="246"/>
      <c r="C445" s="246"/>
    </row>
    <row r="446" spans="2:3" x14ac:dyDescent="0.25">
      <c r="B446" s="246"/>
      <c r="C446" s="246"/>
    </row>
    <row r="447" spans="2:3" x14ac:dyDescent="0.25">
      <c r="B447" s="246"/>
      <c r="C447" s="246"/>
    </row>
    <row r="448" spans="2:3" x14ac:dyDescent="0.25">
      <c r="B448" s="246"/>
      <c r="C448" s="246"/>
    </row>
    <row r="449" spans="2:3" x14ac:dyDescent="0.25">
      <c r="B449" s="246"/>
      <c r="C449" s="246"/>
    </row>
    <row r="450" spans="2:3" x14ac:dyDescent="0.25">
      <c r="B450" s="246"/>
      <c r="C450" s="246"/>
    </row>
    <row r="451" spans="2:3" x14ac:dyDescent="0.25">
      <c r="B451" s="246"/>
      <c r="C451" s="246"/>
    </row>
    <row r="452" spans="2:3" x14ac:dyDescent="0.25">
      <c r="B452" s="246"/>
      <c r="C452" s="246"/>
    </row>
  </sheetData>
  <autoFilter ref="A11:H430" xr:uid="{00000000-0009-0000-0000-000008000000}"/>
  <customSheetViews>
    <customSheetView guid="{334DC1DD-AD60-4D12-A532-9CEE6201A253}" showAutoFilter="1" topLeftCell="A372">
      <selection activeCell="C393" sqref="C393"/>
      <pageMargins left="0.7" right="0.7" top="0.75" bottom="0.75" header="0.3" footer="0.3"/>
      <pageSetup orientation="portrait" r:id="rId1"/>
      <autoFilter ref="A11:H437" xr:uid="{E91CEA13-CE5D-4117-8B66-BD01B742AC85}"/>
    </customSheetView>
    <customSheetView guid="{BD5AA3B3-719E-4481-B722-8DE3E8101662}" showAutoFilter="1" topLeftCell="A372">
      <selection activeCell="C393" sqref="C393"/>
      <pageMargins left="0.7" right="0.7" top="0.75" bottom="0.75" header="0.3" footer="0.3"/>
      <pageSetup orientation="portrait" r:id="rId2"/>
      <autoFilter ref="A11:H437" xr:uid="{8FC6C656-E7DB-465C-A68B-B88F17222CC8}"/>
    </customSheetView>
  </customSheetViews>
  <mergeCells count="10">
    <mergeCell ref="A7:C7"/>
    <mergeCell ref="B8:C8"/>
    <mergeCell ref="B9:C9"/>
    <mergeCell ref="B10:C10"/>
    <mergeCell ref="A1:C1"/>
    <mergeCell ref="A2:C2"/>
    <mergeCell ref="A3:C3"/>
    <mergeCell ref="A4:C4"/>
    <mergeCell ref="A5:C5"/>
    <mergeCell ref="A6:C6"/>
  </mergeCells>
  <conditionalFormatting sqref="A186">
    <cfRule type="duplicateValues" dxfId="4" priority="3"/>
  </conditionalFormatting>
  <conditionalFormatting sqref="A186">
    <cfRule type="duplicateValues" dxfId="3" priority="4"/>
  </conditionalFormatting>
  <conditionalFormatting sqref="A226">
    <cfRule type="duplicateValues" dxfId="2" priority="1"/>
  </conditionalFormatting>
  <conditionalFormatting sqref="A226">
    <cfRule type="duplicateValues" dxfId="1" priority="2"/>
  </conditionalFormatting>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B74"/>
  <sheetViews>
    <sheetView view="pageBreakPreview" topLeftCell="A18" zoomScale="55" zoomScaleSheetLayoutView="55" workbookViewId="0">
      <selection activeCell="P46" sqref="P46"/>
    </sheetView>
  </sheetViews>
  <sheetFormatPr defaultColWidth="9" defaultRowHeight="16.5" x14ac:dyDescent="0.3"/>
  <cols>
    <col min="1" max="1" width="1.28515625" style="447" customWidth="1"/>
    <col min="2" max="2" width="6.85546875" style="447" customWidth="1"/>
    <col min="3" max="3" width="32.85546875" style="447" bestFit="1" customWidth="1"/>
    <col min="4" max="4" width="14.85546875" style="447" bestFit="1" customWidth="1"/>
    <col min="5" max="5" width="11.7109375" style="447" bestFit="1" customWidth="1"/>
    <col min="6" max="6" width="18.42578125" style="447" customWidth="1"/>
    <col min="7" max="7" width="16" style="447" bestFit="1" customWidth="1"/>
    <col min="8" max="9" width="17.28515625" style="447" customWidth="1"/>
    <col min="10" max="10" width="19.42578125" style="447" bestFit="1" customWidth="1"/>
    <col min="11" max="11" width="20.85546875" style="551" bestFit="1" customWidth="1"/>
    <col min="12" max="12" width="15.28515625" style="447" bestFit="1" customWidth="1"/>
    <col min="13" max="13" width="19.28515625" style="447" customWidth="1"/>
    <col min="14" max="14" width="33.5703125" style="551" bestFit="1" customWidth="1"/>
    <col min="15" max="15" width="20.85546875" style="447" customWidth="1"/>
    <col min="16" max="16" width="18.42578125" style="447" customWidth="1"/>
    <col min="17" max="17" width="2.42578125" style="447" customWidth="1"/>
    <col min="18" max="18" width="12.28515625" style="448" bestFit="1" customWidth="1"/>
    <col min="19" max="19" width="38.140625" style="448" bestFit="1" customWidth="1"/>
    <col min="20" max="20" width="14.28515625" style="552" bestFit="1" customWidth="1"/>
    <col min="21" max="21" width="12.85546875" style="448" bestFit="1" customWidth="1"/>
    <col min="22" max="22" width="22.42578125" style="448" bestFit="1" customWidth="1"/>
    <col min="23" max="23" width="11.7109375" style="448" bestFit="1" customWidth="1"/>
    <col min="24" max="24" width="13.7109375" style="447" bestFit="1" customWidth="1"/>
    <col min="25" max="25" width="10.85546875" style="447" bestFit="1" customWidth="1"/>
    <col min="26" max="26" width="9" style="447"/>
    <col min="27" max="27" width="15.42578125" style="447" bestFit="1" customWidth="1"/>
    <col min="28" max="16384" width="9" style="447"/>
  </cols>
  <sheetData>
    <row r="1" spans="2:28" ht="23.25" x14ac:dyDescent="0.3">
      <c r="B1" s="1847" t="s">
        <v>2320</v>
      </c>
      <c r="C1" s="1847"/>
      <c r="D1" s="1847"/>
      <c r="E1" s="1847"/>
      <c r="F1" s="1847"/>
      <c r="G1" s="1847"/>
      <c r="H1" s="1847"/>
      <c r="I1" s="1847"/>
      <c r="J1" s="1847"/>
      <c r="K1" s="1847"/>
      <c r="L1" s="1847"/>
      <c r="M1" s="1847"/>
      <c r="N1" s="1847"/>
      <c r="O1" s="1847"/>
      <c r="P1" s="1847"/>
    </row>
    <row r="2" spans="2:28" s="449" customFormat="1" ht="23.25" x14ac:dyDescent="0.3">
      <c r="B2" s="1848" t="s">
        <v>2321</v>
      </c>
      <c r="C2" s="1848"/>
      <c r="D2" s="1848"/>
      <c r="E2" s="1848"/>
      <c r="F2" s="1848"/>
      <c r="G2" s="1848"/>
      <c r="H2" s="1848"/>
      <c r="I2" s="1848"/>
      <c r="J2" s="1848"/>
      <c r="K2" s="1848"/>
      <c r="L2" s="1848"/>
      <c r="M2" s="1848"/>
      <c r="N2" s="1848"/>
      <c r="O2" s="1848"/>
      <c r="P2" s="1848"/>
      <c r="R2" s="450"/>
      <c r="S2" s="450"/>
      <c r="T2" s="553"/>
      <c r="U2" s="450"/>
      <c r="V2" s="450"/>
      <c r="W2" s="450"/>
    </row>
    <row r="3" spans="2:28" s="449" customFormat="1" hidden="1" x14ac:dyDescent="0.3">
      <c r="B3" s="451"/>
      <c r="C3" s="451"/>
      <c r="D3" s="451"/>
      <c r="E3" s="451"/>
      <c r="F3" s="451"/>
      <c r="G3" s="451"/>
      <c r="H3" s="451"/>
      <c r="I3" s="451"/>
      <c r="J3" s="451"/>
      <c r="K3" s="452"/>
      <c r="L3" s="451"/>
      <c r="M3" s="451"/>
      <c r="N3" s="452"/>
      <c r="O3" s="451"/>
      <c r="P3" s="451"/>
      <c r="R3" s="450"/>
      <c r="S3" s="450"/>
      <c r="T3" s="553"/>
      <c r="U3" s="450"/>
      <c r="V3" s="450"/>
      <c r="W3" s="450"/>
    </row>
    <row r="4" spans="2:28" s="449" customFormat="1" hidden="1" x14ac:dyDescent="0.3">
      <c r="B4" s="451"/>
      <c r="C4" s="451"/>
      <c r="D4" s="451"/>
      <c r="E4" s="451"/>
      <c r="F4" s="451"/>
      <c r="G4" s="451"/>
      <c r="H4" s="451"/>
      <c r="I4" s="451"/>
      <c r="J4" s="451"/>
      <c r="K4" s="452"/>
      <c r="L4" s="451"/>
      <c r="M4" s="451"/>
      <c r="N4" s="452"/>
      <c r="O4" s="451"/>
      <c r="P4" s="451"/>
      <c r="R4" s="450"/>
      <c r="S4" s="450"/>
      <c r="T4" s="553"/>
      <c r="U4" s="450"/>
      <c r="V4" s="450"/>
      <c r="W4" s="450"/>
    </row>
    <row r="5" spans="2:28" s="449" customFormat="1" hidden="1" x14ac:dyDescent="0.3">
      <c r="B5" s="451"/>
      <c r="C5" s="451"/>
      <c r="D5" s="451"/>
      <c r="E5" s="451"/>
      <c r="F5" s="451"/>
      <c r="G5" s="1849"/>
      <c r="H5" s="1849"/>
      <c r="I5" s="1849"/>
      <c r="J5" s="1849"/>
      <c r="K5" s="452"/>
      <c r="L5" s="451"/>
      <c r="M5" s="451"/>
      <c r="N5" s="452"/>
      <c r="O5" s="451"/>
      <c r="P5" s="451"/>
      <c r="R5" s="450"/>
      <c r="S5" s="450"/>
      <c r="T5" s="553"/>
      <c r="U5" s="450"/>
      <c r="V5" s="450"/>
      <c r="W5" s="450"/>
    </row>
    <row r="6" spans="2:28" ht="17.25" thickBot="1" x14ac:dyDescent="0.35">
      <c r="B6" s="451"/>
      <c r="C6" s="451"/>
      <c r="D6" s="451"/>
      <c r="E6" s="451"/>
      <c r="F6" s="451"/>
      <c r="G6" s="1849"/>
      <c r="H6" s="1849"/>
      <c r="I6" s="1849"/>
      <c r="J6" s="1849"/>
      <c r="K6" s="452"/>
      <c r="L6" s="451"/>
      <c r="M6" s="451"/>
      <c r="N6" s="452"/>
      <c r="O6" s="451"/>
      <c r="P6" s="451"/>
    </row>
    <row r="7" spans="2:28" ht="21.75" customHeight="1" x14ac:dyDescent="0.3">
      <c r="B7" s="1850" t="s">
        <v>2322</v>
      </c>
      <c r="C7" s="1852" t="s">
        <v>451</v>
      </c>
      <c r="D7" s="1854" t="s">
        <v>2323</v>
      </c>
      <c r="E7" s="1855"/>
      <c r="F7" s="1856"/>
      <c r="G7" s="1854" t="s">
        <v>2324</v>
      </c>
      <c r="H7" s="1857"/>
      <c r="I7" s="1857"/>
      <c r="J7" s="1856"/>
      <c r="K7" s="1854" t="s">
        <v>2325</v>
      </c>
      <c r="L7" s="1855"/>
      <c r="M7" s="1856"/>
      <c r="N7" s="1854" t="s">
        <v>2326</v>
      </c>
      <c r="O7" s="1855"/>
      <c r="P7" s="1856"/>
    </row>
    <row r="8" spans="2:28" ht="30" customHeight="1" thickBot="1" x14ac:dyDescent="0.35">
      <c r="B8" s="1851"/>
      <c r="C8" s="1853"/>
      <c r="D8" s="453" t="s">
        <v>2311</v>
      </c>
      <c r="E8" s="454" t="s">
        <v>2327</v>
      </c>
      <c r="F8" s="455" t="s">
        <v>2328</v>
      </c>
      <c r="G8" s="453" t="s">
        <v>2311</v>
      </c>
      <c r="H8" s="456" t="s">
        <v>2329</v>
      </c>
      <c r="I8" s="457" t="s">
        <v>2327</v>
      </c>
      <c r="J8" s="458" t="s">
        <v>2328</v>
      </c>
      <c r="K8" s="459" t="s">
        <v>2311</v>
      </c>
      <c r="L8" s="454" t="s">
        <v>2327</v>
      </c>
      <c r="M8" s="458" t="s">
        <v>2328</v>
      </c>
      <c r="N8" s="459" t="s">
        <v>2311</v>
      </c>
      <c r="O8" s="454" t="s">
        <v>2327</v>
      </c>
      <c r="P8" s="455" t="s">
        <v>2328</v>
      </c>
    </row>
    <row r="9" spans="2:28" s="565" customFormat="1" ht="22.5" customHeight="1" x14ac:dyDescent="0.25">
      <c r="B9" s="556" t="s">
        <v>2330</v>
      </c>
      <c r="C9" s="557" t="s">
        <v>2331</v>
      </c>
      <c r="D9" s="558">
        <v>427</v>
      </c>
      <c r="E9" s="559">
        <f>SUM(F9/D9)</f>
        <v>11533.585480093678</v>
      </c>
      <c r="F9" s="560">
        <v>4924841</v>
      </c>
      <c r="G9" s="558">
        <v>25590.224999999999</v>
      </c>
      <c r="H9" s="561"/>
      <c r="I9" s="562">
        <f>SUM(J9/G9)</f>
        <v>15081.925696237529</v>
      </c>
      <c r="J9" s="560">
        <v>385949872</v>
      </c>
      <c r="K9" s="563">
        <v>25902.224999999999</v>
      </c>
      <c r="L9" s="562">
        <f>SUM(M9/K9)</f>
        <v>14989.737754189071</v>
      </c>
      <c r="M9" s="560">
        <f>+F9+J9-P9</f>
        <v>388267560</v>
      </c>
      <c r="N9" s="558">
        <f>SUM(D9+G9-K9)</f>
        <v>115</v>
      </c>
      <c r="O9" s="562">
        <f>SUM(P9/N9)</f>
        <v>22670.895652173913</v>
      </c>
      <c r="P9" s="564">
        <v>2607153</v>
      </c>
      <c r="T9" s="566"/>
    </row>
    <row r="10" spans="2:28" s="565" customFormat="1" ht="19.5" customHeight="1" thickBot="1" x14ac:dyDescent="0.3">
      <c r="B10" s="567"/>
      <c r="C10" s="568" t="s">
        <v>1079</v>
      </c>
      <c r="D10" s="569">
        <f>D9</f>
        <v>427</v>
      </c>
      <c r="E10" s="570"/>
      <c r="F10" s="571">
        <f>+F9</f>
        <v>4924841</v>
      </c>
      <c r="G10" s="572">
        <f>+G9</f>
        <v>25590.224999999999</v>
      </c>
      <c r="H10" s="573"/>
      <c r="I10" s="573"/>
      <c r="J10" s="574">
        <f>+J9</f>
        <v>385949872</v>
      </c>
      <c r="K10" s="575">
        <f>+K9</f>
        <v>25902.224999999999</v>
      </c>
      <c r="L10" s="576"/>
      <c r="M10" s="571">
        <f>+M9</f>
        <v>388267560</v>
      </c>
      <c r="N10" s="572">
        <f>SUM(D10+G10-K10)</f>
        <v>115</v>
      </c>
      <c r="O10" s="570"/>
      <c r="P10" s="571">
        <f>+P9</f>
        <v>2607153</v>
      </c>
      <c r="Q10" s="565">
        <f>F10+J10-M10</f>
        <v>2607153</v>
      </c>
      <c r="T10" s="566"/>
    </row>
    <row r="11" spans="2:28" s="565" customFormat="1" ht="18.75" customHeight="1" thickBot="1" x14ac:dyDescent="0.3">
      <c r="B11" s="577"/>
      <c r="C11" s="578"/>
      <c r="D11" s="579"/>
      <c r="E11" s="580"/>
      <c r="F11" s="581"/>
      <c r="G11" s="579"/>
      <c r="H11" s="582"/>
      <c r="I11" s="582"/>
      <c r="J11" s="583"/>
      <c r="K11" s="584"/>
      <c r="L11" s="585"/>
      <c r="M11" s="586"/>
      <c r="N11" s="587"/>
      <c r="O11" s="580"/>
      <c r="P11" s="583"/>
      <c r="R11" s="588" t="s">
        <v>2366</v>
      </c>
      <c r="S11" s="588" t="s">
        <v>9</v>
      </c>
      <c r="T11" s="589" t="s">
        <v>2353</v>
      </c>
      <c r="U11" s="588" t="s">
        <v>2354</v>
      </c>
      <c r="V11" s="588" t="s">
        <v>2355</v>
      </c>
      <c r="W11" s="588" t="s">
        <v>2356</v>
      </c>
      <c r="X11" s="588" t="s">
        <v>2357</v>
      </c>
      <c r="Y11" s="588" t="s">
        <v>2358</v>
      </c>
      <c r="Z11" s="588" t="s">
        <v>2359</v>
      </c>
      <c r="AA11" s="588" t="s">
        <v>2360</v>
      </c>
      <c r="AB11" s="588" t="s">
        <v>2361</v>
      </c>
    </row>
    <row r="12" spans="2:28" s="565" customFormat="1" ht="21.75" customHeight="1" x14ac:dyDescent="0.25">
      <c r="B12" s="556" t="s">
        <v>2332</v>
      </c>
      <c r="C12" s="590" t="s">
        <v>2333</v>
      </c>
      <c r="D12" s="591">
        <v>151</v>
      </c>
      <c r="E12" s="559">
        <f t="shared" ref="E12:E32" si="0">SUM(F12/D12)</f>
        <v>11539.562913907284</v>
      </c>
      <c r="F12" s="560">
        <v>1742474</v>
      </c>
      <c r="G12" s="591"/>
      <c r="H12" s="561"/>
      <c r="I12" s="561"/>
      <c r="J12" s="592"/>
      <c r="K12" s="593"/>
      <c r="L12" s="594"/>
      <c r="M12" s="595"/>
      <c r="N12" s="558">
        <v>29</v>
      </c>
      <c r="O12" s="591">
        <f t="shared" ref="O12:O24" si="1">SUM(P12/N12)</f>
        <v>20051.862068965518</v>
      </c>
      <c r="P12" s="560">
        <v>581504</v>
      </c>
      <c r="R12" s="596">
        <v>44259</v>
      </c>
      <c r="S12" s="597" t="s">
        <v>44</v>
      </c>
      <c r="T12" s="598">
        <v>113.018</v>
      </c>
      <c r="U12" s="597">
        <v>1874121</v>
      </c>
      <c r="V12" s="597">
        <v>313975</v>
      </c>
      <c r="W12" s="597">
        <f>42500+35625</f>
        <v>78125</v>
      </c>
      <c r="X12" s="597">
        <f>+W12+V12+U12</f>
        <v>2266221</v>
      </c>
      <c r="Y12" s="597">
        <f>+X12/T12</f>
        <v>20051.858995912156</v>
      </c>
      <c r="Z12" s="597">
        <f>+N12</f>
        <v>29</v>
      </c>
      <c r="AA12" s="597">
        <f>+ROUND(Y12*Z12,0)</f>
        <v>581504</v>
      </c>
      <c r="AB12" s="597">
        <f>+P12-AA12</f>
        <v>0</v>
      </c>
    </row>
    <row r="13" spans="2:28" s="565" customFormat="1" ht="19.5" customHeight="1" x14ac:dyDescent="0.25">
      <c r="B13" s="599"/>
      <c r="C13" s="600" t="s">
        <v>2333</v>
      </c>
      <c r="D13" s="562">
        <v>245</v>
      </c>
      <c r="E13" s="559">
        <f t="shared" si="0"/>
        <v>11608.848979591838</v>
      </c>
      <c r="F13" s="560">
        <v>2844168</v>
      </c>
      <c r="G13" s="562"/>
      <c r="H13" s="601"/>
      <c r="I13" s="601"/>
      <c r="J13" s="602"/>
      <c r="K13" s="603"/>
      <c r="L13" s="604"/>
      <c r="M13" s="605"/>
      <c r="N13" s="606">
        <v>172</v>
      </c>
      <c r="O13" s="562">
        <f t="shared" si="1"/>
        <v>16058.877906976744</v>
      </c>
      <c r="P13" s="560">
        <v>2762127</v>
      </c>
      <c r="R13" s="596">
        <v>44186</v>
      </c>
      <c r="S13" s="597" t="s">
        <v>2362</v>
      </c>
      <c r="T13" s="598">
        <v>248.66200000000001</v>
      </c>
      <c r="U13" s="597">
        <v>3213484</v>
      </c>
      <c r="V13" s="597">
        <v>623000</v>
      </c>
      <c r="W13" s="597">
        <f>71250+500+85000</f>
        <v>156750</v>
      </c>
      <c r="X13" s="597">
        <f t="shared" ref="X13:X24" si="2">+W13+V13+U13</f>
        <v>3993234</v>
      </c>
      <c r="Y13" s="597">
        <f t="shared" ref="Y13:Y24" si="3">+X13/T13</f>
        <v>16058.883142579083</v>
      </c>
      <c r="Z13" s="597">
        <f t="shared" ref="Z13:Z24" si="4">+N13</f>
        <v>172</v>
      </c>
      <c r="AA13" s="597">
        <f t="shared" ref="AA13:AA24" si="5">+ROUND(Y13*Z13,0)</f>
        <v>2762128</v>
      </c>
      <c r="AB13" s="597">
        <f t="shared" ref="AB13:AB24" si="6">+P13-AA13</f>
        <v>-1</v>
      </c>
    </row>
    <row r="14" spans="2:28" s="565" customFormat="1" ht="21" customHeight="1" x14ac:dyDescent="0.25">
      <c r="B14" s="599"/>
      <c r="C14" s="600" t="s">
        <v>2333</v>
      </c>
      <c r="D14" s="562">
        <v>261</v>
      </c>
      <c r="E14" s="559">
        <f t="shared" si="0"/>
        <v>13315.781609195403</v>
      </c>
      <c r="F14" s="560">
        <v>3475419</v>
      </c>
      <c r="G14" s="562"/>
      <c r="H14" s="601"/>
      <c r="I14" s="601"/>
      <c r="J14" s="602"/>
      <c r="K14" s="603"/>
      <c r="L14" s="604"/>
      <c r="M14" s="605"/>
      <c r="N14" s="606">
        <v>252</v>
      </c>
      <c r="O14" s="562">
        <f t="shared" si="1"/>
        <v>16538.448412698413</v>
      </c>
      <c r="P14" s="560">
        <v>4167689</v>
      </c>
      <c r="R14" s="596">
        <v>44188</v>
      </c>
      <c r="S14" s="597" t="s">
        <v>2363</v>
      </c>
      <c r="T14" s="598">
        <v>252.14599999999999</v>
      </c>
      <c r="U14" s="597">
        <v>3390355</v>
      </c>
      <c r="V14" s="597">
        <v>623000</v>
      </c>
      <c r="W14" s="597">
        <f>71250+500+85000</f>
        <v>156750</v>
      </c>
      <c r="X14" s="597">
        <f t="shared" si="2"/>
        <v>4170105</v>
      </c>
      <c r="Y14" s="597">
        <f t="shared" si="3"/>
        <v>16538.453911622633</v>
      </c>
      <c r="Z14" s="597">
        <f t="shared" si="4"/>
        <v>252</v>
      </c>
      <c r="AA14" s="597">
        <f t="shared" si="5"/>
        <v>4167690</v>
      </c>
      <c r="AB14" s="597">
        <f t="shared" si="6"/>
        <v>-1</v>
      </c>
    </row>
    <row r="15" spans="2:28" s="565" customFormat="1" ht="21" customHeight="1" x14ac:dyDescent="0.25">
      <c r="B15" s="599"/>
      <c r="C15" s="600" t="s">
        <v>2333</v>
      </c>
      <c r="D15" s="562">
        <v>244</v>
      </c>
      <c r="E15" s="559">
        <f t="shared" si="0"/>
        <v>11943.209016393443</v>
      </c>
      <c r="F15" s="560">
        <v>2914143</v>
      </c>
      <c r="G15" s="562"/>
      <c r="H15" s="601"/>
      <c r="I15" s="601"/>
      <c r="J15" s="602"/>
      <c r="K15" s="603"/>
      <c r="L15" s="604"/>
      <c r="M15" s="605"/>
      <c r="N15" s="606">
        <v>96</v>
      </c>
      <c r="O15" s="562">
        <f t="shared" si="1"/>
        <v>20281.03125</v>
      </c>
      <c r="P15" s="560">
        <v>1946979</v>
      </c>
      <c r="R15" s="596">
        <v>44248</v>
      </c>
      <c r="S15" s="597" t="s">
        <v>2364</v>
      </c>
      <c r="T15" s="598">
        <v>96.933999999999997</v>
      </c>
      <c r="U15" s="597">
        <v>1573820</v>
      </c>
      <c r="V15" s="597">
        <v>313975</v>
      </c>
      <c r="W15" s="597">
        <f>42500+35625</f>
        <v>78125</v>
      </c>
      <c r="X15" s="597">
        <f t="shared" si="2"/>
        <v>1965920</v>
      </c>
      <c r="Y15" s="597">
        <f t="shared" si="3"/>
        <v>20281.015948996224</v>
      </c>
      <c r="Z15" s="597">
        <f t="shared" si="4"/>
        <v>96</v>
      </c>
      <c r="AA15" s="597">
        <f t="shared" si="5"/>
        <v>1946978</v>
      </c>
      <c r="AB15" s="597">
        <f t="shared" si="6"/>
        <v>1</v>
      </c>
    </row>
    <row r="16" spans="2:28" s="565" customFormat="1" ht="18.75" customHeight="1" x14ac:dyDescent="0.25">
      <c r="B16" s="599"/>
      <c r="C16" s="600" t="s">
        <v>2333</v>
      </c>
      <c r="D16" s="562">
        <v>248</v>
      </c>
      <c r="E16" s="559">
        <f t="shared" si="0"/>
        <v>12086.068548387097</v>
      </c>
      <c r="F16" s="560">
        <v>2997345</v>
      </c>
      <c r="G16" s="562"/>
      <c r="H16" s="601"/>
      <c r="I16" s="601"/>
      <c r="J16" s="602"/>
      <c r="K16" s="603"/>
      <c r="L16" s="604"/>
      <c r="M16" s="605"/>
      <c r="N16" s="606">
        <v>29</v>
      </c>
      <c r="O16" s="562">
        <f t="shared" si="1"/>
        <v>16612.551724137931</v>
      </c>
      <c r="P16" s="560">
        <v>481764</v>
      </c>
      <c r="R16" s="596">
        <v>44157</v>
      </c>
      <c r="S16" s="597" t="s">
        <v>2364</v>
      </c>
      <c r="T16" s="598">
        <v>116.68</v>
      </c>
      <c r="U16" s="597">
        <v>1516951</v>
      </c>
      <c r="V16" s="597">
        <v>343025</v>
      </c>
      <c r="W16" s="597">
        <f>35625+250+42500</f>
        <v>78375</v>
      </c>
      <c r="X16" s="597">
        <f t="shared" si="2"/>
        <v>1938351</v>
      </c>
      <c r="Y16" s="597">
        <f t="shared" si="3"/>
        <v>16612.538567020911</v>
      </c>
      <c r="Z16" s="597">
        <f t="shared" si="4"/>
        <v>29</v>
      </c>
      <c r="AA16" s="597">
        <f t="shared" si="5"/>
        <v>481764</v>
      </c>
      <c r="AB16" s="597">
        <f t="shared" si="6"/>
        <v>0</v>
      </c>
    </row>
    <row r="17" spans="2:28" s="565" customFormat="1" ht="18.75" customHeight="1" x14ac:dyDescent="0.25">
      <c r="B17" s="599"/>
      <c r="C17" s="600" t="s">
        <v>2333</v>
      </c>
      <c r="D17" s="562">
        <v>150</v>
      </c>
      <c r="E17" s="559">
        <f t="shared" si="0"/>
        <v>9876.2199999999993</v>
      </c>
      <c r="F17" s="560">
        <v>1481433</v>
      </c>
      <c r="G17" s="562"/>
      <c r="H17" s="601"/>
      <c r="I17" s="601"/>
      <c r="J17" s="602"/>
      <c r="K17" s="603"/>
      <c r="L17" s="604"/>
      <c r="M17" s="605"/>
      <c r="N17" s="606">
        <v>46</v>
      </c>
      <c r="O17" s="562">
        <f t="shared" si="1"/>
        <v>20083.782608695652</v>
      </c>
      <c r="P17" s="560">
        <v>923854</v>
      </c>
      <c r="R17" s="596">
        <v>44268</v>
      </c>
      <c r="S17" s="597" t="s">
        <v>44</v>
      </c>
      <c r="T17" s="598">
        <v>67.757999999999996</v>
      </c>
      <c r="U17" s="597">
        <v>1123597</v>
      </c>
      <c r="V17" s="597">
        <v>190365</v>
      </c>
      <c r="W17" s="597">
        <f>25500+21375</f>
        <v>46875</v>
      </c>
      <c r="X17" s="597">
        <f t="shared" si="2"/>
        <v>1360837</v>
      </c>
      <c r="Y17" s="597">
        <f t="shared" si="3"/>
        <v>20083.78346468314</v>
      </c>
      <c r="Z17" s="597">
        <f t="shared" si="4"/>
        <v>46</v>
      </c>
      <c r="AA17" s="597">
        <f t="shared" si="5"/>
        <v>923854</v>
      </c>
      <c r="AB17" s="597">
        <f t="shared" si="6"/>
        <v>0</v>
      </c>
    </row>
    <row r="18" spans="2:28" s="565" customFormat="1" ht="20.25" customHeight="1" x14ac:dyDescent="0.25">
      <c r="B18" s="599"/>
      <c r="C18" s="600" t="s">
        <v>2333</v>
      </c>
      <c r="D18" s="562">
        <v>99</v>
      </c>
      <c r="E18" s="559">
        <f t="shared" si="0"/>
        <v>9954.0303030303039</v>
      </c>
      <c r="F18" s="560">
        <v>985449</v>
      </c>
      <c r="G18" s="562"/>
      <c r="H18" s="601"/>
      <c r="I18" s="601"/>
      <c r="J18" s="602"/>
      <c r="K18" s="603"/>
      <c r="L18" s="604"/>
      <c r="M18" s="605"/>
      <c r="N18" s="606">
        <v>34</v>
      </c>
      <c r="O18" s="562">
        <f t="shared" si="1"/>
        <v>14189.323529411764</v>
      </c>
      <c r="P18" s="560">
        <v>482437</v>
      </c>
      <c r="R18" s="596">
        <v>44199</v>
      </c>
      <c r="S18" s="597" t="s">
        <v>2365</v>
      </c>
      <c r="T18" s="598">
        <v>257.94</v>
      </c>
      <c r="U18" s="597">
        <v>2880545</v>
      </c>
      <c r="V18" s="597">
        <v>694250</v>
      </c>
      <c r="W18" s="597">
        <v>85200</v>
      </c>
      <c r="X18" s="597">
        <f t="shared" si="2"/>
        <v>3659995</v>
      </c>
      <c r="Y18" s="597">
        <f t="shared" si="3"/>
        <v>14189.326975265565</v>
      </c>
      <c r="Z18" s="597">
        <f t="shared" si="4"/>
        <v>34</v>
      </c>
      <c r="AA18" s="597">
        <f t="shared" si="5"/>
        <v>482437</v>
      </c>
      <c r="AB18" s="597">
        <f t="shared" si="6"/>
        <v>0</v>
      </c>
    </row>
    <row r="19" spans="2:28" s="565" customFormat="1" ht="18.75" customHeight="1" x14ac:dyDescent="0.25">
      <c r="B19" s="599"/>
      <c r="C19" s="600" t="s">
        <v>2333</v>
      </c>
      <c r="D19" s="562">
        <v>37</v>
      </c>
      <c r="E19" s="559">
        <f t="shared" si="0"/>
        <v>12198.108108108108</v>
      </c>
      <c r="F19" s="560">
        <v>451330</v>
      </c>
      <c r="G19" s="562"/>
      <c r="H19" s="601"/>
      <c r="I19" s="601"/>
      <c r="J19" s="602"/>
      <c r="K19" s="603"/>
      <c r="L19" s="604"/>
      <c r="M19" s="605"/>
      <c r="N19" s="606">
        <v>123</v>
      </c>
      <c r="O19" s="562">
        <f t="shared" si="1"/>
        <v>19799.926829268294</v>
      </c>
      <c r="P19" s="560">
        <v>2435391</v>
      </c>
      <c r="R19" s="596">
        <v>44279</v>
      </c>
      <c r="S19" s="597" t="s">
        <v>44</v>
      </c>
      <c r="T19" s="598">
        <v>123.596</v>
      </c>
      <c r="U19" s="597">
        <v>2055092</v>
      </c>
      <c r="V19" s="597">
        <v>313975</v>
      </c>
      <c r="W19" s="597">
        <f t="shared" ref="W19" si="7">42500+35625</f>
        <v>78125</v>
      </c>
      <c r="X19" s="597">
        <f t="shared" si="2"/>
        <v>2447192</v>
      </c>
      <c r="Y19" s="597">
        <f t="shared" si="3"/>
        <v>19799.928800284797</v>
      </c>
      <c r="Z19" s="597">
        <f t="shared" si="4"/>
        <v>123</v>
      </c>
      <c r="AA19" s="597">
        <f t="shared" si="5"/>
        <v>2435391</v>
      </c>
      <c r="AB19" s="597">
        <f t="shared" si="6"/>
        <v>0</v>
      </c>
    </row>
    <row r="20" spans="2:28" s="565" customFormat="1" ht="18.75" customHeight="1" x14ac:dyDescent="0.25">
      <c r="B20" s="599"/>
      <c r="C20" s="600" t="s">
        <v>2333</v>
      </c>
      <c r="D20" s="562">
        <v>136</v>
      </c>
      <c r="E20" s="559">
        <f t="shared" si="0"/>
        <v>12537.889705882353</v>
      </c>
      <c r="F20" s="607">
        <v>1705153</v>
      </c>
      <c r="G20" s="562"/>
      <c r="H20" s="601"/>
      <c r="I20" s="601"/>
      <c r="J20" s="602"/>
      <c r="K20" s="603"/>
      <c r="L20" s="604"/>
      <c r="M20" s="605"/>
      <c r="N20" s="606">
        <v>235</v>
      </c>
      <c r="O20" s="562">
        <f t="shared" si="1"/>
        <v>19775.451063829787</v>
      </c>
      <c r="P20" s="560">
        <v>4647231</v>
      </c>
      <c r="R20" s="596">
        <v>44265</v>
      </c>
      <c r="S20" s="597" t="s">
        <v>240</v>
      </c>
      <c r="T20" s="598">
        <v>244.21</v>
      </c>
      <c r="U20" s="597">
        <v>4049612</v>
      </c>
      <c r="V20" s="597">
        <v>623000</v>
      </c>
      <c r="W20" s="597">
        <f>71250+500+85000</f>
        <v>156750</v>
      </c>
      <c r="X20" s="597">
        <f t="shared" si="2"/>
        <v>4829362</v>
      </c>
      <c r="Y20" s="597">
        <f t="shared" si="3"/>
        <v>19775.447360877934</v>
      </c>
      <c r="Z20" s="597">
        <f t="shared" si="4"/>
        <v>235</v>
      </c>
      <c r="AA20" s="597">
        <f t="shared" si="5"/>
        <v>4647230</v>
      </c>
      <c r="AB20" s="597">
        <f t="shared" si="6"/>
        <v>1</v>
      </c>
    </row>
    <row r="21" spans="2:28" s="565" customFormat="1" ht="24.75" customHeight="1" x14ac:dyDescent="0.25">
      <c r="B21" s="599"/>
      <c r="C21" s="600" t="s">
        <v>2333</v>
      </c>
      <c r="D21" s="562">
        <v>245</v>
      </c>
      <c r="E21" s="559">
        <f t="shared" si="0"/>
        <v>8515.3510204081631</v>
      </c>
      <c r="F21" s="607">
        <v>2086261</v>
      </c>
      <c r="G21" s="562"/>
      <c r="H21" s="601"/>
      <c r="I21" s="601"/>
      <c r="J21" s="602"/>
      <c r="K21" s="603"/>
      <c r="L21" s="604"/>
      <c r="M21" s="605"/>
      <c r="N21" s="606">
        <v>95</v>
      </c>
      <c r="O21" s="562">
        <f t="shared" si="1"/>
        <v>19870.242105263158</v>
      </c>
      <c r="P21" s="560">
        <v>1887673</v>
      </c>
      <c r="R21" s="596">
        <v>44263</v>
      </c>
      <c r="S21" s="597" t="s">
        <v>437</v>
      </c>
      <c r="T21" s="598">
        <v>95.71</v>
      </c>
      <c r="U21" s="597">
        <v>1587111</v>
      </c>
      <c r="V21" s="597">
        <v>252170</v>
      </c>
      <c r="W21" s="597">
        <f>28500+34000</f>
        <v>62500</v>
      </c>
      <c r="X21" s="597">
        <f t="shared" si="2"/>
        <v>1901781</v>
      </c>
      <c r="Y21" s="597">
        <f t="shared" si="3"/>
        <v>19870.243443736286</v>
      </c>
      <c r="Z21" s="597">
        <f t="shared" si="4"/>
        <v>95</v>
      </c>
      <c r="AA21" s="597">
        <f t="shared" si="5"/>
        <v>1887673</v>
      </c>
      <c r="AB21" s="597">
        <f t="shared" si="6"/>
        <v>0</v>
      </c>
    </row>
    <row r="22" spans="2:28" s="565" customFormat="1" ht="19.5" customHeight="1" x14ac:dyDescent="0.25">
      <c r="B22" s="599"/>
      <c r="C22" s="600" t="s">
        <v>2333</v>
      </c>
      <c r="D22" s="562">
        <v>49</v>
      </c>
      <c r="E22" s="559">
        <f t="shared" si="0"/>
        <v>8379.5102040816328</v>
      </c>
      <c r="F22" s="608">
        <v>410596</v>
      </c>
      <c r="G22" s="609"/>
      <c r="H22" s="610"/>
      <c r="I22" s="610"/>
      <c r="J22" s="611"/>
      <c r="K22" s="612"/>
      <c r="L22" s="613"/>
      <c r="M22" s="614"/>
      <c r="N22" s="615">
        <v>234</v>
      </c>
      <c r="O22" s="562">
        <f t="shared" si="1"/>
        <v>18825.850427350426</v>
      </c>
      <c r="P22" s="560">
        <v>4405249</v>
      </c>
      <c r="R22" s="596">
        <v>44248</v>
      </c>
      <c r="S22" s="597" t="s">
        <v>51</v>
      </c>
      <c r="T22" s="598">
        <v>234.16</v>
      </c>
      <c r="U22" s="597">
        <v>3629012</v>
      </c>
      <c r="V22" s="597">
        <v>623000</v>
      </c>
      <c r="W22" s="597">
        <f>71250+85000</f>
        <v>156250</v>
      </c>
      <c r="X22" s="597">
        <f t="shared" si="2"/>
        <v>4408262</v>
      </c>
      <c r="Y22" s="597">
        <f t="shared" si="3"/>
        <v>18825.854116843184</v>
      </c>
      <c r="Z22" s="597">
        <f t="shared" si="4"/>
        <v>234</v>
      </c>
      <c r="AA22" s="597">
        <f t="shared" si="5"/>
        <v>4405250</v>
      </c>
      <c r="AB22" s="597">
        <f t="shared" si="6"/>
        <v>-1</v>
      </c>
    </row>
    <row r="23" spans="2:28" s="565" customFormat="1" ht="18.75" customHeight="1" x14ac:dyDescent="0.25">
      <c r="B23" s="599"/>
      <c r="C23" s="600" t="s">
        <v>2333</v>
      </c>
      <c r="D23" s="562">
        <v>96</v>
      </c>
      <c r="E23" s="559">
        <f t="shared" si="0"/>
        <v>8585.7604166666661</v>
      </c>
      <c r="F23" s="608">
        <v>824233</v>
      </c>
      <c r="G23" s="609"/>
      <c r="H23" s="610"/>
      <c r="I23" s="610"/>
      <c r="J23" s="611"/>
      <c r="K23" s="612"/>
      <c r="L23" s="613"/>
      <c r="M23" s="614"/>
      <c r="N23" s="615">
        <v>215</v>
      </c>
      <c r="O23" s="562">
        <f t="shared" si="1"/>
        <v>15547.041860465117</v>
      </c>
      <c r="P23" s="560">
        <v>3342614</v>
      </c>
      <c r="R23" s="596">
        <v>44251</v>
      </c>
      <c r="S23" s="597" t="s">
        <v>2365</v>
      </c>
      <c r="T23" s="598">
        <v>259.66000000000003</v>
      </c>
      <c r="U23" s="597">
        <v>3257694</v>
      </c>
      <c r="V23" s="597">
        <v>623000</v>
      </c>
      <c r="W23" s="597">
        <f>71250+85000</f>
        <v>156250</v>
      </c>
      <c r="X23" s="597">
        <f t="shared" si="2"/>
        <v>4036944</v>
      </c>
      <c r="Y23" s="597">
        <f t="shared" si="3"/>
        <v>15547.038434876375</v>
      </c>
      <c r="Z23" s="597">
        <f t="shared" si="4"/>
        <v>215</v>
      </c>
      <c r="AA23" s="597">
        <f t="shared" si="5"/>
        <v>3342613</v>
      </c>
      <c r="AB23" s="597">
        <f t="shared" si="6"/>
        <v>1</v>
      </c>
    </row>
    <row r="24" spans="2:28" s="565" customFormat="1" ht="19.5" customHeight="1" x14ac:dyDescent="0.25">
      <c r="B24" s="599"/>
      <c r="C24" s="600" t="s">
        <v>2333</v>
      </c>
      <c r="D24" s="562">
        <v>254</v>
      </c>
      <c r="E24" s="559">
        <f t="shared" si="0"/>
        <v>9118.2795275590543</v>
      </c>
      <c r="F24" s="608">
        <v>2316043</v>
      </c>
      <c r="G24" s="609"/>
      <c r="H24" s="610"/>
      <c r="I24" s="610"/>
      <c r="J24" s="611"/>
      <c r="K24" s="612"/>
      <c r="L24" s="613"/>
      <c r="M24" s="614"/>
      <c r="N24" s="615">
        <v>232</v>
      </c>
      <c r="O24" s="562">
        <f t="shared" si="1"/>
        <v>19612.211206896551</v>
      </c>
      <c r="P24" s="560">
        <v>4550033</v>
      </c>
      <c r="R24" s="596">
        <v>44276</v>
      </c>
      <c r="S24" s="597" t="s">
        <v>51</v>
      </c>
      <c r="T24" s="598">
        <v>232.32</v>
      </c>
      <c r="U24" s="597">
        <v>3777059</v>
      </c>
      <c r="V24" s="597">
        <v>623000</v>
      </c>
      <c r="W24" s="597">
        <f>71250+85000</f>
        <v>156250</v>
      </c>
      <c r="X24" s="597">
        <f t="shared" si="2"/>
        <v>4556309</v>
      </c>
      <c r="Y24" s="597">
        <f t="shared" si="3"/>
        <v>19612.211604683198</v>
      </c>
      <c r="Z24" s="597">
        <f t="shared" si="4"/>
        <v>232</v>
      </c>
      <c r="AA24" s="597">
        <f t="shared" si="5"/>
        <v>4550033</v>
      </c>
      <c r="AB24" s="597">
        <f t="shared" si="6"/>
        <v>0</v>
      </c>
    </row>
    <row r="25" spans="2:28" s="565" customFormat="1" ht="22.5" customHeight="1" x14ac:dyDescent="0.25">
      <c r="B25" s="599"/>
      <c r="C25" s="600" t="s">
        <v>2333</v>
      </c>
      <c r="D25" s="562">
        <v>255</v>
      </c>
      <c r="E25" s="559">
        <f t="shared" si="0"/>
        <v>9919.4313725490192</v>
      </c>
      <c r="F25" s="608">
        <v>2529455</v>
      </c>
      <c r="G25" s="609"/>
      <c r="H25" s="610"/>
      <c r="I25" s="610"/>
      <c r="J25" s="611"/>
      <c r="K25" s="612"/>
      <c r="L25" s="613"/>
      <c r="M25" s="614"/>
      <c r="N25" s="615"/>
      <c r="O25" s="559"/>
      <c r="P25" s="607"/>
      <c r="T25" s="566"/>
    </row>
    <row r="26" spans="2:28" s="565" customFormat="1" ht="22.5" customHeight="1" x14ac:dyDescent="0.25">
      <c r="B26" s="599"/>
      <c r="C26" s="600" t="s">
        <v>2333</v>
      </c>
      <c r="D26" s="562">
        <v>256</v>
      </c>
      <c r="E26" s="559">
        <f t="shared" si="0"/>
        <v>9140.30859375</v>
      </c>
      <c r="F26" s="616">
        <v>2339919</v>
      </c>
      <c r="G26" s="609"/>
      <c r="H26" s="610"/>
      <c r="I26" s="617"/>
      <c r="J26" s="618"/>
      <c r="K26" s="612"/>
      <c r="L26" s="619"/>
      <c r="M26" s="620"/>
      <c r="N26" s="606"/>
      <c r="O26" s="559"/>
      <c r="P26" s="560"/>
      <c r="T26" s="566"/>
    </row>
    <row r="27" spans="2:28" s="565" customFormat="1" ht="22.5" customHeight="1" x14ac:dyDescent="0.25">
      <c r="B27" s="599"/>
      <c r="C27" s="600" t="s">
        <v>2333</v>
      </c>
      <c r="D27" s="562">
        <v>243</v>
      </c>
      <c r="E27" s="559">
        <f t="shared" si="0"/>
        <v>10021.720164609054</v>
      </c>
      <c r="F27" s="616">
        <v>2435278</v>
      </c>
      <c r="G27" s="609"/>
      <c r="H27" s="610"/>
      <c r="I27" s="617"/>
      <c r="J27" s="618"/>
      <c r="K27" s="612"/>
      <c r="L27" s="619"/>
      <c r="M27" s="620"/>
      <c r="N27" s="606"/>
      <c r="O27" s="559"/>
      <c r="P27" s="560"/>
      <c r="T27" s="566"/>
    </row>
    <row r="28" spans="2:28" s="565" customFormat="1" ht="22.5" customHeight="1" x14ac:dyDescent="0.25">
      <c r="B28" s="599"/>
      <c r="C28" s="600" t="s">
        <v>2333</v>
      </c>
      <c r="D28" s="562">
        <v>255</v>
      </c>
      <c r="E28" s="559">
        <f t="shared" si="0"/>
        <v>8430.0705882352941</v>
      </c>
      <c r="F28" s="616">
        <v>2149668</v>
      </c>
      <c r="G28" s="609"/>
      <c r="H28" s="610"/>
      <c r="I28" s="617"/>
      <c r="J28" s="618"/>
      <c r="K28" s="612"/>
      <c r="L28" s="619"/>
      <c r="M28" s="620"/>
      <c r="N28" s="615"/>
      <c r="O28" s="559"/>
      <c r="P28" s="560"/>
      <c r="T28" s="566"/>
    </row>
    <row r="29" spans="2:28" s="565" customFormat="1" ht="22.5" customHeight="1" x14ac:dyDescent="0.25">
      <c r="B29" s="599"/>
      <c r="C29" s="600" t="s">
        <v>2333</v>
      </c>
      <c r="D29" s="562">
        <v>71</v>
      </c>
      <c r="E29" s="559">
        <f t="shared" si="0"/>
        <v>8666.070422535211</v>
      </c>
      <c r="F29" s="616">
        <v>615291</v>
      </c>
      <c r="G29" s="609"/>
      <c r="H29" s="610"/>
      <c r="I29" s="617"/>
      <c r="J29" s="618"/>
      <c r="K29" s="612"/>
      <c r="L29" s="619"/>
      <c r="M29" s="620"/>
      <c r="N29" s="615"/>
      <c r="O29" s="559"/>
      <c r="P29" s="560"/>
      <c r="T29" s="566"/>
    </row>
    <row r="30" spans="2:28" s="565" customFormat="1" ht="22.5" customHeight="1" x14ac:dyDescent="0.25">
      <c r="B30" s="599"/>
      <c r="C30" s="600" t="s">
        <v>2333</v>
      </c>
      <c r="D30" s="562">
        <v>136</v>
      </c>
      <c r="E30" s="559">
        <f t="shared" si="0"/>
        <v>8041.1176470588234</v>
      </c>
      <c r="F30" s="616">
        <v>1093592</v>
      </c>
      <c r="G30" s="621"/>
      <c r="H30" s="610"/>
      <c r="I30" s="617"/>
      <c r="J30" s="618"/>
      <c r="K30" s="612"/>
      <c r="L30" s="619"/>
      <c r="M30" s="620"/>
      <c r="N30" s="615"/>
      <c r="O30" s="559"/>
      <c r="P30" s="560"/>
      <c r="T30" s="566"/>
    </row>
    <row r="31" spans="2:28" s="565" customFormat="1" ht="22.5" customHeight="1" x14ac:dyDescent="0.25">
      <c r="B31" s="599"/>
      <c r="C31" s="600" t="s">
        <v>2333</v>
      </c>
      <c r="D31" s="562">
        <v>255</v>
      </c>
      <c r="E31" s="559">
        <f t="shared" si="0"/>
        <v>8544</v>
      </c>
      <c r="F31" s="616">
        <v>2178720</v>
      </c>
      <c r="G31" s="609"/>
      <c r="H31" s="610"/>
      <c r="I31" s="617"/>
      <c r="J31" s="618"/>
      <c r="K31" s="612"/>
      <c r="L31" s="619"/>
      <c r="M31" s="620"/>
      <c r="N31" s="615"/>
      <c r="O31" s="559"/>
      <c r="P31" s="560"/>
      <c r="T31" s="566"/>
    </row>
    <row r="32" spans="2:28" s="565" customFormat="1" ht="22.5" customHeight="1" x14ac:dyDescent="0.25">
      <c r="B32" s="599"/>
      <c r="C32" s="600" t="s">
        <v>2333</v>
      </c>
      <c r="D32" s="562">
        <v>75</v>
      </c>
      <c r="E32" s="559">
        <f t="shared" si="0"/>
        <v>8646.68</v>
      </c>
      <c r="F32" s="616">
        <v>648501</v>
      </c>
      <c r="G32" s="622">
        <v>8255.1530000000002</v>
      </c>
      <c r="H32" s="610"/>
      <c r="I32" s="562">
        <f>SUM(J32/G32)</f>
        <v>14971.506766743149</v>
      </c>
      <c r="J32" s="623">
        <v>123592079</v>
      </c>
      <c r="K32" s="624">
        <v>10360.233</v>
      </c>
      <c r="L32" s="625">
        <f>SUM(M32/K32)</f>
        <v>12542.523995358019</v>
      </c>
      <c r="M32" s="623">
        <f>+F34+F35+J32+J35-P32-P34</f>
        <v>129943471</v>
      </c>
      <c r="N32" s="626">
        <f>SUM(D34+G32-K32+D35)</f>
        <v>1792</v>
      </c>
      <c r="O32" s="559">
        <f>SUM(P32/N32)</f>
        <v>18200.080915178572</v>
      </c>
      <c r="P32" s="564">
        <v>32614545</v>
      </c>
      <c r="T32" s="566"/>
    </row>
    <row r="33" spans="2:23" s="565" customFormat="1" ht="22.5" customHeight="1" x14ac:dyDescent="0.25">
      <c r="B33" s="599"/>
      <c r="C33" s="627" t="s">
        <v>2334</v>
      </c>
      <c r="D33" s="562"/>
      <c r="E33" s="628"/>
      <c r="F33" s="629"/>
      <c r="G33" s="630">
        <v>0</v>
      </c>
      <c r="H33" s="610"/>
      <c r="I33" s="609">
        <v>0</v>
      </c>
      <c r="J33" s="618">
        <v>0</v>
      </c>
      <c r="K33" s="612"/>
      <c r="L33" s="619"/>
      <c r="M33" s="620"/>
      <c r="N33" s="630">
        <v>0</v>
      </c>
      <c r="O33" s="631">
        <v>0</v>
      </c>
      <c r="P33" s="632">
        <v>0</v>
      </c>
      <c r="T33" s="566"/>
    </row>
    <row r="34" spans="2:23" s="635" customFormat="1" ht="16.5" customHeight="1" x14ac:dyDescent="0.25">
      <c r="B34" s="633"/>
      <c r="C34" s="627"/>
      <c r="D34" s="562">
        <f>SUM(D12:D32)</f>
        <v>3761</v>
      </c>
      <c r="E34" s="628"/>
      <c r="F34" s="560">
        <f>SUM(F12:F32)</f>
        <v>38224471</v>
      </c>
      <c r="G34" s="606"/>
      <c r="H34" s="559"/>
      <c r="I34" s="562"/>
      <c r="J34" s="560"/>
      <c r="K34" s="626"/>
      <c r="L34" s="634"/>
      <c r="M34" s="564"/>
      <c r="N34" s="606">
        <f>+G35-K34</f>
        <v>238.86</v>
      </c>
      <c r="O34" s="559">
        <f>+P34/N34</f>
        <v>18337.498953361799</v>
      </c>
      <c r="P34" s="560">
        <f>+J35-M35</f>
        <v>4380095</v>
      </c>
      <c r="Q34" s="565"/>
      <c r="T34" s="636"/>
    </row>
    <row r="35" spans="2:23" s="635" customFormat="1" ht="16.5" customHeight="1" x14ac:dyDescent="0.25">
      <c r="B35" s="633"/>
      <c r="C35" s="637" t="s">
        <v>2334</v>
      </c>
      <c r="D35" s="638">
        <v>136.08000000000001</v>
      </c>
      <c r="E35" s="628"/>
      <c r="F35" s="560">
        <v>741466</v>
      </c>
      <c r="G35" s="606">
        <v>238.86</v>
      </c>
      <c r="H35" s="559">
        <v>0</v>
      </c>
      <c r="I35" s="562">
        <f>SUM(J35/G35)</f>
        <v>18337.498953361799</v>
      </c>
      <c r="J35" s="560">
        <v>4380095</v>
      </c>
      <c r="K35" s="626"/>
      <c r="L35" s="639"/>
      <c r="M35" s="564"/>
      <c r="N35" s="640"/>
      <c r="O35" s="559"/>
      <c r="P35" s="560"/>
      <c r="Q35" s="565"/>
      <c r="T35" s="636"/>
    </row>
    <row r="36" spans="2:23" s="649" customFormat="1" ht="27" customHeight="1" thickBot="1" x14ac:dyDescent="0.3">
      <c r="B36" s="641"/>
      <c r="C36" s="642" t="s">
        <v>2335</v>
      </c>
      <c r="D36" s="643">
        <f>SUM(D9+D34+D35)</f>
        <v>4324.08</v>
      </c>
      <c r="E36" s="570"/>
      <c r="F36" s="644">
        <f>SUM(F10+F34+F35)</f>
        <v>43890778</v>
      </c>
      <c r="G36" s="644">
        <f>SUM(G9+G32+G35)</f>
        <v>34084.237999999998</v>
      </c>
      <c r="H36" s="642"/>
      <c r="I36" s="642"/>
      <c r="J36" s="644">
        <f>SUM(J9+J32+J35)</f>
        <v>513922046</v>
      </c>
      <c r="K36" s="645">
        <f>SUM(K9+K32)</f>
        <v>36262.457999999999</v>
      </c>
      <c r="L36" s="570"/>
      <c r="M36" s="644">
        <f>SUM(M9+M32)</f>
        <v>518211031</v>
      </c>
      <c r="N36" s="646">
        <f>SUM(D36+G36-K36)</f>
        <v>2145.8600000000006</v>
      </c>
      <c r="O36" s="647"/>
      <c r="P36" s="648">
        <f>SUM(F36+J36-M36)</f>
        <v>39601793</v>
      </c>
      <c r="Q36" s="565"/>
      <c r="R36" s="565"/>
      <c r="T36" s="650"/>
    </row>
    <row r="37" spans="2:23" s="484" customFormat="1" ht="19.5" customHeight="1" thickBot="1" x14ac:dyDescent="0.3">
      <c r="B37" s="485"/>
      <c r="C37" s="486"/>
      <c r="D37" s="466"/>
      <c r="E37" s="467"/>
      <c r="F37" s="487"/>
      <c r="G37" s="466"/>
      <c r="H37" s="488"/>
      <c r="I37" s="488"/>
      <c r="J37" s="489"/>
      <c r="K37" s="469"/>
      <c r="L37" s="470"/>
      <c r="M37" s="468"/>
      <c r="N37" s="490"/>
      <c r="O37" s="470"/>
      <c r="P37" s="491"/>
      <c r="Q37" s="492"/>
      <c r="R37" s="465"/>
      <c r="S37" s="483"/>
      <c r="T37" s="554"/>
      <c r="U37" s="483"/>
      <c r="V37" s="483"/>
      <c r="W37" s="483"/>
    </row>
    <row r="38" spans="2:23" s="649" customFormat="1" ht="22.5" customHeight="1" x14ac:dyDescent="0.25">
      <c r="B38" s="664" t="s">
        <v>2336</v>
      </c>
      <c r="C38" s="557" t="s">
        <v>2337</v>
      </c>
      <c r="D38" s="591"/>
      <c r="E38" s="559"/>
      <c r="F38" s="560">
        <v>415906</v>
      </c>
      <c r="G38" s="591"/>
      <c r="H38" s="665"/>
      <c r="I38" s="665"/>
      <c r="J38" s="560">
        <v>6950844</v>
      </c>
      <c r="K38" s="558"/>
      <c r="L38" s="559"/>
      <c r="M38" s="560">
        <v>6875832</v>
      </c>
      <c r="N38" s="563"/>
      <c r="O38" s="559"/>
      <c r="P38" s="666">
        <f>SUM(F38+J38-M38)</f>
        <v>490918</v>
      </c>
      <c r="Q38" s="654"/>
      <c r="R38" s="565"/>
      <c r="T38" s="650"/>
    </row>
    <row r="39" spans="2:23" s="484" customFormat="1" ht="20.25" customHeight="1" x14ac:dyDescent="0.25">
      <c r="B39" s="494"/>
      <c r="C39" s="495"/>
      <c r="D39" s="471"/>
      <c r="E39" s="481"/>
      <c r="F39" s="496"/>
      <c r="G39" s="471"/>
      <c r="H39" s="497"/>
      <c r="I39" s="497"/>
      <c r="J39" s="478"/>
      <c r="K39" s="473"/>
      <c r="L39" s="498"/>
      <c r="M39" s="472"/>
      <c r="N39" s="477"/>
      <c r="O39" s="498"/>
      <c r="P39" s="499"/>
      <c r="Q39" s="492"/>
      <c r="R39" s="465"/>
      <c r="S39" s="483"/>
      <c r="T39" s="554"/>
      <c r="U39" s="483"/>
      <c r="V39" s="483"/>
      <c r="W39" s="483"/>
    </row>
    <row r="40" spans="2:23" s="649" customFormat="1" ht="20.25" customHeight="1" x14ac:dyDescent="0.25">
      <c r="B40" s="651" t="s">
        <v>2338</v>
      </c>
      <c r="C40" s="627" t="s">
        <v>2339</v>
      </c>
      <c r="D40" s="562"/>
      <c r="E40" s="628"/>
      <c r="F40" s="607">
        <v>2919004</v>
      </c>
      <c r="G40" s="562"/>
      <c r="H40" s="652"/>
      <c r="I40" s="652"/>
      <c r="J40" s="607">
        <v>34968110</v>
      </c>
      <c r="K40" s="606"/>
      <c r="L40" s="628"/>
      <c r="M40" s="607">
        <f>+F40+J40-P40</f>
        <v>35517321.5</v>
      </c>
      <c r="N40" s="615"/>
      <c r="O40" s="628"/>
      <c r="P40" s="653">
        <f>+'[65]CHEMICAL STOCK 31-03-21'!$P$37</f>
        <v>2369792.5</v>
      </c>
      <c r="Q40" s="654"/>
      <c r="R40" s="565"/>
      <c r="T40" s="650"/>
    </row>
    <row r="41" spans="2:23" s="484" customFormat="1" ht="21" customHeight="1" x14ac:dyDescent="0.25">
      <c r="B41" s="494"/>
      <c r="C41" s="501"/>
      <c r="D41" s="471"/>
      <c r="E41" s="481"/>
      <c r="F41" s="502"/>
      <c r="G41" s="471"/>
      <c r="H41" s="497"/>
      <c r="I41" s="497"/>
      <c r="J41" s="478"/>
      <c r="K41" s="473"/>
      <c r="L41" s="503"/>
      <c r="M41" s="504"/>
      <c r="N41" s="477"/>
      <c r="O41" s="503"/>
      <c r="P41" s="499"/>
      <c r="Q41" s="492"/>
      <c r="R41" s="465"/>
      <c r="S41" s="483"/>
      <c r="T41" s="554"/>
      <c r="U41" s="483"/>
      <c r="V41" s="483"/>
      <c r="W41" s="483"/>
    </row>
    <row r="42" spans="2:23" s="649" customFormat="1" ht="22.5" customHeight="1" x14ac:dyDescent="0.25">
      <c r="B42" s="651" t="s">
        <v>2340</v>
      </c>
      <c r="C42" s="627" t="s">
        <v>2341</v>
      </c>
      <c r="D42" s="562">
        <v>560</v>
      </c>
      <c r="E42" s="559">
        <f>SUM(F42/D42)</f>
        <v>4179.2464285714286</v>
      </c>
      <c r="F42" s="564">
        <v>2340378</v>
      </c>
      <c r="G42" s="606">
        <v>12500.83</v>
      </c>
      <c r="H42" s="652"/>
      <c r="I42" s="562">
        <f>SUM(J42/G42)</f>
        <v>4465.4003774149396</v>
      </c>
      <c r="J42" s="607">
        <v>55821211</v>
      </c>
      <c r="K42" s="606">
        <v>12879.83</v>
      </c>
      <c r="L42" s="625">
        <f>SUM(M42/K42)</f>
        <v>4448.483015691977</v>
      </c>
      <c r="M42" s="607">
        <f>+F42+J42-P42</f>
        <v>57295705</v>
      </c>
      <c r="N42" s="615">
        <f>SUM(D42+G42-K42)</f>
        <v>181</v>
      </c>
      <c r="O42" s="562">
        <f>SUM(P42/N42)</f>
        <v>4783.8895027624312</v>
      </c>
      <c r="P42" s="653">
        <f>+N74</f>
        <v>865884</v>
      </c>
      <c r="Q42" s="654"/>
      <c r="R42" s="565"/>
      <c r="T42" s="650"/>
    </row>
    <row r="43" spans="2:23" s="484" customFormat="1" ht="19.5" customHeight="1" x14ac:dyDescent="0.25">
      <c r="B43" s="494"/>
      <c r="C43" s="495"/>
      <c r="D43" s="471"/>
      <c r="E43" s="481"/>
      <c r="F43" s="496"/>
      <c r="G43" s="471"/>
      <c r="H43" s="505"/>
      <c r="I43" s="505"/>
      <c r="J43" s="478"/>
      <c r="K43" s="473"/>
      <c r="L43" s="498"/>
      <c r="M43" s="472"/>
      <c r="N43" s="477"/>
      <c r="O43" s="506"/>
      <c r="P43" s="499"/>
      <c r="Q43" s="492"/>
      <c r="R43" s="465"/>
      <c r="S43" s="483"/>
      <c r="T43" s="554"/>
      <c r="U43" s="483"/>
      <c r="V43" s="483"/>
      <c r="W43" s="483"/>
    </row>
    <row r="44" spans="2:23" s="484" customFormat="1" ht="24" customHeight="1" x14ac:dyDescent="0.25">
      <c r="B44" s="507"/>
      <c r="C44" s="508" t="s">
        <v>2342</v>
      </c>
      <c r="D44" s="509"/>
      <c r="E44" s="510"/>
      <c r="F44" s="511">
        <f>SUM(F36+F38+F40+F42)</f>
        <v>49566066</v>
      </c>
      <c r="G44" s="509"/>
      <c r="H44" s="512"/>
      <c r="I44" s="512"/>
      <c r="J44" s="511">
        <f>SUM(J36:J43)</f>
        <v>611662211</v>
      </c>
      <c r="K44" s="513"/>
      <c r="L44" s="512"/>
      <c r="M44" s="511">
        <f>SUM(M36:M43)</f>
        <v>617899889.5</v>
      </c>
      <c r="N44" s="513"/>
      <c r="O44" s="514"/>
      <c r="P44" s="515">
        <f>SUM(P36+P38+P40+P42)</f>
        <v>43328387.5</v>
      </c>
      <c r="Q44" s="516">
        <v>0</v>
      </c>
      <c r="R44" s="465"/>
      <c r="S44" s="483"/>
      <c r="T44" s="554"/>
      <c r="U44" s="483"/>
      <c r="V44" s="483"/>
      <c r="W44" s="483"/>
    </row>
    <row r="45" spans="2:23" s="484" customFormat="1" ht="21.75" customHeight="1" x14ac:dyDescent="0.25">
      <c r="B45" s="494"/>
      <c r="C45" s="495"/>
      <c r="D45" s="471"/>
      <c r="E45" s="481"/>
      <c r="F45" s="496"/>
      <c r="G45" s="471"/>
      <c r="H45" s="476"/>
      <c r="I45" s="476"/>
      <c r="J45" s="475"/>
      <c r="K45" s="477"/>
      <c r="L45" s="506"/>
      <c r="M45" s="499"/>
      <c r="N45" s="477"/>
      <c r="O45" s="506"/>
      <c r="P45" s="499"/>
      <c r="Q45" s="492"/>
      <c r="R45" s="465"/>
      <c r="S45" s="483"/>
      <c r="T45" s="554"/>
      <c r="U45" s="483"/>
      <c r="V45" s="483"/>
      <c r="W45" s="483"/>
    </row>
    <row r="46" spans="2:23" s="484" customFormat="1" ht="21" customHeight="1" x14ac:dyDescent="0.25">
      <c r="B46" s="494" t="s">
        <v>2343</v>
      </c>
      <c r="C46" s="480" t="s">
        <v>2344</v>
      </c>
      <c r="D46" s="473">
        <v>416.44099999999997</v>
      </c>
      <c r="E46" s="460">
        <f>SUM(F46/D46)</f>
        <v>18853.936091787313</v>
      </c>
      <c r="F46" s="461">
        <v>7851552</v>
      </c>
      <c r="G46" s="471">
        <v>0</v>
      </c>
      <c r="H46" s="493"/>
      <c r="I46" s="493"/>
      <c r="J46" s="479"/>
      <c r="K46" s="477"/>
      <c r="L46" s="506"/>
      <c r="M46" s="499"/>
      <c r="N46" s="477">
        <v>366.012</v>
      </c>
      <c r="O46" s="462">
        <f>+'FG Valuation'!G32</f>
        <v>22506.86288112092</v>
      </c>
      <c r="P46" s="461">
        <f>+N46*O46</f>
        <v>8237781.8968448304</v>
      </c>
      <c r="Q46" s="492"/>
      <c r="R46" s="465">
        <v>32973.949999999997</v>
      </c>
      <c r="S46" s="483">
        <f>+N46+R46+-D46+N47</f>
        <v>33272.838000000003</v>
      </c>
      <c r="T46" s="554"/>
      <c r="U46" s="483"/>
      <c r="V46" s="483"/>
      <c r="W46" s="483"/>
    </row>
    <row r="47" spans="2:23" s="484" customFormat="1" ht="19.5" customHeight="1" x14ac:dyDescent="0.25">
      <c r="B47" s="494"/>
      <c r="C47" s="495" t="s">
        <v>3479</v>
      </c>
      <c r="D47" s="471"/>
      <c r="E47" s="481"/>
      <c r="F47" s="496"/>
      <c r="G47" s="471"/>
      <c r="H47" s="497"/>
      <c r="I47" s="517"/>
      <c r="J47" s="478">
        <v>0</v>
      </c>
      <c r="K47" s="477"/>
      <c r="L47" s="506"/>
      <c r="M47" s="499"/>
      <c r="N47" s="477">
        <v>349.31700000000001</v>
      </c>
      <c r="O47" s="462">
        <f>+'FG Valuation'!G32</f>
        <v>22506.86288112092</v>
      </c>
      <c r="P47" s="500">
        <f>+N47*O47</f>
        <v>7862029.8210445167</v>
      </c>
      <c r="Q47" s="492"/>
      <c r="R47" s="465"/>
      <c r="S47" s="483"/>
      <c r="T47" s="554"/>
      <c r="U47" s="483"/>
      <c r="V47" s="483"/>
      <c r="W47" s="483"/>
    </row>
    <row r="48" spans="2:23" s="484" customFormat="1" ht="21" customHeight="1" x14ac:dyDescent="0.25">
      <c r="B48" s="494" t="s">
        <v>2345</v>
      </c>
      <c r="C48" s="480" t="s">
        <v>2346</v>
      </c>
      <c r="D48" s="462"/>
      <c r="E48" s="481"/>
      <c r="F48" s="474">
        <v>10405893</v>
      </c>
      <c r="G48" s="462"/>
      <c r="H48" s="495"/>
      <c r="I48" s="495"/>
      <c r="J48" s="518"/>
      <c r="K48" s="519"/>
      <c r="L48" s="520"/>
      <c r="M48" s="499"/>
      <c r="N48" s="519"/>
      <c r="O48" s="520"/>
      <c r="P48" s="463">
        <v>8085595</v>
      </c>
      <c r="Q48" s="492"/>
      <c r="R48" s="465"/>
      <c r="S48" s="483"/>
      <c r="T48" s="554"/>
      <c r="U48" s="483"/>
      <c r="V48" s="483"/>
      <c r="W48" s="483"/>
    </row>
    <row r="49" spans="2:23" s="484" customFormat="1" ht="22.5" customHeight="1" thickBot="1" x14ac:dyDescent="0.3">
      <c r="B49" s="482"/>
      <c r="C49" s="521"/>
      <c r="D49" s="482"/>
      <c r="E49" s="522"/>
      <c r="F49" s="523"/>
      <c r="G49" s="524"/>
      <c r="H49" s="525"/>
      <c r="I49" s="525"/>
      <c r="J49" s="526"/>
      <c r="K49" s="527"/>
      <c r="L49" s="522"/>
      <c r="M49" s="523"/>
      <c r="N49" s="527"/>
      <c r="O49" s="522"/>
      <c r="P49" s="523"/>
      <c r="Q49" s="492"/>
      <c r="R49" s="465"/>
      <c r="S49" s="483"/>
      <c r="T49" s="554"/>
      <c r="U49" s="483"/>
      <c r="V49" s="483"/>
      <c r="W49" s="483"/>
    </row>
    <row r="50" spans="2:23" s="538" customFormat="1" ht="27" customHeight="1" thickBot="1" x14ac:dyDescent="0.3">
      <c r="B50" s="528"/>
      <c r="C50" s="529" t="s">
        <v>2347</v>
      </c>
      <c r="D50" s="530"/>
      <c r="E50" s="531"/>
      <c r="F50" s="532">
        <f>SUM(F44:F49)</f>
        <v>67823511</v>
      </c>
      <c r="G50" s="533"/>
      <c r="H50" s="534"/>
      <c r="I50" s="534"/>
      <c r="J50" s="532"/>
      <c r="K50" s="535">
        <v>0</v>
      </c>
      <c r="L50" s="534"/>
      <c r="M50" s="532"/>
      <c r="N50" s="535"/>
      <c r="O50" s="534"/>
      <c r="P50" s="536">
        <f>SUM(P44+P46+P48+P47)</f>
        <v>67513794.217889354</v>
      </c>
      <c r="Q50" s="464"/>
      <c r="R50" s="465"/>
      <c r="S50" s="537"/>
      <c r="T50" s="555"/>
      <c r="U50" s="537"/>
      <c r="V50" s="537"/>
      <c r="W50" s="537"/>
    </row>
    <row r="51" spans="2:23" s="538" customFormat="1" ht="15" x14ac:dyDescent="0.25">
      <c r="B51" s="539"/>
      <c r="C51" s="539"/>
      <c r="D51" s="539"/>
      <c r="E51" s="539"/>
      <c r="F51" s="539"/>
      <c r="G51" s="539"/>
      <c r="H51" s="539"/>
      <c r="I51" s="539"/>
      <c r="J51" s="539"/>
      <c r="K51" s="540"/>
      <c r="L51" s="539"/>
      <c r="M51" s="539"/>
      <c r="N51" s="540"/>
      <c r="O51" s="539"/>
      <c r="P51" s="541"/>
      <c r="R51" s="465"/>
      <c r="S51" s="537"/>
      <c r="T51" s="555"/>
      <c r="U51" s="537"/>
      <c r="V51" s="537"/>
      <c r="W51" s="537"/>
    </row>
    <row r="52" spans="2:23" s="538" customFormat="1" ht="15" x14ac:dyDescent="0.25">
      <c r="B52" s="539"/>
      <c r="C52" s="539"/>
      <c r="D52" s="539"/>
      <c r="E52" s="539"/>
      <c r="F52" s="539"/>
      <c r="G52" s="539"/>
      <c r="H52" s="539"/>
      <c r="I52" s="539"/>
      <c r="J52" s="539"/>
      <c r="K52" s="540"/>
      <c r="L52" s="539"/>
      <c r="M52" s="539"/>
      <c r="N52" s="540"/>
      <c r="O52" s="539"/>
      <c r="P52" s="541"/>
      <c r="R52" s="465"/>
      <c r="S52" s="537"/>
      <c r="T52" s="555"/>
      <c r="U52" s="537"/>
      <c r="V52" s="537"/>
      <c r="W52" s="537"/>
    </row>
    <row r="53" spans="2:23" s="542" customFormat="1" x14ac:dyDescent="0.3">
      <c r="F53" s="542" t="s">
        <v>2341</v>
      </c>
      <c r="G53" s="542">
        <v>6929.6</v>
      </c>
      <c r="H53" s="543"/>
      <c r="I53" s="543"/>
      <c r="J53" s="544"/>
      <c r="K53" s="545"/>
      <c r="N53" s="545"/>
      <c r="P53" s="546"/>
      <c r="T53" s="545"/>
    </row>
    <row r="54" spans="2:23" s="542" customFormat="1" x14ac:dyDescent="0.3">
      <c r="K54" s="545"/>
      <c r="N54" s="545"/>
      <c r="T54" s="545"/>
    </row>
    <row r="55" spans="2:23" s="542" customFormat="1" x14ac:dyDescent="0.3">
      <c r="F55" s="542" t="s">
        <v>2348</v>
      </c>
      <c r="G55" s="547">
        <v>14082.69</v>
      </c>
      <c r="H55" s="547"/>
      <c r="I55" s="547"/>
      <c r="J55" s="547">
        <v>208095676</v>
      </c>
      <c r="K55" s="545"/>
      <c r="M55" s="542" t="s">
        <v>2349</v>
      </c>
      <c r="N55" s="545"/>
      <c r="P55" s="542">
        <v>50731860</v>
      </c>
      <c r="T55" s="545"/>
    </row>
    <row r="56" spans="2:23" s="542" customFormat="1" x14ac:dyDescent="0.3">
      <c r="G56" s="542" t="s">
        <v>2350</v>
      </c>
      <c r="H56" s="548"/>
      <c r="I56" s="548"/>
      <c r="J56" s="542" t="s">
        <v>2351</v>
      </c>
      <c r="K56" s="545"/>
      <c r="N56" s="545"/>
      <c r="T56" s="545"/>
    </row>
    <row r="57" spans="2:23" s="542" customFormat="1" x14ac:dyDescent="0.3">
      <c r="E57" s="549" t="s">
        <v>2331</v>
      </c>
      <c r="G57" s="542">
        <v>206705257</v>
      </c>
      <c r="H57" s="548"/>
      <c r="I57" s="548"/>
      <c r="J57" s="542">
        <v>-97905166</v>
      </c>
      <c r="K57" s="545"/>
      <c r="M57" s="542" t="s">
        <v>2351</v>
      </c>
      <c r="N57" s="545"/>
      <c r="P57" s="542">
        <v>4746766</v>
      </c>
      <c r="T57" s="545"/>
    </row>
    <row r="58" spans="2:23" s="542" customFormat="1" x14ac:dyDescent="0.3">
      <c r="E58" s="542" t="s">
        <v>2333</v>
      </c>
      <c r="G58" s="542">
        <v>0</v>
      </c>
      <c r="J58" s="542">
        <v>-127735752</v>
      </c>
      <c r="K58" s="545"/>
      <c r="N58" s="545"/>
      <c r="T58" s="545"/>
    </row>
    <row r="59" spans="2:23" s="542" customFormat="1" x14ac:dyDescent="0.3">
      <c r="E59" s="542" t="s">
        <v>2337</v>
      </c>
      <c r="G59" s="542">
        <v>5874950</v>
      </c>
      <c r="J59" s="542">
        <v>-176435</v>
      </c>
      <c r="K59" s="545"/>
      <c r="N59" s="545"/>
      <c r="T59" s="545"/>
    </row>
    <row r="60" spans="2:23" s="542" customFormat="1" x14ac:dyDescent="0.3">
      <c r="E60" s="550" t="s">
        <v>2339</v>
      </c>
      <c r="G60" s="542">
        <v>39627524</v>
      </c>
      <c r="J60" s="542">
        <v>2154656</v>
      </c>
      <c r="K60" s="545"/>
      <c r="N60" s="545"/>
      <c r="T60" s="545"/>
    </row>
    <row r="61" spans="2:23" s="542" customFormat="1" x14ac:dyDescent="0.3">
      <c r="E61" s="550" t="s">
        <v>2352</v>
      </c>
      <c r="G61" s="542">
        <v>46546231</v>
      </c>
      <c r="J61" s="542">
        <v>-1822536</v>
      </c>
      <c r="K61" s="545"/>
      <c r="N61" s="545"/>
      <c r="T61" s="545"/>
    </row>
    <row r="62" spans="2:23" s="542" customFormat="1" x14ac:dyDescent="0.3">
      <c r="E62" s="542" t="s">
        <v>2344</v>
      </c>
      <c r="J62" s="542">
        <v>0</v>
      </c>
      <c r="K62" s="545"/>
      <c r="N62" s="545"/>
      <c r="T62" s="545"/>
    </row>
    <row r="63" spans="2:23" s="542" customFormat="1" x14ac:dyDescent="0.3">
      <c r="E63" s="542" t="s">
        <v>2346</v>
      </c>
      <c r="J63" s="542">
        <v>0</v>
      </c>
      <c r="K63" s="545"/>
      <c r="N63" s="545"/>
      <c r="T63" s="545"/>
    </row>
    <row r="64" spans="2:23" s="542" customFormat="1" x14ac:dyDescent="0.3">
      <c r="G64" s="542">
        <v>298753962</v>
      </c>
      <c r="J64" s="542">
        <v>-225485233</v>
      </c>
      <c r="K64" s="545"/>
      <c r="N64" s="545"/>
      <c r="T64" s="545"/>
    </row>
    <row r="65" spans="3:20" s="542" customFormat="1" x14ac:dyDescent="0.3">
      <c r="K65" s="545"/>
      <c r="N65" s="545"/>
      <c r="T65" s="545"/>
    </row>
    <row r="66" spans="3:20" s="542" customFormat="1" x14ac:dyDescent="0.3">
      <c r="K66" s="545"/>
      <c r="N66" s="545"/>
      <c r="T66" s="545"/>
    </row>
    <row r="69" spans="3:20" x14ac:dyDescent="0.3">
      <c r="C69" s="655" t="s">
        <v>2367</v>
      </c>
      <c r="D69"/>
      <c r="E69"/>
      <c r="F69"/>
      <c r="G69" s="656"/>
      <c r="H69" s="657"/>
      <c r="I69" s="657"/>
      <c r="J69" s="657"/>
      <c r="K69" s="657"/>
      <c r="L69" s="657"/>
      <c r="M69" s="657"/>
      <c r="N69"/>
    </row>
    <row r="70" spans="3:20" x14ac:dyDescent="0.3">
      <c r="C70"/>
      <c r="D70"/>
      <c r="E70"/>
      <c r="F70"/>
      <c r="G70" s="656"/>
      <c r="H70" s="657"/>
      <c r="I70" s="657"/>
      <c r="J70" s="657"/>
      <c r="K70" s="657"/>
      <c r="L70" s="657"/>
      <c r="M70" s="657"/>
      <c r="N70"/>
    </row>
    <row r="71" spans="3:20" x14ac:dyDescent="0.3">
      <c r="C71" s="658" t="s">
        <v>2368</v>
      </c>
      <c r="D71" s="658" t="s">
        <v>2369</v>
      </c>
      <c r="E71" s="658" t="s">
        <v>2370</v>
      </c>
      <c r="F71" s="658" t="s">
        <v>2371</v>
      </c>
      <c r="G71" s="659" t="s">
        <v>2372</v>
      </c>
      <c r="H71" s="660" t="s">
        <v>2354</v>
      </c>
      <c r="I71" s="660" t="s">
        <v>2373</v>
      </c>
      <c r="J71" s="660" t="s">
        <v>2374</v>
      </c>
      <c r="K71" s="660" t="s">
        <v>2375</v>
      </c>
      <c r="L71" s="660" t="s">
        <v>2357</v>
      </c>
      <c r="M71" s="660" t="s">
        <v>2376</v>
      </c>
      <c r="N71" s="660" t="s">
        <v>2377</v>
      </c>
    </row>
    <row r="72" spans="3:20" x14ac:dyDescent="0.3">
      <c r="C72" s="260" t="s">
        <v>2378</v>
      </c>
      <c r="D72" s="260" t="s">
        <v>2379</v>
      </c>
      <c r="E72" s="260">
        <v>15</v>
      </c>
      <c r="F72" s="260" t="s">
        <v>2380</v>
      </c>
      <c r="G72" s="661">
        <v>74.31</v>
      </c>
      <c r="H72" s="662">
        <v>243217</v>
      </c>
      <c r="I72" s="662">
        <v>53789</v>
      </c>
      <c r="J72" s="662">
        <v>29724</v>
      </c>
      <c r="K72" s="662">
        <v>40675</v>
      </c>
      <c r="L72" s="662">
        <f>+SUM(H72:K72)</f>
        <v>367405</v>
      </c>
      <c r="M72" s="662">
        <f>+L72/G72</f>
        <v>4944.22015879424</v>
      </c>
      <c r="N72" s="662">
        <f>+ROUND(M72*E72,0)</f>
        <v>74163</v>
      </c>
    </row>
    <row r="73" spans="3:20" x14ac:dyDescent="0.3">
      <c r="C73" s="260" t="s">
        <v>2381</v>
      </c>
      <c r="D73" s="260" t="s">
        <v>2382</v>
      </c>
      <c r="E73" s="260">
        <v>166</v>
      </c>
      <c r="F73" s="260" t="s">
        <v>2383</v>
      </c>
      <c r="G73" s="661">
        <v>768.21</v>
      </c>
      <c r="H73" s="662">
        <v>2422934</v>
      </c>
      <c r="I73" s="662">
        <v>512288</v>
      </c>
      <c r="J73" s="662">
        <v>307284</v>
      </c>
      <c r="K73" s="662">
        <v>421396</v>
      </c>
      <c r="L73" s="662">
        <f>+SUM(H73:K73)</f>
        <v>3663902</v>
      </c>
      <c r="M73" s="662">
        <f>+L73/G73</f>
        <v>4769.4015959177823</v>
      </c>
      <c r="N73" s="662">
        <f>+ROUND(M73*E73,0)</f>
        <v>791721</v>
      </c>
    </row>
    <row r="74" spans="3:20" x14ac:dyDescent="0.3">
      <c r="C74" s="1844" t="s">
        <v>2384</v>
      </c>
      <c r="D74" s="1845"/>
      <c r="E74" s="1845"/>
      <c r="F74" s="1845"/>
      <c r="G74" s="1845"/>
      <c r="H74" s="1845"/>
      <c r="I74" s="1845"/>
      <c r="J74" s="1845"/>
      <c r="K74" s="1845"/>
      <c r="L74" s="1845"/>
      <c r="M74" s="1846"/>
      <c r="N74" s="663">
        <f>+SUM(N72:N73)</f>
        <v>865884</v>
      </c>
    </row>
  </sheetData>
  <customSheetViews>
    <customSheetView guid="{334DC1DD-AD60-4D12-A532-9CEE6201A253}" scale="62" showPageBreaks="1" printArea="1" hiddenRows="1" view="pageBreakPreview" topLeftCell="A15">
      <selection activeCell="L29" sqref="L29"/>
      <colBreaks count="1" manualBreakCount="1">
        <brk id="17" max="63" man="1"/>
      </colBreaks>
      <pageMargins left="0.98425196850393704" right="0.19685039370078741" top="0.39370078740157483" bottom="0.19685039370078741" header="0.31496062992125984" footer="0.31496062992125984"/>
      <pageSetup paperSize="5" scale="55" orientation="landscape" r:id="rId1"/>
    </customSheetView>
    <customSheetView guid="{BD5AA3B3-719E-4481-B722-8DE3E8101662}" scale="62" showPageBreaks="1" printArea="1" hiddenRows="1" view="pageBreakPreview" topLeftCell="A15">
      <selection activeCell="L29" sqref="L29"/>
      <colBreaks count="1" manualBreakCount="1">
        <brk id="17" max="63" man="1"/>
      </colBreaks>
      <pageMargins left="0.98425196850393704" right="0.19685039370078741" top="0.39370078740157483" bottom="0.19685039370078741" header="0.31496062992125984" footer="0.31496062992125984"/>
      <pageSetup paperSize="5" scale="55" orientation="landscape" r:id="rId2"/>
    </customSheetView>
  </customSheetViews>
  <mergeCells count="10">
    <mergeCell ref="C74:M74"/>
    <mergeCell ref="B1:P1"/>
    <mergeCell ref="B2:P2"/>
    <mergeCell ref="G5:J6"/>
    <mergeCell ref="B7:B8"/>
    <mergeCell ref="C7:C8"/>
    <mergeCell ref="D7:F7"/>
    <mergeCell ref="G7:J7"/>
    <mergeCell ref="K7:M7"/>
    <mergeCell ref="N7:P7"/>
  </mergeCells>
  <conditionalFormatting sqref="H53:I53">
    <cfRule type="duplicateValues" dxfId="0" priority="1"/>
  </conditionalFormatting>
  <pageMargins left="0.98425196850393704" right="0.19685039370078741" top="0.39370078740157483" bottom="0.19685039370078741" header="0.31496062992125984" footer="0.31496062992125984"/>
  <pageSetup paperSize="5" scale="55" orientation="landscape" r:id="rId3"/>
  <colBreaks count="1" manualBreakCount="1">
    <brk id="17" max="6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N70"/>
  <sheetViews>
    <sheetView view="pageBreakPreview" zoomScale="60" workbookViewId="0">
      <selection activeCell="C10" sqref="C10:J10"/>
    </sheetView>
  </sheetViews>
  <sheetFormatPr defaultRowHeight="15" x14ac:dyDescent="0.25"/>
  <cols>
    <col min="2" max="2" width="22.85546875" bestFit="1" customWidth="1"/>
    <col min="3" max="3" width="18.28515625" bestFit="1" customWidth="1"/>
    <col min="4" max="5" width="22.28515625" customWidth="1"/>
    <col min="6" max="6" width="18.7109375" bestFit="1" customWidth="1"/>
    <col min="7" max="10" width="21.42578125" customWidth="1"/>
    <col min="11" max="12" width="22.28515625" bestFit="1" customWidth="1"/>
    <col min="13" max="13" width="14.85546875" style="244" bestFit="1" customWidth="1"/>
  </cols>
  <sheetData>
    <row r="1" spans="2:11" x14ac:dyDescent="0.25">
      <c r="B1" s="300" t="s">
        <v>2517</v>
      </c>
    </row>
    <row r="2" spans="2:11" x14ac:dyDescent="0.25">
      <c r="B2" s="300"/>
    </row>
    <row r="4" spans="2:11" x14ac:dyDescent="0.25">
      <c r="B4" s="301" t="s">
        <v>2510</v>
      </c>
      <c r="C4" s="850" t="s">
        <v>143</v>
      </c>
      <c r="D4" s="850" t="s">
        <v>2496</v>
      </c>
      <c r="E4" s="850" t="s">
        <v>277</v>
      </c>
      <c r="F4" s="850" t="s">
        <v>2497</v>
      </c>
      <c r="G4" s="850" t="s">
        <v>2498</v>
      </c>
      <c r="H4" s="850" t="s">
        <v>2499</v>
      </c>
      <c r="I4" s="850" t="s">
        <v>2500</v>
      </c>
      <c r="J4" s="850" t="s">
        <v>2501</v>
      </c>
      <c r="K4" s="301" t="s">
        <v>893</v>
      </c>
    </row>
    <row r="5" spans="2:11" x14ac:dyDescent="0.25">
      <c r="B5" s="851" t="s">
        <v>2511</v>
      </c>
      <c r="C5" s="726"/>
      <c r="D5" s="726"/>
      <c r="E5" s="726"/>
      <c r="F5" s="726"/>
      <c r="G5" s="726"/>
      <c r="H5" s="726"/>
      <c r="I5" s="726"/>
      <c r="J5" s="726"/>
      <c r="K5" s="847"/>
    </row>
    <row r="6" spans="2:11" x14ac:dyDescent="0.25">
      <c r="B6" s="851" t="s">
        <v>2512</v>
      </c>
      <c r="C6" s="852">
        <f>+C55</f>
        <v>33965000</v>
      </c>
      <c r="D6" s="852">
        <f>+C56</f>
        <v>55036932.399999999</v>
      </c>
      <c r="E6" s="852">
        <f>+C57</f>
        <v>213053551.07955781</v>
      </c>
      <c r="F6" s="1211">
        <f>+C58</f>
        <v>1961725</v>
      </c>
      <c r="G6" s="852">
        <f>+C59</f>
        <v>1057200.7</v>
      </c>
      <c r="H6" s="852">
        <f>+C60</f>
        <v>850872.03</v>
      </c>
      <c r="I6" s="852">
        <f>+C61</f>
        <v>1820294.5</v>
      </c>
      <c r="J6" s="852">
        <f>+C62</f>
        <v>26949655.060311563</v>
      </c>
      <c r="K6" s="848">
        <f>+C68</f>
        <v>484789</v>
      </c>
    </row>
    <row r="7" spans="2:11" x14ac:dyDescent="0.25">
      <c r="B7" s="726" t="s">
        <v>2513</v>
      </c>
      <c r="C7" s="853">
        <f>+D55</f>
        <v>0</v>
      </c>
      <c r="D7" s="853">
        <f>+D56</f>
        <v>979271.15</v>
      </c>
      <c r="E7" s="853">
        <f>+D57</f>
        <v>4240543.1899999995</v>
      </c>
      <c r="F7" s="1212">
        <f>+D58</f>
        <v>2647473</v>
      </c>
      <c r="G7" s="853">
        <f>+D59</f>
        <v>0</v>
      </c>
      <c r="H7" s="853">
        <f>+D60</f>
        <v>33203.129999999997</v>
      </c>
      <c r="I7" s="853">
        <f>+D61</f>
        <v>0</v>
      </c>
      <c r="J7" s="853">
        <f>+D62</f>
        <v>1557480.9800000002</v>
      </c>
      <c r="K7" s="848">
        <f>+D68</f>
        <v>5143635.54</v>
      </c>
    </row>
    <row r="8" spans="2:11" x14ac:dyDescent="0.25">
      <c r="B8" s="726" t="s">
        <v>2514</v>
      </c>
      <c r="C8" s="853">
        <f>+E55</f>
        <v>0</v>
      </c>
      <c r="D8" s="853">
        <f>+E56</f>
        <v>0</v>
      </c>
      <c r="E8" s="853">
        <f>+E57</f>
        <v>0</v>
      </c>
      <c r="F8" s="1212">
        <f>+E58</f>
        <v>1618086</v>
      </c>
      <c r="G8" s="853">
        <f>+E59</f>
        <v>0</v>
      </c>
      <c r="H8" s="853">
        <f>+E60</f>
        <v>0</v>
      </c>
      <c r="I8" s="853">
        <f>+E61</f>
        <v>0</v>
      </c>
      <c r="J8" s="853">
        <f>+E62</f>
        <v>0</v>
      </c>
      <c r="K8" s="848">
        <f>+E68</f>
        <v>5225945.3400000008</v>
      </c>
    </row>
    <row r="9" spans="2:11" x14ac:dyDescent="0.25">
      <c r="B9" s="851" t="s">
        <v>2515</v>
      </c>
      <c r="C9" s="852">
        <f>+C6+C7-C8</f>
        <v>33965000</v>
      </c>
      <c r="D9" s="852">
        <f t="shared" ref="D9:K9" si="0">+D6+D7-D8</f>
        <v>56016203.549999997</v>
      </c>
      <c r="E9" s="852">
        <f t="shared" si="0"/>
        <v>217294094.2695578</v>
      </c>
      <c r="F9" s="1211">
        <f t="shared" si="0"/>
        <v>2991112</v>
      </c>
      <c r="G9" s="852">
        <f t="shared" si="0"/>
        <v>1057200.7</v>
      </c>
      <c r="H9" s="852">
        <f t="shared" si="0"/>
        <v>884075.16</v>
      </c>
      <c r="I9" s="852">
        <f t="shared" si="0"/>
        <v>1820294.5</v>
      </c>
      <c r="J9" s="852">
        <f t="shared" si="0"/>
        <v>28507136.040311564</v>
      </c>
      <c r="K9" s="852">
        <f t="shared" si="0"/>
        <v>402479.19999999925</v>
      </c>
    </row>
    <row r="10" spans="2:11" x14ac:dyDescent="0.25">
      <c r="B10" s="726" t="s">
        <v>2513</v>
      </c>
      <c r="C10" s="853">
        <f>+D35</f>
        <v>0</v>
      </c>
      <c r="D10" s="853">
        <f>+D36</f>
        <v>2907026.98</v>
      </c>
      <c r="E10" s="853">
        <f>+D37</f>
        <v>5234643.66</v>
      </c>
      <c r="F10" s="1212">
        <f>+D38</f>
        <v>0</v>
      </c>
      <c r="G10" s="853">
        <f>+D39</f>
        <v>0</v>
      </c>
      <c r="H10" s="853">
        <f>+D40</f>
        <v>415195.47</v>
      </c>
      <c r="I10" s="853">
        <f>+D41</f>
        <v>47872.03</v>
      </c>
      <c r="J10" s="853">
        <f>+D42</f>
        <v>422775</v>
      </c>
      <c r="K10" s="848">
        <f>+D48</f>
        <v>5973299.6199999992</v>
      </c>
    </row>
    <row r="11" spans="2:11" x14ac:dyDescent="0.25">
      <c r="B11" s="726" t="s">
        <v>2514</v>
      </c>
      <c r="C11" s="853">
        <f>+E35</f>
        <v>0</v>
      </c>
      <c r="D11" s="853">
        <f>+E36</f>
        <v>0</v>
      </c>
      <c r="E11" s="853">
        <f>+E37</f>
        <v>7228395.2299999995</v>
      </c>
      <c r="F11" s="1212">
        <f>+E38</f>
        <v>0</v>
      </c>
      <c r="G11" s="853">
        <f>+E39</f>
        <v>312675</v>
      </c>
      <c r="H11" s="853">
        <f>+E40</f>
        <v>275211</v>
      </c>
      <c r="I11" s="853">
        <f>+E41</f>
        <v>537953</v>
      </c>
      <c r="J11" s="853">
        <f>+E42</f>
        <v>2741803.7199999997</v>
      </c>
      <c r="K11" s="848">
        <f>+E48</f>
        <v>6062771.0800000001</v>
      </c>
    </row>
    <row r="12" spans="2:11" x14ac:dyDescent="0.25">
      <c r="B12" s="301" t="s">
        <v>2516</v>
      </c>
      <c r="C12" s="854">
        <f>+C9+C10-C11</f>
        <v>33965000</v>
      </c>
      <c r="D12" s="854">
        <f t="shared" ref="D12:K12" si="1">+D9+D10-D11</f>
        <v>58923230.529999994</v>
      </c>
      <c r="E12" s="854">
        <f t="shared" si="1"/>
        <v>215300342.69955781</v>
      </c>
      <c r="F12" s="1213">
        <f t="shared" si="1"/>
        <v>2991112</v>
      </c>
      <c r="G12" s="854">
        <f t="shared" si="1"/>
        <v>744525.7</v>
      </c>
      <c r="H12" s="854">
        <f t="shared" si="1"/>
        <v>1024059.6299999999</v>
      </c>
      <c r="I12" s="854">
        <f t="shared" si="1"/>
        <v>1330213.53</v>
      </c>
      <c r="J12" s="854">
        <f t="shared" si="1"/>
        <v>26188107.320311565</v>
      </c>
      <c r="K12" s="854">
        <f t="shared" si="1"/>
        <v>313007.73999999836</v>
      </c>
    </row>
    <row r="13" spans="2:11" x14ac:dyDescent="0.25">
      <c r="B13" s="726"/>
      <c r="C13" s="726"/>
      <c r="D13" s="726"/>
      <c r="E13" s="726"/>
      <c r="F13" s="1212"/>
      <c r="G13" s="726"/>
      <c r="H13" s="726"/>
      <c r="I13" s="726"/>
      <c r="J13" s="726"/>
      <c r="K13" s="847"/>
    </row>
    <row r="14" spans="2:11" x14ac:dyDescent="0.25">
      <c r="B14" s="851" t="s">
        <v>591</v>
      </c>
      <c r="C14" s="726"/>
      <c r="D14" s="726"/>
      <c r="E14" s="726"/>
      <c r="F14" s="1212"/>
      <c r="G14" s="726"/>
      <c r="H14" s="726"/>
      <c r="I14" s="726"/>
      <c r="J14" s="726"/>
      <c r="K14" s="847"/>
    </row>
    <row r="15" spans="2:11" x14ac:dyDescent="0.25">
      <c r="B15" s="851" t="s">
        <v>2512</v>
      </c>
      <c r="C15" s="852">
        <f>+G55</f>
        <v>0</v>
      </c>
      <c r="D15" s="852">
        <f>+G56</f>
        <v>1957557</v>
      </c>
      <c r="E15" s="852">
        <f>+G57</f>
        <v>79329687</v>
      </c>
      <c r="F15" s="1211">
        <f>+G58</f>
        <v>1238122</v>
      </c>
      <c r="G15" s="852">
        <f>+G59</f>
        <v>846428</v>
      </c>
      <c r="H15" s="852">
        <f>+G60</f>
        <v>729742</v>
      </c>
      <c r="I15" s="852">
        <f>+G61</f>
        <v>1420188</v>
      </c>
      <c r="J15" s="852">
        <f>+G62</f>
        <v>14761635</v>
      </c>
      <c r="K15" s="852">
        <v>0</v>
      </c>
    </row>
    <row r="16" spans="2:11" x14ac:dyDescent="0.25">
      <c r="B16" s="726" t="s">
        <v>2513</v>
      </c>
      <c r="C16" s="853">
        <f>+H55</f>
        <v>0</v>
      </c>
      <c r="D16" s="853">
        <f>+H56</f>
        <v>1743151</v>
      </c>
      <c r="E16" s="853">
        <f>+H57</f>
        <v>13101740</v>
      </c>
      <c r="F16" s="1212">
        <f>+H58</f>
        <v>287798</v>
      </c>
      <c r="G16" s="853">
        <f>+H59</f>
        <v>92736</v>
      </c>
      <c r="H16" s="853">
        <f>+H60</f>
        <v>24077</v>
      </c>
      <c r="I16" s="853">
        <f>+H61</f>
        <v>57979</v>
      </c>
      <c r="J16" s="853">
        <f>+H62</f>
        <v>1885458</v>
      </c>
      <c r="K16" s="853">
        <f>+I62</f>
        <v>0</v>
      </c>
    </row>
    <row r="17" spans="2:12" x14ac:dyDescent="0.25">
      <c r="B17" s="726" t="s">
        <v>2514</v>
      </c>
      <c r="C17" s="853">
        <f>+I55</f>
        <v>0</v>
      </c>
      <c r="D17" s="853">
        <f>+I56</f>
        <v>0</v>
      </c>
      <c r="E17" s="853">
        <f>+I57</f>
        <v>0</v>
      </c>
      <c r="F17" s="1212">
        <f>+I58</f>
        <v>1336349</v>
      </c>
      <c r="G17" s="853">
        <f>+I59</f>
        <v>0</v>
      </c>
      <c r="H17" s="853">
        <f>+I60</f>
        <v>0</v>
      </c>
      <c r="I17" s="853">
        <f>+I61</f>
        <v>0</v>
      </c>
      <c r="J17" s="853">
        <f>+I62</f>
        <v>0</v>
      </c>
      <c r="K17" s="853">
        <v>0</v>
      </c>
    </row>
    <row r="18" spans="2:12" x14ac:dyDescent="0.25">
      <c r="B18" s="851" t="s">
        <v>2515</v>
      </c>
      <c r="C18" s="852">
        <f>+C15+C16-C17</f>
        <v>0</v>
      </c>
      <c r="D18" s="852">
        <f t="shared" ref="D18:K18" si="2">+D15+D16-D17</f>
        <v>3700708</v>
      </c>
      <c r="E18" s="852">
        <f t="shared" si="2"/>
        <v>92431427</v>
      </c>
      <c r="F18" s="1211">
        <f t="shared" si="2"/>
        <v>189571</v>
      </c>
      <c r="G18" s="852">
        <f t="shared" si="2"/>
        <v>939164</v>
      </c>
      <c r="H18" s="852">
        <f t="shared" si="2"/>
        <v>753819</v>
      </c>
      <c r="I18" s="852">
        <f t="shared" si="2"/>
        <v>1478167</v>
      </c>
      <c r="J18" s="852">
        <f t="shared" si="2"/>
        <v>16647093</v>
      </c>
      <c r="K18" s="852">
        <f t="shared" si="2"/>
        <v>0</v>
      </c>
    </row>
    <row r="19" spans="2:12" x14ac:dyDescent="0.25">
      <c r="B19" s="726" t="s">
        <v>2513</v>
      </c>
      <c r="C19" s="853">
        <f>+H35</f>
        <v>0</v>
      </c>
      <c r="D19" s="853">
        <f>+H36</f>
        <v>1834185.4234531051</v>
      </c>
      <c r="E19" s="853">
        <f>+H37</f>
        <v>13466160.816718986</v>
      </c>
      <c r="F19" s="1212">
        <f>+H38</f>
        <v>369148.96419712796</v>
      </c>
      <c r="G19" s="853">
        <f>+H39</f>
        <v>46789.81352511415</v>
      </c>
      <c r="H19" s="853">
        <f>+H40</f>
        <v>103252.61500000002</v>
      </c>
      <c r="I19" s="853">
        <f>+H41</f>
        <v>46906.637584569173</v>
      </c>
      <c r="J19" s="853">
        <f>+H42</f>
        <v>1861537.3326213248</v>
      </c>
      <c r="K19" s="853">
        <v>0</v>
      </c>
    </row>
    <row r="20" spans="2:12" x14ac:dyDescent="0.25">
      <c r="B20" s="726" t="s">
        <v>2514</v>
      </c>
      <c r="C20" s="853">
        <f>+I35</f>
        <v>0</v>
      </c>
      <c r="D20" s="853">
        <f>+I36</f>
        <v>0</v>
      </c>
      <c r="E20" s="853">
        <f>+I37</f>
        <v>6401419.3742230469</v>
      </c>
      <c r="F20" s="1212">
        <f>+I38</f>
        <v>0</v>
      </c>
      <c r="G20" s="853">
        <f>+I39</f>
        <v>297041</v>
      </c>
      <c r="H20" s="853">
        <f>+I40</f>
        <v>258544</v>
      </c>
      <c r="I20" s="853">
        <f>+I41</f>
        <v>511055</v>
      </c>
      <c r="J20" s="853">
        <f>+I42</f>
        <v>2163078.08</v>
      </c>
      <c r="K20" s="853">
        <v>0</v>
      </c>
    </row>
    <row r="21" spans="2:12" x14ac:dyDescent="0.25">
      <c r="B21" s="301" t="s">
        <v>2516</v>
      </c>
      <c r="C21" s="854">
        <f>+C18+C19-C20</f>
        <v>0</v>
      </c>
      <c r="D21" s="854">
        <f t="shared" ref="D21:K21" si="3">+D18+D19-D20</f>
        <v>5534893.4234531056</v>
      </c>
      <c r="E21" s="854">
        <f t="shared" si="3"/>
        <v>99496168.442495927</v>
      </c>
      <c r="F21" s="1213">
        <f t="shared" si="3"/>
        <v>558719.96419712796</v>
      </c>
      <c r="G21" s="854">
        <f t="shared" si="3"/>
        <v>688912.81352511421</v>
      </c>
      <c r="H21" s="854">
        <f t="shared" si="3"/>
        <v>598527.61499999999</v>
      </c>
      <c r="I21" s="854">
        <f t="shared" si="3"/>
        <v>1014018.6375845692</v>
      </c>
      <c r="J21" s="854">
        <f t="shared" si="3"/>
        <v>16345552.252621325</v>
      </c>
      <c r="K21" s="854">
        <f t="shared" si="3"/>
        <v>0</v>
      </c>
    </row>
    <row r="22" spans="2:12" x14ac:dyDescent="0.25">
      <c r="B22" s="726"/>
      <c r="C22" s="726"/>
      <c r="D22" s="726"/>
      <c r="E22" s="726"/>
      <c r="F22" s="726"/>
      <c r="G22" s="726"/>
      <c r="H22" s="726"/>
      <c r="I22" s="726"/>
      <c r="J22" s="726"/>
      <c r="K22" s="847"/>
    </row>
    <row r="23" spans="2:12" x14ac:dyDescent="0.25">
      <c r="B23" s="301" t="s">
        <v>2512</v>
      </c>
      <c r="C23" s="854">
        <f>+C6-C15</f>
        <v>33965000</v>
      </c>
      <c r="D23" s="854">
        <f t="shared" ref="D23:J23" si="4">+D6-D15</f>
        <v>53079375.399999999</v>
      </c>
      <c r="E23" s="854">
        <f t="shared" si="4"/>
        <v>133723864.07955781</v>
      </c>
      <c r="F23" s="854">
        <f t="shared" si="4"/>
        <v>723603</v>
      </c>
      <c r="G23" s="854">
        <f t="shared" si="4"/>
        <v>210772.69999999995</v>
      </c>
      <c r="H23" s="854">
        <f t="shared" si="4"/>
        <v>121130.03000000003</v>
      </c>
      <c r="I23" s="854">
        <f t="shared" si="4"/>
        <v>400106.5</v>
      </c>
      <c r="J23" s="854">
        <f t="shared" si="4"/>
        <v>12188020.060311563</v>
      </c>
      <c r="K23" s="854">
        <f t="shared" ref="K23" si="5">+K6-K15</f>
        <v>484789</v>
      </c>
    </row>
    <row r="24" spans="2:12" x14ac:dyDescent="0.25">
      <c r="B24" s="849" t="s">
        <v>2515</v>
      </c>
      <c r="C24" s="855">
        <f>+C9-C18</f>
        <v>33965000</v>
      </c>
      <c r="D24" s="855">
        <f t="shared" ref="D24:J24" si="6">+D9-D18</f>
        <v>52315495.549999997</v>
      </c>
      <c r="E24" s="855">
        <f t="shared" si="6"/>
        <v>124862667.2695578</v>
      </c>
      <c r="F24" s="855">
        <f t="shared" si="6"/>
        <v>2801541</v>
      </c>
      <c r="G24" s="855">
        <f t="shared" si="6"/>
        <v>118036.69999999995</v>
      </c>
      <c r="H24" s="855">
        <f t="shared" si="6"/>
        <v>130256.16000000003</v>
      </c>
      <c r="I24" s="855">
        <f t="shared" si="6"/>
        <v>342127.5</v>
      </c>
      <c r="J24" s="855">
        <f t="shared" si="6"/>
        <v>11860043.040311564</v>
      </c>
      <c r="K24" s="855">
        <f t="shared" ref="K24" si="7">+K9-K18</f>
        <v>402479.19999999925</v>
      </c>
    </row>
    <row r="25" spans="2:12" x14ac:dyDescent="0.25">
      <c r="B25" s="856" t="s">
        <v>2516</v>
      </c>
      <c r="C25" s="857">
        <f>+C12-C21</f>
        <v>33965000</v>
      </c>
      <c r="D25" s="857">
        <f t="shared" ref="D25:J25" si="8">+D12-D21</f>
        <v>53388337.106546886</v>
      </c>
      <c r="E25" s="857">
        <f t="shared" si="8"/>
        <v>115804174.25706188</v>
      </c>
      <c r="F25" s="857">
        <f t="shared" si="8"/>
        <v>2432392.0358028719</v>
      </c>
      <c r="G25" s="857">
        <f t="shared" si="8"/>
        <v>55612.886474885745</v>
      </c>
      <c r="H25" s="857">
        <f t="shared" si="8"/>
        <v>425532.0149999999</v>
      </c>
      <c r="I25" s="857">
        <f t="shared" si="8"/>
        <v>316194.89241543086</v>
      </c>
      <c r="J25" s="857">
        <f t="shared" si="8"/>
        <v>9842555.0676902402</v>
      </c>
      <c r="K25" s="857">
        <f t="shared" ref="K25" si="9">+K12-K21</f>
        <v>313007.73999999836</v>
      </c>
    </row>
    <row r="27" spans="2:12" x14ac:dyDescent="0.25">
      <c r="B27" s="4" t="s">
        <v>3484</v>
      </c>
    </row>
    <row r="28" spans="2:12" x14ac:dyDescent="0.25">
      <c r="B28" t="s">
        <v>3485</v>
      </c>
    </row>
    <row r="31" spans="2:12" ht="15.75" thickBot="1" x14ac:dyDescent="0.3"/>
    <row r="32" spans="2:12" ht="16.5" thickBot="1" x14ac:dyDescent="0.3">
      <c r="B32" s="806"/>
      <c r="C32" s="1866" t="s">
        <v>2486</v>
      </c>
      <c r="D32" s="1866"/>
      <c r="E32" s="1866"/>
      <c r="F32" s="1866"/>
      <c r="G32" s="1866"/>
      <c r="H32" s="1866"/>
      <c r="I32" s="1866"/>
      <c r="J32" s="1866"/>
      <c r="K32" s="1866"/>
      <c r="L32" s="1867"/>
    </row>
    <row r="33" spans="2:14" ht="15.75" x14ac:dyDescent="0.25">
      <c r="B33" s="1858"/>
      <c r="C33" s="1860" t="s">
        <v>2487</v>
      </c>
      <c r="D33" s="1861"/>
      <c r="E33" s="1861"/>
      <c r="F33" s="1862"/>
      <c r="G33" s="1863" t="s">
        <v>591</v>
      </c>
      <c r="H33" s="1864"/>
      <c r="I33" s="1865"/>
      <c r="J33" s="1864"/>
      <c r="K33" s="807">
        <v>43922</v>
      </c>
      <c r="L33" s="808">
        <v>44286</v>
      </c>
    </row>
    <row r="34" spans="2:14" ht="48" thickBot="1" x14ac:dyDescent="0.3">
      <c r="B34" s="1859"/>
      <c r="C34" s="809">
        <v>43922</v>
      </c>
      <c r="D34" s="810" t="s">
        <v>2488</v>
      </c>
      <c r="E34" s="811" t="s">
        <v>2489</v>
      </c>
      <c r="F34" s="809">
        <v>44286</v>
      </c>
      <c r="G34" s="812" t="s">
        <v>2490</v>
      </c>
      <c r="H34" s="811" t="s">
        <v>2491</v>
      </c>
      <c r="I34" s="813" t="s">
        <v>2492</v>
      </c>
      <c r="J34" s="812" t="s">
        <v>2493</v>
      </c>
      <c r="K34" s="814" t="s">
        <v>2494</v>
      </c>
      <c r="L34" s="815" t="s">
        <v>2494</v>
      </c>
      <c r="M34" s="843" t="s">
        <v>2505</v>
      </c>
    </row>
    <row r="35" spans="2:14" x14ac:dyDescent="0.25">
      <c r="B35" s="816" t="s">
        <v>2495</v>
      </c>
      <c r="C35" s="842">
        <v>33964999.899999999</v>
      </c>
      <c r="D35" s="842">
        <v>0</v>
      </c>
      <c r="E35" s="842">
        <v>0</v>
      </c>
      <c r="F35" s="817">
        <f>C35+D35-E35</f>
        <v>33964999.899999999</v>
      </c>
      <c r="G35" s="842">
        <v>0</v>
      </c>
      <c r="H35" s="842">
        <v>0</v>
      </c>
      <c r="I35" s="842"/>
      <c r="J35" s="842">
        <f>+'[66]Summary-20-21'!I4</f>
        <v>0</v>
      </c>
      <c r="K35" s="817">
        <f>C35-G35</f>
        <v>33964999.899999999</v>
      </c>
      <c r="L35" s="818">
        <f t="shared" ref="L35:L42" si="10">F35-J35</f>
        <v>33964999.899999999</v>
      </c>
    </row>
    <row r="36" spans="2:14" x14ac:dyDescent="0.25">
      <c r="B36" s="819" t="s">
        <v>2496</v>
      </c>
      <c r="C36" s="842">
        <v>56016203.549999997</v>
      </c>
      <c r="D36" s="842">
        <v>2907026.98</v>
      </c>
      <c r="E36" s="842">
        <v>0</v>
      </c>
      <c r="F36" s="820">
        <f t="shared" ref="F36:F41" si="11">C36+D36-E36</f>
        <v>58923230.529999994</v>
      </c>
      <c r="G36" s="842">
        <v>3700708.5652456624</v>
      </c>
      <c r="H36" s="842">
        <v>1834185.4234531051</v>
      </c>
      <c r="I36" s="842">
        <v>0</v>
      </c>
      <c r="J36" s="820">
        <f t="shared" ref="J36:J42" si="12">G36+H36-I36</f>
        <v>5534893.9886987675</v>
      </c>
      <c r="K36" s="820">
        <f t="shared" ref="K36:K42" si="13">C36-G36</f>
        <v>52315494.984754331</v>
      </c>
      <c r="L36" s="821">
        <f t="shared" si="10"/>
        <v>53388336.541301228</v>
      </c>
      <c r="M36" s="244">
        <v>5530286</v>
      </c>
      <c r="N36" s="735">
        <f>+J36-M36</f>
        <v>4607.9886987674981</v>
      </c>
    </row>
    <row r="37" spans="2:14" x14ac:dyDescent="0.25">
      <c r="B37" s="819" t="s">
        <v>277</v>
      </c>
      <c r="C37" s="842">
        <v>217294094.07799998</v>
      </c>
      <c r="D37" s="842">
        <v>5234643.66</v>
      </c>
      <c r="E37" s="842">
        <v>7228395.2299999995</v>
      </c>
      <c r="F37" s="820">
        <f>C37+D37-E37</f>
        <v>215300342.50799999</v>
      </c>
      <c r="G37" s="842">
        <v>92431426.995565161</v>
      </c>
      <c r="H37" s="842">
        <v>13466160.816718986</v>
      </c>
      <c r="I37" s="842">
        <v>6401419.3742230469</v>
      </c>
      <c r="J37" s="820">
        <f t="shared" si="12"/>
        <v>99496168.438061088</v>
      </c>
      <c r="K37" s="820">
        <f t="shared" si="13"/>
        <v>124862667.08243482</v>
      </c>
      <c r="L37" s="821">
        <f t="shared" si="10"/>
        <v>115804174.0699389</v>
      </c>
      <c r="M37" s="244">
        <v>104068905</v>
      </c>
      <c r="N37" s="735">
        <f>+J37-M37</f>
        <v>-4572736.5619389117</v>
      </c>
    </row>
    <row r="38" spans="2:14" x14ac:dyDescent="0.25">
      <c r="B38" s="819" t="s">
        <v>2497</v>
      </c>
      <c r="C38" s="842">
        <v>2991111</v>
      </c>
      <c r="D38" s="842">
        <v>0</v>
      </c>
      <c r="E38" s="842">
        <v>0</v>
      </c>
      <c r="F38" s="820">
        <f t="shared" si="11"/>
        <v>2991111</v>
      </c>
      <c r="G38" s="842">
        <v>189570.87386887943</v>
      </c>
      <c r="H38" s="842">
        <v>369148.96419712796</v>
      </c>
      <c r="I38" s="842">
        <v>0</v>
      </c>
      <c r="J38" s="820">
        <f t="shared" si="12"/>
        <v>558719.83806600736</v>
      </c>
      <c r="K38" s="820">
        <f t="shared" si="13"/>
        <v>2801540.1261311206</v>
      </c>
      <c r="L38" s="821">
        <f t="shared" si="10"/>
        <v>2432391.1619339925</v>
      </c>
      <c r="M38" s="244">
        <v>558720</v>
      </c>
      <c r="N38" s="735">
        <f t="shared" ref="N38:N42" si="14">+J38-M38</f>
        <v>-0.16193399264011532</v>
      </c>
    </row>
    <row r="39" spans="2:14" x14ac:dyDescent="0.25">
      <c r="B39" s="819" t="s">
        <v>2498</v>
      </c>
      <c r="C39" s="842">
        <v>1057200.7</v>
      </c>
      <c r="D39" s="842">
        <v>0</v>
      </c>
      <c r="E39" s="842">
        <v>312675</v>
      </c>
      <c r="F39" s="820">
        <f t="shared" si="11"/>
        <v>744525.7</v>
      </c>
      <c r="G39" s="842">
        <v>939165.05196347041</v>
      </c>
      <c r="H39" s="842">
        <v>46789.81352511415</v>
      </c>
      <c r="I39" s="842">
        <v>297041</v>
      </c>
      <c r="J39" s="820">
        <f t="shared" si="12"/>
        <v>688913.86548858462</v>
      </c>
      <c r="K39" s="820">
        <f t="shared" si="13"/>
        <v>118035.64803652954</v>
      </c>
      <c r="L39" s="821">
        <f t="shared" si="10"/>
        <v>55611.834511415334</v>
      </c>
      <c r="M39" s="244">
        <v>985127</v>
      </c>
      <c r="N39" s="735">
        <f t="shared" si="14"/>
        <v>-296213.13451141538</v>
      </c>
    </row>
    <row r="40" spans="2:14" x14ac:dyDescent="0.25">
      <c r="B40" s="819" t="s">
        <v>2499</v>
      </c>
      <c r="C40" s="842">
        <v>884075.03</v>
      </c>
      <c r="D40" s="842">
        <v>415195.47</v>
      </c>
      <c r="E40" s="842">
        <v>275211</v>
      </c>
      <c r="F40" s="820">
        <f>C40+D40-E40</f>
        <v>1024059.5</v>
      </c>
      <c r="G40" s="842">
        <v>753817.65582759003</v>
      </c>
      <c r="H40" s="842">
        <v>103252.61500000002</v>
      </c>
      <c r="I40" s="842">
        <v>258544</v>
      </c>
      <c r="J40" s="820">
        <f t="shared" si="12"/>
        <v>598526.27082759002</v>
      </c>
      <c r="K40" s="820">
        <f t="shared" si="13"/>
        <v>130257.37417241</v>
      </c>
      <c r="L40" s="821">
        <f t="shared" si="10"/>
        <v>425533.22917240998</v>
      </c>
      <c r="M40" s="244">
        <v>774685</v>
      </c>
      <c r="N40" s="735">
        <f t="shared" si="14"/>
        <v>-176158.72917240998</v>
      </c>
    </row>
    <row r="41" spans="2:14" x14ac:dyDescent="0.25">
      <c r="B41" s="819" t="s">
        <v>2500</v>
      </c>
      <c r="C41" s="842">
        <v>1820295</v>
      </c>
      <c r="D41" s="842">
        <v>47872.03</v>
      </c>
      <c r="E41" s="842">
        <v>537953</v>
      </c>
      <c r="F41" s="820">
        <f t="shared" si="11"/>
        <v>1330214.03</v>
      </c>
      <c r="G41" s="842">
        <v>1478166.1085677366</v>
      </c>
      <c r="H41" s="842">
        <v>46906.637584569173</v>
      </c>
      <c r="I41" s="842">
        <v>511055</v>
      </c>
      <c r="J41" s="820">
        <f t="shared" si="12"/>
        <v>1014017.7461523057</v>
      </c>
      <c r="K41" s="820">
        <f t="shared" si="13"/>
        <v>342128.89143226342</v>
      </c>
      <c r="L41" s="821">
        <f t="shared" si="10"/>
        <v>316196.28384769429</v>
      </c>
      <c r="M41" s="244">
        <v>1524569</v>
      </c>
      <c r="N41" s="735">
        <f t="shared" si="14"/>
        <v>-510551.25384769426</v>
      </c>
    </row>
    <row r="42" spans="2:14" ht="25.9" customHeight="1" thickBot="1" x14ac:dyDescent="0.3">
      <c r="B42" s="822" t="s">
        <v>2501</v>
      </c>
      <c r="C42" s="842">
        <v>28507136.800000001</v>
      </c>
      <c r="D42" s="842">
        <v>422775</v>
      </c>
      <c r="E42" s="842">
        <v>2741803.7199999997</v>
      </c>
      <c r="F42" s="823">
        <f>C42+D42-E42</f>
        <v>26188108.080000002</v>
      </c>
      <c r="G42" s="842">
        <v>16647091.583539886</v>
      </c>
      <c r="H42" s="842">
        <v>1861537.3326213248</v>
      </c>
      <c r="I42" s="842">
        <v>2163078.08</v>
      </c>
      <c r="J42" s="820">
        <f t="shared" si="12"/>
        <v>16345550.836161209</v>
      </c>
      <c r="K42" s="823">
        <f t="shared" si="13"/>
        <v>11860045.216460114</v>
      </c>
      <c r="L42" s="824">
        <f t="shared" si="10"/>
        <v>9842557.2438387927</v>
      </c>
      <c r="M42" s="244">
        <v>18512655</v>
      </c>
      <c r="N42" s="735">
        <f t="shared" si="14"/>
        <v>-2167104.1638387907</v>
      </c>
    </row>
    <row r="43" spans="2:14" ht="16.5" thickBot="1" x14ac:dyDescent="0.3">
      <c r="B43" s="825" t="s">
        <v>2502</v>
      </c>
      <c r="C43" s="826">
        <f>SUM(C35:C42)</f>
        <v>342535116.05799997</v>
      </c>
      <c r="D43" s="826">
        <f t="shared" ref="D43:K43" si="15">SUM(D35:D42)</f>
        <v>9027513.1400000006</v>
      </c>
      <c r="E43" s="826">
        <f t="shared" si="15"/>
        <v>11096037.949999999</v>
      </c>
      <c r="F43" s="826">
        <f t="shared" si="15"/>
        <v>340466591.24799991</v>
      </c>
      <c r="G43" s="826">
        <f t="shared" si="15"/>
        <v>116139946.83457838</v>
      </c>
      <c r="H43" s="826">
        <f t="shared" si="15"/>
        <v>17727981.603100225</v>
      </c>
      <c r="I43" s="826">
        <f t="shared" si="15"/>
        <v>9631137.4542230479</v>
      </c>
      <c r="J43" s="826">
        <f t="shared" si="15"/>
        <v>124236790.98345557</v>
      </c>
      <c r="K43" s="826">
        <f t="shared" si="15"/>
        <v>226395169.22342157</v>
      </c>
      <c r="L43" s="827">
        <f>SUM(L35:L42)</f>
        <v>216229800.26454443</v>
      </c>
      <c r="M43" s="244">
        <f>+L43-BSPL!F8</f>
        <v>2.0035522282123566</v>
      </c>
    </row>
    <row r="44" spans="2:14" ht="15.75" thickBot="1" x14ac:dyDescent="0.3">
      <c r="B44" s="828"/>
      <c r="C44" s="829"/>
      <c r="L44" s="830"/>
      <c r="M44" s="244">
        <f>219355688.9-243230</f>
        <v>219112458.90000001</v>
      </c>
      <c r="N44" s="442">
        <f>+L43-M44</f>
        <v>-2882658.6354555786</v>
      </c>
    </row>
    <row r="45" spans="2:14" ht="15.75" thickBot="1" x14ac:dyDescent="0.3">
      <c r="B45" s="831" t="s">
        <v>893</v>
      </c>
      <c r="C45" s="832"/>
      <c r="D45" s="832"/>
      <c r="E45" s="832"/>
      <c r="F45" s="832"/>
      <c r="G45" s="832"/>
      <c r="H45" s="832"/>
      <c r="I45" s="832"/>
      <c r="J45" s="832"/>
      <c r="K45" s="832"/>
      <c r="L45" s="833"/>
    </row>
    <row r="46" spans="2:14" x14ac:dyDescent="0.25">
      <c r="B46" s="834" t="s">
        <v>2503</v>
      </c>
      <c r="C46" s="842">
        <v>172560</v>
      </c>
      <c r="D46" s="842">
        <v>2867475.08</v>
      </c>
      <c r="E46" s="842">
        <v>2907027.08</v>
      </c>
      <c r="F46" s="835">
        <f>C46+D46-E46</f>
        <v>133008</v>
      </c>
      <c r="G46" s="842">
        <f>+'[66]Summary-20-21'!F15</f>
        <v>0</v>
      </c>
      <c r="H46" s="842">
        <f>+'[66]Summary-20-21'!G15</f>
        <v>0</v>
      </c>
      <c r="I46" s="842">
        <f>+'[66]Summary-20-21'!H15</f>
        <v>0</v>
      </c>
      <c r="J46" s="842">
        <f>+'[66]Summary-20-21'!I15</f>
        <v>0</v>
      </c>
      <c r="K46" s="835">
        <v>172559.99999999988</v>
      </c>
      <c r="L46" s="836">
        <f>F46</f>
        <v>133008</v>
      </c>
    </row>
    <row r="47" spans="2:14" ht="15.75" thickBot="1" x14ac:dyDescent="0.3">
      <c r="B47" s="837" t="s">
        <v>2504</v>
      </c>
      <c r="C47" s="842">
        <v>229919</v>
      </c>
      <c r="D47" s="842">
        <v>3105824.5399999996</v>
      </c>
      <c r="E47" s="842">
        <v>3155744</v>
      </c>
      <c r="F47" s="835">
        <f>C47+D47-E47</f>
        <v>179999.53999999957</v>
      </c>
      <c r="G47" s="842">
        <f>+'[66]Summary-20-21'!F16</f>
        <v>0</v>
      </c>
      <c r="H47" s="842">
        <f>+'[66]Summary-20-21'!G16</f>
        <v>0</v>
      </c>
      <c r="I47" s="842">
        <f>+'[66]Summary-20-21'!H16</f>
        <v>0</v>
      </c>
      <c r="J47" s="842">
        <f>+'[66]Summary-20-21'!I16</f>
        <v>0</v>
      </c>
      <c r="K47" s="838">
        <f>C47</f>
        <v>229919</v>
      </c>
      <c r="L47" s="836">
        <f>F47</f>
        <v>179999.53999999957</v>
      </c>
    </row>
    <row r="48" spans="2:14" ht="16.5" thickBot="1" x14ac:dyDescent="0.3">
      <c r="B48" s="839" t="s">
        <v>2502</v>
      </c>
      <c r="C48" s="840">
        <f>SUM(C46:C47)</f>
        <v>402479</v>
      </c>
      <c r="D48" s="826">
        <f t="shared" ref="D48:L48" si="16">SUM(D46:D47)</f>
        <v>5973299.6199999992</v>
      </c>
      <c r="E48" s="826">
        <f t="shared" si="16"/>
        <v>6062771.0800000001</v>
      </c>
      <c r="F48" s="826">
        <f>SUM(F46:F47)</f>
        <v>313007.53999999957</v>
      </c>
      <c r="G48" s="826">
        <f t="shared" si="16"/>
        <v>0</v>
      </c>
      <c r="H48" s="826">
        <f t="shared" si="16"/>
        <v>0</v>
      </c>
      <c r="I48" s="826">
        <f t="shared" si="16"/>
        <v>0</v>
      </c>
      <c r="J48" s="826">
        <f t="shared" si="16"/>
        <v>0</v>
      </c>
      <c r="K48" s="826">
        <f t="shared" si="16"/>
        <v>402478.99999999988</v>
      </c>
      <c r="L48" s="827">
        <f t="shared" si="16"/>
        <v>313007.53999999957</v>
      </c>
    </row>
    <row r="49" spans="2:12" ht="15.75" thickBot="1" x14ac:dyDescent="0.3">
      <c r="B49" s="841"/>
      <c r="L49" s="830"/>
    </row>
    <row r="50" spans="2:12" ht="16.5" thickBot="1" x14ac:dyDescent="0.3">
      <c r="B50" s="839" t="s">
        <v>1079</v>
      </c>
      <c r="C50" s="840">
        <f>C43+C48</f>
        <v>342937595.05799997</v>
      </c>
      <c r="D50" s="826">
        <f t="shared" ref="D50:L50" si="17">D43+D48</f>
        <v>15000812.76</v>
      </c>
      <c r="E50" s="826">
        <f t="shared" si="17"/>
        <v>17158809.030000001</v>
      </c>
      <c r="F50" s="826">
        <f>F43+F48</f>
        <v>340779598.78799993</v>
      </c>
      <c r="G50" s="826">
        <f t="shared" si="17"/>
        <v>116139946.83457838</v>
      </c>
      <c r="H50" s="826">
        <f t="shared" si="17"/>
        <v>17727981.603100225</v>
      </c>
      <c r="I50" s="826">
        <f t="shared" si="17"/>
        <v>9631137.4542230479</v>
      </c>
      <c r="J50" s="826">
        <f t="shared" si="17"/>
        <v>124236790.98345557</v>
      </c>
      <c r="K50" s="826">
        <f t="shared" si="17"/>
        <v>226797648.22342157</v>
      </c>
      <c r="L50" s="827">
        <f t="shared" si="17"/>
        <v>216542807.80454442</v>
      </c>
    </row>
    <row r="51" spans="2:12" ht="15.75" thickBot="1" x14ac:dyDescent="0.3"/>
    <row r="52" spans="2:12" ht="16.5" thickBot="1" x14ac:dyDescent="0.3">
      <c r="B52" s="806"/>
      <c r="C52" s="1866" t="s">
        <v>2506</v>
      </c>
      <c r="D52" s="1866"/>
      <c r="E52" s="1866"/>
      <c r="F52" s="1866"/>
      <c r="G52" s="1866"/>
      <c r="H52" s="1866"/>
      <c r="I52" s="1866"/>
      <c r="J52" s="1866"/>
      <c r="K52" s="1866"/>
      <c r="L52" s="1867"/>
    </row>
    <row r="53" spans="2:12" ht="15.75" x14ac:dyDescent="0.25">
      <c r="B53" s="1858"/>
      <c r="C53" s="1860" t="s">
        <v>2487</v>
      </c>
      <c r="D53" s="1861"/>
      <c r="E53" s="1861"/>
      <c r="F53" s="1862"/>
      <c r="G53" s="1863" t="s">
        <v>591</v>
      </c>
      <c r="H53" s="1864"/>
      <c r="I53" s="1865"/>
      <c r="J53" s="1864"/>
      <c r="K53" s="807">
        <v>43556</v>
      </c>
      <c r="L53" s="808">
        <v>43921</v>
      </c>
    </row>
    <row r="54" spans="2:12" ht="48" thickBot="1" x14ac:dyDescent="0.3">
      <c r="B54" s="1859"/>
      <c r="C54" s="809">
        <v>43556</v>
      </c>
      <c r="D54" s="810" t="s">
        <v>2507</v>
      </c>
      <c r="E54" s="811" t="s">
        <v>2508</v>
      </c>
      <c r="F54" s="809">
        <v>43921</v>
      </c>
      <c r="G54" s="812" t="s">
        <v>2509</v>
      </c>
      <c r="H54" s="811" t="s">
        <v>2491</v>
      </c>
      <c r="I54" s="813" t="s">
        <v>2492</v>
      </c>
      <c r="J54" s="812" t="s">
        <v>2493</v>
      </c>
      <c r="K54" s="814" t="s">
        <v>2494</v>
      </c>
      <c r="L54" s="815" t="s">
        <v>2494</v>
      </c>
    </row>
    <row r="55" spans="2:12" x14ac:dyDescent="0.25">
      <c r="B55" s="816" t="s">
        <v>2495</v>
      </c>
      <c r="C55" s="1214">
        <v>33965000</v>
      </c>
      <c r="D55" s="1214">
        <f>+'[66] Summary-19-20'!C7</f>
        <v>0</v>
      </c>
      <c r="E55" s="1214">
        <f>+'[66] Summary-19-20'!D7</f>
        <v>0</v>
      </c>
      <c r="F55" s="1216">
        <f>C55+D55-E55</f>
        <v>33965000</v>
      </c>
      <c r="G55" s="1216">
        <v>0</v>
      </c>
      <c r="H55" s="1214">
        <f>+'[66] Summary-19-20'!G7</f>
        <v>0</v>
      </c>
      <c r="I55" s="1214">
        <f>+'[66] Summary-19-20'!H7</f>
        <v>0</v>
      </c>
      <c r="J55" s="817">
        <v>0</v>
      </c>
      <c r="K55" s="817">
        <f>C55-G55</f>
        <v>33965000</v>
      </c>
      <c r="L55" s="818">
        <f t="shared" ref="L55:L59" si="18">F55-J55</f>
        <v>33965000</v>
      </c>
    </row>
    <row r="56" spans="2:12" x14ac:dyDescent="0.25">
      <c r="B56" s="819" t="s">
        <v>2496</v>
      </c>
      <c r="C56" s="1214">
        <f>+'[66] Summary-19-20'!B8</f>
        <v>55036932.399999999</v>
      </c>
      <c r="D56" s="1214">
        <f>+'[66] Summary-19-20'!C8</f>
        <v>979271.15</v>
      </c>
      <c r="E56" s="1214">
        <f>+'[66] Summary-19-20'!D8</f>
        <v>0</v>
      </c>
      <c r="F56" s="1217">
        <f t="shared" ref="F56:F62" si="19">C56+D56-E56</f>
        <v>56016203.549999997</v>
      </c>
      <c r="G56" s="1217">
        <v>1957557</v>
      </c>
      <c r="H56" s="1214">
        <f>+'[66] Summary-19-20'!G8</f>
        <v>1743151</v>
      </c>
      <c r="I56" s="1214">
        <f>+'[66] Summary-19-20'!H8</f>
        <v>0</v>
      </c>
      <c r="J56" s="820">
        <f t="shared" ref="J56:J59" si="20">G56+H56-I56</f>
        <v>3700708</v>
      </c>
      <c r="K56" s="820">
        <f>C56-G56</f>
        <v>53079375.399999999</v>
      </c>
      <c r="L56" s="821">
        <f t="shared" si="18"/>
        <v>52315495.549999997</v>
      </c>
    </row>
    <row r="57" spans="2:12" x14ac:dyDescent="0.25">
      <c r="B57" s="819" t="s">
        <v>277</v>
      </c>
      <c r="C57" s="1214">
        <v>213053551.07955781</v>
      </c>
      <c r="D57" s="1214">
        <f>+'[66] Summary-19-20'!C9</f>
        <v>4240543.1899999995</v>
      </c>
      <c r="E57" s="1214">
        <f>+'[66] Summary-19-20'!D9</f>
        <v>0</v>
      </c>
      <c r="F57" s="1217">
        <f t="shared" si="19"/>
        <v>217294094.2695578</v>
      </c>
      <c r="G57" s="1217">
        <v>79329687</v>
      </c>
      <c r="H57" s="1214">
        <v>13101740</v>
      </c>
      <c r="I57" s="1214">
        <f>+'[66] Summary-19-20'!H9</f>
        <v>0</v>
      </c>
      <c r="J57" s="820">
        <f t="shared" si="20"/>
        <v>92431427</v>
      </c>
      <c r="K57" s="820">
        <f t="shared" ref="K57:K62" si="21">C57-G57</f>
        <v>133723864.07955781</v>
      </c>
      <c r="L57" s="821">
        <f t="shared" si="18"/>
        <v>124862667.2695578</v>
      </c>
    </row>
    <row r="58" spans="2:12" x14ac:dyDescent="0.25">
      <c r="B58" s="819" t="s">
        <v>2497</v>
      </c>
      <c r="C58" s="1214">
        <f>+'[66] Summary-19-20'!B10+1</f>
        <v>1961725</v>
      </c>
      <c r="D58" s="1214">
        <f>+'[66] Summary-19-20'!C10</f>
        <v>2647473</v>
      </c>
      <c r="E58" s="1214">
        <f>+'[66] Summary-19-20'!D10</f>
        <v>1618086</v>
      </c>
      <c r="F58" s="1217">
        <f>C58+D58-E58</f>
        <v>2991112</v>
      </c>
      <c r="G58" s="1217">
        <v>1238122</v>
      </c>
      <c r="H58" s="1214">
        <v>287798</v>
      </c>
      <c r="I58" s="1214">
        <f>+'[66] Summary-19-20'!H10</f>
        <v>1336349</v>
      </c>
      <c r="J58" s="820">
        <f t="shared" si="20"/>
        <v>189571</v>
      </c>
      <c r="K58" s="820">
        <f t="shared" si="21"/>
        <v>723603</v>
      </c>
      <c r="L58" s="821">
        <f t="shared" si="18"/>
        <v>2801541</v>
      </c>
    </row>
    <row r="59" spans="2:12" x14ac:dyDescent="0.25">
      <c r="B59" s="819" t="s">
        <v>2498</v>
      </c>
      <c r="C59" s="1214">
        <f>+'[66] Summary-19-20'!B11</f>
        <v>1057200.7</v>
      </c>
      <c r="D59" s="1214">
        <f>+'[66] Summary-19-20'!C11</f>
        <v>0</v>
      </c>
      <c r="E59" s="1214">
        <f>+'[66] Summary-19-20'!D11</f>
        <v>0</v>
      </c>
      <c r="F59" s="1217">
        <f t="shared" si="19"/>
        <v>1057200.7</v>
      </c>
      <c r="G59" s="1217">
        <v>846428</v>
      </c>
      <c r="H59" s="1214">
        <f>+'[66] Summary-19-20'!G11</f>
        <v>92736</v>
      </c>
      <c r="I59" s="1214">
        <f>+'[66] Summary-19-20'!H11</f>
        <v>0</v>
      </c>
      <c r="J59" s="820">
        <f t="shared" si="20"/>
        <v>939164</v>
      </c>
      <c r="K59" s="820">
        <f t="shared" si="21"/>
        <v>210772.69999999995</v>
      </c>
      <c r="L59" s="821">
        <f t="shared" si="18"/>
        <v>118036.69999999995</v>
      </c>
    </row>
    <row r="60" spans="2:12" x14ac:dyDescent="0.25">
      <c r="B60" s="819" t="s">
        <v>2499</v>
      </c>
      <c r="C60" s="1214">
        <f>+'[66] Summary-19-20'!B12</f>
        <v>850872.03</v>
      </c>
      <c r="D60" s="1214">
        <v>33203.129999999997</v>
      </c>
      <c r="E60" s="1214">
        <f>+'[66] Summary-19-20'!D12</f>
        <v>0</v>
      </c>
      <c r="F60" s="1217">
        <f t="shared" si="19"/>
        <v>884075.16</v>
      </c>
      <c r="G60" s="1217">
        <v>729742</v>
      </c>
      <c r="H60" s="1214">
        <f>+'[66] Summary-19-20'!G12</f>
        <v>24077</v>
      </c>
      <c r="I60" s="1214">
        <f>+'[66] Summary-19-20'!H12</f>
        <v>0</v>
      </c>
      <c r="J60" s="820">
        <f>G60+H60-I60</f>
        <v>753819</v>
      </c>
      <c r="K60" s="820">
        <f t="shared" si="21"/>
        <v>121130.03000000003</v>
      </c>
      <c r="L60" s="821">
        <f>F60-J60</f>
        <v>130256.16000000003</v>
      </c>
    </row>
    <row r="61" spans="2:12" x14ac:dyDescent="0.25">
      <c r="B61" s="819" t="s">
        <v>2500</v>
      </c>
      <c r="C61" s="1214">
        <v>1820294.5</v>
      </c>
      <c r="D61" s="1214">
        <f>+'[66] Summary-19-20'!C13</f>
        <v>0</v>
      </c>
      <c r="E61" s="1214">
        <f>+'[66] Summary-19-20'!D13</f>
        <v>0</v>
      </c>
      <c r="F61" s="1217">
        <f t="shared" si="19"/>
        <v>1820294.5</v>
      </c>
      <c r="G61" s="1217">
        <v>1420188</v>
      </c>
      <c r="H61" s="1214">
        <v>57979</v>
      </c>
      <c r="I61" s="1214">
        <f>+'[66] Summary-19-20'!H13</f>
        <v>0</v>
      </c>
      <c r="J61" s="820">
        <f t="shared" ref="J61:J62" si="22">G61+H61-I61</f>
        <v>1478167</v>
      </c>
      <c r="K61" s="820">
        <f t="shared" si="21"/>
        <v>400106.5</v>
      </c>
      <c r="L61" s="821">
        <f t="shared" ref="L61" si="23">F61-J61</f>
        <v>342127.5</v>
      </c>
    </row>
    <row r="62" spans="2:12" ht="28.15" customHeight="1" thickBot="1" x14ac:dyDescent="0.3">
      <c r="B62" s="822" t="s">
        <v>2501</v>
      </c>
      <c r="C62" s="1214">
        <v>26949655.060311563</v>
      </c>
      <c r="D62" s="1214">
        <v>1557480.9800000002</v>
      </c>
      <c r="E62" s="1214">
        <f>+'[66] Summary-19-20'!D14</f>
        <v>0</v>
      </c>
      <c r="F62" s="1218">
        <f t="shared" si="19"/>
        <v>28507136.040311564</v>
      </c>
      <c r="G62" s="1218">
        <v>14761635</v>
      </c>
      <c r="H62" s="1214">
        <v>1885458</v>
      </c>
      <c r="I62" s="1214">
        <f>+'[66] Summary-19-20'!H14</f>
        <v>0</v>
      </c>
      <c r="J62" s="823">
        <f t="shared" si="22"/>
        <v>16647093</v>
      </c>
      <c r="K62" s="823">
        <f t="shared" si="21"/>
        <v>12188020.060311563</v>
      </c>
      <c r="L62" s="824">
        <f>F62-J62</f>
        <v>11860043.040311564</v>
      </c>
    </row>
    <row r="63" spans="2:12" ht="16.5" thickBot="1" x14ac:dyDescent="0.3">
      <c r="B63" s="825" t="s">
        <v>2502</v>
      </c>
      <c r="C63" s="1215">
        <f>SUM(C55:C62)</f>
        <v>334695230.76986933</v>
      </c>
      <c r="D63" s="1215">
        <f t="shared" ref="D63:L63" si="24">SUM(D55:D62)</f>
        <v>9457971.4499999993</v>
      </c>
      <c r="E63" s="1215">
        <f t="shared" si="24"/>
        <v>1618086</v>
      </c>
      <c r="F63" s="1215">
        <f t="shared" si="24"/>
        <v>342535116.21986938</v>
      </c>
      <c r="G63" s="1215">
        <f t="shared" si="24"/>
        <v>100283359</v>
      </c>
      <c r="H63" s="826">
        <f t="shared" si="24"/>
        <v>17192939</v>
      </c>
      <c r="I63" s="826">
        <f t="shared" si="24"/>
        <v>1336349</v>
      </c>
      <c r="J63" s="826">
        <f t="shared" si="24"/>
        <v>116139949</v>
      </c>
      <c r="K63" s="826">
        <f t="shared" si="24"/>
        <v>234411871.76986936</v>
      </c>
      <c r="L63" s="827">
        <f t="shared" si="24"/>
        <v>226395167.21986935</v>
      </c>
    </row>
    <row r="64" spans="2:12" ht="15.75" thickBot="1" x14ac:dyDescent="0.3">
      <c r="B64" s="828"/>
      <c r="C64" s="829"/>
      <c r="L64" s="830"/>
    </row>
    <row r="65" spans="2:12" ht="15.75" thickBot="1" x14ac:dyDescent="0.3">
      <c r="B65" s="831" t="s">
        <v>893</v>
      </c>
      <c r="C65" s="845"/>
      <c r="D65" s="845"/>
      <c r="E65" s="845"/>
      <c r="F65" s="845"/>
      <c r="G65" s="845"/>
      <c r="H65" s="845"/>
      <c r="I65" s="845"/>
      <c r="J65" s="845"/>
      <c r="K65" s="845"/>
      <c r="L65" s="845"/>
    </row>
    <row r="66" spans="2:12" x14ac:dyDescent="0.25">
      <c r="B66" s="834" t="s">
        <v>2503</v>
      </c>
      <c r="C66" s="844">
        <f>+'[66] Summary-19-20'!B18</f>
        <v>0</v>
      </c>
      <c r="D66" s="844">
        <f>+'[66] Summary-19-20'!C18</f>
        <v>1151831.1499999999</v>
      </c>
      <c r="E66" s="844">
        <f>+'[66] Summary-19-20'!D18</f>
        <v>979271.15</v>
      </c>
      <c r="F66" s="844">
        <f>+'[66] Summary-19-20'!E18</f>
        <v>172559.99999999988</v>
      </c>
      <c r="G66" s="817">
        <v>0</v>
      </c>
      <c r="H66" s="817">
        <v>0</v>
      </c>
      <c r="I66" s="817">
        <v>0</v>
      </c>
      <c r="J66" s="817">
        <v>0</v>
      </c>
      <c r="K66" s="835">
        <f>C66</f>
        <v>0</v>
      </c>
      <c r="L66" s="836">
        <f>F66</f>
        <v>172559.99999999988</v>
      </c>
    </row>
    <row r="67" spans="2:12" ht="15.75" thickBot="1" x14ac:dyDescent="0.3">
      <c r="B67" s="837" t="s">
        <v>2504</v>
      </c>
      <c r="C67" s="844">
        <f>+'[66] Summary-19-20'!B19</f>
        <v>484789</v>
      </c>
      <c r="D67" s="844">
        <f>+'[66] Summary-19-20'!C19</f>
        <v>3991804.39</v>
      </c>
      <c r="E67" s="844">
        <f>+'[66] Summary-19-20'!D19</f>
        <v>4246674.1900000004</v>
      </c>
      <c r="F67" s="844">
        <f>+'[66] Summary-19-20'!E19</f>
        <v>229919.20000000019</v>
      </c>
      <c r="G67" s="817">
        <v>0</v>
      </c>
      <c r="H67" s="817">
        <v>0</v>
      </c>
      <c r="I67" s="817">
        <v>0</v>
      </c>
      <c r="J67" s="817">
        <v>0</v>
      </c>
      <c r="K67" s="838">
        <f>C67</f>
        <v>484789</v>
      </c>
      <c r="L67" s="846">
        <f>F67</f>
        <v>229919.20000000019</v>
      </c>
    </row>
    <row r="68" spans="2:12" ht="16.5" thickBot="1" x14ac:dyDescent="0.3">
      <c r="B68" s="839" t="s">
        <v>2502</v>
      </c>
      <c r="C68" s="840">
        <f>SUM(C66:C67)</f>
        <v>484789</v>
      </c>
      <c r="D68" s="826">
        <f t="shared" ref="D68:L68" si="25">SUM(D66:D67)</f>
        <v>5143635.54</v>
      </c>
      <c r="E68" s="826">
        <f t="shared" si="25"/>
        <v>5225945.3400000008</v>
      </c>
      <c r="F68" s="826">
        <f t="shared" si="25"/>
        <v>402479.20000000007</v>
      </c>
      <c r="G68" s="826">
        <f t="shared" si="25"/>
        <v>0</v>
      </c>
      <c r="H68" s="826">
        <f t="shared" si="25"/>
        <v>0</v>
      </c>
      <c r="I68" s="826">
        <f t="shared" si="25"/>
        <v>0</v>
      </c>
      <c r="J68" s="826">
        <f t="shared" si="25"/>
        <v>0</v>
      </c>
      <c r="K68" s="826">
        <f t="shared" si="25"/>
        <v>484789</v>
      </c>
      <c r="L68" s="827">
        <f t="shared" si="25"/>
        <v>402479.20000000007</v>
      </c>
    </row>
    <row r="69" spans="2:12" ht="15.75" thickBot="1" x14ac:dyDescent="0.3">
      <c r="B69" s="841"/>
      <c r="L69" s="830"/>
    </row>
    <row r="70" spans="2:12" ht="16.5" thickBot="1" x14ac:dyDescent="0.3">
      <c r="B70" s="839" t="s">
        <v>1079</v>
      </c>
      <c r="C70" s="840">
        <f>C63+C68</f>
        <v>335180019.76986933</v>
      </c>
      <c r="D70" s="826">
        <f t="shared" ref="D70:L70" si="26">D63+D68</f>
        <v>14601606.989999998</v>
      </c>
      <c r="E70" s="826">
        <f t="shared" si="26"/>
        <v>6844031.3400000008</v>
      </c>
      <c r="F70" s="826">
        <f t="shared" si="26"/>
        <v>342937595.41986936</v>
      </c>
      <c r="G70" s="826">
        <f t="shared" si="26"/>
        <v>100283359</v>
      </c>
      <c r="H70" s="826">
        <f t="shared" si="26"/>
        <v>17192939</v>
      </c>
      <c r="I70" s="826">
        <f t="shared" si="26"/>
        <v>1336349</v>
      </c>
      <c r="J70" s="826">
        <f t="shared" si="26"/>
        <v>116139949</v>
      </c>
      <c r="K70" s="826">
        <f t="shared" si="26"/>
        <v>234896660.76986936</v>
      </c>
      <c r="L70" s="827">
        <f t="shared" si="26"/>
        <v>226797646.41986933</v>
      </c>
    </row>
  </sheetData>
  <customSheetViews>
    <customSheetView guid="{334DC1DD-AD60-4D12-A532-9CEE6201A253}" scale="60" showPageBreaks="1" printArea="1" view="pageBreakPreview">
      <selection activeCell="D27" sqref="D27"/>
      <pageMargins left="0.7" right="0.7" top="0.75" bottom="0.75" header="0.3" footer="0.3"/>
      <pageSetup paperSize="9" scale="43" orientation="portrait" r:id="rId1"/>
    </customSheetView>
    <customSheetView guid="{BD5AA3B3-719E-4481-B722-8DE3E8101662}" scale="60" showPageBreaks="1" printArea="1" view="pageBreakPreview">
      <selection activeCell="F13" sqref="F13"/>
      <pageMargins left="0.7" right="0.7" top="0.75" bottom="0.75" header="0.3" footer="0.3"/>
      <pageSetup paperSize="9" scale="43" orientation="portrait" r:id="rId2"/>
    </customSheetView>
  </customSheetViews>
  <mergeCells count="8">
    <mergeCell ref="B53:B54"/>
    <mergeCell ref="C53:F53"/>
    <mergeCell ref="G53:J53"/>
    <mergeCell ref="C32:L32"/>
    <mergeCell ref="B33:B34"/>
    <mergeCell ref="C33:F33"/>
    <mergeCell ref="G33:J33"/>
    <mergeCell ref="C52:L52"/>
  </mergeCells>
  <hyperlinks>
    <hyperlink ref="B35" location="'1'!A1" tooltip="Click to go to &quot;Land&quot; Sheet" display="Land" xr:uid="{00000000-0004-0000-0A00-000000000000}"/>
    <hyperlink ref="B36" location="'2'!A1" tooltip="Click to go to &quot;Buildings&quot; Sheet" display="Buildings" xr:uid="{00000000-0004-0000-0A00-000001000000}"/>
    <hyperlink ref="B37" location="'3'!A1" tooltip="Click to go to &quot;Plant &amp; Machinery&quot; Sheet" display="Plant and Machinery" xr:uid="{00000000-0004-0000-0A00-000002000000}"/>
    <hyperlink ref="B38" location="'4'!A1" tooltip="Click to go to &quot;Motor Vehicles&quot; Sheet" display="Motor Vehicles" xr:uid="{00000000-0004-0000-0A00-000003000000}"/>
    <hyperlink ref="B39" location="'5'!A1" tooltip="Click to go to &quot;Computers&quot; Sheet" display="Computers" xr:uid="{00000000-0004-0000-0A00-000004000000}"/>
    <hyperlink ref="B40" location="'6'!A1" tooltip="Click to go to &quot;Office Equipments&quot; Sheet" display="Office Equipments" xr:uid="{00000000-0004-0000-0A00-000005000000}"/>
    <hyperlink ref="B41" location="'7'!A1" tooltip="Click to go to &quot;Furniture &amp; Fittings&quot; Sheet" display="Furniture and Fittings" xr:uid="{00000000-0004-0000-0A00-000006000000}"/>
    <hyperlink ref="B42" location="'8'!A1" tooltip="Click to go to &quot;Electrical Installations&quot; Sheet" display="Electrical Installations" xr:uid="{00000000-0004-0000-0A00-000007000000}"/>
    <hyperlink ref="B55" location="'1'!A1" tooltip="Click to go to &quot;Land&quot; Sheet" display="Land" xr:uid="{00000000-0004-0000-0A00-000008000000}"/>
    <hyperlink ref="B56" location="'2'!A1" tooltip="Click to go to &quot;Buildings&quot; Sheet" display="Buildings" xr:uid="{00000000-0004-0000-0A00-000009000000}"/>
    <hyperlink ref="B57" location="'3'!A1" tooltip="Click to go to &quot;Plant &amp; Machinery&quot; Sheet" display="Plant and Machinery" xr:uid="{00000000-0004-0000-0A00-00000A000000}"/>
    <hyperlink ref="B58" location="'4'!A1" tooltip="Click to go to &quot;Motor Vehicles&quot; Sheet" display="Motor Vehicles" xr:uid="{00000000-0004-0000-0A00-00000B000000}"/>
    <hyperlink ref="B59" location="'5'!A1" tooltip="Click to go to &quot;Computers&quot; Sheet" display="Computers" xr:uid="{00000000-0004-0000-0A00-00000C000000}"/>
    <hyperlink ref="B60" location="'6'!A1" tooltip="Click to go to &quot;Office Equipments&quot; Sheet" display="Office Equipments" xr:uid="{00000000-0004-0000-0A00-00000D000000}"/>
    <hyperlink ref="B61" location="'7'!A1" tooltip="Click to go to &quot;Furniture &amp; Fittings&quot; Sheet" display="Furniture and Fittings" xr:uid="{00000000-0004-0000-0A00-00000E000000}"/>
    <hyperlink ref="B62" location="'8'!A1" tooltip="Click to go to &quot;Electrical Installations&quot; Sheet" display="Electrical Installations" xr:uid="{00000000-0004-0000-0A00-00000F000000}"/>
    <hyperlink ref="C4" location="'1'!A1" tooltip="Click to go to &quot;Land&quot; Sheet" display="Land" xr:uid="{00000000-0004-0000-0A00-000010000000}"/>
    <hyperlink ref="D4" location="'2'!A1" tooltip="Click to go to &quot;Buildings&quot; Sheet" display="Buildings" xr:uid="{00000000-0004-0000-0A00-000011000000}"/>
    <hyperlink ref="E4" location="'3'!A1" tooltip="Click to go to &quot;Plant &amp; Machinery&quot; Sheet" display="Plant and Machinery" xr:uid="{00000000-0004-0000-0A00-000012000000}"/>
    <hyperlink ref="F4" location="'4'!A1" tooltip="Click to go to &quot;Motor Vehicles&quot; Sheet" display="Motor Vehicles" xr:uid="{00000000-0004-0000-0A00-000013000000}"/>
    <hyperlink ref="G4" location="'5'!A1" tooltip="Click to go to &quot;Computers&quot; Sheet" display="Computers" xr:uid="{00000000-0004-0000-0A00-000014000000}"/>
    <hyperlink ref="H4" location="'6'!A1" tooltip="Click to go to &quot;Office Equipments&quot; Sheet" display="Office Equipments" xr:uid="{00000000-0004-0000-0A00-000015000000}"/>
    <hyperlink ref="I4" location="'7'!A1" tooltip="Click to go to &quot;Furniture &amp; Fittings&quot; Sheet" display="Furniture and Fittings" xr:uid="{00000000-0004-0000-0A00-000016000000}"/>
    <hyperlink ref="J4" location="'8'!A1" tooltip="Click to go to &quot;Electrical Installations&quot; Sheet" display="Electrical Installations" xr:uid="{00000000-0004-0000-0A00-000017000000}"/>
  </hyperlinks>
  <pageMargins left="0.70866141732283472" right="0.70866141732283472" top="0.74803149606299213" bottom="0.74803149606299213" header="0.31496062992125984" footer="0.31496062992125984"/>
  <pageSetup paperSize="9" scale="61"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L39"/>
  <sheetViews>
    <sheetView view="pageBreakPreview" zoomScale="60" zoomScaleNormal="58" workbookViewId="0">
      <selection activeCell="I19" sqref="I19"/>
    </sheetView>
  </sheetViews>
  <sheetFormatPr defaultColWidth="8.85546875" defaultRowHeight="15" x14ac:dyDescent="0.25"/>
  <cols>
    <col min="3" max="3" width="59.28515625" bestFit="1" customWidth="1"/>
    <col min="4" max="4" width="5.5703125" bestFit="1" customWidth="1"/>
    <col min="6" max="6" width="42.140625" bestFit="1" customWidth="1"/>
    <col min="9" max="9" width="27.42578125" bestFit="1" customWidth="1"/>
    <col min="10" max="10" width="22.42578125" bestFit="1" customWidth="1"/>
  </cols>
  <sheetData>
    <row r="2" spans="3:12" ht="15.75" x14ac:dyDescent="0.25">
      <c r="C2" s="1868" t="s">
        <v>2412</v>
      </c>
      <c r="D2" s="1869"/>
      <c r="E2" s="1869"/>
      <c r="F2" s="1869"/>
      <c r="G2" s="1869"/>
      <c r="H2" s="1869"/>
      <c r="I2" s="1869"/>
      <c r="J2" s="1870"/>
    </row>
    <row r="3" spans="3:12" ht="15.75" x14ac:dyDescent="0.25">
      <c r="C3" s="1127"/>
      <c r="D3" s="1128"/>
      <c r="E3" s="1128"/>
      <c r="F3" s="1129"/>
      <c r="G3" s="1129"/>
      <c r="H3" s="1129"/>
      <c r="I3" s="1128"/>
      <c r="J3" s="1130"/>
    </row>
    <row r="4" spans="3:12" ht="15.75" x14ac:dyDescent="0.25">
      <c r="C4" s="1871" t="s">
        <v>3199</v>
      </c>
      <c r="D4" s="1872"/>
      <c r="E4" s="1872"/>
      <c r="F4" s="1872"/>
      <c r="G4" s="1872"/>
      <c r="H4" s="1872"/>
      <c r="I4" s="1872"/>
      <c r="J4" s="1873"/>
    </row>
    <row r="5" spans="3:12" ht="15.75" x14ac:dyDescent="0.25">
      <c r="C5" s="1127"/>
      <c r="D5" s="1128"/>
      <c r="E5" s="1128"/>
      <c r="F5" s="1129"/>
      <c r="G5" s="1129"/>
      <c r="H5" s="1129"/>
      <c r="I5" s="1128"/>
      <c r="J5" s="1130"/>
    </row>
    <row r="6" spans="3:12" ht="15.75" x14ac:dyDescent="0.25">
      <c r="C6" s="1874">
        <v>44286</v>
      </c>
      <c r="D6" s="1875"/>
      <c r="E6" s="1875"/>
      <c r="F6" s="1875"/>
      <c r="G6" s="1875"/>
      <c r="H6" s="1875"/>
      <c r="I6" s="1875"/>
      <c r="J6" s="1876"/>
    </row>
    <row r="7" spans="3:12" ht="15.75" x14ac:dyDescent="0.25">
      <c r="C7" s="1131"/>
      <c r="D7" s="1132"/>
      <c r="E7" s="1132"/>
      <c r="F7" s="1133"/>
      <c r="G7" s="1133"/>
      <c r="H7" s="1133"/>
      <c r="I7" s="1132"/>
      <c r="J7" s="1134">
        <f>+L11</f>
        <v>0.27552500000000002</v>
      </c>
      <c r="L7" s="1135">
        <v>0.25</v>
      </c>
    </row>
    <row r="8" spans="3:12" ht="15.75" x14ac:dyDescent="0.25">
      <c r="C8" s="1136" t="s">
        <v>9</v>
      </c>
      <c r="D8" s="1137"/>
      <c r="E8" s="1137"/>
      <c r="F8" s="1138"/>
      <c r="G8" s="1138"/>
      <c r="H8" s="1138"/>
      <c r="I8" s="1139" t="s">
        <v>3181</v>
      </c>
      <c r="J8" s="1139" t="s">
        <v>3182</v>
      </c>
      <c r="L8" s="1140">
        <f>+L7*0.07</f>
        <v>1.7500000000000002E-2</v>
      </c>
    </row>
    <row r="9" spans="3:12" ht="15.75" x14ac:dyDescent="0.25">
      <c r="C9" s="1141"/>
      <c r="D9" s="1142"/>
      <c r="E9" s="1142"/>
      <c r="F9" s="1143"/>
      <c r="G9" s="1144"/>
      <c r="H9" s="1143"/>
      <c r="I9" s="1145"/>
      <c r="J9" s="1145"/>
      <c r="L9" s="341">
        <f>+L7+L8</f>
        <v>0.26750000000000002</v>
      </c>
    </row>
    <row r="10" spans="3:12" ht="15.75" x14ac:dyDescent="0.25">
      <c r="C10" s="1146">
        <v>43922</v>
      </c>
      <c r="D10" s="1147"/>
      <c r="E10" s="1147"/>
      <c r="F10" s="1148"/>
      <c r="G10" s="1149"/>
      <c r="H10" s="1148"/>
      <c r="I10" s="1149">
        <f>+BSPL!G366</f>
        <v>20264925.502264731</v>
      </c>
      <c r="J10" s="1150"/>
      <c r="L10" s="341">
        <f>+L9*0.03</f>
        <v>8.0250000000000009E-3</v>
      </c>
    </row>
    <row r="11" spans="3:12" ht="15.75" x14ac:dyDescent="0.25">
      <c r="C11" s="1151"/>
      <c r="D11" s="1152"/>
      <c r="E11" s="1152"/>
      <c r="F11" s="1153"/>
      <c r="G11" s="1154"/>
      <c r="H11" s="1153"/>
      <c r="I11" s="1155"/>
      <c r="J11" s="1155"/>
      <c r="L11" s="1156">
        <f>+L9+L10</f>
        <v>0.27552500000000002</v>
      </c>
    </row>
    <row r="12" spans="3:12" ht="15.75" x14ac:dyDescent="0.25">
      <c r="C12" s="1157" t="s">
        <v>3183</v>
      </c>
      <c r="D12" s="1152"/>
      <c r="E12" s="1152"/>
      <c r="F12" s="1153"/>
      <c r="G12" s="1154"/>
      <c r="H12" s="1153"/>
      <c r="I12" s="1155"/>
      <c r="J12" s="1155"/>
    </row>
    <row r="13" spans="3:12" ht="15.75" x14ac:dyDescent="0.25">
      <c r="C13" s="1151" t="s">
        <v>3184</v>
      </c>
      <c r="D13" s="1158"/>
      <c r="E13" s="1158"/>
      <c r="F13" s="1159"/>
      <c r="G13" s="1160"/>
      <c r="H13" s="1159"/>
      <c r="I13" s="1161">
        <f>+PPE!L43-33965000-18096712</f>
        <v>164168088.26454443</v>
      </c>
      <c r="J13" s="1155"/>
    </row>
    <row r="14" spans="3:12" ht="15.75" x14ac:dyDescent="0.25">
      <c r="C14" s="1151" t="s">
        <v>3185</v>
      </c>
      <c r="D14" s="1158"/>
      <c r="E14" s="1158"/>
      <c r="F14" s="1159"/>
      <c r="G14" s="1160"/>
      <c r="H14" s="1159"/>
      <c r="I14" s="1161">
        <f>+'IT Dep'!P60</f>
        <v>92319150.044884235</v>
      </c>
      <c r="J14" s="1155"/>
    </row>
    <row r="15" spans="3:12" ht="16.5" thickBot="1" x14ac:dyDescent="0.3">
      <c r="C15" s="1157"/>
      <c r="D15" s="1158"/>
      <c r="E15" s="1158"/>
      <c r="F15" s="1162" t="s">
        <v>3186</v>
      </c>
      <c r="G15" s="1163"/>
      <c r="H15" s="1162"/>
      <c r="I15" s="1164">
        <f>+I13-I14</f>
        <v>71848938.219660193</v>
      </c>
      <c r="J15" s="1165">
        <f>I15*$J$7</f>
        <v>19796178.702971876</v>
      </c>
    </row>
    <row r="16" spans="3:12" ht="16.5" thickTop="1" x14ac:dyDescent="0.25">
      <c r="C16" s="1157"/>
      <c r="D16" s="1158"/>
      <c r="E16" s="1158"/>
      <c r="F16" s="1159"/>
      <c r="G16" s="1160"/>
      <c r="H16" s="1159"/>
      <c r="I16" s="1160"/>
      <c r="J16" s="1155"/>
    </row>
    <row r="17" spans="3:10" ht="15.75" x14ac:dyDescent="0.25">
      <c r="C17" s="1151"/>
      <c r="D17" s="1158"/>
      <c r="E17" s="1158"/>
      <c r="F17" s="1159"/>
      <c r="G17" s="1160"/>
      <c r="H17" s="1159"/>
      <c r="I17" s="1155"/>
      <c r="J17" s="1155"/>
    </row>
    <row r="18" spans="3:10" ht="15.75" x14ac:dyDescent="0.25">
      <c r="C18" s="1151" t="s">
        <v>3187</v>
      </c>
      <c r="D18" s="1158"/>
      <c r="E18" s="1158"/>
      <c r="F18" s="1159"/>
      <c r="G18" s="1160"/>
      <c r="H18" s="1159"/>
      <c r="I18" s="1166">
        <f>+COI!I23</f>
        <v>1301094</v>
      </c>
      <c r="J18" s="1155"/>
    </row>
    <row r="19" spans="3:10" ht="15.75" x14ac:dyDescent="0.25">
      <c r="C19" s="1151" t="s">
        <v>3188</v>
      </c>
      <c r="D19" s="1158"/>
      <c r="E19" s="1158"/>
      <c r="F19" s="1159"/>
      <c r="G19" s="1160"/>
      <c r="H19" s="1159"/>
      <c r="I19" s="1166">
        <f>+GETPIVOTDATA("Sum of Dr. Final HYR",Pivot!$A$3,"PARTICULARS","Gratuity To Staff","Note",24,"BS Main Head","Employee Benefit Expenses","BS Sub Head","Contribution to Funds")</f>
        <v>-333919</v>
      </c>
      <c r="J19" s="1155"/>
    </row>
    <row r="20" spans="3:10" ht="15.75" x14ac:dyDescent="0.25">
      <c r="C20" s="1151" t="s">
        <v>3189</v>
      </c>
      <c r="D20" s="1158"/>
      <c r="E20" s="1158"/>
      <c r="F20" s="1159"/>
      <c r="G20" s="1160"/>
      <c r="H20" s="1159"/>
      <c r="I20" s="1166">
        <f>+GETPIVOTDATA("Sum of Dr. Final HYR",Pivot!$A$3,"PARTICULARS","Leave Encashment","Note",24,"BS Main Head","Employee Benefit Expenses","BS Sub Head","Salary &amp; Wages")</f>
        <v>198086</v>
      </c>
      <c r="J20" s="1155"/>
    </row>
    <row r="21" spans="3:10" ht="16.5" thickBot="1" x14ac:dyDescent="0.3">
      <c r="C21" s="1151"/>
      <c r="D21" s="1158"/>
      <c r="E21" s="1158"/>
      <c r="F21" s="1158"/>
      <c r="G21" s="1155"/>
      <c r="H21" s="1158"/>
      <c r="I21" s="1167">
        <f>SUM(I17:I20)</f>
        <v>1165261</v>
      </c>
      <c r="J21" s="1165">
        <f>I21*$J$7</f>
        <v>321058.53702500003</v>
      </c>
    </row>
    <row r="22" spans="3:10" ht="16.5" thickTop="1" x14ac:dyDescent="0.25">
      <c r="C22" s="1151"/>
      <c r="D22" s="1158"/>
      <c r="E22" s="1158"/>
      <c r="F22" s="1159"/>
      <c r="G22" s="1160"/>
      <c r="H22" s="1159"/>
      <c r="I22" s="1168"/>
      <c r="J22" s="1154"/>
    </row>
    <row r="23" spans="3:10" ht="15.75" x14ac:dyDescent="0.25">
      <c r="C23" s="1151" t="s">
        <v>3190</v>
      </c>
      <c r="D23" s="1158"/>
      <c r="E23" s="1158"/>
      <c r="F23" s="1159"/>
      <c r="G23" s="1160"/>
      <c r="H23" s="1159"/>
      <c r="I23" s="1160">
        <v>0</v>
      </c>
      <c r="J23" s="1155"/>
    </row>
    <row r="24" spans="3:10" ht="16.5" thickBot="1" x14ac:dyDescent="0.3">
      <c r="C24" s="1151" t="s">
        <v>591</v>
      </c>
      <c r="D24" s="1158"/>
      <c r="E24" s="1158"/>
      <c r="F24" s="1159"/>
      <c r="G24" s="1160"/>
      <c r="H24" s="1159"/>
      <c r="I24" s="1160">
        <v>0</v>
      </c>
      <c r="J24" s="1165">
        <f>(SUM(I23:I24))*$J$7</f>
        <v>0</v>
      </c>
    </row>
    <row r="25" spans="3:10" ht="17.25" thickTop="1" thickBot="1" x14ac:dyDescent="0.3">
      <c r="C25" s="1157"/>
      <c r="D25" s="1152"/>
      <c r="E25" s="1152"/>
      <c r="F25" s="1162" t="s">
        <v>3191</v>
      </c>
      <c r="G25" s="1163"/>
      <c r="H25" s="1162"/>
      <c r="I25" s="1164">
        <f>I21+I24+I23</f>
        <v>1165261</v>
      </c>
      <c r="J25" s="1164">
        <f>SUM(J18:J24)</f>
        <v>321058.53702500003</v>
      </c>
    </row>
    <row r="26" spans="3:10" ht="16.5" thickTop="1" x14ac:dyDescent="0.25">
      <c r="C26" s="1151"/>
      <c r="D26" s="1158"/>
      <c r="E26" s="1158"/>
      <c r="F26" s="1169"/>
      <c r="G26" s="1170"/>
      <c r="H26" s="1169"/>
      <c r="I26" s="1160"/>
      <c r="J26" s="1171"/>
    </row>
    <row r="27" spans="3:10" ht="15.75" x14ac:dyDescent="0.25">
      <c r="C27" s="1151" t="s">
        <v>3192</v>
      </c>
      <c r="D27" s="1158"/>
      <c r="E27" s="1158"/>
      <c r="F27" s="1169"/>
      <c r="G27" s="1170"/>
      <c r="H27" s="1169"/>
      <c r="I27" s="1160"/>
      <c r="J27" s="1160">
        <f>+J25</f>
        <v>321058.53702500003</v>
      </c>
    </row>
    <row r="28" spans="3:10" ht="15.75" x14ac:dyDescent="0.25">
      <c r="C28" s="1151" t="s">
        <v>3193</v>
      </c>
      <c r="D28" s="1158"/>
      <c r="E28" s="1158"/>
      <c r="F28" s="1169"/>
      <c r="G28" s="1170"/>
      <c r="H28" s="1169"/>
      <c r="I28" s="1160"/>
      <c r="J28" s="1160">
        <f>+J15</f>
        <v>19796178.702971876</v>
      </c>
    </row>
    <row r="29" spans="3:10" ht="16.5" thickBot="1" x14ac:dyDescent="0.3">
      <c r="C29" s="1157"/>
      <c r="D29" s="1152"/>
      <c r="E29" s="1152"/>
      <c r="F29" s="1162" t="str">
        <f>IF(J27&gt;J28,"Net Deferred Tax Asset","Net Deferred Tax Liability")</f>
        <v>Net Deferred Tax Liability</v>
      </c>
      <c r="G29" s="1163"/>
      <c r="H29" s="1162"/>
      <c r="I29" s="1164">
        <f>IF(I27&gt;I28,(I27-I28),(I28-I27))</f>
        <v>0</v>
      </c>
      <c r="J29" s="1164">
        <f>IF(J27&gt;J28,(J27-J28),(J28-J27))</f>
        <v>19475120.165946875</v>
      </c>
    </row>
    <row r="30" spans="3:10" ht="16.5" thickTop="1" x14ac:dyDescent="0.25">
      <c r="C30" s="1151"/>
      <c r="D30" s="1152"/>
      <c r="E30" s="1158"/>
      <c r="F30" s="1159"/>
      <c r="G30" s="1160"/>
      <c r="H30" s="1159"/>
      <c r="I30" s="1154"/>
      <c r="J30" s="1155"/>
    </row>
    <row r="31" spans="3:10" ht="15.75" x14ac:dyDescent="0.25">
      <c r="C31" s="1151" t="str">
        <f>IF(J28&lt;J27,"Closing Balance of Deferred Tax Assets","Closing Balance of Deferred Tax Liability")</f>
        <v>Closing Balance of Deferred Tax Liability</v>
      </c>
      <c r="D31" s="1152"/>
      <c r="E31" s="1158"/>
      <c r="F31" s="1159"/>
      <c r="G31" s="1160"/>
      <c r="H31" s="1159"/>
      <c r="I31" s="1160">
        <f>IF(J28&lt;J27,(J27-J28),(J28-J27))</f>
        <v>19475120.165946875</v>
      </c>
      <c r="J31" s="1172"/>
    </row>
    <row r="32" spans="3:10" ht="15.75" x14ac:dyDescent="0.25">
      <c r="C32" s="1151" t="s">
        <v>3194</v>
      </c>
      <c r="D32" s="1152"/>
      <c r="E32" s="1158"/>
      <c r="F32" s="1159"/>
      <c r="G32" s="1160"/>
      <c r="H32" s="1159"/>
      <c r="I32" s="1160">
        <f>+I10</f>
        <v>20264925.502264731</v>
      </c>
      <c r="J32" s="1155"/>
    </row>
    <row r="33" spans="3:10" ht="15.75" x14ac:dyDescent="0.25">
      <c r="C33" s="1151"/>
      <c r="D33" s="1152"/>
      <c r="E33" s="1158"/>
      <c r="F33" s="1159"/>
      <c r="G33" s="1160"/>
      <c r="H33" s="1159"/>
      <c r="I33" s="1160"/>
      <c r="J33" s="1155"/>
    </row>
    <row r="34" spans="3:10" ht="16.5" thickBot="1" x14ac:dyDescent="0.3">
      <c r="C34" s="1173" t="s">
        <v>3200</v>
      </c>
      <c r="D34" s="1152"/>
      <c r="E34" s="1158"/>
      <c r="F34" s="1159"/>
      <c r="G34" s="1160"/>
      <c r="H34" s="1159"/>
      <c r="I34" s="1164">
        <f>I31-I32</f>
        <v>-789805.33631785586</v>
      </c>
      <c r="J34" s="1155"/>
    </row>
    <row r="35" spans="3:10" ht="16.5" thickTop="1" x14ac:dyDescent="0.25">
      <c r="C35" s="1174"/>
      <c r="D35" s="1175"/>
      <c r="E35" s="1176"/>
      <c r="F35" s="1177"/>
      <c r="G35" s="1178"/>
      <c r="H35" s="1177"/>
      <c r="I35" s="1179"/>
      <c r="J35" s="1180"/>
    </row>
    <row r="36" spans="3:10" ht="15.75" x14ac:dyDescent="0.25">
      <c r="C36" s="1157"/>
      <c r="D36" s="1152"/>
      <c r="E36" s="1158"/>
      <c r="F36" s="1159"/>
      <c r="G36" s="1160"/>
      <c r="H36" s="1159"/>
      <c r="I36" s="1154"/>
      <c r="J36" s="1155"/>
    </row>
    <row r="37" spans="3:10" ht="15.75" x14ac:dyDescent="0.25">
      <c r="C37" s="1157" t="s">
        <v>3195</v>
      </c>
      <c r="D37" s="1158"/>
      <c r="E37" s="1158"/>
      <c r="F37" s="1159"/>
      <c r="G37" s="1160"/>
      <c r="H37" s="1159"/>
      <c r="I37" s="1155"/>
      <c r="J37" s="1155"/>
    </row>
    <row r="38" spans="3:10" ht="15.75" x14ac:dyDescent="0.25">
      <c r="C38" s="1181" t="s">
        <v>3196</v>
      </c>
      <c r="D38" s="1182" t="s">
        <v>3197</v>
      </c>
      <c r="E38" s="1147"/>
      <c r="F38" s="1183"/>
      <c r="G38" s="1184"/>
      <c r="H38" s="1183"/>
      <c r="I38" s="1185">
        <f>J39</f>
        <v>-789805.33631785586</v>
      </c>
      <c r="J38" s="1186"/>
    </row>
    <row r="39" spans="3:10" ht="15.75" x14ac:dyDescent="0.25">
      <c r="C39" s="1187" t="s">
        <v>3198</v>
      </c>
      <c r="D39" s="1188"/>
      <c r="E39" s="1188"/>
      <c r="F39" s="1189"/>
      <c r="G39" s="1190"/>
      <c r="H39" s="1189"/>
      <c r="I39" s="1191"/>
      <c r="J39" s="1192">
        <f>I34</f>
        <v>-789805.33631785586</v>
      </c>
    </row>
  </sheetData>
  <mergeCells count="3">
    <mergeCell ref="C2:J2"/>
    <mergeCell ref="C4:J4"/>
    <mergeCell ref="C6:J6"/>
  </mergeCells>
  <pageMargins left="0.7" right="0.7" top="0.75" bottom="0.75" header="0.3" footer="0.3"/>
  <pageSetup paperSize="9" scale="47" orientation="portrait" r:id="rId1"/>
  <colBreaks count="1" manualBreakCount="1">
    <brk id="10" max="3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15"/>
  <sheetViews>
    <sheetView view="pageBreakPreview" topLeftCell="A31" zoomScale="60" zoomScaleNormal="62" workbookViewId="0">
      <selection activeCell="M14" sqref="M14"/>
    </sheetView>
  </sheetViews>
  <sheetFormatPr defaultColWidth="9.140625" defaultRowHeight="15" x14ac:dyDescent="0.25"/>
  <cols>
    <col min="1" max="1" width="4.42578125" customWidth="1"/>
    <col min="4" max="4" width="16.42578125" customWidth="1"/>
    <col min="5" max="5" width="1.42578125" customWidth="1"/>
    <col min="6" max="6" width="14.28515625" customWidth="1"/>
    <col min="7" max="7" width="35.42578125" bestFit="1" customWidth="1"/>
    <col min="8" max="8" width="14.42578125" customWidth="1"/>
    <col min="9" max="9" width="16.140625" customWidth="1"/>
    <col min="10" max="10" width="18.85546875" bestFit="1" customWidth="1"/>
    <col min="11" max="11" width="18.140625" bestFit="1" customWidth="1"/>
    <col min="12" max="12" width="19.28515625" bestFit="1" customWidth="1"/>
    <col min="13" max="13" width="16" customWidth="1"/>
    <col min="14" max="14" width="13.42578125" bestFit="1" customWidth="1"/>
    <col min="16" max="16" width="28.42578125" bestFit="1" customWidth="1"/>
    <col min="17" max="17" width="16.42578125" bestFit="1" customWidth="1"/>
    <col min="18" max="18" width="27.5703125" bestFit="1" customWidth="1"/>
    <col min="19" max="19" width="19" bestFit="1" customWidth="1"/>
    <col min="20" max="20" width="16.42578125" bestFit="1" customWidth="1"/>
    <col min="21" max="21" width="17.28515625" bestFit="1" customWidth="1"/>
    <col min="23" max="23" width="13.7109375" bestFit="1" customWidth="1"/>
  </cols>
  <sheetData>
    <row r="1" spans="1:18" ht="15.75" x14ac:dyDescent="0.25">
      <c r="A1" s="707" t="s">
        <v>2410</v>
      </c>
      <c r="B1" s="708"/>
      <c r="C1" s="708"/>
      <c r="D1" s="708"/>
      <c r="E1" s="708"/>
      <c r="F1" s="709" t="s">
        <v>2411</v>
      </c>
      <c r="G1" s="710" t="s">
        <v>2412</v>
      </c>
      <c r="H1" s="710"/>
      <c r="I1" s="710"/>
      <c r="J1" s="710"/>
      <c r="K1" s="707"/>
      <c r="L1" s="711"/>
    </row>
    <row r="2" spans="1:18" ht="15.75" x14ac:dyDescent="0.25">
      <c r="A2" s="712"/>
      <c r="B2" s="713"/>
      <c r="C2" s="713"/>
      <c r="D2" s="713"/>
      <c r="E2" s="713"/>
      <c r="F2" s="714"/>
      <c r="G2" s="715"/>
      <c r="H2" s="715"/>
      <c r="I2" s="715"/>
      <c r="J2" s="715"/>
      <c r="K2" s="712"/>
      <c r="L2" s="716"/>
    </row>
    <row r="3" spans="1:18" ht="15.75" x14ac:dyDescent="0.25">
      <c r="A3" s="712" t="s">
        <v>2413</v>
      </c>
      <c r="B3" s="713"/>
      <c r="C3" s="713"/>
      <c r="D3" s="713"/>
      <c r="E3" s="713"/>
      <c r="F3" s="717" t="s">
        <v>2411</v>
      </c>
      <c r="G3" s="715" t="s">
        <v>2414</v>
      </c>
      <c r="H3" s="715"/>
      <c r="I3" s="715"/>
      <c r="J3" s="715"/>
      <c r="K3" s="712"/>
      <c r="L3" s="716"/>
    </row>
    <row r="4" spans="1:18" ht="15.75" x14ac:dyDescent="0.25">
      <c r="A4" s="712"/>
      <c r="B4" s="713"/>
      <c r="C4" s="713"/>
      <c r="D4" s="713"/>
      <c r="E4" s="713"/>
      <c r="F4" s="714"/>
      <c r="G4" s="715"/>
      <c r="H4" s="715"/>
      <c r="I4" s="715"/>
      <c r="J4" s="715"/>
      <c r="K4" s="712"/>
      <c r="L4" s="716"/>
    </row>
    <row r="5" spans="1:18" ht="15.75" x14ac:dyDescent="0.25">
      <c r="A5" s="712" t="s">
        <v>2415</v>
      </c>
      <c r="B5" s="713"/>
      <c r="C5" s="713"/>
      <c r="D5" s="713"/>
      <c r="E5" s="713"/>
      <c r="F5" s="717" t="s">
        <v>2411</v>
      </c>
      <c r="G5" s="715" t="s">
        <v>1122</v>
      </c>
      <c r="H5" s="715"/>
      <c r="I5" s="715"/>
      <c r="J5" s="715"/>
      <c r="K5" s="712"/>
      <c r="L5" s="716"/>
    </row>
    <row r="6" spans="1:18" ht="15.75" x14ac:dyDescent="0.25">
      <c r="A6" s="712"/>
      <c r="B6" s="713"/>
      <c r="C6" s="713"/>
      <c r="D6" s="713"/>
      <c r="E6" s="713"/>
      <c r="F6" s="714"/>
      <c r="G6" s="715"/>
      <c r="H6" s="715"/>
      <c r="I6" s="715"/>
      <c r="J6" s="715"/>
      <c r="K6" s="712"/>
      <c r="L6" s="716"/>
    </row>
    <row r="7" spans="1:18" ht="15.75" x14ac:dyDescent="0.25">
      <c r="A7" s="712" t="s">
        <v>2416</v>
      </c>
      <c r="B7" s="713"/>
      <c r="C7" s="713"/>
      <c r="D7" s="713"/>
      <c r="E7" s="713"/>
      <c r="F7" s="717" t="s">
        <v>2411</v>
      </c>
      <c r="G7" s="715" t="s">
        <v>2478</v>
      </c>
      <c r="H7" s="715"/>
      <c r="I7" s="715"/>
      <c r="J7" s="715"/>
      <c r="K7" s="712"/>
      <c r="L7" s="716"/>
    </row>
    <row r="8" spans="1:18" ht="15.75" x14ac:dyDescent="0.25">
      <c r="A8" s="712"/>
      <c r="B8" s="713"/>
      <c r="C8" s="713"/>
      <c r="D8" s="713"/>
      <c r="E8" s="713"/>
      <c r="F8" s="714"/>
      <c r="G8" s="715"/>
      <c r="H8" s="715"/>
      <c r="I8" s="715"/>
      <c r="J8" s="715"/>
      <c r="K8" s="712"/>
      <c r="L8" s="716"/>
    </row>
    <row r="9" spans="1:18" ht="15.75" x14ac:dyDescent="0.25">
      <c r="A9" s="712" t="s">
        <v>2417</v>
      </c>
      <c r="B9" s="713"/>
      <c r="C9" s="713"/>
      <c r="D9" s="713"/>
      <c r="E9" s="713"/>
      <c r="F9" s="717" t="s">
        <v>2411</v>
      </c>
      <c r="G9" s="715" t="s">
        <v>2418</v>
      </c>
      <c r="H9" s="715"/>
      <c r="I9" s="715"/>
      <c r="J9" s="715"/>
      <c r="K9" s="712"/>
      <c r="L9" s="716"/>
    </row>
    <row r="10" spans="1:18" ht="15.75" x14ac:dyDescent="0.25">
      <c r="A10" s="718"/>
      <c r="B10" s="714"/>
      <c r="C10" s="714"/>
      <c r="D10" s="714"/>
      <c r="E10" s="714"/>
      <c r="F10" s="714"/>
      <c r="G10" s="714"/>
      <c r="H10" s="719"/>
      <c r="I10" s="719"/>
      <c r="J10" s="719"/>
      <c r="K10" s="720"/>
      <c r="L10" s="721"/>
    </row>
    <row r="11" spans="1:18" ht="15.75" customHeight="1" x14ac:dyDescent="0.25">
      <c r="A11" s="1877" t="s">
        <v>2419</v>
      </c>
      <c r="B11" s="1878"/>
      <c r="C11" s="1878"/>
      <c r="D11" s="1878"/>
      <c r="E11" s="1878"/>
      <c r="F11" s="1878"/>
      <c r="G11" s="1878"/>
      <c r="H11" s="1878"/>
      <c r="I11" s="1878"/>
      <c r="J11" s="1878"/>
      <c r="K11" s="1878"/>
      <c r="L11" s="1878"/>
    </row>
    <row r="12" spans="1:18" ht="15.75" x14ac:dyDescent="0.25">
      <c r="A12" s="722"/>
      <c r="B12" s="723"/>
      <c r="C12" s="723"/>
      <c r="D12" s="723"/>
      <c r="E12" s="723"/>
      <c r="F12" s="723"/>
      <c r="G12" s="723"/>
      <c r="H12" s="724"/>
      <c r="I12" s="1879" t="s">
        <v>2420</v>
      </c>
      <c r="J12" s="1879"/>
      <c r="K12" s="1879" t="s">
        <v>2421</v>
      </c>
      <c r="L12" s="1879"/>
    </row>
    <row r="13" spans="1:18" ht="15.75" x14ac:dyDescent="0.25">
      <c r="A13" s="718"/>
      <c r="B13" s="714"/>
      <c r="C13" s="714"/>
      <c r="D13" s="714"/>
      <c r="E13" s="714"/>
      <c r="F13" s="714"/>
      <c r="G13" s="714"/>
      <c r="H13" s="725"/>
      <c r="I13" s="1880" t="s">
        <v>2422</v>
      </c>
      <c r="J13" s="1880"/>
      <c r="K13" s="726"/>
      <c r="L13" s="726"/>
    </row>
    <row r="14" spans="1:18" ht="15.75" x14ac:dyDescent="0.25">
      <c r="A14" s="727" t="s">
        <v>2423</v>
      </c>
      <c r="B14" s="714"/>
      <c r="C14" s="714"/>
      <c r="D14" s="714"/>
      <c r="E14" s="714"/>
      <c r="F14" s="714"/>
      <c r="G14" s="714"/>
      <c r="H14" s="725"/>
      <c r="I14" s="728"/>
      <c r="J14" s="728">
        <f>+BSPL!F93</f>
        <v>48264536.474789023</v>
      </c>
      <c r="K14" s="728"/>
      <c r="L14" s="728">
        <f>+J14</f>
        <v>48264536.474789023</v>
      </c>
    </row>
    <row r="15" spans="1:18" ht="15.75" x14ac:dyDescent="0.25">
      <c r="A15" s="727"/>
      <c r="B15" s="714"/>
      <c r="C15" s="714"/>
      <c r="D15" s="714"/>
      <c r="E15" s="714"/>
      <c r="F15" s="714"/>
      <c r="G15" s="729"/>
      <c r="H15" s="725"/>
      <c r="I15" s="728"/>
      <c r="J15" s="728"/>
      <c r="K15" s="728"/>
      <c r="L15" s="728"/>
    </row>
    <row r="16" spans="1:18" ht="15.75" x14ac:dyDescent="0.25">
      <c r="A16" s="730" t="s">
        <v>2424</v>
      </c>
      <c r="B16" s="714"/>
      <c r="C16" s="714"/>
      <c r="D16" s="714"/>
      <c r="E16" s="714"/>
      <c r="F16" s="714"/>
      <c r="G16" s="729"/>
      <c r="H16" s="725"/>
      <c r="I16" s="728"/>
      <c r="J16" s="728"/>
      <c r="K16" s="728"/>
      <c r="L16" s="728"/>
      <c r="Q16" s="731" t="s">
        <v>1089</v>
      </c>
      <c r="R16" s="731" t="s">
        <v>2387</v>
      </c>
    </row>
    <row r="17" spans="1:18" ht="15.75" x14ac:dyDescent="0.25">
      <c r="A17" s="727"/>
      <c r="B17" s="732" t="s">
        <v>2425</v>
      </c>
      <c r="C17" s="732"/>
      <c r="D17" s="714"/>
      <c r="E17" s="714"/>
      <c r="F17" s="714"/>
      <c r="G17" s="714"/>
      <c r="H17" s="733"/>
      <c r="I17" s="734">
        <f>+BSPL!F87</f>
        <v>17727981.603100225</v>
      </c>
      <c r="J17" s="728"/>
      <c r="K17" s="734">
        <f t="shared" ref="K17:K23" si="0">+I17</f>
        <v>17727981.603100225</v>
      </c>
      <c r="L17" s="728"/>
      <c r="P17" t="s">
        <v>274</v>
      </c>
      <c r="Q17" s="731">
        <f>+GETPIVOTDATA("Sum of Dr. Final HYR",Pivot!$A$3,"PARTICULARS","PENALTY ON CGST","Note",26,"BS Main Head","Other Expenses","BS Sub Head","Establishment Expenses-Rates &amp; Taxes")</f>
        <v>75</v>
      </c>
      <c r="R17" s="731">
        <v>75</v>
      </c>
    </row>
    <row r="18" spans="1:18" ht="15.75" x14ac:dyDescent="0.25">
      <c r="A18" s="727"/>
      <c r="B18" s="732" t="s">
        <v>2426</v>
      </c>
      <c r="C18" s="732"/>
      <c r="D18" s="714"/>
      <c r="E18" s="714"/>
      <c r="F18" s="714"/>
      <c r="G18" s="714"/>
      <c r="H18" s="733"/>
      <c r="I18" s="734">
        <f>+GETPIVOTDATA("Sum of Dr. Final HYR",Pivot!$A$3,"PARTICULARS","Gratuity To Staff","Note",24,"BS Main Head","Employee Benefit Expenses","BS Sub Head","Contribution to Funds")+BSPL!F103</f>
        <v>795803</v>
      </c>
      <c r="J18" s="728"/>
      <c r="K18" s="734">
        <f t="shared" si="0"/>
        <v>795803</v>
      </c>
      <c r="L18" s="728"/>
      <c r="P18" t="s">
        <v>275</v>
      </c>
      <c r="Q18" s="731"/>
      <c r="R18" s="731">
        <v>3000</v>
      </c>
    </row>
    <row r="19" spans="1:18" ht="15.75" x14ac:dyDescent="0.25">
      <c r="A19" s="727"/>
      <c r="B19" s="732" t="s">
        <v>606</v>
      </c>
      <c r="C19" s="732"/>
      <c r="D19" s="714"/>
      <c r="E19" s="714"/>
      <c r="F19" s="714"/>
      <c r="G19" s="714"/>
      <c r="H19" s="725"/>
      <c r="I19" s="734">
        <f>+GETPIVOTDATA("Sum of Dr. Final HYR",Pivot!$A$3,"PARTICULARS","Donation Account","Note",26,"BS Main Head","Other Expenses","BS Sub Head","Donation")</f>
        <v>56000</v>
      </c>
      <c r="J19" s="728"/>
      <c r="K19" s="734">
        <f t="shared" si="0"/>
        <v>56000</v>
      </c>
      <c r="L19" s="728"/>
      <c r="P19" t="s">
        <v>737</v>
      </c>
      <c r="Q19" s="731"/>
      <c r="R19" s="731">
        <v>19678</v>
      </c>
    </row>
    <row r="20" spans="1:18" ht="15.75" x14ac:dyDescent="0.25">
      <c r="A20" s="727"/>
      <c r="B20" s="732" t="s">
        <v>574</v>
      </c>
      <c r="C20" s="732"/>
      <c r="D20" s="714"/>
      <c r="E20" s="714"/>
      <c r="F20" s="714"/>
      <c r="G20" s="714"/>
      <c r="H20" s="733"/>
      <c r="I20" s="734">
        <f>+GETPIVOTDATA("Sum of Dr. Final HYR",Pivot!$A$3,"PARTICULARS","CSR (CORPORATE SOCIAL RESPONSIBILITY)","Note",26,"BS Main Head","Other Expenses","BS Sub Head","Establishment Expenses-CSR")</f>
        <v>909877</v>
      </c>
      <c r="J20" s="728"/>
      <c r="K20" s="734">
        <f t="shared" si="0"/>
        <v>909877</v>
      </c>
      <c r="L20" s="728"/>
      <c r="P20" t="s">
        <v>2427</v>
      </c>
      <c r="Q20" s="731"/>
      <c r="R20" s="731">
        <v>0</v>
      </c>
    </row>
    <row r="21" spans="1:18" ht="15.75" x14ac:dyDescent="0.25">
      <c r="A21" s="727"/>
      <c r="B21" s="732" t="s">
        <v>3481</v>
      </c>
      <c r="C21" s="732"/>
      <c r="D21" s="714"/>
      <c r="E21" s="714"/>
      <c r="F21" s="714"/>
      <c r="G21" s="714"/>
      <c r="H21" s="733"/>
      <c r="I21" s="734">
        <f>+BSPL!F485</f>
        <v>0</v>
      </c>
      <c r="J21" s="728"/>
      <c r="K21" s="734">
        <f>+BSPL!F485</f>
        <v>0</v>
      </c>
      <c r="L21" s="728"/>
      <c r="Q21" s="731"/>
      <c r="R21" s="731"/>
    </row>
    <row r="22" spans="1:18" ht="15.75" x14ac:dyDescent="0.25">
      <c r="A22" s="727"/>
      <c r="B22" s="732" t="s">
        <v>662</v>
      </c>
      <c r="C22" s="732"/>
      <c r="D22" s="714"/>
      <c r="E22" s="714"/>
      <c r="F22" s="714"/>
      <c r="G22" s="714"/>
      <c r="H22" s="725"/>
      <c r="I22" s="734">
        <f>+GETPIVOTDATA("Sum of Dr. Final HYR",Pivot!$A$3,"PARTICULARS","Interest on Income Tax","Note",26,"BS Main Head","Other Expenses","BS Sub Head","Establishment Expenses-Rates &amp; Taxes")</f>
        <v>19982</v>
      </c>
      <c r="J22" s="728"/>
      <c r="K22" s="734">
        <f t="shared" si="0"/>
        <v>19982</v>
      </c>
      <c r="L22" s="728"/>
      <c r="P22" t="s">
        <v>2428</v>
      </c>
      <c r="Q22" s="731"/>
      <c r="R22" s="731">
        <v>0</v>
      </c>
    </row>
    <row r="23" spans="1:18" ht="15.75" x14ac:dyDescent="0.25">
      <c r="A23" s="727"/>
      <c r="B23" s="732" t="s">
        <v>2429</v>
      </c>
      <c r="C23" s="732"/>
      <c r="D23" s="714"/>
      <c r="E23" s="714"/>
      <c r="F23" s="714"/>
      <c r="G23" s="714"/>
      <c r="H23" s="733"/>
      <c r="I23" s="734">
        <f>+GETPIVOTDATA("Sum of Cr. Final HYR",Pivot!$A$3,"PARTICULARS","Incentive/ Bonus Payable","Note",9,"BS Main Head","Short Term Provision","BS Sub Head","Provision for Employee Benefit")</f>
        <v>1301094</v>
      </c>
      <c r="J23" s="728"/>
      <c r="K23" s="734">
        <f t="shared" si="0"/>
        <v>1301094</v>
      </c>
      <c r="L23" s="728"/>
      <c r="P23" t="s">
        <v>276</v>
      </c>
      <c r="Q23" s="731">
        <f>+GETPIVOTDATA("Sum of Dr. Final HYR",Pivot!$A$3,"PARTICULARS","PENALTY ON SGST","Note",26,"BS Main Head","Other Expenses","BS Sub Head","Establishment Expenses-Rates &amp; Taxes")</f>
        <v>75</v>
      </c>
      <c r="R23" s="731">
        <v>75</v>
      </c>
    </row>
    <row r="24" spans="1:18" ht="15.75" x14ac:dyDescent="0.25">
      <c r="A24" s="727"/>
      <c r="B24" s="732" t="s">
        <v>2430</v>
      </c>
      <c r="C24" s="732"/>
      <c r="D24" s="714"/>
      <c r="E24" s="714"/>
      <c r="F24" s="714"/>
      <c r="G24" s="714"/>
      <c r="H24" s="733"/>
      <c r="I24" s="734">
        <f>+Q23+Q17</f>
        <v>150</v>
      </c>
      <c r="J24" s="728"/>
      <c r="K24" s="734">
        <f t="shared" ref="K24:K25" si="1">+I24</f>
        <v>150</v>
      </c>
      <c r="L24" s="728"/>
      <c r="N24" s="441">
        <f>+I18+[63]BSPL!F106</f>
        <v>609552</v>
      </c>
      <c r="P24" t="s">
        <v>738</v>
      </c>
      <c r="Q24" s="731">
        <v>0</v>
      </c>
      <c r="R24" s="731">
        <v>33000</v>
      </c>
    </row>
    <row r="25" spans="1:18" ht="15.75" x14ac:dyDescent="0.25">
      <c r="A25" s="727"/>
      <c r="B25" s="732" t="s">
        <v>3208</v>
      </c>
      <c r="C25" s="732"/>
      <c r="D25" s="714"/>
      <c r="E25" s="714"/>
      <c r="F25" s="714"/>
      <c r="G25" s="714"/>
      <c r="H25" s="733"/>
      <c r="I25" s="734">
        <f>+BSPL!F491</f>
        <v>1384900</v>
      </c>
      <c r="J25" s="728"/>
      <c r="K25" s="734">
        <f t="shared" si="1"/>
        <v>1384900</v>
      </c>
      <c r="L25" s="728"/>
      <c r="Q25" s="731"/>
      <c r="R25" s="731"/>
    </row>
    <row r="26" spans="1:18" ht="15.75" x14ac:dyDescent="0.25">
      <c r="A26" s="727"/>
      <c r="B26" s="732" t="s">
        <v>663</v>
      </c>
      <c r="C26" s="714"/>
      <c r="D26" s="714"/>
      <c r="E26" s="714"/>
      <c r="F26" s="714"/>
      <c r="G26" s="714"/>
      <c r="H26" s="736"/>
      <c r="I26" s="737">
        <v>0</v>
      </c>
      <c r="J26" s="738">
        <f>SUM(I17:I26)</f>
        <v>22195787.603100225</v>
      </c>
      <c r="K26" s="737">
        <v>0</v>
      </c>
      <c r="L26" s="738">
        <f>SUM(K17:K26)</f>
        <v>22195787.603100225</v>
      </c>
      <c r="M26" s="735">
        <f>+I18-I35</f>
        <v>357683</v>
      </c>
    </row>
    <row r="27" spans="1:18" ht="15.75" x14ac:dyDescent="0.25">
      <c r="A27" s="727"/>
      <c r="B27" s="732"/>
      <c r="C27" s="714"/>
      <c r="D27" s="714"/>
      <c r="E27" s="714"/>
      <c r="F27" s="714"/>
      <c r="G27" s="729"/>
      <c r="H27" s="736"/>
      <c r="I27" s="728"/>
      <c r="J27" s="739">
        <f>J14+J26</f>
        <v>70460324.077889249</v>
      </c>
      <c r="K27" s="728"/>
      <c r="L27" s="739">
        <f>L14+L26</f>
        <v>70460324.077889249</v>
      </c>
    </row>
    <row r="28" spans="1:18" ht="15.75" x14ac:dyDescent="0.25">
      <c r="A28" s="718"/>
      <c r="B28" s="714"/>
      <c r="C28" s="714"/>
      <c r="D28" s="714"/>
      <c r="E28" s="714"/>
      <c r="F28" s="714"/>
      <c r="G28" s="729"/>
      <c r="H28" s="740"/>
      <c r="I28" s="741"/>
      <c r="J28" s="741"/>
      <c r="K28" s="741"/>
      <c r="L28" s="741"/>
    </row>
    <row r="29" spans="1:18" ht="15.75" x14ac:dyDescent="0.25">
      <c r="A29" s="730" t="s">
        <v>2431</v>
      </c>
      <c r="B29" s="714"/>
      <c r="C29" s="714"/>
      <c r="D29" s="714"/>
      <c r="E29" s="714"/>
      <c r="F29" s="714"/>
      <c r="G29" s="742"/>
      <c r="H29" s="725"/>
      <c r="I29" s="728"/>
      <c r="J29" s="728"/>
      <c r="K29" s="728"/>
      <c r="L29" s="728"/>
    </row>
    <row r="30" spans="1:18" ht="15.75" x14ac:dyDescent="0.25">
      <c r="A30" s="1281"/>
      <c r="B30" s="714" t="s">
        <v>2432</v>
      </c>
      <c r="C30" s="714"/>
      <c r="D30" s="1284"/>
      <c r="E30" s="1285"/>
      <c r="F30" s="1285"/>
      <c r="G30" s="742"/>
      <c r="H30" s="1282"/>
      <c r="I30" s="1283">
        <f>+'IT Dep'!O60</f>
        <v>15175729.299171731</v>
      </c>
      <c r="J30" s="1283"/>
      <c r="K30" s="1283">
        <f>+'IT Dep'!L60</f>
        <v>14165249.233171731</v>
      </c>
      <c r="L30" s="1283"/>
      <c r="P30">
        <f>5500000*0.15</f>
        <v>825000</v>
      </c>
    </row>
    <row r="31" spans="1:18" ht="15.75" x14ac:dyDescent="0.25">
      <c r="A31" s="727" t="s">
        <v>2433</v>
      </c>
      <c r="B31" s="746"/>
      <c r="C31" s="746"/>
      <c r="D31" s="714"/>
      <c r="E31" s="714"/>
      <c r="F31" s="714"/>
      <c r="G31" s="714"/>
      <c r="H31" s="725"/>
      <c r="I31" s="728"/>
      <c r="J31" s="728"/>
      <c r="K31" s="728"/>
      <c r="L31" s="728"/>
    </row>
    <row r="32" spans="1:18" ht="15.75" x14ac:dyDescent="0.25">
      <c r="A32" s="712"/>
      <c r="B32" s="714"/>
      <c r="C32" s="714"/>
      <c r="D32" s="714"/>
      <c r="E32" s="714"/>
      <c r="F32" s="714"/>
      <c r="G32" s="714"/>
      <c r="H32" s="725"/>
      <c r="I32" s="728"/>
      <c r="J32" s="728"/>
      <c r="K32" s="728"/>
      <c r="L32" s="728"/>
    </row>
    <row r="33" spans="1:23" ht="15.75" x14ac:dyDescent="0.25">
      <c r="A33" s="727" t="s">
        <v>2434</v>
      </c>
      <c r="B33" s="746"/>
      <c r="C33" s="746"/>
      <c r="D33" s="714"/>
      <c r="E33" s="714"/>
      <c r="F33" s="714"/>
      <c r="G33" s="714"/>
      <c r="H33" s="725"/>
      <c r="I33" s="728"/>
      <c r="J33" s="728"/>
      <c r="K33" s="728"/>
      <c r="L33" s="728"/>
    </row>
    <row r="34" spans="1:23" ht="15.75" x14ac:dyDescent="0.25">
      <c r="A34" s="747"/>
      <c r="B34" s="714"/>
      <c r="C34" s="714"/>
      <c r="D34" s="714"/>
      <c r="E34" s="714"/>
      <c r="F34" s="714"/>
      <c r="G34" s="714"/>
      <c r="H34" s="725"/>
      <c r="I34" s="728"/>
      <c r="J34" s="728"/>
      <c r="K34" s="728"/>
      <c r="L34" s="728"/>
    </row>
    <row r="35" spans="1:23" ht="15.75" x14ac:dyDescent="0.25">
      <c r="A35" s="747"/>
      <c r="B35" s="714" t="s">
        <v>2435</v>
      </c>
      <c r="C35" s="714"/>
      <c r="D35" s="714"/>
      <c r="E35" s="714"/>
      <c r="F35" s="714"/>
      <c r="G35" s="714"/>
      <c r="H35" s="725"/>
      <c r="I35" s="728">
        <v>438120</v>
      </c>
      <c r="J35" s="728"/>
      <c r="K35" s="734">
        <f t="shared" ref="K35:K37" si="2">+I35</f>
        <v>438120</v>
      </c>
      <c r="L35" s="728"/>
    </row>
    <row r="36" spans="1:23" ht="15.75" x14ac:dyDescent="0.25">
      <c r="A36" s="747"/>
      <c r="B36" s="714" t="s">
        <v>2436</v>
      </c>
      <c r="C36" s="714"/>
      <c r="D36" s="714"/>
      <c r="E36" s="714"/>
      <c r="F36" s="714"/>
      <c r="G36" s="714"/>
      <c r="H36" s="725"/>
      <c r="I36" s="728"/>
      <c r="J36" s="728"/>
      <c r="K36" s="728"/>
      <c r="L36" s="728"/>
    </row>
    <row r="37" spans="1:23" ht="15.75" x14ac:dyDescent="0.25">
      <c r="A37" s="747"/>
      <c r="B37" s="732" t="s">
        <v>2437</v>
      </c>
      <c r="C37" s="714"/>
      <c r="D37" s="714"/>
      <c r="E37" s="714"/>
      <c r="F37" s="714"/>
      <c r="G37" s="714"/>
      <c r="H37" s="725"/>
      <c r="I37" s="748">
        <v>1259230</v>
      </c>
      <c r="J37" s="728">
        <f>SUM(I30:I37)</f>
        <v>16873079.299171731</v>
      </c>
      <c r="K37" s="734">
        <f t="shared" si="2"/>
        <v>1259230</v>
      </c>
      <c r="L37" s="728">
        <f>SUM(K30:K37)</f>
        <v>15862599.233171731</v>
      </c>
    </row>
    <row r="38" spans="1:23" ht="15.75" x14ac:dyDescent="0.25">
      <c r="A38" s="718"/>
      <c r="B38" s="746"/>
      <c r="C38" s="746"/>
      <c r="D38" s="714"/>
      <c r="E38" s="714"/>
      <c r="F38" s="714"/>
      <c r="G38" s="713" t="s">
        <v>2438</v>
      </c>
      <c r="H38" s="749" t="s">
        <v>2439</v>
      </c>
      <c r="I38" s="728"/>
      <c r="J38" s="745">
        <f>J27-J37</f>
        <v>53587244.778717518</v>
      </c>
      <c r="K38" s="728"/>
      <c r="L38" s="745">
        <f>L27-L37</f>
        <v>54597724.844717517</v>
      </c>
    </row>
    <row r="39" spans="1:23" ht="15.75" x14ac:dyDescent="0.25">
      <c r="A39" s="718" t="s">
        <v>2440</v>
      </c>
      <c r="B39" s="746"/>
      <c r="C39" s="746"/>
      <c r="D39" s="714"/>
      <c r="E39" s="714"/>
      <c r="F39" s="714"/>
      <c r="G39" s="714"/>
      <c r="H39" s="749"/>
      <c r="I39" s="728">
        <v>0</v>
      </c>
      <c r="J39" s="728"/>
      <c r="K39" s="728">
        <v>0</v>
      </c>
      <c r="L39" s="728"/>
    </row>
    <row r="40" spans="1:23" ht="15.75" x14ac:dyDescent="0.25">
      <c r="A40" s="718" t="s">
        <v>2441</v>
      </c>
      <c r="B40" s="746"/>
      <c r="C40" s="746"/>
      <c r="D40" s="714"/>
      <c r="E40" s="714"/>
      <c r="F40" s="714"/>
      <c r="G40" s="714"/>
      <c r="H40" s="725"/>
      <c r="I40" s="728">
        <f>I39</f>
        <v>0</v>
      </c>
      <c r="J40" s="728"/>
      <c r="K40" s="728">
        <f>K39</f>
        <v>0</v>
      </c>
      <c r="L40" s="728"/>
    </row>
    <row r="41" spans="1:23" ht="15.75" x14ac:dyDescent="0.25">
      <c r="A41" s="718"/>
      <c r="B41" s="714"/>
      <c r="C41" s="714"/>
      <c r="D41" s="714"/>
      <c r="E41" s="714"/>
      <c r="F41" s="714"/>
      <c r="G41" s="714"/>
      <c r="H41" s="749"/>
      <c r="I41" s="744"/>
      <c r="J41" s="744"/>
      <c r="K41" s="744"/>
      <c r="L41" s="744"/>
    </row>
    <row r="42" spans="1:23" ht="16.5" thickBot="1" x14ac:dyDescent="0.3">
      <c r="A42" s="718"/>
      <c r="B42" s="714"/>
      <c r="C42" s="714"/>
      <c r="D42" s="714"/>
      <c r="E42" s="714"/>
      <c r="F42" s="714"/>
      <c r="G42" s="713"/>
      <c r="H42" s="749"/>
      <c r="I42" s="744"/>
      <c r="J42" s="750">
        <f>SUM(J38:J40)</f>
        <v>53587244.778717518</v>
      </c>
      <c r="K42" s="744"/>
      <c r="L42" s="750">
        <f>SUM(L38:L40)</f>
        <v>54597724.844717517</v>
      </c>
    </row>
    <row r="43" spans="1:23" ht="16.5" thickTop="1" x14ac:dyDescent="0.25">
      <c r="A43" s="718"/>
      <c r="B43" s="714"/>
      <c r="C43" s="714"/>
      <c r="D43" s="714"/>
      <c r="E43" s="714"/>
      <c r="F43" s="714"/>
      <c r="G43" s="714"/>
      <c r="H43" s="749"/>
      <c r="I43" s="744"/>
      <c r="J43" s="744"/>
      <c r="K43" s="744"/>
      <c r="L43" s="744"/>
    </row>
    <row r="44" spans="1:23" ht="15.75" x14ac:dyDescent="0.25">
      <c r="A44" s="718"/>
      <c r="B44" s="714"/>
      <c r="C44" s="714"/>
      <c r="D44" s="714"/>
      <c r="E44" s="714"/>
      <c r="F44" s="714" t="s">
        <v>2442</v>
      </c>
      <c r="G44" s="714"/>
      <c r="H44" s="749"/>
      <c r="I44" s="744"/>
      <c r="J44" s="744">
        <f>+J87</f>
        <v>5500000</v>
      </c>
      <c r="K44" s="744"/>
      <c r="L44" s="1288">
        <f>3600000+2000-26.300258</f>
        <v>3601973.6997420001</v>
      </c>
      <c r="M44" s="1601">
        <f>+L76</f>
        <v>1.987791620194912E-7</v>
      </c>
    </row>
    <row r="45" spans="1:23" ht="15.75" x14ac:dyDescent="0.25">
      <c r="A45" s="718"/>
      <c r="B45" s="714"/>
      <c r="C45" s="714"/>
      <c r="D45" s="714"/>
      <c r="E45" s="714"/>
      <c r="F45" s="714"/>
      <c r="G45" s="714"/>
      <c r="H45" s="749"/>
      <c r="I45" s="744"/>
      <c r="J45" s="744"/>
      <c r="K45" s="744"/>
      <c r="L45" s="744"/>
    </row>
    <row r="46" spans="1:23" ht="16.5" thickBot="1" x14ac:dyDescent="0.3">
      <c r="A46" s="718"/>
      <c r="B46" s="714"/>
      <c r="C46" s="714"/>
      <c r="D46" s="714"/>
      <c r="E46" s="714"/>
      <c r="F46" s="714"/>
      <c r="G46" s="713" t="s">
        <v>2438</v>
      </c>
      <c r="H46" s="749"/>
      <c r="I46" s="744"/>
      <c r="J46" s="1289">
        <f>J42-J44</f>
        <v>48087244.778717518</v>
      </c>
      <c r="K46" s="744"/>
      <c r="L46" s="1289">
        <f>L42-L44</f>
        <v>50995751.144975521</v>
      </c>
      <c r="O46" s="714" t="s">
        <v>3274</v>
      </c>
    </row>
    <row r="47" spans="1:23" ht="60" thickTop="1" thickBot="1" x14ac:dyDescent="0.3">
      <c r="A47" s="718"/>
      <c r="B47" s="714"/>
      <c r="C47" s="714"/>
      <c r="D47" s="714"/>
      <c r="E47" s="714"/>
      <c r="F47" s="714"/>
      <c r="G47" s="714"/>
      <c r="H47" s="749"/>
      <c r="I47" s="744"/>
      <c r="J47" s="744"/>
      <c r="K47" s="744"/>
      <c r="L47" s="744"/>
      <c r="O47" s="1290" t="s">
        <v>3275</v>
      </c>
      <c r="P47" s="1291" t="s">
        <v>3276</v>
      </c>
      <c r="Q47" s="1291" t="s">
        <v>3277</v>
      </c>
      <c r="R47" s="1291" t="s">
        <v>3278</v>
      </c>
      <c r="S47" s="1291" t="s">
        <v>3279</v>
      </c>
      <c r="T47" s="1291" t="s">
        <v>3280</v>
      </c>
      <c r="U47" s="1291" t="s">
        <v>3281</v>
      </c>
      <c r="V47" s="1291" t="s">
        <v>3282</v>
      </c>
      <c r="W47" s="1291" t="s">
        <v>1091</v>
      </c>
    </row>
    <row r="48" spans="1:23" ht="19.5" x14ac:dyDescent="0.25">
      <c r="A48" s="718"/>
      <c r="B48" s="714"/>
      <c r="C48" s="714"/>
      <c r="D48" s="714"/>
      <c r="E48" s="714"/>
      <c r="F48" s="714"/>
      <c r="G48" s="714"/>
      <c r="H48" s="749"/>
      <c r="I48" s="744"/>
      <c r="J48" s="744"/>
      <c r="K48" s="744"/>
      <c r="L48" s="744"/>
      <c r="P48" s="1292" t="s">
        <v>3283</v>
      </c>
      <c r="Q48" s="1293">
        <f>+J66-I69</f>
        <v>13296744.257439213</v>
      </c>
      <c r="R48" s="1294">
        <v>15</v>
      </c>
      <c r="S48" s="1293">
        <f>+Q48*R48/100</f>
        <v>1994511.6386158818</v>
      </c>
      <c r="T48" s="1293">
        <v>0</v>
      </c>
      <c r="U48" s="1293">
        <f>+S48-T48</f>
        <v>1994511.6386158818</v>
      </c>
      <c r="V48" s="1293">
        <v>3</v>
      </c>
      <c r="W48" s="1293">
        <f>+U48*V48/100</f>
        <v>59835.349158476449</v>
      </c>
    </row>
    <row r="49" spans="1:23" ht="19.5" x14ac:dyDescent="0.25">
      <c r="A49" s="718"/>
      <c r="B49" s="714"/>
      <c r="C49" s="714"/>
      <c r="D49" s="714"/>
      <c r="E49" s="714"/>
      <c r="F49" s="714"/>
      <c r="G49" s="746"/>
      <c r="H49" s="749" t="s">
        <v>2443</v>
      </c>
      <c r="I49" s="744"/>
      <c r="J49" s="716">
        <f>IF(J46&gt;0,J46*0.25,0)</f>
        <v>12021811.194679379</v>
      </c>
      <c r="K49" s="744"/>
      <c r="L49" s="716">
        <f>IF(L46&gt;0,L46*0.22,0)</f>
        <v>11219065.251894614</v>
      </c>
      <c r="P49" s="1292" t="s">
        <v>3284</v>
      </c>
      <c r="Q49" s="1293">
        <f>+Q48</f>
        <v>13296744.257439213</v>
      </c>
      <c r="R49" s="1294">
        <v>45</v>
      </c>
      <c r="S49" s="1293">
        <f t="shared" ref="S49:S51" si="3">+Q49*R49/100</f>
        <v>5983534.9158476461</v>
      </c>
      <c r="T49" s="1293">
        <v>2000000</v>
      </c>
      <c r="U49" s="1293">
        <f t="shared" ref="U49:U51" si="4">+S49-T49</f>
        <v>3983534.9158476461</v>
      </c>
      <c r="V49" s="1293">
        <v>3</v>
      </c>
      <c r="W49" s="1293">
        <f t="shared" ref="W49:W51" si="5">+U49*V49/100</f>
        <v>119506.04747542938</v>
      </c>
    </row>
    <row r="50" spans="1:23" ht="19.5" x14ac:dyDescent="0.25">
      <c r="A50" s="718"/>
      <c r="B50" s="714"/>
      <c r="C50" s="714"/>
      <c r="D50" s="714"/>
      <c r="E50" s="714"/>
      <c r="F50" s="714"/>
      <c r="G50" s="746"/>
      <c r="H50" s="725"/>
      <c r="I50" s="728"/>
      <c r="J50" s="728"/>
      <c r="K50" s="728"/>
      <c r="L50" s="728"/>
      <c r="P50" s="1292" t="s">
        <v>3285</v>
      </c>
      <c r="Q50" s="1293">
        <f>+Q49</f>
        <v>13296744.257439213</v>
      </c>
      <c r="R50" s="1294">
        <v>75</v>
      </c>
      <c r="S50" s="1293">
        <f t="shared" si="3"/>
        <v>9972558.1930794101</v>
      </c>
      <c r="T50" s="1293">
        <v>7000000</v>
      </c>
      <c r="U50" s="1293">
        <f t="shared" si="4"/>
        <v>2972558.1930794101</v>
      </c>
      <c r="V50" s="1293">
        <v>3</v>
      </c>
      <c r="W50" s="1293">
        <f t="shared" si="5"/>
        <v>89176.745792382309</v>
      </c>
    </row>
    <row r="51" spans="1:23" ht="19.5" x14ac:dyDescent="0.25">
      <c r="A51" s="718"/>
      <c r="B51" s="714"/>
      <c r="C51" s="714"/>
      <c r="D51" s="714"/>
      <c r="E51" s="714"/>
      <c r="F51" s="714"/>
      <c r="G51" s="714"/>
      <c r="H51" s="725"/>
      <c r="I51" s="728"/>
      <c r="J51" s="728"/>
      <c r="K51" s="728"/>
      <c r="L51" s="728"/>
      <c r="P51" s="1292" t="s">
        <v>3286</v>
      </c>
      <c r="Q51" s="1293">
        <f>+Q50</f>
        <v>13296744.257439213</v>
      </c>
      <c r="R51" s="1294">
        <v>100</v>
      </c>
      <c r="S51" s="1293">
        <f t="shared" si="3"/>
        <v>13296744.257439213</v>
      </c>
      <c r="T51" s="1293">
        <v>13000000</v>
      </c>
      <c r="U51" s="1293">
        <f t="shared" si="4"/>
        <v>296744.25743921287</v>
      </c>
      <c r="V51" s="1293">
        <v>1</v>
      </c>
      <c r="W51" s="1293">
        <f t="shared" si="5"/>
        <v>2967.4425743921288</v>
      </c>
    </row>
    <row r="52" spans="1:23" ht="19.5" x14ac:dyDescent="0.3">
      <c r="A52" s="1881" t="s">
        <v>2444</v>
      </c>
      <c r="B52" s="1882"/>
      <c r="C52" s="1882"/>
      <c r="D52" s="1882"/>
      <c r="E52" s="1882"/>
      <c r="F52" s="1882"/>
      <c r="G52" s="1882"/>
      <c r="H52" s="1883"/>
      <c r="I52" s="751"/>
      <c r="J52" s="752"/>
      <c r="K52" s="751"/>
      <c r="L52" s="752"/>
      <c r="P52" s="1295" t="s">
        <v>1079</v>
      </c>
      <c r="Q52" s="1296"/>
      <c r="R52" s="1297"/>
      <c r="S52" s="1293"/>
      <c r="T52" s="1293"/>
      <c r="U52" s="1293"/>
      <c r="V52" s="1293"/>
      <c r="W52" s="1298">
        <f>+SUM(W48:W51)</f>
        <v>271485.58500068024</v>
      </c>
    </row>
    <row r="53" spans="1:23" ht="20.25" thickBot="1" x14ac:dyDescent="0.35">
      <c r="A53" s="727"/>
      <c r="B53" s="714"/>
      <c r="C53" s="714"/>
      <c r="D53" s="714"/>
      <c r="E53" s="714"/>
      <c r="F53" s="714"/>
      <c r="G53" s="714"/>
      <c r="H53" s="725"/>
      <c r="I53" s="728"/>
      <c r="J53" s="728"/>
      <c r="K53" s="728"/>
      <c r="L53" s="728"/>
      <c r="P53" s="1297"/>
      <c r="Q53" s="1297"/>
      <c r="R53" s="1297"/>
    </row>
    <row r="54" spans="1:23" ht="59.25" thickBot="1" x14ac:dyDescent="0.3">
      <c r="A54" s="727"/>
      <c r="B54" s="714"/>
      <c r="C54" s="714"/>
      <c r="D54" s="714"/>
      <c r="E54" s="714"/>
      <c r="F54" s="714"/>
      <c r="G54" s="714"/>
      <c r="H54" s="725"/>
      <c r="I54" s="728"/>
      <c r="J54" s="728"/>
      <c r="K54" s="728"/>
      <c r="L54" s="728"/>
      <c r="O54" s="1290" t="s">
        <v>3275</v>
      </c>
      <c r="P54" s="1291" t="s">
        <v>3276</v>
      </c>
      <c r="Q54" s="1291" t="s">
        <v>3277</v>
      </c>
      <c r="R54" s="1291" t="s">
        <v>3278</v>
      </c>
      <c r="S54" s="1291" t="s">
        <v>3279</v>
      </c>
      <c r="T54" s="1291" t="s">
        <v>3280</v>
      </c>
      <c r="U54" s="1291" t="s">
        <v>3281</v>
      </c>
      <c r="V54" s="1291" t="s">
        <v>3282</v>
      </c>
      <c r="W54" s="1291" t="s">
        <v>1091</v>
      </c>
    </row>
    <row r="55" spans="1:23" ht="19.5" x14ac:dyDescent="0.25">
      <c r="A55" s="727"/>
      <c r="B55" s="714"/>
      <c r="C55" s="753"/>
      <c r="D55" s="714"/>
      <c r="E55" s="753" t="str">
        <f>A14</f>
        <v>Profit as per Profit and Loss Statement after extraordinary item</v>
      </c>
      <c r="F55" s="714"/>
      <c r="G55" s="714"/>
      <c r="H55" s="725"/>
      <c r="I55" s="728"/>
      <c r="J55" s="754">
        <f>+J14</f>
        <v>48264536.474789023</v>
      </c>
      <c r="K55" s="728"/>
      <c r="L55" s="754"/>
      <c r="P55" s="1292" t="s">
        <v>3283</v>
      </c>
      <c r="Q55" s="1299">
        <f>+L66-K69</f>
        <v>12753483.901970398</v>
      </c>
      <c r="R55" s="1294">
        <v>15</v>
      </c>
      <c r="S55" s="1299">
        <f>+Q55*R55/100</f>
        <v>1913022.5852955598</v>
      </c>
      <c r="T55" s="1299">
        <v>0</v>
      </c>
      <c r="U55" s="1299">
        <f>+S55-T55</f>
        <v>1913022.5852955598</v>
      </c>
      <c r="V55" s="1299">
        <v>3</v>
      </c>
      <c r="W55" s="1299">
        <f>+U55*V55/100</f>
        <v>57390.677558866795</v>
      </c>
    </row>
    <row r="56" spans="1:23" ht="19.5" x14ac:dyDescent="0.25">
      <c r="A56" s="727"/>
      <c r="B56" s="714"/>
      <c r="C56" s="753"/>
      <c r="D56" s="714"/>
      <c r="E56" s="755" t="s">
        <v>2445</v>
      </c>
      <c r="F56" s="714"/>
      <c r="G56" s="714"/>
      <c r="H56" s="725"/>
      <c r="I56" s="728"/>
      <c r="J56" s="748">
        <v>0</v>
      </c>
      <c r="K56" s="728"/>
      <c r="L56" s="748"/>
      <c r="P56" s="1292" t="s">
        <v>3284</v>
      </c>
      <c r="Q56" s="1293">
        <f>+Q55</f>
        <v>12753483.901970398</v>
      </c>
      <c r="R56" s="1294">
        <v>45</v>
      </c>
      <c r="S56" s="1299">
        <f t="shared" ref="S56:S58" si="6">+Q56*R56/100</f>
        <v>5739067.7558866786</v>
      </c>
      <c r="T56" s="1299">
        <v>2000000</v>
      </c>
      <c r="U56" s="1299">
        <f t="shared" ref="U56:U58" si="7">+S56-T56</f>
        <v>3739067.7558866786</v>
      </c>
      <c r="V56" s="1299">
        <v>3</v>
      </c>
      <c r="W56" s="1299">
        <f t="shared" ref="W56:W57" si="8">+U56*V56/100</f>
        <v>112172.03267660037</v>
      </c>
    </row>
    <row r="57" spans="1:23" ht="19.5" x14ac:dyDescent="0.25">
      <c r="A57" s="727"/>
      <c r="B57" s="714"/>
      <c r="C57" s="714"/>
      <c r="D57" s="714"/>
      <c r="E57" s="756" t="s">
        <v>2446</v>
      </c>
      <c r="F57" s="714"/>
      <c r="G57" s="742"/>
      <c r="H57" s="725"/>
      <c r="I57" s="728"/>
      <c r="J57" s="739">
        <f>J55-J56</f>
        <v>48264536.474789023</v>
      </c>
      <c r="K57" s="728"/>
      <c r="L57" s="739"/>
      <c r="P57" s="1292" t="s">
        <v>3285</v>
      </c>
      <c r="Q57" s="1293">
        <f>+Q56</f>
        <v>12753483.901970398</v>
      </c>
      <c r="R57" s="1294">
        <v>75</v>
      </c>
      <c r="S57" s="1299">
        <f t="shared" si="6"/>
        <v>9565112.9264777973</v>
      </c>
      <c r="T57" s="1299">
        <v>7000000</v>
      </c>
      <c r="U57" s="1299">
        <f t="shared" si="7"/>
        <v>2565112.9264777973</v>
      </c>
      <c r="V57" s="1299">
        <v>3</v>
      </c>
      <c r="W57" s="1299">
        <f t="shared" si="8"/>
        <v>76953.387794333918</v>
      </c>
    </row>
    <row r="58" spans="1:23" ht="19.5" x14ac:dyDescent="0.25">
      <c r="A58" s="718"/>
      <c r="B58" s="714"/>
      <c r="C58" s="714"/>
      <c r="D58" s="714"/>
      <c r="E58" s="714"/>
      <c r="F58" s="714"/>
      <c r="G58" s="714"/>
      <c r="H58" s="725"/>
      <c r="I58" s="728"/>
      <c r="J58" s="728"/>
      <c r="K58" s="728"/>
      <c r="L58" s="728"/>
      <c r="P58" s="1292" t="s">
        <v>3286</v>
      </c>
      <c r="Q58" s="1293">
        <f>+Q57</f>
        <v>12753483.901970398</v>
      </c>
      <c r="R58" s="1294">
        <v>100</v>
      </c>
      <c r="S58" s="1299">
        <f t="shared" si="6"/>
        <v>12753483.901970398</v>
      </c>
      <c r="T58" s="1299">
        <v>13000000</v>
      </c>
      <c r="U58" s="1299">
        <f t="shared" si="7"/>
        <v>-246516.09802960232</v>
      </c>
      <c r="V58" s="1299">
        <v>1</v>
      </c>
      <c r="W58" s="1299">
        <v>0</v>
      </c>
    </row>
    <row r="59" spans="1:23" ht="19.5" x14ac:dyDescent="0.3">
      <c r="A59" s="718"/>
      <c r="B59" s="714"/>
      <c r="C59" s="714"/>
      <c r="D59" s="714"/>
      <c r="E59" s="714" t="s">
        <v>2447</v>
      </c>
      <c r="F59" s="714"/>
      <c r="G59" s="714"/>
      <c r="H59" s="749" t="s">
        <v>2448</v>
      </c>
      <c r="I59" s="744"/>
      <c r="J59" s="739">
        <f>IF(J57&gt;0,J57*0.15,0)</f>
        <v>7239680.4712183531</v>
      </c>
      <c r="K59" s="744"/>
      <c r="L59" s="739"/>
      <c r="P59" s="1295" t="s">
        <v>1079</v>
      </c>
      <c r="Q59" s="1296"/>
      <c r="R59" s="1297"/>
      <c r="S59" s="1299"/>
      <c r="T59" s="1299"/>
      <c r="U59" s="1299"/>
      <c r="V59" s="1299"/>
      <c r="W59" s="1300">
        <f>+SUM(W55:W58)</f>
        <v>246516.0980298011</v>
      </c>
    </row>
    <row r="60" spans="1:23" ht="15.75" x14ac:dyDescent="0.25">
      <c r="A60" s="718"/>
      <c r="B60" s="714"/>
      <c r="C60" s="714"/>
      <c r="D60" s="714"/>
      <c r="E60" s="714"/>
      <c r="F60" s="714"/>
      <c r="G60" s="714"/>
      <c r="H60" s="725"/>
      <c r="I60" s="728"/>
      <c r="J60" s="728"/>
      <c r="K60" s="728"/>
      <c r="L60" s="728"/>
    </row>
    <row r="61" spans="1:23" ht="15.75" x14ac:dyDescent="0.25">
      <c r="A61" s="718"/>
      <c r="B61" s="714"/>
      <c r="C61" s="714"/>
      <c r="D61" s="714"/>
      <c r="E61" s="714"/>
      <c r="F61" s="714"/>
      <c r="G61" s="742" t="s">
        <v>2449</v>
      </c>
      <c r="H61" s="725"/>
      <c r="I61" s="728"/>
      <c r="J61" s="754">
        <f>IF(J59&gt;J49,J59,J49)</f>
        <v>12021811.194679379</v>
      </c>
      <c r="K61" s="728"/>
      <c r="L61" s="754">
        <f>IF(L59&gt;L49,L59,L49)</f>
        <v>11219065.251894614</v>
      </c>
    </row>
    <row r="62" spans="1:23" ht="15.75" x14ac:dyDescent="0.25">
      <c r="A62" s="718"/>
      <c r="B62" s="714"/>
      <c r="C62" s="714"/>
      <c r="D62" s="714"/>
      <c r="E62" s="714"/>
      <c r="F62" s="714"/>
      <c r="G62" s="714"/>
      <c r="H62" s="725"/>
      <c r="I62" s="728"/>
      <c r="J62" s="728"/>
      <c r="K62" s="728"/>
      <c r="L62" s="728"/>
      <c r="N62" s="757">
        <f>+J61-J59</f>
        <v>4782130.7234610263</v>
      </c>
    </row>
    <row r="63" spans="1:23" ht="15.75" x14ac:dyDescent="0.25">
      <c r="A63" s="718"/>
      <c r="B63" s="714"/>
      <c r="C63" s="714"/>
      <c r="D63" s="714"/>
      <c r="E63" s="714" t="s">
        <v>2450</v>
      </c>
      <c r="F63" s="714"/>
      <c r="G63" s="714"/>
      <c r="H63" s="725"/>
      <c r="I63" s="728"/>
      <c r="J63" s="758">
        <f>IF(J57&gt;10000000,J61*0.07,0)</f>
        <v>841526.78362755664</v>
      </c>
      <c r="K63" s="728"/>
      <c r="L63" s="758">
        <f>+ROUND(L61*10%,0)</f>
        <v>1121907</v>
      </c>
    </row>
    <row r="64" spans="1:23" ht="15.75" x14ac:dyDescent="0.25">
      <c r="A64" s="718"/>
      <c r="B64" s="714"/>
      <c r="C64" s="714"/>
      <c r="D64" s="714"/>
      <c r="E64" s="714"/>
      <c r="F64" s="714"/>
      <c r="G64" s="714"/>
      <c r="H64" s="725"/>
      <c r="I64" s="728"/>
      <c r="J64" s="739">
        <f>+J61+J63</f>
        <v>12863337.978306936</v>
      </c>
      <c r="K64" s="728"/>
      <c r="L64" s="739">
        <f>+L61+L63</f>
        <v>12340972.251894614</v>
      </c>
    </row>
    <row r="65" spans="1:14" ht="15.75" x14ac:dyDescent="0.25">
      <c r="A65" s="718"/>
      <c r="B65" s="714"/>
      <c r="C65" s="714"/>
      <c r="D65" s="714"/>
      <c r="E65" s="714" t="s">
        <v>3273</v>
      </c>
      <c r="F65" s="714"/>
      <c r="G65" s="714"/>
      <c r="H65" s="725"/>
      <c r="I65" s="728"/>
      <c r="J65" s="758">
        <f>+J64*0.04</f>
        <v>514533.51913227746</v>
      </c>
      <c r="K65" s="728"/>
      <c r="L65" s="758">
        <f>+L64*0.04</f>
        <v>493638.89007578458</v>
      </c>
    </row>
    <row r="66" spans="1:14" ht="15.75" x14ac:dyDescent="0.25">
      <c r="A66" s="718"/>
      <c r="B66" s="714"/>
      <c r="C66" s="714"/>
      <c r="D66" s="714"/>
      <c r="E66" s="713" t="s">
        <v>2451</v>
      </c>
      <c r="F66" s="714"/>
      <c r="G66" s="714"/>
      <c r="H66" s="725"/>
      <c r="I66" s="728"/>
      <c r="J66" s="739">
        <f>J64+J65</f>
        <v>13377871.497439213</v>
      </c>
      <c r="K66" s="728"/>
      <c r="L66" s="739">
        <f>L64+L65</f>
        <v>12834611.141970398</v>
      </c>
      <c r="N66">
        <v>5500000</v>
      </c>
    </row>
    <row r="67" spans="1:14" ht="15.75" x14ac:dyDescent="0.25">
      <c r="A67" s="718"/>
      <c r="B67" s="714"/>
      <c r="C67" s="714"/>
      <c r="D67" s="714"/>
      <c r="E67" s="714"/>
      <c r="F67" s="714"/>
      <c r="G67" s="714"/>
      <c r="H67" s="725"/>
      <c r="I67" s="728"/>
      <c r="J67" s="728"/>
      <c r="K67" s="728"/>
      <c r="L67" s="728"/>
    </row>
    <row r="68" spans="1:14" ht="15.75" x14ac:dyDescent="0.25">
      <c r="A68" s="718"/>
      <c r="B68" s="714"/>
      <c r="C68" s="714"/>
      <c r="D68" s="714"/>
      <c r="E68" s="714" t="s">
        <v>2452</v>
      </c>
      <c r="F68" s="714"/>
      <c r="G68" s="714"/>
      <c r="H68" s="725"/>
      <c r="I68" s="728"/>
      <c r="J68" s="728"/>
      <c r="K68" s="728"/>
      <c r="L68" s="728"/>
    </row>
    <row r="69" spans="1:14" ht="15.75" x14ac:dyDescent="0.25">
      <c r="A69" s="718"/>
      <c r="B69" s="714"/>
      <c r="C69" s="714"/>
      <c r="D69" s="714"/>
      <c r="E69" s="714" t="s">
        <v>2453</v>
      </c>
      <c r="F69" s="714"/>
      <c r="G69" s="714"/>
      <c r="H69" s="759"/>
      <c r="I69" s="741">
        <f>+GETPIVOTDATA("Sum of Dr. Final HYR",Pivot!$A$3,"PARTICULARS","TCS on  CHEMICAL","Note",12,"BS Main Head","Long Term Loans &amp; Advances","BS Sub Head","Advance Income Tax")+GETPIVOTDATA("Sum of Dr. Final HYR",Pivot!$A$3,"PARTICULARS","TCS ON WP","Note",12,"BS Main Head","Long Term Loans &amp; Advances","BS Sub Head","Advance Income Tax")+GETPIVOTDATA("Sum of Dr. Final HYR",Pivot!$A$3,"PARTICULARS","TDS (A Y 2021-2022)","Note",12,"BS Main Head","Long Term Loans &amp; Advances","BS Sub Head","Advance Income Tax")+GETPIVOTDATA("Sum of Dr. Final HYR",Pivot!$A$3,"PARTICULARS","T C S F.Y. 2020-21","Note",12,"BS Main Head","Long Term Loans &amp; Advances","BS Sub Head","Advance Income Tax")</f>
        <v>81127.240000000005</v>
      </c>
      <c r="J69" s="741"/>
      <c r="K69" s="741">
        <f>+I69</f>
        <v>81127.240000000005</v>
      </c>
      <c r="L69" s="741"/>
    </row>
    <row r="70" spans="1:14" ht="15.75" x14ac:dyDescent="0.25">
      <c r="A70" s="718"/>
      <c r="B70" s="714"/>
      <c r="C70" s="714"/>
      <c r="D70" s="714"/>
      <c r="E70" s="714" t="s">
        <v>2454</v>
      </c>
      <c r="F70" s="714"/>
      <c r="G70" s="714"/>
      <c r="H70" s="740"/>
      <c r="I70" s="741">
        <v>0</v>
      </c>
      <c r="J70" s="741"/>
      <c r="K70" s="741">
        <v>0</v>
      </c>
      <c r="L70" s="741"/>
    </row>
    <row r="71" spans="1:14" ht="15.75" x14ac:dyDescent="0.25">
      <c r="A71" s="718"/>
      <c r="B71" s="714"/>
      <c r="C71" s="714"/>
      <c r="D71" s="714"/>
      <c r="E71" s="714" t="s">
        <v>2455</v>
      </c>
      <c r="F71" s="714"/>
      <c r="G71" s="714"/>
      <c r="H71" s="740"/>
      <c r="I71" s="738">
        <f>+GETPIVOTDATA("Sum of Dr. Final HYR",Pivot!$A$3,"PARTICULARS","Advance Income Tax (A.Y. 2021-22)","Note",12,"BS Main Head","Long Term Loans &amp; Advances","BS Sub Head","Advance Income Tax")</f>
        <v>13000000</v>
      </c>
      <c r="J71" s="760">
        <f>SUM(I69:I71)</f>
        <v>13081127.24</v>
      </c>
      <c r="K71" s="741">
        <f>+I71</f>
        <v>13000000</v>
      </c>
      <c r="L71" s="760">
        <f>SUM(K69:K71)</f>
        <v>13081127.24</v>
      </c>
    </row>
    <row r="72" spans="1:14" ht="15.75" x14ac:dyDescent="0.25">
      <c r="A72" s="718"/>
      <c r="B72" s="714"/>
      <c r="C72" s="714"/>
      <c r="D72" s="714"/>
      <c r="E72" s="713"/>
      <c r="F72" s="714"/>
      <c r="G72" s="761"/>
      <c r="H72" s="725"/>
      <c r="I72" s="728"/>
      <c r="J72" s="745">
        <f>J66-J71</f>
        <v>296744.25743921287</v>
      </c>
      <c r="K72" s="728"/>
      <c r="L72" s="745">
        <f>L66-L71</f>
        <v>-246516.09802960232</v>
      </c>
    </row>
    <row r="73" spans="1:14" ht="15.75" x14ac:dyDescent="0.25">
      <c r="A73" s="718"/>
      <c r="B73" s="714"/>
      <c r="C73" s="714"/>
      <c r="D73" s="714"/>
      <c r="E73" s="714" t="s">
        <v>2456</v>
      </c>
      <c r="F73" s="714"/>
      <c r="G73" s="714"/>
      <c r="H73" s="725"/>
      <c r="I73" s="728"/>
      <c r="J73" s="728">
        <f>+W52</f>
        <v>271485.58500068024</v>
      </c>
      <c r="K73" s="728"/>
      <c r="L73" s="728">
        <f>+W59</f>
        <v>246516.0980298011</v>
      </c>
    </row>
    <row r="74" spans="1:14" ht="15.75" x14ac:dyDescent="0.25">
      <c r="A74" s="718"/>
      <c r="B74" s="714"/>
      <c r="C74" s="714"/>
      <c r="D74" s="714"/>
      <c r="E74" s="714"/>
      <c r="F74" s="714"/>
      <c r="G74" s="714"/>
      <c r="H74" s="725"/>
      <c r="I74" s="728"/>
      <c r="J74" s="739">
        <f>J72+J73</f>
        <v>568229.84243989317</v>
      </c>
      <c r="K74" s="728"/>
      <c r="L74" s="739">
        <f>L72+L73</f>
        <v>1.987791620194912E-7</v>
      </c>
    </row>
    <row r="75" spans="1:14" ht="15.75" x14ac:dyDescent="0.25">
      <c r="A75" s="718"/>
      <c r="B75" s="714"/>
      <c r="C75" s="714"/>
      <c r="D75" s="714"/>
      <c r="E75" s="714" t="s">
        <v>2457</v>
      </c>
      <c r="F75" s="714"/>
      <c r="G75" s="714"/>
      <c r="H75" s="725"/>
      <c r="I75" s="728"/>
      <c r="J75" s="762">
        <v>0</v>
      </c>
      <c r="K75" s="728"/>
      <c r="L75" s="762">
        <v>0</v>
      </c>
    </row>
    <row r="76" spans="1:14" ht="15.75" x14ac:dyDescent="0.25">
      <c r="A76" s="718"/>
      <c r="B76" s="713"/>
      <c r="C76" s="713"/>
      <c r="D76" s="714"/>
      <c r="E76" s="713" t="s">
        <v>2458</v>
      </c>
      <c r="F76" s="714"/>
      <c r="G76" s="763"/>
      <c r="H76" s="725"/>
      <c r="I76" s="728"/>
      <c r="J76" s="764">
        <f>J74-J75</f>
        <v>568229.84243989317</v>
      </c>
      <c r="K76" s="728"/>
      <c r="L76" s="764">
        <f>L74-L75</f>
        <v>1.987791620194912E-7</v>
      </c>
    </row>
    <row r="77" spans="1:14" ht="15.75" x14ac:dyDescent="0.25">
      <c r="A77" s="765"/>
      <c r="B77" s="766"/>
      <c r="C77" s="766"/>
      <c r="D77" s="766"/>
      <c r="E77" s="766"/>
      <c r="F77" s="766"/>
      <c r="G77" s="766"/>
      <c r="H77" s="767"/>
      <c r="I77" s="748"/>
      <c r="J77" s="748"/>
      <c r="K77" s="748"/>
      <c r="L77" s="748"/>
    </row>
    <row r="78" spans="1:14" ht="15.75" x14ac:dyDescent="0.25">
      <c r="A78" s="718"/>
      <c r="B78" s="714"/>
      <c r="C78" s="714"/>
      <c r="D78" s="714"/>
      <c r="E78" s="714"/>
      <c r="F78" s="714"/>
      <c r="G78" s="714"/>
      <c r="H78" s="719"/>
      <c r="I78" s="719"/>
      <c r="J78" s="719"/>
      <c r="K78" s="719"/>
      <c r="L78" s="768"/>
    </row>
    <row r="79" spans="1:14" ht="15.75" x14ac:dyDescent="0.25">
      <c r="A79" s="718"/>
      <c r="K79" s="719"/>
      <c r="L79" s="769"/>
    </row>
    <row r="80" spans="1:14" ht="15.75" x14ac:dyDescent="0.25">
      <c r="A80" s="714"/>
      <c r="B80" t="s">
        <v>3265</v>
      </c>
      <c r="K80" s="714"/>
      <c r="L80" s="771"/>
    </row>
    <row r="81" spans="1:12" ht="15.75" x14ac:dyDescent="0.25">
      <c r="A81" s="714"/>
      <c r="K81" s="714"/>
      <c r="L81" s="771"/>
    </row>
    <row r="82" spans="1:12" ht="15.75" x14ac:dyDescent="0.25">
      <c r="A82" s="714"/>
      <c r="B82" s="1884" t="s">
        <v>9</v>
      </c>
      <c r="C82" s="1885"/>
      <c r="D82" s="1885"/>
      <c r="E82" s="1886"/>
      <c r="F82" s="1890" t="s">
        <v>3266</v>
      </c>
      <c r="G82" s="1892" t="s">
        <v>3267</v>
      </c>
      <c r="H82" s="1893"/>
      <c r="I82" s="1894" t="s">
        <v>1079</v>
      </c>
      <c r="J82" s="1894" t="s">
        <v>1417</v>
      </c>
      <c r="K82" s="714"/>
      <c r="L82" s="771"/>
    </row>
    <row r="83" spans="1:12" ht="15.75" x14ac:dyDescent="0.25">
      <c r="A83" s="714"/>
      <c r="B83" s="1887"/>
      <c r="C83" s="1888"/>
      <c r="D83" s="1888"/>
      <c r="E83" s="1889"/>
      <c r="F83" s="1891"/>
      <c r="G83" s="301" t="s">
        <v>3268</v>
      </c>
      <c r="H83" s="301" t="s">
        <v>3269</v>
      </c>
      <c r="I83" s="1895"/>
      <c r="J83" s="1895"/>
      <c r="K83" s="714"/>
      <c r="L83" s="771"/>
    </row>
    <row r="84" spans="1:12" ht="15.75" x14ac:dyDescent="0.25">
      <c r="A84" s="714"/>
      <c r="B84" s="1896" t="s">
        <v>3270</v>
      </c>
      <c r="C84" s="1897"/>
      <c r="D84" s="1897"/>
      <c r="E84" s="1898"/>
      <c r="F84" s="304">
        <v>0</v>
      </c>
      <c r="G84" s="304">
        <f>+I84-H84</f>
        <v>18395606</v>
      </c>
      <c r="H84" s="304">
        <v>10039411</v>
      </c>
      <c r="I84" s="304">
        <v>28435017</v>
      </c>
      <c r="J84" s="1286">
        <f>+I84</f>
        <v>28435017</v>
      </c>
      <c r="K84" s="714"/>
      <c r="L84" s="771"/>
    </row>
    <row r="85" spans="1:12" ht="15.75" x14ac:dyDescent="0.25">
      <c r="A85" s="714"/>
      <c r="B85" s="1896" t="s">
        <v>3271</v>
      </c>
      <c r="C85" s="1897"/>
      <c r="D85" s="1897"/>
      <c r="E85" s="1898"/>
      <c r="F85" s="304">
        <v>0</v>
      </c>
      <c r="G85" s="1286">
        <f>+I85-H85</f>
        <v>-11260589</v>
      </c>
      <c r="H85" s="304">
        <v>-10039411</v>
      </c>
      <c r="I85" s="304">
        <v>-21300000</v>
      </c>
      <c r="J85" s="1286">
        <f>+J84+I85</f>
        <v>7135017</v>
      </c>
      <c r="K85" s="714"/>
      <c r="L85" s="771"/>
    </row>
    <row r="86" spans="1:12" ht="15.75" x14ac:dyDescent="0.25">
      <c r="A86" s="714"/>
      <c r="B86" s="1892" t="s">
        <v>1417</v>
      </c>
      <c r="C86" s="1899"/>
      <c r="D86" s="1899"/>
      <c r="E86" s="1893"/>
      <c r="F86" s="302">
        <v>0</v>
      </c>
      <c r="G86" s="1287">
        <f>+SUM(G84:G85)</f>
        <v>7135017</v>
      </c>
      <c r="H86" s="1287">
        <f>+SUM(H84:H85)</f>
        <v>0</v>
      </c>
      <c r="I86" s="260"/>
      <c r="J86" s="260"/>
      <c r="K86" s="714"/>
      <c r="L86" s="771"/>
    </row>
    <row r="87" spans="1:12" ht="15.75" x14ac:dyDescent="0.25">
      <c r="A87" s="714"/>
      <c r="B87" s="1896" t="s">
        <v>3272</v>
      </c>
      <c r="C87" s="1897"/>
      <c r="D87" s="1897"/>
      <c r="E87" s="1898"/>
      <c r="F87" s="304">
        <v>0</v>
      </c>
      <c r="G87" s="304">
        <v>-1635017</v>
      </c>
      <c r="H87" s="304">
        <v>0</v>
      </c>
      <c r="I87" s="304">
        <f>+SUM(G87:H87)</f>
        <v>-1635017</v>
      </c>
      <c r="J87" s="1286">
        <f>+J85+I87</f>
        <v>5500000</v>
      </c>
      <c r="K87" s="714"/>
      <c r="L87" s="771"/>
    </row>
    <row r="88" spans="1:12" ht="15.75" x14ac:dyDescent="0.25">
      <c r="A88" s="714"/>
      <c r="B88" s="1896"/>
      <c r="C88" s="1897"/>
      <c r="D88" s="1897"/>
      <c r="E88" s="1898"/>
      <c r="F88" s="260"/>
      <c r="G88" s="260"/>
      <c r="H88" s="260"/>
      <c r="I88" s="260"/>
      <c r="J88" s="260"/>
      <c r="K88" s="714"/>
      <c r="L88" s="771"/>
    </row>
    <row r="89" spans="1:12" ht="15.75" x14ac:dyDescent="0.25">
      <c r="A89" s="714"/>
      <c r="B89" s="714"/>
      <c r="C89" s="714"/>
      <c r="D89" s="714"/>
      <c r="E89" s="714"/>
      <c r="F89" s="714"/>
      <c r="G89" s="714"/>
      <c r="H89" s="714"/>
      <c r="I89" s="714"/>
      <c r="J89" s="714"/>
      <c r="K89" s="714"/>
      <c r="L89" s="771"/>
    </row>
    <row r="90" spans="1:12" ht="15.75" x14ac:dyDescent="0.25">
      <c r="A90" s="714"/>
      <c r="B90" s="714"/>
      <c r="C90" s="714"/>
      <c r="D90" s="714"/>
      <c r="E90" s="714"/>
      <c r="F90" s="714"/>
      <c r="G90" s="714"/>
      <c r="H90" s="714"/>
      <c r="I90" s="714"/>
      <c r="J90" s="714"/>
      <c r="K90" s="714"/>
      <c r="L90" s="771"/>
    </row>
    <row r="91" spans="1:12" ht="15.75" x14ac:dyDescent="0.25">
      <c r="A91" s="714"/>
      <c r="B91" s="714"/>
      <c r="C91" s="714"/>
      <c r="D91" s="714"/>
      <c r="E91" s="714"/>
      <c r="F91" s="714"/>
      <c r="G91" s="714"/>
      <c r="H91" s="714"/>
      <c r="I91" s="714"/>
      <c r="J91" s="714"/>
      <c r="K91" s="714"/>
      <c r="L91" s="771"/>
    </row>
    <row r="92" spans="1:12" ht="15.75" x14ac:dyDescent="0.25">
      <c r="A92" s="714"/>
      <c r="B92" s="714"/>
      <c r="C92" s="714"/>
      <c r="D92" s="714"/>
      <c r="E92" s="714"/>
      <c r="F92" s="714"/>
      <c r="G92" s="714"/>
      <c r="H92" s="714"/>
      <c r="I92" s="714"/>
      <c r="J92" s="714"/>
      <c r="K92" s="714"/>
      <c r="L92" s="771"/>
    </row>
    <row r="93" spans="1:12" ht="15.75" x14ac:dyDescent="0.25">
      <c r="A93" s="714"/>
      <c r="B93" s="714"/>
      <c r="C93" s="714"/>
      <c r="D93" s="714"/>
      <c r="E93" s="714"/>
      <c r="F93" s="714"/>
      <c r="G93" s="714"/>
      <c r="H93" s="714"/>
      <c r="I93" s="714"/>
      <c r="J93" s="714"/>
      <c r="K93" s="714"/>
      <c r="L93" s="771"/>
    </row>
    <row r="94" spans="1:12" ht="15.75" x14ac:dyDescent="0.25">
      <c r="A94" s="714"/>
      <c r="B94" s="714"/>
      <c r="C94" s="714"/>
      <c r="D94" s="714"/>
      <c r="E94" s="714"/>
      <c r="F94" s="714"/>
      <c r="G94" s="714"/>
      <c r="H94" s="714"/>
      <c r="I94" s="714"/>
      <c r="J94" s="714"/>
      <c r="K94" s="714"/>
      <c r="L94" s="771"/>
    </row>
    <row r="95" spans="1:12" ht="15.75" x14ac:dyDescent="0.25">
      <c r="A95" s="714"/>
      <c r="B95" s="714"/>
      <c r="C95" s="714"/>
      <c r="D95" s="714"/>
      <c r="E95" s="714"/>
      <c r="F95" s="714"/>
      <c r="G95" s="714"/>
      <c r="H95" s="714"/>
      <c r="I95" s="714"/>
      <c r="J95" s="714"/>
      <c r="K95" s="714"/>
      <c r="L95" s="771"/>
    </row>
    <row r="96" spans="1:12" ht="15.75" x14ac:dyDescent="0.25">
      <c r="A96" s="714"/>
      <c r="B96" s="714"/>
      <c r="C96" s="714"/>
      <c r="D96" s="714"/>
      <c r="E96" s="714"/>
      <c r="F96" s="714"/>
      <c r="G96" s="714"/>
      <c r="H96" s="714"/>
      <c r="I96" s="714"/>
      <c r="J96" s="714"/>
      <c r="K96" s="714"/>
      <c r="L96" s="771"/>
    </row>
    <row r="97" spans="1:12" ht="15.75" x14ac:dyDescent="0.25">
      <c r="A97" s="714"/>
      <c r="B97" s="714"/>
      <c r="C97" s="714"/>
      <c r="D97" s="714"/>
      <c r="E97" s="714"/>
      <c r="F97" s="714"/>
      <c r="G97" s="714"/>
      <c r="H97" s="719"/>
      <c r="I97" s="719"/>
      <c r="J97" s="719"/>
      <c r="K97" s="719"/>
      <c r="L97" s="770"/>
    </row>
    <row r="98" spans="1:12" ht="15.75" x14ac:dyDescent="0.25">
      <c r="A98" s="772" t="s">
        <v>2460</v>
      </c>
      <c r="B98" s="714"/>
      <c r="C98" s="714"/>
      <c r="D98" s="714"/>
      <c r="E98" s="714"/>
      <c r="F98" s="714"/>
      <c r="G98" s="714"/>
      <c r="H98" s="719"/>
      <c r="I98" s="719"/>
      <c r="J98" s="719"/>
      <c r="K98" s="719"/>
      <c r="L98" s="770"/>
    </row>
    <row r="99" spans="1:12" ht="15.75" x14ac:dyDescent="0.25">
      <c r="A99" s="714"/>
      <c r="B99" s="714"/>
      <c r="C99" s="714"/>
      <c r="D99" s="714"/>
      <c r="E99" s="714"/>
      <c r="F99" s="714"/>
      <c r="G99" s="714"/>
      <c r="H99" s="719"/>
      <c r="I99" s="719"/>
      <c r="J99" s="719"/>
      <c r="K99" s="719"/>
      <c r="L99" s="770"/>
    </row>
    <row r="100" spans="1:12" ht="15.75" x14ac:dyDescent="0.25">
      <c r="A100" s="773" t="s">
        <v>2461</v>
      </c>
      <c r="B100" s="774"/>
      <c r="C100" s="774"/>
      <c r="D100" s="774"/>
      <c r="E100" s="714"/>
      <c r="F100" s="714"/>
      <c r="G100" s="714"/>
      <c r="H100" s="775"/>
      <c r="I100" s="775" t="s">
        <v>2462</v>
      </c>
      <c r="J100" s="776"/>
      <c r="K100" s="776"/>
      <c r="L100" s="770"/>
    </row>
    <row r="101" spans="1:12" ht="15.75" x14ac:dyDescent="0.25">
      <c r="A101" s="713" t="s">
        <v>2463</v>
      </c>
      <c r="B101" s="714"/>
      <c r="C101" s="743"/>
      <c r="D101" s="714"/>
      <c r="E101" s="714"/>
      <c r="F101" s="714"/>
      <c r="G101" s="714"/>
      <c r="H101" s="777"/>
      <c r="I101" s="778" t="s">
        <v>2464</v>
      </c>
      <c r="J101" s="779" t="s">
        <v>2465</v>
      </c>
      <c r="K101" s="780"/>
      <c r="L101" s="770"/>
    </row>
    <row r="102" spans="1:12" ht="15.75" x14ac:dyDescent="0.25">
      <c r="A102" s="713"/>
      <c r="B102" s="714"/>
      <c r="C102" s="743"/>
      <c r="D102" s="714"/>
      <c r="E102" s="714"/>
      <c r="F102" s="714"/>
      <c r="G102" s="714"/>
      <c r="H102" s="777"/>
      <c r="I102" s="781">
        <f>J49</f>
        <v>12021811.194679379</v>
      </c>
      <c r="J102" s="782">
        <f>J59</f>
        <v>7239680.4712183531</v>
      </c>
      <c r="K102" s="783"/>
      <c r="L102" s="770"/>
    </row>
    <row r="103" spans="1:12" ht="15.75" x14ac:dyDescent="0.25">
      <c r="A103" s="714" t="s">
        <v>2466</v>
      </c>
      <c r="B103" s="714"/>
      <c r="C103" s="743">
        <f>'[67]Balance Sheet'!F28</f>
        <v>0</v>
      </c>
      <c r="D103" s="714"/>
      <c r="E103" s="714"/>
      <c r="F103" s="714"/>
      <c r="G103" s="714"/>
      <c r="H103" s="784" t="s">
        <v>2467</v>
      </c>
      <c r="I103" s="781">
        <f>I102*7%</f>
        <v>841526.78362755664</v>
      </c>
      <c r="J103" s="782">
        <f>J102*7%</f>
        <v>506777.63298528478</v>
      </c>
      <c r="K103" s="783"/>
      <c r="L103" s="770"/>
    </row>
    <row r="104" spans="1:12" ht="15.75" x14ac:dyDescent="0.25">
      <c r="A104" s="714" t="s">
        <v>2468</v>
      </c>
      <c r="B104" s="714"/>
      <c r="C104" s="743">
        <f>'[67]Balance Sheet'!F29</f>
        <v>26922650</v>
      </c>
      <c r="D104" s="714"/>
      <c r="E104" s="714"/>
      <c r="F104" s="714"/>
      <c r="G104" s="714"/>
      <c r="H104" s="784" t="s">
        <v>2469</v>
      </c>
      <c r="I104" s="785">
        <f>SUM(I102:I103)*3%</f>
        <v>385900.1393492081</v>
      </c>
      <c r="J104" s="786">
        <f>SUM(J102:J103)*3%</f>
        <v>232393.74312610913</v>
      </c>
      <c r="K104" s="783"/>
      <c r="L104" s="770"/>
    </row>
    <row r="105" spans="1:12" ht="15.75" x14ac:dyDescent="0.25">
      <c r="A105" s="714" t="s">
        <v>2470</v>
      </c>
      <c r="B105" s="714"/>
      <c r="C105" s="743">
        <f>'[67]Balance Sheet'!F33</f>
        <v>26922640</v>
      </c>
      <c r="D105" s="787">
        <f>C103+C104+C105</f>
        <v>53845290</v>
      </c>
      <c r="E105" s="714"/>
      <c r="F105" s="714"/>
      <c r="G105" s="714"/>
      <c r="H105" s="777"/>
      <c r="I105" s="781">
        <f>SUM(I102:I104)</f>
        <v>13249238.117656143</v>
      </c>
      <c r="J105" s="782">
        <f>SUM(J102:J104)</f>
        <v>7978851.8473297469</v>
      </c>
      <c r="K105" s="788">
        <f>J105-I105</f>
        <v>-5270386.2703263965</v>
      </c>
      <c r="L105" s="770"/>
    </row>
    <row r="106" spans="1:12" ht="15.75" x14ac:dyDescent="0.25">
      <c r="A106" s="714" t="s">
        <v>2471</v>
      </c>
      <c r="B106" s="714"/>
      <c r="C106" s="714"/>
      <c r="D106" s="714"/>
      <c r="E106" s="714"/>
      <c r="F106" s="714"/>
      <c r="G106" s="714"/>
      <c r="H106" s="777"/>
      <c r="I106" s="789"/>
      <c r="J106" s="790"/>
      <c r="K106" s="791"/>
      <c r="L106" s="770"/>
    </row>
    <row r="107" spans="1:12" ht="15.75" x14ac:dyDescent="0.25">
      <c r="A107" s="714"/>
      <c r="B107" s="714"/>
      <c r="C107" s="714"/>
      <c r="D107" s="714"/>
      <c r="E107" s="714"/>
      <c r="F107" s="714"/>
      <c r="G107" s="714"/>
      <c r="H107" s="719"/>
      <c r="I107" s="719"/>
      <c r="J107" s="719"/>
      <c r="K107" s="719"/>
      <c r="L107" s="770"/>
    </row>
    <row r="108" spans="1:12" ht="15.75" x14ac:dyDescent="0.25">
      <c r="A108" s="714"/>
      <c r="B108" s="714"/>
      <c r="C108" s="714"/>
      <c r="D108" s="714"/>
      <c r="E108" s="714"/>
      <c r="F108" s="714"/>
      <c r="G108" s="714"/>
      <c r="H108" s="719"/>
      <c r="I108" s="719"/>
      <c r="J108" s="719"/>
      <c r="K108" s="719"/>
      <c r="L108" s="770"/>
    </row>
    <row r="109" spans="1:12" ht="15.75" x14ac:dyDescent="0.25">
      <c r="A109" s="714" t="s">
        <v>2472</v>
      </c>
      <c r="B109" s="714"/>
      <c r="C109" s="714">
        <v>0</v>
      </c>
      <c r="D109" s="714">
        <f>C109</f>
        <v>0</v>
      </c>
      <c r="E109" s="714"/>
      <c r="F109" s="714"/>
      <c r="G109" s="714"/>
      <c r="H109" s="719"/>
      <c r="I109" s="719"/>
      <c r="J109" s="719"/>
      <c r="K109" s="719"/>
      <c r="L109" s="770"/>
    </row>
    <row r="110" spans="1:12" ht="15.75" x14ac:dyDescent="0.25">
      <c r="A110" s="714"/>
      <c r="B110" s="714"/>
      <c r="C110" s="714"/>
      <c r="D110" s="743">
        <f>D105-D109</f>
        <v>53845290</v>
      </c>
      <c r="E110" s="714"/>
      <c r="F110" s="714"/>
      <c r="G110" s="714"/>
      <c r="H110" s="719"/>
      <c r="I110" s="719"/>
      <c r="J110" s="719"/>
      <c r="K110" s="719"/>
      <c r="L110" s="770"/>
    </row>
    <row r="111" spans="1:12" ht="15.75" x14ac:dyDescent="0.25">
      <c r="A111" s="714"/>
      <c r="B111" s="714"/>
      <c r="C111" s="714"/>
      <c r="D111" s="714"/>
      <c r="E111" s="714"/>
      <c r="F111" s="714"/>
      <c r="G111" s="714"/>
      <c r="H111" s="719"/>
      <c r="I111" s="719"/>
      <c r="J111" s="719"/>
      <c r="K111" s="719"/>
      <c r="L111" s="770"/>
    </row>
    <row r="112" spans="1:12" ht="15.75" x14ac:dyDescent="0.25">
      <c r="A112" s="714" t="s">
        <v>2473</v>
      </c>
      <c r="B112" s="714"/>
      <c r="C112" s="714"/>
      <c r="D112" s="714"/>
      <c r="E112" s="714"/>
      <c r="F112" s="714"/>
      <c r="G112" s="714"/>
      <c r="H112" s="719"/>
      <c r="I112" s="719"/>
      <c r="J112" s="719"/>
      <c r="K112" s="719"/>
      <c r="L112" s="770"/>
    </row>
    <row r="113" spans="1:12" ht="15.75" x14ac:dyDescent="0.25">
      <c r="A113" s="713" t="s">
        <v>2474</v>
      </c>
      <c r="B113" s="714"/>
      <c r="C113" s="714"/>
      <c r="D113" s="792" t="s">
        <v>2475</v>
      </c>
      <c r="E113" s="793"/>
      <c r="F113" s="794" t="s">
        <v>2476</v>
      </c>
      <c r="G113" s="794" t="s">
        <v>2477</v>
      </c>
      <c r="H113" s="719"/>
      <c r="I113" s="719"/>
      <c r="J113" s="719"/>
      <c r="K113" s="719"/>
      <c r="L113" s="770"/>
    </row>
    <row r="114" spans="1:12" ht="15.75" x14ac:dyDescent="0.25">
      <c r="A114" s="795">
        <v>50000000</v>
      </c>
      <c r="B114" s="743">
        <v>1000000000</v>
      </c>
      <c r="C114" s="714"/>
      <c r="D114" s="796"/>
      <c r="E114" s="797"/>
      <c r="F114" s="798"/>
      <c r="G114" s="799"/>
      <c r="H114" s="719"/>
      <c r="I114" s="719"/>
      <c r="J114" s="719"/>
      <c r="K114" s="719"/>
      <c r="L114" s="770"/>
    </row>
    <row r="115" spans="1:12" ht="15.75" x14ac:dyDescent="0.25">
      <c r="A115" s="714"/>
      <c r="B115" s="743"/>
      <c r="C115" s="714"/>
      <c r="D115" s="800">
        <f>4200000</f>
        <v>4200000</v>
      </c>
      <c r="E115" s="801"/>
      <c r="F115" s="802">
        <v>2040000</v>
      </c>
      <c r="G115" s="803">
        <f>D115-F115</f>
        <v>2160000</v>
      </c>
      <c r="H115" s="719"/>
      <c r="I115" s="719"/>
      <c r="J115" s="719"/>
      <c r="K115" s="719"/>
      <c r="L115" s="770"/>
    </row>
  </sheetData>
  <customSheetViews>
    <customSheetView guid="{334DC1DD-AD60-4D12-A532-9CEE6201A253}" topLeftCell="A85">
      <selection activeCell="I33" sqref="I33"/>
      <pageMargins left="0.7" right="0.7" top="0.75" bottom="0.75" header="0.3" footer="0.3"/>
    </customSheetView>
    <customSheetView guid="{BD5AA3B3-719E-4481-B722-8DE3E8101662}" topLeftCell="A85">
      <selection activeCell="I33" sqref="I33"/>
      <pageMargins left="0.7" right="0.7" top="0.75" bottom="0.75" header="0.3" footer="0.3"/>
    </customSheetView>
  </customSheetViews>
  <mergeCells count="15">
    <mergeCell ref="B84:E84"/>
    <mergeCell ref="B85:E85"/>
    <mergeCell ref="B86:E86"/>
    <mergeCell ref="B87:E87"/>
    <mergeCell ref="B88:E88"/>
    <mergeCell ref="B82:E83"/>
    <mergeCell ref="F82:F83"/>
    <mergeCell ref="G82:H82"/>
    <mergeCell ref="I82:I83"/>
    <mergeCell ref="J82:J83"/>
    <mergeCell ref="A11:L11"/>
    <mergeCell ref="I12:J12"/>
    <mergeCell ref="K12:L12"/>
    <mergeCell ref="I13:J13"/>
    <mergeCell ref="A52:H52"/>
  </mergeCells>
  <pageMargins left="0.7" right="0.7" top="0.75" bottom="0.75" header="0.3" footer="0.3"/>
  <pageSetup scale="46" orientation="portrait" r:id="rId1"/>
  <rowBreaks count="1" manualBreakCount="1">
    <brk id="77"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3:Q78"/>
  <sheetViews>
    <sheetView view="pageBreakPreview" topLeftCell="A19" zoomScale="60" zoomScaleNormal="65" workbookViewId="0">
      <selection activeCell="J44" sqref="J44"/>
    </sheetView>
  </sheetViews>
  <sheetFormatPr defaultColWidth="8" defaultRowHeight="15" x14ac:dyDescent="0.25"/>
  <cols>
    <col min="1" max="1" width="9.140625" style="1103" customWidth="1"/>
    <col min="2" max="2" width="8" style="1102" customWidth="1"/>
    <col min="3" max="3" width="27.42578125" style="1103" customWidth="1"/>
    <col min="4" max="4" width="17.42578125" style="1103" customWidth="1"/>
    <col min="5" max="5" width="19.85546875" style="1103" bestFit="1" customWidth="1"/>
    <col min="6" max="6" width="18" style="1038" bestFit="1" customWidth="1"/>
    <col min="7" max="7" width="17.28515625" style="1103" bestFit="1" customWidth="1"/>
    <col min="8" max="8" width="18.42578125" style="1103" hidden="1" customWidth="1"/>
    <col min="9" max="9" width="20" style="1103" hidden="1" customWidth="1"/>
    <col min="10" max="10" width="15.140625" style="1103" bestFit="1" customWidth="1"/>
    <col min="11" max="11" width="18.5703125" style="1103" bestFit="1" customWidth="1"/>
    <col min="12" max="12" width="18" style="1103" customWidth="1"/>
    <col min="13" max="13" width="23.28515625" style="1103" customWidth="1"/>
    <col min="14" max="14" width="25.85546875" style="1103" customWidth="1"/>
    <col min="15" max="15" width="22.28515625" style="1103" customWidth="1"/>
    <col min="16" max="16" width="20.42578125" style="1103" bestFit="1" customWidth="1"/>
    <col min="17" max="17" width="21.85546875" style="1103" customWidth="1"/>
    <col min="18" max="16384" width="8" style="1103"/>
  </cols>
  <sheetData>
    <row r="3" spans="2:17" x14ac:dyDescent="0.25">
      <c r="L3" s="1104"/>
      <c r="M3" s="1104"/>
    </row>
    <row r="4" spans="2:17" x14ac:dyDescent="0.25">
      <c r="B4" s="1903" t="s">
        <v>3130</v>
      </c>
      <c r="C4" s="1904"/>
      <c r="D4" s="1904"/>
      <c r="E4" s="1904"/>
      <c r="F4" s="1904"/>
      <c r="G4" s="1904"/>
      <c r="H4" s="1904"/>
      <c r="I4" s="1904"/>
      <c r="J4" s="1904"/>
      <c r="K4" s="1904"/>
      <c r="L4" s="1904"/>
      <c r="M4" s="1904"/>
      <c r="N4" s="1904"/>
      <c r="O4" s="1904"/>
      <c r="P4" s="1904"/>
      <c r="Q4" s="1905"/>
    </row>
    <row r="5" spans="2:17" x14ac:dyDescent="0.25">
      <c r="B5" s="1105"/>
      <c r="C5" s="1106"/>
      <c r="D5" s="1106"/>
      <c r="E5" s="1106"/>
      <c r="F5" s="1039"/>
      <c r="G5" s="1106"/>
      <c r="H5" s="1106"/>
      <c r="I5" s="1106"/>
      <c r="J5" s="1106"/>
      <c r="K5" s="1106"/>
      <c r="L5" s="1106"/>
      <c r="M5" s="1106"/>
      <c r="N5" s="1106"/>
      <c r="O5" s="1106"/>
      <c r="P5" s="1106"/>
      <c r="Q5" s="1107"/>
    </row>
    <row r="6" spans="2:17" x14ac:dyDescent="0.25">
      <c r="B6" s="1906" t="s">
        <v>3178</v>
      </c>
      <c r="C6" s="1907"/>
      <c r="D6" s="1907"/>
      <c r="E6" s="1907"/>
      <c r="F6" s="1907"/>
      <c r="G6" s="1907"/>
      <c r="H6" s="1907"/>
      <c r="I6" s="1907"/>
      <c r="J6" s="1907"/>
      <c r="K6" s="1907"/>
      <c r="L6" s="1907"/>
      <c r="M6" s="1907"/>
      <c r="N6" s="1907"/>
      <c r="O6" s="1907"/>
      <c r="P6" s="1907"/>
      <c r="Q6" s="1908"/>
    </row>
    <row r="7" spans="2:17" x14ac:dyDescent="0.25">
      <c r="B7" s="1108"/>
      <c r="C7" s="1109"/>
      <c r="D7" s="1109"/>
      <c r="E7" s="1109"/>
      <c r="F7" s="1039"/>
      <c r="G7" s="1109"/>
      <c r="H7" s="1109"/>
      <c r="I7" s="1109"/>
      <c r="J7" s="1109"/>
      <c r="K7" s="1109"/>
      <c r="L7" s="1109"/>
      <c r="M7" s="1109"/>
      <c r="N7" s="1109"/>
      <c r="O7" s="1109"/>
      <c r="P7" s="1109"/>
      <c r="Q7" s="1107"/>
    </row>
    <row r="8" spans="2:17" x14ac:dyDescent="0.25">
      <c r="B8" s="1909" t="s">
        <v>3131</v>
      </c>
      <c r="C8" s="1910"/>
      <c r="D8" s="1910"/>
      <c r="E8" s="1910"/>
      <c r="F8" s="1910"/>
      <c r="G8" s="1910"/>
      <c r="H8" s="1910"/>
      <c r="I8" s="1910"/>
      <c r="J8" s="1910"/>
      <c r="K8" s="1910"/>
      <c r="L8" s="1910"/>
      <c r="M8" s="1910"/>
      <c r="N8" s="1910"/>
      <c r="O8" s="1910"/>
      <c r="P8" s="1910"/>
      <c r="Q8" s="1911"/>
    </row>
    <row r="9" spans="2:17" x14ac:dyDescent="0.25">
      <c r="B9" s="1105"/>
      <c r="C9" s="1106"/>
      <c r="D9" s="1106"/>
      <c r="E9" s="1106"/>
      <c r="F9" s="1039"/>
      <c r="G9" s="1106"/>
      <c r="H9" s="1106"/>
      <c r="I9" s="1106"/>
      <c r="J9" s="1106"/>
      <c r="K9" s="1106"/>
      <c r="L9" s="1106"/>
      <c r="M9" s="1106"/>
      <c r="N9" s="1106"/>
      <c r="O9" s="1106"/>
      <c r="P9" s="1106"/>
      <c r="Q9" s="1107"/>
    </row>
    <row r="10" spans="2:17" x14ac:dyDescent="0.25">
      <c r="B10" s="1912" t="s">
        <v>3132</v>
      </c>
      <c r="C10" s="1913"/>
      <c r="D10" s="1913"/>
      <c r="E10" s="1913"/>
      <c r="F10" s="1913"/>
      <c r="G10" s="1913"/>
      <c r="H10" s="1913"/>
      <c r="I10" s="1913"/>
      <c r="J10" s="1913"/>
      <c r="K10" s="1913"/>
      <c r="L10" s="1913"/>
      <c r="M10" s="1913"/>
      <c r="N10" s="1913"/>
      <c r="O10" s="1913"/>
      <c r="P10" s="1913"/>
      <c r="Q10" s="1914"/>
    </row>
    <row r="11" spans="2:17" x14ac:dyDescent="0.25">
      <c r="B11" s="1040"/>
      <c r="C11" s="1039"/>
      <c r="D11" s="1039"/>
      <c r="E11" s="1039"/>
      <c r="F11" s="1039"/>
      <c r="G11" s="1039"/>
      <c r="H11" s="1039"/>
      <c r="I11" s="1039"/>
      <c r="J11" s="1039"/>
      <c r="K11" s="1039"/>
      <c r="L11" s="1039"/>
      <c r="M11" s="1039"/>
      <c r="N11" s="1039"/>
      <c r="O11" s="1039"/>
      <c r="P11" s="1039"/>
      <c r="Q11" s="1107"/>
    </row>
    <row r="12" spans="2:17" x14ac:dyDescent="0.25">
      <c r="B12" s="1912" t="s">
        <v>3133</v>
      </c>
      <c r="C12" s="1913"/>
      <c r="D12" s="1913"/>
      <c r="E12" s="1913"/>
      <c r="F12" s="1913"/>
      <c r="G12" s="1913"/>
      <c r="H12" s="1913"/>
      <c r="I12" s="1913"/>
      <c r="J12" s="1913"/>
      <c r="K12" s="1913"/>
      <c r="L12" s="1913"/>
      <c r="M12" s="1913"/>
      <c r="N12" s="1913"/>
      <c r="O12" s="1913"/>
      <c r="P12" s="1913"/>
      <c r="Q12" s="1914"/>
    </row>
    <row r="13" spans="2:17" x14ac:dyDescent="0.25">
      <c r="B13" s="1110"/>
      <c r="C13" s="1041"/>
      <c r="D13" s="1042"/>
      <c r="E13" s="1041"/>
      <c r="F13" s="1041"/>
      <c r="G13" s="1041"/>
      <c r="H13" s="1041"/>
      <c r="I13" s="1041"/>
      <c r="J13" s="1041"/>
      <c r="K13" s="1041"/>
      <c r="L13" s="1041"/>
      <c r="M13" s="1041"/>
      <c r="N13" s="1041"/>
      <c r="O13" s="1041"/>
      <c r="P13" s="1041"/>
      <c r="Q13" s="1107"/>
    </row>
    <row r="14" spans="2:17" x14ac:dyDescent="0.25">
      <c r="B14" s="1043" t="s">
        <v>2624</v>
      </c>
      <c r="C14" s="1044" t="s">
        <v>3134</v>
      </c>
      <c r="D14" s="1045" t="s">
        <v>3135</v>
      </c>
      <c r="E14" s="1046" t="s">
        <v>3136</v>
      </c>
      <c r="F14" s="1915" t="s">
        <v>3137</v>
      </c>
      <c r="G14" s="1916"/>
      <c r="H14" s="1917" t="s">
        <v>3138</v>
      </c>
      <c r="I14" s="1918"/>
      <c r="J14" s="1047" t="s">
        <v>3139</v>
      </c>
      <c r="K14" s="1046" t="s">
        <v>1079</v>
      </c>
      <c r="L14" s="1046" t="s">
        <v>3140</v>
      </c>
      <c r="M14" s="1900" t="s">
        <v>3141</v>
      </c>
      <c r="N14" s="1900" t="s">
        <v>3142</v>
      </c>
      <c r="O14" s="1900" t="s">
        <v>3143</v>
      </c>
      <c r="P14" s="1046" t="s">
        <v>3144</v>
      </c>
      <c r="Q14" s="1900" t="s">
        <v>3145</v>
      </c>
    </row>
    <row r="15" spans="2:17" x14ac:dyDescent="0.25">
      <c r="B15" s="1048"/>
      <c r="C15" s="1049"/>
      <c r="D15" s="1050" t="s">
        <v>3146</v>
      </c>
      <c r="E15" s="1050" t="s">
        <v>3177</v>
      </c>
      <c r="F15" s="1039" t="s">
        <v>3147</v>
      </c>
      <c r="G15" s="1050" t="s">
        <v>3148</v>
      </c>
      <c r="H15" s="1039" t="s">
        <v>3147</v>
      </c>
      <c r="I15" s="1050" t="s">
        <v>3148</v>
      </c>
      <c r="J15" s="1050"/>
      <c r="K15" s="1049"/>
      <c r="L15" s="1050" t="s">
        <v>3149</v>
      </c>
      <c r="M15" s="1901"/>
      <c r="N15" s="1901"/>
      <c r="O15" s="1901"/>
      <c r="P15" s="1051">
        <v>44286</v>
      </c>
      <c r="Q15" s="1901"/>
    </row>
    <row r="16" spans="2:17" x14ac:dyDescent="0.25">
      <c r="B16" s="1052"/>
      <c r="C16" s="1053"/>
      <c r="D16" s="1054"/>
      <c r="E16" s="1053"/>
      <c r="F16" s="1055" t="s">
        <v>3150</v>
      </c>
      <c r="G16" s="1055" t="s">
        <v>3150</v>
      </c>
      <c r="H16" s="1055" t="s">
        <v>3150</v>
      </c>
      <c r="I16" s="1055" t="s">
        <v>3150</v>
      </c>
      <c r="J16" s="1055"/>
      <c r="K16" s="1053"/>
      <c r="L16" s="1056" t="s">
        <v>1122</v>
      </c>
      <c r="M16" s="1902"/>
      <c r="N16" s="1902"/>
      <c r="O16" s="1902"/>
      <c r="P16" s="1053"/>
      <c r="Q16" s="1902"/>
    </row>
    <row r="17" spans="2:17" x14ac:dyDescent="0.25">
      <c r="B17" s="1057"/>
      <c r="C17" s="1111"/>
      <c r="D17" s="1058"/>
      <c r="E17" s="1059"/>
      <c r="F17" s="1059"/>
      <c r="G17" s="1059"/>
      <c r="H17" s="1059"/>
      <c r="I17" s="1059"/>
      <c r="J17" s="1059"/>
      <c r="K17" s="1059"/>
      <c r="L17" s="1050"/>
      <c r="M17" s="1050"/>
      <c r="N17" s="1050"/>
      <c r="O17" s="1050"/>
      <c r="P17" s="1059"/>
      <c r="Q17" s="1112"/>
    </row>
    <row r="18" spans="2:17" x14ac:dyDescent="0.25">
      <c r="B18" s="1060"/>
      <c r="C18" s="1061" t="s">
        <v>3151</v>
      </c>
      <c r="D18" s="1062"/>
      <c r="E18" s="1059"/>
      <c r="F18" s="1059"/>
      <c r="G18" s="1059"/>
      <c r="H18" s="1059"/>
      <c r="I18" s="1059"/>
      <c r="J18" s="1059"/>
      <c r="K18" s="1059"/>
      <c r="L18" s="1050"/>
      <c r="M18" s="1050"/>
      <c r="N18" s="1050"/>
      <c r="O18" s="1050"/>
      <c r="P18" s="1059"/>
      <c r="Q18" s="1112"/>
    </row>
    <row r="19" spans="2:17" x14ac:dyDescent="0.25">
      <c r="B19" s="1063">
        <v>1</v>
      </c>
      <c r="C19" s="1064" t="s">
        <v>2495</v>
      </c>
      <c r="D19" s="1065">
        <v>0</v>
      </c>
      <c r="E19" s="1066">
        <v>1156704</v>
      </c>
      <c r="F19" s="1066"/>
      <c r="G19" s="1066"/>
      <c r="H19" s="1066">
        <v>0</v>
      </c>
      <c r="I19" s="1066">
        <v>0</v>
      </c>
      <c r="J19" s="1066">
        <v>0</v>
      </c>
      <c r="K19" s="1066">
        <f>SUM(F19:G19)</f>
        <v>0</v>
      </c>
      <c r="L19" s="1067">
        <f>+((E19+F19-J19)*D19+(G19*D19/2))</f>
        <v>0</v>
      </c>
      <c r="M19" s="1067">
        <v>0</v>
      </c>
      <c r="N19" s="1067">
        <v>0</v>
      </c>
      <c r="O19" s="1067">
        <f>SUM(L19:N19)</f>
        <v>0</v>
      </c>
      <c r="P19" s="1066">
        <f>+E19+K19-L19</f>
        <v>1156704</v>
      </c>
      <c r="Q19" s="1067">
        <v>0</v>
      </c>
    </row>
    <row r="20" spans="2:17" x14ac:dyDescent="0.25">
      <c r="B20" s="1068"/>
      <c r="C20" s="1113"/>
      <c r="D20" s="1053"/>
      <c r="E20" s="1059"/>
      <c r="F20" s="1059"/>
      <c r="G20" s="1059"/>
      <c r="H20" s="1059"/>
      <c r="I20" s="1059"/>
      <c r="J20" s="1059"/>
      <c r="K20" s="1059"/>
      <c r="L20" s="1050"/>
      <c r="M20" s="1050"/>
      <c r="N20" s="1050"/>
      <c r="O20" s="1050"/>
      <c r="P20" s="1059"/>
      <c r="Q20" s="1112"/>
    </row>
    <row r="21" spans="2:17" x14ac:dyDescent="0.25">
      <c r="B21" s="1063"/>
      <c r="C21" s="1069" t="s">
        <v>3152</v>
      </c>
      <c r="D21" s="1070"/>
      <c r="E21" s="1071">
        <f t="shared" ref="E21:P21" si="0">SUM(E19:E20)</f>
        <v>1156704</v>
      </c>
      <c r="F21" s="1071">
        <f t="shared" si="0"/>
        <v>0</v>
      </c>
      <c r="G21" s="1071">
        <f t="shared" si="0"/>
        <v>0</v>
      </c>
      <c r="H21" s="1071">
        <f t="shared" si="0"/>
        <v>0</v>
      </c>
      <c r="I21" s="1071">
        <f t="shared" si="0"/>
        <v>0</v>
      </c>
      <c r="J21" s="1071">
        <f t="shared" si="0"/>
        <v>0</v>
      </c>
      <c r="K21" s="1071">
        <f>SUM(K19:K20)</f>
        <v>0</v>
      </c>
      <c r="L21" s="1071">
        <f t="shared" si="0"/>
        <v>0</v>
      </c>
      <c r="M21" s="1071">
        <f t="shared" si="0"/>
        <v>0</v>
      </c>
      <c r="N21" s="1071">
        <f t="shared" si="0"/>
        <v>0</v>
      </c>
      <c r="O21" s="1071">
        <f>O19</f>
        <v>0</v>
      </c>
      <c r="P21" s="1071">
        <f t="shared" si="0"/>
        <v>1156704</v>
      </c>
      <c r="Q21" s="1071">
        <f>SUM(Q19:Q20)</f>
        <v>0</v>
      </c>
    </row>
    <row r="22" spans="2:17" x14ac:dyDescent="0.25">
      <c r="B22" s="1057"/>
      <c r="C22" s="1111"/>
      <c r="D22" s="1058"/>
      <c r="E22" s="1059"/>
      <c r="F22" s="1059"/>
      <c r="G22" s="1059"/>
      <c r="H22" s="1059"/>
      <c r="I22" s="1059"/>
      <c r="J22" s="1059"/>
      <c r="K22" s="1059"/>
      <c r="L22" s="1050"/>
      <c r="M22" s="1050"/>
      <c r="N22" s="1050"/>
      <c r="O22" s="1050"/>
      <c r="P22" s="1059"/>
      <c r="Q22" s="1112"/>
    </row>
    <row r="23" spans="2:17" x14ac:dyDescent="0.25">
      <c r="B23" s="1060"/>
      <c r="C23" s="1061" t="s">
        <v>3153</v>
      </c>
      <c r="D23" s="1062"/>
      <c r="E23" s="1059"/>
      <c r="F23" s="1059"/>
      <c r="G23" s="1072"/>
      <c r="H23" s="1072"/>
      <c r="I23" s="1072"/>
      <c r="J23" s="1059"/>
      <c r="K23" s="1059"/>
      <c r="L23" s="1050"/>
      <c r="M23" s="1050"/>
      <c r="N23" s="1050"/>
      <c r="O23" s="1050"/>
      <c r="P23" s="1059"/>
      <c r="Q23" s="1050"/>
    </row>
    <row r="24" spans="2:17" x14ac:dyDescent="0.25">
      <c r="B24" s="1063">
        <v>2</v>
      </c>
      <c r="C24" s="1064" t="s">
        <v>533</v>
      </c>
      <c r="D24" s="1065">
        <v>0.1</v>
      </c>
      <c r="E24" s="1066">
        <v>20469997.220127814</v>
      </c>
      <c r="F24" s="1066">
        <v>1961614.98</v>
      </c>
      <c r="G24" s="1073">
        <v>1015190.1</v>
      </c>
      <c r="H24" s="1073">
        <v>0</v>
      </c>
      <c r="I24" s="1073">
        <v>0</v>
      </c>
      <c r="J24" s="1066"/>
      <c r="K24" s="1066">
        <f>SUM(F24:G24)-J24</f>
        <v>2976805.08</v>
      </c>
      <c r="L24" s="1067">
        <f>+((E24+F24-J24)*D24)+(G24*D24/2)</f>
        <v>2293920.7250127816</v>
      </c>
      <c r="M24" s="1067">
        <v>0</v>
      </c>
      <c r="N24" s="1067">
        <v>0</v>
      </c>
      <c r="O24" s="1067">
        <f>SUM(L24:N24)</f>
        <v>2293920.7250127816</v>
      </c>
      <c r="P24" s="1066">
        <f>+E24+K24-L24</f>
        <v>21152881.575115029</v>
      </c>
      <c r="Q24" s="1067">
        <v>0</v>
      </c>
    </row>
    <row r="25" spans="2:17" x14ac:dyDescent="0.25">
      <c r="B25" s="1068"/>
      <c r="C25" s="1113"/>
      <c r="D25" s="1053"/>
      <c r="E25" s="1059"/>
      <c r="F25" s="1059"/>
      <c r="G25" s="1059"/>
      <c r="H25" s="1059"/>
      <c r="I25" s="1059"/>
      <c r="J25" s="1059"/>
      <c r="K25" s="1059"/>
      <c r="L25" s="1050"/>
      <c r="M25" s="1050"/>
      <c r="N25" s="1050"/>
      <c r="O25" s="1050"/>
      <c r="P25" s="1059"/>
      <c r="Q25" s="1112"/>
    </row>
    <row r="26" spans="2:17" x14ac:dyDescent="0.25">
      <c r="B26" s="1063"/>
      <c r="C26" s="1069" t="s">
        <v>3154</v>
      </c>
      <c r="D26" s="1070"/>
      <c r="E26" s="1071">
        <f t="shared" ref="E26:P26" si="1">+E24</f>
        <v>20469997.220127814</v>
      </c>
      <c r="F26" s="1071">
        <f>+F24</f>
        <v>1961614.98</v>
      </c>
      <c r="G26" s="1071">
        <f t="shared" si="1"/>
        <v>1015190.1</v>
      </c>
      <c r="H26" s="1071"/>
      <c r="I26" s="1071"/>
      <c r="J26" s="1071">
        <f>J24</f>
        <v>0</v>
      </c>
      <c r="K26" s="1071">
        <f t="shared" si="1"/>
        <v>2976805.08</v>
      </c>
      <c r="L26" s="1071">
        <f>+L24</f>
        <v>2293920.7250127816</v>
      </c>
      <c r="M26" s="1071">
        <f t="shared" si="1"/>
        <v>0</v>
      </c>
      <c r="N26" s="1071">
        <f t="shared" si="1"/>
        <v>0</v>
      </c>
      <c r="O26" s="1071">
        <f>O24</f>
        <v>2293920.7250127816</v>
      </c>
      <c r="P26" s="1071">
        <f t="shared" si="1"/>
        <v>21152881.575115029</v>
      </c>
      <c r="Q26" s="1071">
        <f>+Q24</f>
        <v>0</v>
      </c>
    </row>
    <row r="27" spans="2:17" x14ac:dyDescent="0.25">
      <c r="B27" s="1057"/>
      <c r="C27" s="1111"/>
      <c r="D27" s="1058"/>
      <c r="E27" s="1059"/>
      <c r="F27" s="1059"/>
      <c r="G27" s="1059"/>
      <c r="H27" s="1059"/>
      <c r="I27" s="1059"/>
      <c r="J27" s="1059"/>
      <c r="K27" s="1059"/>
      <c r="L27" s="1050"/>
      <c r="M27" s="1050"/>
      <c r="N27" s="1050"/>
      <c r="O27" s="1050"/>
      <c r="P27" s="1059"/>
      <c r="Q27" s="1112"/>
    </row>
    <row r="28" spans="2:17" x14ac:dyDescent="0.25">
      <c r="B28" s="1074"/>
      <c r="C28" s="1061" t="s">
        <v>3155</v>
      </c>
      <c r="D28" s="1075"/>
      <c r="E28" s="1066"/>
      <c r="F28" s="1073"/>
      <c r="G28" s="1072"/>
      <c r="H28" s="1072"/>
      <c r="I28" s="1072"/>
      <c r="J28" s="1072"/>
      <c r="K28" s="1076"/>
      <c r="L28" s="1077"/>
      <c r="M28" s="1077"/>
      <c r="N28" s="1077"/>
      <c r="O28" s="1077"/>
      <c r="P28" s="1066"/>
      <c r="Q28" s="1077"/>
    </row>
    <row r="29" spans="2:17" x14ac:dyDescent="0.25">
      <c r="B29" s="1074">
        <v>3</v>
      </c>
      <c r="C29" s="1064" t="s">
        <v>3156</v>
      </c>
      <c r="D29" s="1065">
        <v>0.1</v>
      </c>
      <c r="E29" s="1066">
        <v>665372.1939227439</v>
      </c>
      <c r="F29" s="1073">
        <v>44000</v>
      </c>
      <c r="G29" s="1073">
        <v>3872.03</v>
      </c>
      <c r="H29" s="1073">
        <v>0</v>
      </c>
      <c r="I29" s="1073">
        <v>0</v>
      </c>
      <c r="J29" s="1073">
        <v>0</v>
      </c>
      <c r="K29" s="1066">
        <f>SUM(F29:G29)-J29</f>
        <v>47872.03</v>
      </c>
      <c r="L29" s="1067">
        <f>+((E29+F29-J29)*D29)+(G29*D29/2)</f>
        <v>71130.820892274394</v>
      </c>
      <c r="M29" s="1067">
        <v>0</v>
      </c>
      <c r="N29" s="1067">
        <v>0</v>
      </c>
      <c r="O29" s="1067">
        <f>SUM(L29:N29)</f>
        <v>71130.820892274394</v>
      </c>
      <c r="P29" s="1066">
        <f>+E29+K29-L29</f>
        <v>642113.40303046955</v>
      </c>
      <c r="Q29" s="1067">
        <v>0</v>
      </c>
    </row>
    <row r="30" spans="2:17" x14ac:dyDescent="0.25">
      <c r="B30" s="1074"/>
      <c r="C30" s="1078"/>
      <c r="D30" s="1065"/>
      <c r="E30" s="1066"/>
      <c r="F30" s="1073"/>
      <c r="G30" s="1073"/>
      <c r="H30" s="1073"/>
      <c r="I30" s="1073"/>
      <c r="J30" s="1073"/>
      <c r="K30" s="1066"/>
      <c r="L30" s="1067"/>
      <c r="M30" s="1067"/>
      <c r="N30" s="1067"/>
      <c r="O30" s="1067"/>
      <c r="P30" s="1066"/>
      <c r="Q30" s="1067"/>
    </row>
    <row r="31" spans="2:17" x14ac:dyDescent="0.25">
      <c r="B31" s="1079"/>
      <c r="C31" s="1069" t="s">
        <v>1079</v>
      </c>
      <c r="D31" s="1080"/>
      <c r="E31" s="1071">
        <f>E29</f>
        <v>665372.1939227439</v>
      </c>
      <c r="F31" s="1071">
        <f t="shared" ref="F31:Q31" si="2">F29</f>
        <v>44000</v>
      </c>
      <c r="G31" s="1071">
        <f t="shared" si="2"/>
        <v>3872.03</v>
      </c>
      <c r="H31" s="1071">
        <f t="shared" si="2"/>
        <v>0</v>
      </c>
      <c r="I31" s="1071">
        <f t="shared" si="2"/>
        <v>0</v>
      </c>
      <c r="J31" s="1071">
        <f t="shared" si="2"/>
        <v>0</v>
      </c>
      <c r="K31" s="1071">
        <f t="shared" si="2"/>
        <v>47872.03</v>
      </c>
      <c r="L31" s="1071">
        <f t="shared" si="2"/>
        <v>71130.820892274394</v>
      </c>
      <c r="M31" s="1071">
        <f t="shared" si="2"/>
        <v>0</v>
      </c>
      <c r="N31" s="1071">
        <f t="shared" si="2"/>
        <v>0</v>
      </c>
      <c r="O31" s="1071">
        <f>O29</f>
        <v>71130.820892274394</v>
      </c>
      <c r="P31" s="1071">
        <f t="shared" si="2"/>
        <v>642113.40303046955</v>
      </c>
      <c r="Q31" s="1071">
        <f t="shared" si="2"/>
        <v>0</v>
      </c>
    </row>
    <row r="32" spans="2:17" x14ac:dyDescent="0.25">
      <c r="B32" s="1081"/>
      <c r="C32" s="1112"/>
      <c r="D32" s="1082"/>
      <c r="E32" s="1082"/>
      <c r="F32" s="1059"/>
      <c r="G32" s="1059"/>
      <c r="H32" s="1059"/>
      <c r="I32" s="1059"/>
      <c r="J32" s="1059"/>
      <c r="K32" s="1059"/>
      <c r="L32" s="1050"/>
      <c r="M32" s="1050"/>
      <c r="N32" s="1050"/>
      <c r="O32" s="1050"/>
      <c r="P32" s="1059"/>
      <c r="Q32" s="1112"/>
    </row>
    <row r="33" spans="2:17" x14ac:dyDescent="0.25">
      <c r="B33" s="1048">
        <v>4</v>
      </c>
      <c r="C33" s="1083" t="s">
        <v>3157</v>
      </c>
      <c r="D33" s="1065">
        <v>0.1</v>
      </c>
      <c r="E33" s="1066">
        <v>13903910.800214939</v>
      </c>
      <c r="F33" s="1073">
        <v>129405</v>
      </c>
      <c r="G33" s="1073">
        <v>293370.01</v>
      </c>
      <c r="H33" s="1073">
        <v>0</v>
      </c>
      <c r="I33" s="1073">
        <v>0</v>
      </c>
      <c r="J33" s="1084"/>
      <c r="K33" s="1066">
        <f>SUM(F33:G33)-J33</f>
        <v>422775.01</v>
      </c>
      <c r="L33" s="1067">
        <f>+((E33+F33-J33)*D33)+(G33*D33/2)</f>
        <v>1418000.0805214942</v>
      </c>
      <c r="M33" s="1067">
        <v>0</v>
      </c>
      <c r="N33" s="1067">
        <v>0</v>
      </c>
      <c r="O33" s="1067">
        <f>SUM(L33:N33)</f>
        <v>1418000.0805214942</v>
      </c>
      <c r="P33" s="1066">
        <f>+E33+K33-L33</f>
        <v>12908685.729693444</v>
      </c>
      <c r="Q33" s="1067">
        <v>0</v>
      </c>
    </row>
    <row r="34" spans="2:17" x14ac:dyDescent="0.25">
      <c r="B34" s="1081"/>
      <c r="C34" s="1112"/>
      <c r="D34" s="1082"/>
      <c r="E34" s="1082"/>
      <c r="F34" s="1059"/>
      <c r="G34" s="1059"/>
      <c r="H34" s="1059"/>
      <c r="I34" s="1059"/>
      <c r="J34" s="1059"/>
      <c r="K34" s="1059"/>
      <c r="L34" s="1050"/>
      <c r="M34" s="1050"/>
      <c r="N34" s="1050"/>
      <c r="O34" s="1050"/>
      <c r="P34" s="1059"/>
      <c r="Q34" s="1112"/>
    </row>
    <row r="35" spans="2:17" x14ac:dyDescent="0.25">
      <c r="B35" s="1079"/>
      <c r="C35" s="1114" t="s">
        <v>1079</v>
      </c>
      <c r="D35" s="1085"/>
      <c r="E35" s="1071">
        <f>E33</f>
        <v>13903910.800214939</v>
      </c>
      <c r="F35" s="1071">
        <f t="shared" ref="F35:Q35" si="3">F33</f>
        <v>129405</v>
      </c>
      <c r="G35" s="1071">
        <f t="shared" si="3"/>
        <v>293370.01</v>
      </c>
      <c r="H35" s="1071">
        <f t="shared" si="3"/>
        <v>0</v>
      </c>
      <c r="I35" s="1071">
        <f t="shared" si="3"/>
        <v>0</v>
      </c>
      <c r="J35" s="1071">
        <f t="shared" si="3"/>
        <v>0</v>
      </c>
      <c r="K35" s="1071">
        <f t="shared" si="3"/>
        <v>422775.01</v>
      </c>
      <c r="L35" s="1071">
        <f t="shared" si="3"/>
        <v>1418000.0805214942</v>
      </c>
      <c r="M35" s="1071">
        <f t="shared" si="3"/>
        <v>0</v>
      </c>
      <c r="N35" s="1071">
        <f t="shared" si="3"/>
        <v>0</v>
      </c>
      <c r="O35" s="1071">
        <f>O33</f>
        <v>1418000.0805214942</v>
      </c>
      <c r="P35" s="1071">
        <f t="shared" si="3"/>
        <v>12908685.729693444</v>
      </c>
      <c r="Q35" s="1071">
        <f t="shared" si="3"/>
        <v>0</v>
      </c>
    </row>
    <row r="36" spans="2:17" s="1115" customFormat="1" x14ac:dyDescent="0.25">
      <c r="B36" s="1074"/>
      <c r="C36" s="1069" t="s">
        <v>3158</v>
      </c>
      <c r="D36" s="1086"/>
      <c r="E36" s="1071">
        <f>E35+E31</f>
        <v>14569282.994137682</v>
      </c>
      <c r="F36" s="1071">
        <f t="shared" ref="F36:Q36" si="4">F35+F31</f>
        <v>173405</v>
      </c>
      <c r="G36" s="1071">
        <f t="shared" si="4"/>
        <v>297242.04000000004</v>
      </c>
      <c r="H36" s="1071">
        <f t="shared" si="4"/>
        <v>0</v>
      </c>
      <c r="I36" s="1071">
        <f t="shared" si="4"/>
        <v>0</v>
      </c>
      <c r="J36" s="1071">
        <f t="shared" si="4"/>
        <v>0</v>
      </c>
      <c r="K36" s="1071">
        <f t="shared" si="4"/>
        <v>470647.04000000004</v>
      </c>
      <c r="L36" s="1071">
        <f t="shared" si="4"/>
        <v>1489130.9014137685</v>
      </c>
      <c r="M36" s="1071">
        <f t="shared" si="4"/>
        <v>0</v>
      </c>
      <c r="N36" s="1071">
        <f t="shared" si="4"/>
        <v>0</v>
      </c>
      <c r="O36" s="1071">
        <f>O35+O31</f>
        <v>1489130.9014137685</v>
      </c>
      <c r="P36" s="1071">
        <f t="shared" si="4"/>
        <v>13550799.132723914</v>
      </c>
      <c r="Q36" s="1071">
        <f t="shared" si="4"/>
        <v>0</v>
      </c>
    </row>
    <row r="37" spans="2:17" x14ac:dyDescent="0.25">
      <c r="B37" s="1057"/>
      <c r="C37" s="1111"/>
      <c r="D37" s="1058"/>
      <c r="E37" s="1059"/>
      <c r="F37" s="1059"/>
      <c r="G37" s="1059"/>
      <c r="H37" s="1059"/>
      <c r="I37" s="1059"/>
      <c r="J37" s="1059"/>
      <c r="K37" s="1059"/>
      <c r="L37" s="1050"/>
      <c r="M37" s="1050"/>
      <c r="N37" s="1050"/>
      <c r="O37" s="1050"/>
      <c r="P37" s="1059"/>
      <c r="Q37" s="1112"/>
    </row>
    <row r="38" spans="2:17" x14ac:dyDescent="0.25">
      <c r="B38" s="1116"/>
      <c r="C38" s="1061" t="s">
        <v>3159</v>
      </c>
      <c r="D38" s="1087"/>
      <c r="E38" s="1066"/>
      <c r="F38" s="1088"/>
      <c r="G38" s="1088"/>
      <c r="H38" s="1088"/>
      <c r="I38" s="1088"/>
      <c r="J38" s="1088"/>
      <c r="K38" s="1088"/>
      <c r="L38" s="1066"/>
      <c r="M38" s="1066"/>
      <c r="N38" s="1066"/>
      <c r="O38" s="1066"/>
      <c r="P38" s="1066"/>
      <c r="Q38" s="1066"/>
    </row>
    <row r="39" spans="2:17" x14ac:dyDescent="0.25">
      <c r="B39" s="1074">
        <v>5</v>
      </c>
      <c r="C39" s="1064" t="s">
        <v>3160</v>
      </c>
      <c r="D39" s="1089">
        <v>0.15</v>
      </c>
      <c r="E39" s="1066">
        <v>3021415.9540646323</v>
      </c>
      <c r="F39" s="1066">
        <v>0</v>
      </c>
      <c r="G39" s="1088">
        <v>0</v>
      </c>
      <c r="H39" s="1088">
        <v>0</v>
      </c>
      <c r="I39" s="1088">
        <v>0</v>
      </c>
      <c r="J39" s="1088">
        <v>0</v>
      </c>
      <c r="K39" s="1066">
        <f>SUM(F39:G39)-J39</f>
        <v>0</v>
      </c>
      <c r="L39" s="1067">
        <f>+((E39+F39-J39)*D39)+(G39*D39/2)</f>
        <v>453212.39310969482</v>
      </c>
      <c r="M39" s="1067">
        <v>0</v>
      </c>
      <c r="N39" s="1067">
        <v>0</v>
      </c>
      <c r="O39" s="1067">
        <f>SUM(L39:N39)</f>
        <v>453212.39310969482</v>
      </c>
      <c r="P39" s="1066">
        <f>+E39+K39-L39</f>
        <v>2568203.5609549377</v>
      </c>
      <c r="Q39" s="1067">
        <v>0</v>
      </c>
    </row>
    <row r="40" spans="2:17" x14ac:dyDescent="0.25">
      <c r="B40" s="1068"/>
      <c r="C40" s="1113"/>
      <c r="D40" s="1053"/>
      <c r="E40" s="1059"/>
      <c r="F40" s="1059"/>
      <c r="G40" s="1059"/>
      <c r="H40" s="1059"/>
      <c r="I40" s="1059"/>
      <c r="J40" s="1059"/>
      <c r="K40" s="1059"/>
      <c r="L40" s="1050"/>
      <c r="M40" s="1050"/>
      <c r="N40" s="1050"/>
      <c r="O40" s="1050"/>
      <c r="P40" s="1059"/>
      <c r="Q40" s="1112"/>
    </row>
    <row r="41" spans="2:17" x14ac:dyDescent="0.25">
      <c r="B41" s="1063"/>
      <c r="C41" s="1069" t="s">
        <v>3161</v>
      </c>
      <c r="D41" s="1090"/>
      <c r="E41" s="1071">
        <f t="shared" ref="E41:N41" si="5">+E39</f>
        <v>3021415.9540646323</v>
      </c>
      <c r="F41" s="1071">
        <f t="shared" si="5"/>
        <v>0</v>
      </c>
      <c r="G41" s="1071">
        <f t="shared" si="5"/>
        <v>0</v>
      </c>
      <c r="H41" s="1071">
        <f t="shared" si="5"/>
        <v>0</v>
      </c>
      <c r="I41" s="1071">
        <f t="shared" si="5"/>
        <v>0</v>
      </c>
      <c r="J41" s="1071">
        <f t="shared" si="5"/>
        <v>0</v>
      </c>
      <c r="K41" s="1071">
        <f t="shared" si="5"/>
        <v>0</v>
      </c>
      <c r="L41" s="1071">
        <f t="shared" si="5"/>
        <v>453212.39310969482</v>
      </c>
      <c r="M41" s="1071">
        <f t="shared" si="5"/>
        <v>0</v>
      </c>
      <c r="N41" s="1071">
        <f t="shared" si="5"/>
        <v>0</v>
      </c>
      <c r="O41" s="1071">
        <f>O39</f>
        <v>453212.39310969482</v>
      </c>
      <c r="P41" s="1071">
        <f>+P39</f>
        <v>2568203.5609549377</v>
      </c>
      <c r="Q41" s="1071">
        <f>+Q39</f>
        <v>0</v>
      </c>
    </row>
    <row r="42" spans="2:17" x14ac:dyDescent="0.25">
      <c r="B42" s="1057"/>
      <c r="C42" s="1111"/>
      <c r="D42" s="1058"/>
      <c r="E42" s="1059"/>
      <c r="F42" s="1059"/>
      <c r="G42" s="1059"/>
      <c r="H42" s="1059"/>
      <c r="I42" s="1059"/>
      <c r="J42" s="1059"/>
      <c r="K42" s="1059"/>
      <c r="L42" s="1050"/>
      <c r="M42" s="1050"/>
      <c r="N42" s="1050"/>
      <c r="O42" s="1050"/>
      <c r="P42" s="1059"/>
      <c r="Q42" s="1112"/>
    </row>
    <row r="43" spans="2:17" x14ac:dyDescent="0.25">
      <c r="B43" s="1074">
        <v>6</v>
      </c>
      <c r="C43" s="1091" t="s">
        <v>3162</v>
      </c>
      <c r="D43" s="1087"/>
      <c r="E43" s="1066"/>
      <c r="F43" s="1073"/>
      <c r="G43" s="1072"/>
      <c r="H43" s="1072"/>
      <c r="I43" s="1072"/>
      <c r="J43" s="1072"/>
      <c r="K43" s="1076"/>
      <c r="L43" s="1077"/>
      <c r="M43" s="1077"/>
      <c r="N43" s="1077"/>
      <c r="O43" s="1077"/>
      <c r="P43" s="1066"/>
      <c r="Q43" s="1112"/>
    </row>
    <row r="44" spans="2:17" x14ac:dyDescent="0.25">
      <c r="B44" s="1063" t="s">
        <v>3163</v>
      </c>
      <c r="C44" s="1064" t="s">
        <v>277</v>
      </c>
      <c r="D44" s="1065">
        <v>0.15</v>
      </c>
      <c r="E44" s="1066">
        <v>55213207.7014139</v>
      </c>
      <c r="F44" s="1041">
        <v>1830946</v>
      </c>
      <c r="G44" s="1066">
        <v>3403697.66</v>
      </c>
      <c r="H44" s="1066">
        <v>0</v>
      </c>
      <c r="I44" s="1066">
        <v>0</v>
      </c>
      <c r="J44" s="1066">
        <v>80000</v>
      </c>
      <c r="K44" s="1066">
        <f>SUM(F44:G44)-J44-I44</f>
        <v>5154643.66</v>
      </c>
      <c r="L44" s="1067">
        <f>+((E44+F44-J44)*D44)+(G44*D44/2)</f>
        <v>8799900.3797120843</v>
      </c>
      <c r="M44" s="1066">
        <f>((F44*20%)+(G44+I44)*10%)</f>
        <v>706558.96600000001</v>
      </c>
      <c r="N44" s="1066">
        <f>+F74</f>
        <v>303921.10000000003</v>
      </c>
      <c r="O44" s="1067">
        <f>SUM(L44:N44)</f>
        <v>9810380.445712084</v>
      </c>
      <c r="P44" s="1066">
        <f>+E44+K44-L44-M44-N44</f>
        <v>50557470.915701814</v>
      </c>
      <c r="Q44" s="1067">
        <f>(G44+I44)*10%</f>
        <v>340369.76600000006</v>
      </c>
    </row>
    <row r="45" spans="2:17" x14ac:dyDescent="0.25">
      <c r="B45" s="1063" t="s">
        <v>3164</v>
      </c>
      <c r="C45" s="1092" t="s">
        <v>3165</v>
      </c>
      <c r="D45" s="1065">
        <v>0.15</v>
      </c>
      <c r="E45" s="1066">
        <v>1871803.6734374999</v>
      </c>
      <c r="F45" s="1041">
        <v>0</v>
      </c>
      <c r="G45" s="1066">
        <v>0</v>
      </c>
      <c r="H45" s="1066"/>
      <c r="I45" s="1066"/>
      <c r="J45" s="1066"/>
      <c r="K45" s="1066">
        <f>SUM(F45:G45)-J45</f>
        <v>0</v>
      </c>
      <c r="L45" s="1067">
        <f>+((E45+F45-J45)*D45)+(G45*D45/2)</f>
        <v>280770.55101562495</v>
      </c>
      <c r="M45" s="1067">
        <v>0</v>
      </c>
      <c r="N45" s="1067">
        <v>0</v>
      </c>
      <c r="O45" s="1067">
        <f t="shared" ref="O45:O46" si="6">SUM(L45:N45)</f>
        <v>280770.55101562495</v>
      </c>
      <c r="P45" s="1066">
        <f t="shared" ref="P45:P46" si="7">+E45+K45-L45-M45-N45</f>
        <v>1591033.1224218749</v>
      </c>
      <c r="Q45" s="1067">
        <v>0</v>
      </c>
    </row>
    <row r="46" spans="2:17" x14ac:dyDescent="0.25">
      <c r="B46" s="1063" t="s">
        <v>3166</v>
      </c>
      <c r="C46" s="1092" t="s">
        <v>3167</v>
      </c>
      <c r="D46" s="1065">
        <v>0.4</v>
      </c>
      <c r="E46" s="1066">
        <v>1896390.2080000001</v>
      </c>
      <c r="F46" s="1041">
        <v>0</v>
      </c>
      <c r="G46" s="1066">
        <v>0</v>
      </c>
      <c r="H46" s="1066"/>
      <c r="I46" s="1066"/>
      <c r="J46" s="1066"/>
      <c r="K46" s="1066">
        <f>SUM(F46:G46)-J46</f>
        <v>0</v>
      </c>
      <c r="L46" s="1067">
        <f>+((E46+F46-J46)*D46)+(G46*D46/2)</f>
        <v>758556.08320000011</v>
      </c>
      <c r="M46" s="1066">
        <f>((F46*20%)+(G46+I46)*10%)</f>
        <v>0</v>
      </c>
      <c r="N46" s="1066">
        <v>0</v>
      </c>
      <c r="O46" s="1067">
        <f t="shared" si="6"/>
        <v>758556.08320000011</v>
      </c>
      <c r="P46" s="1066">
        <f t="shared" si="7"/>
        <v>1137834.1247999999</v>
      </c>
      <c r="Q46" s="1067">
        <f>(G46+I46)*10%</f>
        <v>0</v>
      </c>
    </row>
    <row r="47" spans="2:17" x14ac:dyDescent="0.25">
      <c r="B47" s="1068"/>
      <c r="C47" s="1113"/>
      <c r="D47" s="1053"/>
      <c r="E47" s="1059"/>
      <c r="F47" s="1059"/>
      <c r="G47" s="1059"/>
      <c r="H47" s="1059"/>
      <c r="I47" s="1059"/>
      <c r="J47" s="1059"/>
      <c r="K47" s="1059"/>
      <c r="L47" s="1050"/>
      <c r="M47" s="1050"/>
      <c r="N47" s="1050"/>
      <c r="O47" s="1050"/>
      <c r="P47" s="1059"/>
      <c r="Q47" s="1112"/>
    </row>
    <row r="48" spans="2:17" x14ac:dyDescent="0.25">
      <c r="B48" s="1063"/>
      <c r="C48" s="1069" t="s">
        <v>1079</v>
      </c>
      <c r="D48" s="1070"/>
      <c r="E48" s="1071">
        <f>+SUM(E44:E46)</f>
        <v>58981401.582851395</v>
      </c>
      <c r="F48" s="1071">
        <f>+SUM(F44:F46)</f>
        <v>1830946</v>
      </c>
      <c r="G48" s="1071">
        <f>+SUM(G44:G46)</f>
        <v>3403697.66</v>
      </c>
      <c r="H48" s="1071">
        <f t="shared" ref="H48:M48" si="8">+H44</f>
        <v>0</v>
      </c>
      <c r="I48" s="1071">
        <f t="shared" si="8"/>
        <v>0</v>
      </c>
      <c r="J48" s="1071">
        <f t="shared" si="8"/>
        <v>80000</v>
      </c>
      <c r="K48" s="1071">
        <f t="shared" si="8"/>
        <v>5154643.66</v>
      </c>
      <c r="L48" s="1071">
        <f>+SUM(L44:L46)</f>
        <v>9839227.0139277093</v>
      </c>
      <c r="M48" s="1071">
        <f t="shared" si="8"/>
        <v>706558.96600000001</v>
      </c>
      <c r="N48" s="1071">
        <f>+N44+N46</f>
        <v>303921.10000000003</v>
      </c>
      <c r="O48" s="1071">
        <f>+SUM(O44:O46)</f>
        <v>10849707.079927709</v>
      </c>
      <c r="P48" s="1071">
        <f>+SUM(P44:P46)</f>
        <v>53286338.162923686</v>
      </c>
      <c r="Q48" s="1071">
        <f>+SUM(Q44:Q46)</f>
        <v>340369.76600000006</v>
      </c>
    </row>
    <row r="49" spans="2:17" x14ac:dyDescent="0.25">
      <c r="B49" s="1057"/>
      <c r="C49" s="1111"/>
      <c r="D49" s="1058"/>
      <c r="E49" s="1059"/>
      <c r="F49" s="1059"/>
      <c r="G49" s="1059"/>
      <c r="H49" s="1059"/>
      <c r="I49" s="1059"/>
      <c r="J49" s="1059"/>
      <c r="K49" s="1059"/>
      <c r="L49" s="1050"/>
      <c r="M49" s="1050"/>
      <c r="N49" s="1050"/>
      <c r="O49" s="1050"/>
      <c r="P49" s="1059"/>
      <c r="Q49" s="1112"/>
    </row>
    <row r="50" spans="2:17" x14ac:dyDescent="0.25">
      <c r="B50" s="1063">
        <v>7</v>
      </c>
      <c r="C50" s="1064" t="s">
        <v>2499</v>
      </c>
      <c r="D50" s="1065">
        <v>0.15</v>
      </c>
      <c r="E50" s="1066">
        <v>211583.99076800476</v>
      </c>
      <c r="F50" s="1041">
        <v>0</v>
      </c>
      <c r="G50" s="1066">
        <v>415195.47</v>
      </c>
      <c r="H50" s="1066">
        <v>0</v>
      </c>
      <c r="I50" s="1066">
        <v>0</v>
      </c>
      <c r="J50" s="1066"/>
      <c r="K50" s="1066">
        <f>SUM(F50:G50)-J50</f>
        <v>415195.47</v>
      </c>
      <c r="L50" s="1067">
        <f>+((E50+F50-J50)*D50)+(G50*D50/2)</f>
        <v>62877.258865200711</v>
      </c>
      <c r="M50" s="1067">
        <v>0</v>
      </c>
      <c r="N50" s="1067">
        <v>0</v>
      </c>
      <c r="O50" s="1067">
        <f>SUM(L50:N50)</f>
        <v>62877.258865200711</v>
      </c>
      <c r="P50" s="1066">
        <f>+E50+K50-L50</f>
        <v>563902.20190280408</v>
      </c>
      <c r="Q50" s="1067">
        <v>0</v>
      </c>
    </row>
    <row r="51" spans="2:17" x14ac:dyDescent="0.25">
      <c r="B51" s="1068"/>
      <c r="C51" s="1113"/>
      <c r="D51" s="1053"/>
      <c r="E51" s="1059"/>
      <c r="F51" s="1059"/>
      <c r="G51" s="1059"/>
      <c r="H51" s="1059"/>
      <c r="I51" s="1059"/>
      <c r="J51" s="1059"/>
      <c r="K51" s="1059"/>
      <c r="L51" s="1050"/>
      <c r="M51" s="1050"/>
      <c r="N51" s="1050"/>
      <c r="O51" s="1050"/>
      <c r="P51" s="1059"/>
      <c r="Q51" s="1112"/>
    </row>
    <row r="52" spans="2:17" x14ac:dyDescent="0.25">
      <c r="B52" s="1093"/>
      <c r="C52" s="1094" t="s">
        <v>1079</v>
      </c>
      <c r="D52" s="1095"/>
      <c r="E52" s="1071">
        <f t="shared" ref="E52:Q52" si="9">+E50</f>
        <v>211583.99076800476</v>
      </c>
      <c r="F52" s="1071">
        <f>+F50</f>
        <v>0</v>
      </c>
      <c r="G52" s="1071">
        <f>+G50</f>
        <v>415195.47</v>
      </c>
      <c r="H52" s="1071"/>
      <c r="I52" s="1071"/>
      <c r="J52" s="1071">
        <f t="shared" si="9"/>
        <v>0</v>
      </c>
      <c r="K52" s="1071">
        <f t="shared" si="9"/>
        <v>415195.47</v>
      </c>
      <c r="L52" s="1071">
        <f t="shared" si="9"/>
        <v>62877.258865200711</v>
      </c>
      <c r="M52" s="1071">
        <f t="shared" si="9"/>
        <v>0</v>
      </c>
      <c r="N52" s="1071">
        <f t="shared" si="9"/>
        <v>0</v>
      </c>
      <c r="O52" s="1071">
        <f>O50</f>
        <v>62877.258865200711</v>
      </c>
      <c r="P52" s="1071">
        <f t="shared" si="9"/>
        <v>563902.20190280408</v>
      </c>
      <c r="Q52" s="1071">
        <f t="shared" si="9"/>
        <v>0</v>
      </c>
    </row>
    <row r="53" spans="2:17" x14ac:dyDescent="0.25">
      <c r="B53" s="1063"/>
      <c r="C53" s="1069" t="s">
        <v>3168</v>
      </c>
      <c r="D53" s="1070"/>
      <c r="E53" s="1071">
        <f>+E48+E52</f>
        <v>59192985.573619403</v>
      </c>
      <c r="F53" s="1071">
        <f t="shared" ref="F53:Q53" si="10">+F48+F52</f>
        <v>1830946</v>
      </c>
      <c r="G53" s="1071">
        <f t="shared" si="10"/>
        <v>3818893.13</v>
      </c>
      <c r="H53" s="1071">
        <f t="shared" si="10"/>
        <v>0</v>
      </c>
      <c r="I53" s="1071">
        <f t="shared" si="10"/>
        <v>0</v>
      </c>
      <c r="J53" s="1071">
        <f t="shared" si="10"/>
        <v>80000</v>
      </c>
      <c r="K53" s="1071">
        <f t="shared" si="10"/>
        <v>5569839.1299999999</v>
      </c>
      <c r="L53" s="1071">
        <f t="shared" si="10"/>
        <v>9902104.2727929093</v>
      </c>
      <c r="M53" s="1071">
        <f t="shared" si="10"/>
        <v>706558.96600000001</v>
      </c>
      <c r="N53" s="1071">
        <f t="shared" si="10"/>
        <v>303921.10000000003</v>
      </c>
      <c r="O53" s="1071">
        <f>O52+O48</f>
        <v>10912584.338792909</v>
      </c>
      <c r="P53" s="1071">
        <f t="shared" si="10"/>
        <v>53850240.364826493</v>
      </c>
      <c r="Q53" s="1071">
        <f t="shared" si="10"/>
        <v>340369.76600000006</v>
      </c>
    </row>
    <row r="54" spans="2:17" x14ac:dyDescent="0.25">
      <c r="B54" s="1057"/>
      <c r="C54" s="1111"/>
      <c r="D54" s="1058"/>
      <c r="E54" s="1059"/>
      <c r="F54" s="1059"/>
      <c r="G54" s="1059"/>
      <c r="H54" s="1059"/>
      <c r="I54" s="1059"/>
      <c r="J54" s="1059"/>
      <c r="K54" s="1059"/>
      <c r="L54" s="1050"/>
      <c r="M54" s="1050"/>
      <c r="N54" s="1050"/>
      <c r="O54" s="1050"/>
      <c r="P54" s="1059"/>
      <c r="Q54" s="1112"/>
    </row>
    <row r="55" spans="2:17" x14ac:dyDescent="0.25">
      <c r="B55" s="1096"/>
      <c r="C55" s="1061" t="s">
        <v>3169</v>
      </c>
      <c r="D55" s="1097"/>
      <c r="E55" s="1066"/>
      <c r="F55" s="1066"/>
      <c r="G55" s="1117"/>
      <c r="H55" s="1117"/>
      <c r="I55" s="1117"/>
      <c r="J55" s="1117"/>
      <c r="K55" s="1066"/>
      <c r="L55" s="1066"/>
      <c r="M55" s="1066"/>
      <c r="N55" s="1066"/>
      <c r="O55" s="1066"/>
      <c r="P55" s="1066"/>
      <c r="Q55" s="1112"/>
    </row>
    <row r="56" spans="2:17" x14ac:dyDescent="0.25">
      <c r="B56" s="1096">
        <v>8</v>
      </c>
      <c r="C56" s="1064" t="s">
        <v>2498</v>
      </c>
      <c r="D56" s="1065">
        <v>0.4</v>
      </c>
      <c r="E56" s="1066">
        <v>67202.3521064448</v>
      </c>
      <c r="F56" s="1066">
        <v>0</v>
      </c>
      <c r="G56" s="1118">
        <v>0</v>
      </c>
      <c r="H56" s="1118">
        <v>0</v>
      </c>
      <c r="I56" s="1118">
        <v>0</v>
      </c>
      <c r="J56" s="1118">
        <v>0</v>
      </c>
      <c r="K56" s="1066">
        <f>SUM(F56:G56)-J56</f>
        <v>0</v>
      </c>
      <c r="L56" s="1067">
        <f>+((E56+F56-J56)*D56)+(G56*D56/2)</f>
        <v>26880.940842577922</v>
      </c>
      <c r="M56" s="1067">
        <v>0</v>
      </c>
      <c r="N56" s="1067">
        <v>0</v>
      </c>
      <c r="O56" s="1067">
        <f>SUM(L56:N56)</f>
        <v>26880.940842577922</v>
      </c>
      <c r="P56" s="1066">
        <f>+E56+K56-L56</f>
        <v>40321.411263866874</v>
      </c>
      <c r="Q56" s="1067">
        <v>0</v>
      </c>
    </row>
    <row r="57" spans="2:17" x14ac:dyDescent="0.25">
      <c r="B57" s="1068"/>
      <c r="C57" s="1113"/>
      <c r="D57" s="1053"/>
      <c r="E57" s="1059"/>
      <c r="F57" s="1059"/>
      <c r="G57" s="1059"/>
      <c r="H57" s="1059"/>
      <c r="I57" s="1059"/>
      <c r="J57" s="1059"/>
      <c r="K57" s="1059"/>
      <c r="L57" s="1050"/>
      <c r="M57" s="1050"/>
      <c r="N57" s="1050"/>
      <c r="O57" s="1050"/>
      <c r="P57" s="1059"/>
      <c r="Q57" s="1112"/>
    </row>
    <row r="58" spans="2:17" x14ac:dyDescent="0.25">
      <c r="B58" s="1096"/>
      <c r="C58" s="1069" t="s">
        <v>3170</v>
      </c>
      <c r="D58" s="1098"/>
      <c r="E58" s="1071">
        <f t="shared" ref="E58:N58" si="11">+E56</f>
        <v>67202.3521064448</v>
      </c>
      <c r="F58" s="1071">
        <f t="shared" si="11"/>
        <v>0</v>
      </c>
      <c r="G58" s="1071">
        <f t="shared" si="11"/>
        <v>0</v>
      </c>
      <c r="H58" s="1071">
        <f t="shared" si="11"/>
        <v>0</v>
      </c>
      <c r="I58" s="1071">
        <f t="shared" si="11"/>
        <v>0</v>
      </c>
      <c r="J58" s="1071">
        <f t="shared" si="11"/>
        <v>0</v>
      </c>
      <c r="K58" s="1071">
        <f t="shared" si="11"/>
        <v>0</v>
      </c>
      <c r="L58" s="1071">
        <f>+L56</f>
        <v>26880.940842577922</v>
      </c>
      <c r="M58" s="1071">
        <f t="shared" si="11"/>
        <v>0</v>
      </c>
      <c r="N58" s="1071">
        <f t="shared" si="11"/>
        <v>0</v>
      </c>
      <c r="O58" s="1071">
        <f>O56</f>
        <v>26880.940842577922</v>
      </c>
      <c r="P58" s="1071">
        <f>+P56</f>
        <v>40321.411263866874</v>
      </c>
      <c r="Q58" s="1071">
        <f>+Q56</f>
        <v>0</v>
      </c>
    </row>
    <row r="59" spans="2:17" x14ac:dyDescent="0.25">
      <c r="B59" s="1057"/>
      <c r="C59" s="1111"/>
      <c r="D59" s="1058"/>
      <c r="E59" s="1059"/>
      <c r="F59" s="1059"/>
      <c r="G59" s="1059"/>
      <c r="H59" s="1059"/>
      <c r="I59" s="1059"/>
      <c r="J59" s="1059"/>
      <c r="K59" s="1059"/>
      <c r="L59" s="1050"/>
      <c r="M59" s="1050"/>
      <c r="N59" s="1050"/>
      <c r="O59" s="1050"/>
      <c r="P59" s="1059"/>
      <c r="Q59" s="1112"/>
    </row>
    <row r="60" spans="2:17" x14ac:dyDescent="0.25">
      <c r="B60" s="1099"/>
      <c r="C60" s="1094" t="s">
        <v>450</v>
      </c>
      <c r="D60" s="1100"/>
      <c r="E60" s="1071">
        <f>+E58+E53+E41+E36+E26+E21</f>
        <v>98477588.09405598</v>
      </c>
      <c r="F60" s="1071">
        <f>F21+F26+F36+F41+F53++F58</f>
        <v>3965965.98</v>
      </c>
      <c r="G60" s="1071">
        <f>G21+G26+G36+G41+G53++G58</f>
        <v>5131325.2699999996</v>
      </c>
      <c r="H60" s="1071">
        <f t="shared" ref="H60:J60" si="12">+H58+H53+H41+H36+H26+H21</f>
        <v>0</v>
      </c>
      <c r="I60" s="1071">
        <f t="shared" si="12"/>
        <v>0</v>
      </c>
      <c r="J60" s="1071">
        <f t="shared" si="12"/>
        <v>80000</v>
      </c>
      <c r="K60" s="1071">
        <f t="shared" ref="K60:Q60" si="13">+(K58+K53+K41+K36+K26+K21)</f>
        <v>9017291.25</v>
      </c>
      <c r="L60" s="1071">
        <f>+(L58+L53+L41+L36+L26+L21)</f>
        <v>14165249.233171731</v>
      </c>
      <c r="M60" s="1071">
        <f>+(M58+M53+M41+M36+M26+M21)</f>
        <v>706558.96600000001</v>
      </c>
      <c r="N60" s="1071">
        <f t="shared" si="13"/>
        <v>303921.10000000003</v>
      </c>
      <c r="O60" s="1071">
        <f t="shared" si="13"/>
        <v>15175729.299171731</v>
      </c>
      <c r="P60" s="1071">
        <f t="shared" si="13"/>
        <v>92319150.044884235</v>
      </c>
      <c r="Q60" s="1071">
        <f t="shared" si="13"/>
        <v>340369.76600000006</v>
      </c>
    </row>
    <row r="61" spans="2:17" x14ac:dyDescent="0.25">
      <c r="E61" s="1115"/>
      <c r="G61" s="1038"/>
      <c r="H61" s="1038"/>
      <c r="I61" s="1115"/>
      <c r="J61" s="1115"/>
      <c r="K61" s="1038"/>
      <c r="P61" s="1115"/>
    </row>
    <row r="62" spans="2:17" x14ac:dyDescent="0.25">
      <c r="E62" s="1115"/>
      <c r="G62" s="1038"/>
      <c r="H62" s="1038"/>
      <c r="I62" s="1038"/>
      <c r="J62" s="1115"/>
      <c r="K62" s="1115"/>
      <c r="L62" s="1119"/>
      <c r="N62" s="1115"/>
      <c r="O62" s="1103">
        <v>15076098</v>
      </c>
      <c r="P62" s="1115"/>
    </row>
    <row r="63" spans="2:17" x14ac:dyDescent="0.25">
      <c r="E63" s="1115">
        <f>E62-E61</f>
        <v>0</v>
      </c>
      <c r="F63" s="1038">
        <f>F60+G60-F62</f>
        <v>9097291.25</v>
      </c>
      <c r="G63" s="1038"/>
      <c r="H63" s="1038"/>
      <c r="I63" s="1115"/>
      <c r="J63" s="1115"/>
      <c r="K63" s="1120"/>
      <c r="L63" s="1121"/>
      <c r="M63" s="1121"/>
      <c r="N63" s="1121"/>
      <c r="O63" s="1121">
        <f>+O60-O62</f>
        <v>99631.299171730876</v>
      </c>
      <c r="P63" s="1115"/>
      <c r="Q63" s="1115"/>
    </row>
    <row r="64" spans="2:17" x14ac:dyDescent="0.25">
      <c r="C64" s="1122" t="s">
        <v>3179</v>
      </c>
      <c r="K64" s="1115"/>
      <c r="M64" s="1121"/>
      <c r="P64" s="1115"/>
    </row>
    <row r="65" spans="2:16" s="1102" customFormat="1" x14ac:dyDescent="0.25">
      <c r="D65" s="1106" t="s">
        <v>2513</v>
      </c>
      <c r="E65" s="1106" t="s">
        <v>2293</v>
      </c>
      <c r="F65" s="1106" t="s">
        <v>3171</v>
      </c>
      <c r="P65" s="1123"/>
    </row>
    <row r="66" spans="2:16" x14ac:dyDescent="0.25">
      <c r="C66" s="1115" t="s">
        <v>3172</v>
      </c>
      <c r="D66" s="1124">
        <f>F44</f>
        <v>1830946</v>
      </c>
      <c r="E66" s="1125">
        <v>0.2</v>
      </c>
      <c r="F66" s="1124">
        <f>D66*E66</f>
        <v>366189.2</v>
      </c>
    </row>
    <row r="67" spans="2:16" x14ac:dyDescent="0.25">
      <c r="B67" s="1103"/>
      <c r="C67" s="1115" t="s">
        <v>3173</v>
      </c>
      <c r="D67" s="1124">
        <f>G44</f>
        <v>3403697.66</v>
      </c>
      <c r="E67" s="1125">
        <v>0.1</v>
      </c>
      <c r="F67" s="1124">
        <f>D67*E67</f>
        <v>340369.76600000006</v>
      </c>
    </row>
    <row r="68" spans="2:16" x14ac:dyDescent="0.25">
      <c r="B68" s="1103"/>
      <c r="D68" s="1122"/>
      <c r="F68" s="1124"/>
    </row>
    <row r="69" spans="2:16" ht="15.75" thickBot="1" x14ac:dyDescent="0.3">
      <c r="B69" s="1103"/>
      <c r="D69" s="1122"/>
      <c r="F69" s="1126">
        <f>SUM(F66:F68)</f>
        <v>706558.96600000001</v>
      </c>
    </row>
    <row r="70" spans="2:16" ht="15.75" thickTop="1" x14ac:dyDescent="0.25">
      <c r="B70" s="1103"/>
      <c r="C70" s="1103" t="s">
        <v>3174</v>
      </c>
      <c r="F70" s="1038">
        <f>F67</f>
        <v>340369.76600000006</v>
      </c>
    </row>
    <row r="72" spans="2:16" x14ac:dyDescent="0.25">
      <c r="B72" s="1103"/>
      <c r="C72" s="1122" t="s">
        <v>3180</v>
      </c>
    </row>
    <row r="73" spans="2:16" x14ac:dyDescent="0.25">
      <c r="B73" s="1103"/>
      <c r="C73" s="1103" t="s">
        <v>3175</v>
      </c>
    </row>
    <row r="74" spans="2:16" x14ac:dyDescent="0.25">
      <c r="B74" s="1103"/>
      <c r="C74" s="1103" t="s">
        <v>3176</v>
      </c>
      <c r="D74" s="1038">
        <v>3039211</v>
      </c>
      <c r="E74" s="1125">
        <v>0.1</v>
      </c>
      <c r="F74" s="1038">
        <f>D74*E74</f>
        <v>303921.10000000003</v>
      </c>
    </row>
    <row r="75" spans="2:16" x14ac:dyDescent="0.25">
      <c r="B75" s="1103"/>
      <c r="D75" s="1038"/>
      <c r="F75" s="1103"/>
    </row>
    <row r="76" spans="2:16" x14ac:dyDescent="0.25">
      <c r="B76" s="1103"/>
      <c r="C76" s="1101"/>
      <c r="D76" s="1038"/>
      <c r="F76" s="1103"/>
    </row>
    <row r="77" spans="2:16" x14ac:dyDescent="0.25">
      <c r="B77" s="1103"/>
      <c r="C77" s="1101"/>
      <c r="D77" s="1038"/>
      <c r="F77" s="1103"/>
    </row>
    <row r="78" spans="2:16" x14ac:dyDescent="0.25">
      <c r="B78" s="1103"/>
      <c r="E78" s="1122"/>
    </row>
  </sheetData>
  <mergeCells count="11">
    <mergeCell ref="Q14:Q16"/>
    <mergeCell ref="B4:Q4"/>
    <mergeCell ref="B6:Q6"/>
    <mergeCell ref="B8:Q8"/>
    <mergeCell ref="B10:Q10"/>
    <mergeCell ref="B12:Q12"/>
    <mergeCell ref="F14:G14"/>
    <mergeCell ref="H14:I14"/>
    <mergeCell ref="M14:M16"/>
    <mergeCell ref="N14:N16"/>
    <mergeCell ref="O14:O16"/>
  </mergeCells>
  <hyperlinks>
    <hyperlink ref="B8:P8" location="'3CD '!E96" display="ANNEXURE A" xr:uid="{00000000-0004-0000-0D00-000000000000}"/>
  </hyperlinks>
  <printOptions horizontalCentered="1" verticalCentered="1"/>
  <pageMargins left="0.11811023622047245" right="0.11811023622047245" top="0.15748031496062992" bottom="0.15748031496062992" header="0.31496062992125984" footer="0.31496062992125984"/>
  <pageSetup scale="4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Y86"/>
  <sheetViews>
    <sheetView view="pageBreakPreview" zoomScale="60" workbookViewId="0">
      <selection activeCell="Y66" sqref="Y66"/>
    </sheetView>
  </sheetViews>
  <sheetFormatPr defaultRowHeight="12.75" x14ac:dyDescent="0.2"/>
  <cols>
    <col min="1" max="1" width="1.7109375" style="1028" customWidth="1"/>
    <col min="2" max="2" width="5.42578125" style="1028" customWidth="1"/>
    <col min="3" max="3" width="21.42578125" style="1028" bestFit="1" customWidth="1"/>
    <col min="4" max="4" width="28.28515625" style="1028" customWidth="1"/>
    <col min="5" max="5" width="48.5703125" style="1028" customWidth="1"/>
    <col min="6" max="6" width="18.28515625" style="1028" bestFit="1" customWidth="1"/>
    <col min="7" max="11" width="11" style="1028" customWidth="1"/>
    <col min="12" max="13" width="10.7109375" style="1028" customWidth="1"/>
    <col min="14" max="14" width="10.42578125" style="1028" customWidth="1"/>
    <col min="15" max="15" width="8.7109375" style="1028" customWidth="1"/>
    <col min="16" max="16" width="10.7109375" style="1028" customWidth="1"/>
    <col min="17" max="17" width="9.140625" style="1028" customWidth="1"/>
    <col min="18" max="18" width="11" style="1028" customWidth="1"/>
    <col min="19" max="23" width="8.85546875" style="1028"/>
    <col min="24" max="24" width="11.5703125" style="1028" bestFit="1" customWidth="1"/>
    <col min="25" max="25" width="11.28515625" style="1028" bestFit="1" customWidth="1"/>
    <col min="26" max="256" width="8.85546875" style="1028"/>
    <col min="257" max="257" width="1.7109375" style="1028" customWidth="1"/>
    <col min="258" max="258" width="5.42578125" style="1028" customWidth="1"/>
    <col min="259" max="259" width="21.42578125" style="1028" bestFit="1" customWidth="1"/>
    <col min="260" max="260" width="28.28515625" style="1028" customWidth="1"/>
    <col min="261" max="261" width="48.5703125" style="1028" customWidth="1"/>
    <col min="262" max="262" width="18.28515625" style="1028" bestFit="1" customWidth="1"/>
    <col min="263" max="267" width="11" style="1028" customWidth="1"/>
    <col min="268" max="269" width="10.7109375" style="1028" customWidth="1"/>
    <col min="270" max="270" width="10.42578125" style="1028" customWidth="1"/>
    <col min="271" max="271" width="8.7109375" style="1028" customWidth="1"/>
    <col min="272" max="272" width="10.7109375" style="1028" customWidth="1"/>
    <col min="273" max="273" width="9.140625" style="1028" customWidth="1"/>
    <col min="274" max="274" width="11" style="1028" customWidth="1"/>
    <col min="275" max="279" width="8.85546875" style="1028"/>
    <col min="280" max="280" width="11.5703125" style="1028" bestFit="1" customWidth="1"/>
    <col min="281" max="281" width="11.28515625" style="1028" bestFit="1" customWidth="1"/>
    <col min="282" max="512" width="8.85546875" style="1028"/>
    <col min="513" max="513" width="1.7109375" style="1028" customWidth="1"/>
    <col min="514" max="514" width="5.42578125" style="1028" customWidth="1"/>
    <col min="515" max="515" width="21.42578125" style="1028" bestFit="1" customWidth="1"/>
    <col min="516" max="516" width="28.28515625" style="1028" customWidth="1"/>
    <col min="517" max="517" width="48.5703125" style="1028" customWidth="1"/>
    <col min="518" max="518" width="18.28515625" style="1028" bestFit="1" customWidth="1"/>
    <col min="519" max="523" width="11" style="1028" customWidth="1"/>
    <col min="524" max="525" width="10.7109375" style="1028" customWidth="1"/>
    <col min="526" max="526" width="10.42578125" style="1028" customWidth="1"/>
    <col min="527" max="527" width="8.7109375" style="1028" customWidth="1"/>
    <col min="528" max="528" width="10.7109375" style="1028" customWidth="1"/>
    <col min="529" max="529" width="9.140625" style="1028" customWidth="1"/>
    <col min="530" max="530" width="11" style="1028" customWidth="1"/>
    <col min="531" max="535" width="8.85546875" style="1028"/>
    <col min="536" max="536" width="11.5703125" style="1028" bestFit="1" customWidth="1"/>
    <col min="537" max="537" width="11.28515625" style="1028" bestFit="1" customWidth="1"/>
    <col min="538" max="768" width="8.85546875" style="1028"/>
    <col min="769" max="769" width="1.7109375" style="1028" customWidth="1"/>
    <col min="770" max="770" width="5.42578125" style="1028" customWidth="1"/>
    <col min="771" max="771" width="21.42578125" style="1028" bestFit="1" customWidth="1"/>
    <col min="772" max="772" width="28.28515625" style="1028" customWidth="1"/>
    <col min="773" max="773" width="48.5703125" style="1028" customWidth="1"/>
    <col min="774" max="774" width="18.28515625" style="1028" bestFit="1" customWidth="1"/>
    <col min="775" max="779" width="11" style="1028" customWidth="1"/>
    <col min="780" max="781" width="10.7109375" style="1028" customWidth="1"/>
    <col min="782" max="782" width="10.42578125" style="1028" customWidth="1"/>
    <col min="783" max="783" width="8.7109375" style="1028" customWidth="1"/>
    <col min="784" max="784" width="10.7109375" style="1028" customWidth="1"/>
    <col min="785" max="785" width="9.140625" style="1028" customWidth="1"/>
    <col min="786" max="786" width="11" style="1028" customWidth="1"/>
    <col min="787" max="791" width="8.85546875" style="1028"/>
    <col min="792" max="792" width="11.5703125" style="1028" bestFit="1" customWidth="1"/>
    <col min="793" max="793" width="11.28515625" style="1028" bestFit="1" customWidth="1"/>
    <col min="794" max="1024" width="8.85546875" style="1028"/>
    <col min="1025" max="1025" width="1.7109375" style="1028" customWidth="1"/>
    <col min="1026" max="1026" width="5.42578125" style="1028" customWidth="1"/>
    <col min="1027" max="1027" width="21.42578125" style="1028" bestFit="1" customWidth="1"/>
    <col min="1028" max="1028" width="28.28515625" style="1028" customWidth="1"/>
    <col min="1029" max="1029" width="48.5703125" style="1028" customWidth="1"/>
    <col min="1030" max="1030" width="18.28515625" style="1028" bestFit="1" customWidth="1"/>
    <col min="1031" max="1035" width="11" style="1028" customWidth="1"/>
    <col min="1036" max="1037" width="10.7109375" style="1028" customWidth="1"/>
    <col min="1038" max="1038" width="10.42578125" style="1028" customWidth="1"/>
    <col min="1039" max="1039" width="8.7109375" style="1028" customWidth="1"/>
    <col min="1040" max="1040" width="10.7109375" style="1028" customWidth="1"/>
    <col min="1041" max="1041" width="9.140625" style="1028" customWidth="1"/>
    <col min="1042" max="1042" width="11" style="1028" customWidth="1"/>
    <col min="1043" max="1047" width="8.85546875" style="1028"/>
    <col min="1048" max="1048" width="11.5703125" style="1028" bestFit="1" customWidth="1"/>
    <col min="1049" max="1049" width="11.28515625" style="1028" bestFit="1" customWidth="1"/>
    <col min="1050" max="1280" width="8.85546875" style="1028"/>
    <col min="1281" max="1281" width="1.7109375" style="1028" customWidth="1"/>
    <col min="1282" max="1282" width="5.42578125" style="1028" customWidth="1"/>
    <col min="1283" max="1283" width="21.42578125" style="1028" bestFit="1" customWidth="1"/>
    <col min="1284" max="1284" width="28.28515625" style="1028" customWidth="1"/>
    <col min="1285" max="1285" width="48.5703125" style="1028" customWidth="1"/>
    <col min="1286" max="1286" width="18.28515625" style="1028" bestFit="1" customWidth="1"/>
    <col min="1287" max="1291" width="11" style="1028" customWidth="1"/>
    <col min="1292" max="1293" width="10.7109375" style="1028" customWidth="1"/>
    <col min="1294" max="1294" width="10.42578125" style="1028" customWidth="1"/>
    <col min="1295" max="1295" width="8.7109375" style="1028" customWidth="1"/>
    <col min="1296" max="1296" width="10.7109375" style="1028" customWidth="1"/>
    <col min="1297" max="1297" width="9.140625" style="1028" customWidth="1"/>
    <col min="1298" max="1298" width="11" style="1028" customWidth="1"/>
    <col min="1299" max="1303" width="8.85546875" style="1028"/>
    <col min="1304" max="1304" width="11.5703125" style="1028" bestFit="1" customWidth="1"/>
    <col min="1305" max="1305" width="11.28515625" style="1028" bestFit="1" customWidth="1"/>
    <col min="1306" max="1536" width="8.85546875" style="1028"/>
    <col min="1537" max="1537" width="1.7109375" style="1028" customWidth="1"/>
    <col min="1538" max="1538" width="5.42578125" style="1028" customWidth="1"/>
    <col min="1539" max="1539" width="21.42578125" style="1028" bestFit="1" customWidth="1"/>
    <col min="1540" max="1540" width="28.28515625" style="1028" customWidth="1"/>
    <col min="1541" max="1541" width="48.5703125" style="1028" customWidth="1"/>
    <col min="1542" max="1542" width="18.28515625" style="1028" bestFit="1" customWidth="1"/>
    <col min="1543" max="1547" width="11" style="1028" customWidth="1"/>
    <col min="1548" max="1549" width="10.7109375" style="1028" customWidth="1"/>
    <col min="1550" max="1550" width="10.42578125" style="1028" customWidth="1"/>
    <col min="1551" max="1551" width="8.7109375" style="1028" customWidth="1"/>
    <col min="1552" max="1552" width="10.7109375" style="1028" customWidth="1"/>
    <col min="1553" max="1553" width="9.140625" style="1028" customWidth="1"/>
    <col min="1554" max="1554" width="11" style="1028" customWidth="1"/>
    <col min="1555" max="1559" width="8.85546875" style="1028"/>
    <col min="1560" max="1560" width="11.5703125" style="1028" bestFit="1" customWidth="1"/>
    <col min="1561" max="1561" width="11.28515625" style="1028" bestFit="1" customWidth="1"/>
    <col min="1562" max="1792" width="8.85546875" style="1028"/>
    <col min="1793" max="1793" width="1.7109375" style="1028" customWidth="1"/>
    <col min="1794" max="1794" width="5.42578125" style="1028" customWidth="1"/>
    <col min="1795" max="1795" width="21.42578125" style="1028" bestFit="1" customWidth="1"/>
    <col min="1796" max="1796" width="28.28515625" style="1028" customWidth="1"/>
    <col min="1797" max="1797" width="48.5703125" style="1028" customWidth="1"/>
    <col min="1798" max="1798" width="18.28515625" style="1028" bestFit="1" customWidth="1"/>
    <col min="1799" max="1803" width="11" style="1028" customWidth="1"/>
    <col min="1804" max="1805" width="10.7109375" style="1028" customWidth="1"/>
    <col min="1806" max="1806" width="10.42578125" style="1028" customWidth="1"/>
    <col min="1807" max="1807" width="8.7109375" style="1028" customWidth="1"/>
    <col min="1808" max="1808" width="10.7109375" style="1028" customWidth="1"/>
    <col min="1809" max="1809" width="9.140625" style="1028" customWidth="1"/>
    <col min="1810" max="1810" width="11" style="1028" customWidth="1"/>
    <col min="1811" max="1815" width="8.85546875" style="1028"/>
    <col min="1816" max="1816" width="11.5703125" style="1028" bestFit="1" customWidth="1"/>
    <col min="1817" max="1817" width="11.28515625" style="1028" bestFit="1" customWidth="1"/>
    <col min="1818" max="2048" width="8.85546875" style="1028"/>
    <col min="2049" max="2049" width="1.7109375" style="1028" customWidth="1"/>
    <col min="2050" max="2050" width="5.42578125" style="1028" customWidth="1"/>
    <col min="2051" max="2051" width="21.42578125" style="1028" bestFit="1" customWidth="1"/>
    <col min="2052" max="2052" width="28.28515625" style="1028" customWidth="1"/>
    <col min="2053" max="2053" width="48.5703125" style="1028" customWidth="1"/>
    <col min="2054" max="2054" width="18.28515625" style="1028" bestFit="1" customWidth="1"/>
    <col min="2055" max="2059" width="11" style="1028" customWidth="1"/>
    <col min="2060" max="2061" width="10.7109375" style="1028" customWidth="1"/>
    <col min="2062" max="2062" width="10.42578125" style="1028" customWidth="1"/>
    <col min="2063" max="2063" width="8.7109375" style="1028" customWidth="1"/>
    <col min="2064" max="2064" width="10.7109375" style="1028" customWidth="1"/>
    <col min="2065" max="2065" width="9.140625" style="1028" customWidth="1"/>
    <col min="2066" max="2066" width="11" style="1028" customWidth="1"/>
    <col min="2067" max="2071" width="8.85546875" style="1028"/>
    <col min="2072" max="2072" width="11.5703125" style="1028" bestFit="1" customWidth="1"/>
    <col min="2073" max="2073" width="11.28515625" style="1028" bestFit="1" customWidth="1"/>
    <col min="2074" max="2304" width="8.85546875" style="1028"/>
    <col min="2305" max="2305" width="1.7109375" style="1028" customWidth="1"/>
    <col min="2306" max="2306" width="5.42578125" style="1028" customWidth="1"/>
    <col min="2307" max="2307" width="21.42578125" style="1028" bestFit="1" customWidth="1"/>
    <col min="2308" max="2308" width="28.28515625" style="1028" customWidth="1"/>
    <col min="2309" max="2309" width="48.5703125" style="1028" customWidth="1"/>
    <col min="2310" max="2310" width="18.28515625" style="1028" bestFit="1" customWidth="1"/>
    <col min="2311" max="2315" width="11" style="1028" customWidth="1"/>
    <col min="2316" max="2317" width="10.7109375" style="1028" customWidth="1"/>
    <col min="2318" max="2318" width="10.42578125" style="1028" customWidth="1"/>
    <col min="2319" max="2319" width="8.7109375" style="1028" customWidth="1"/>
    <col min="2320" max="2320" width="10.7109375" style="1028" customWidth="1"/>
    <col min="2321" max="2321" width="9.140625" style="1028" customWidth="1"/>
    <col min="2322" max="2322" width="11" style="1028" customWidth="1"/>
    <col min="2323" max="2327" width="8.85546875" style="1028"/>
    <col min="2328" max="2328" width="11.5703125" style="1028" bestFit="1" customWidth="1"/>
    <col min="2329" max="2329" width="11.28515625" style="1028" bestFit="1" customWidth="1"/>
    <col min="2330" max="2560" width="8.85546875" style="1028"/>
    <col min="2561" max="2561" width="1.7109375" style="1028" customWidth="1"/>
    <col min="2562" max="2562" width="5.42578125" style="1028" customWidth="1"/>
    <col min="2563" max="2563" width="21.42578125" style="1028" bestFit="1" customWidth="1"/>
    <col min="2564" max="2564" width="28.28515625" style="1028" customWidth="1"/>
    <col min="2565" max="2565" width="48.5703125" style="1028" customWidth="1"/>
    <col min="2566" max="2566" width="18.28515625" style="1028" bestFit="1" customWidth="1"/>
    <col min="2567" max="2571" width="11" style="1028" customWidth="1"/>
    <col min="2572" max="2573" width="10.7109375" style="1028" customWidth="1"/>
    <col min="2574" max="2574" width="10.42578125" style="1028" customWidth="1"/>
    <col min="2575" max="2575" width="8.7109375" style="1028" customWidth="1"/>
    <col min="2576" max="2576" width="10.7109375" style="1028" customWidth="1"/>
    <col min="2577" max="2577" width="9.140625" style="1028" customWidth="1"/>
    <col min="2578" max="2578" width="11" style="1028" customWidth="1"/>
    <col min="2579" max="2583" width="8.85546875" style="1028"/>
    <col min="2584" max="2584" width="11.5703125" style="1028" bestFit="1" customWidth="1"/>
    <col min="2585" max="2585" width="11.28515625" style="1028" bestFit="1" customWidth="1"/>
    <col min="2586" max="2816" width="8.85546875" style="1028"/>
    <col min="2817" max="2817" width="1.7109375" style="1028" customWidth="1"/>
    <col min="2818" max="2818" width="5.42578125" style="1028" customWidth="1"/>
    <col min="2819" max="2819" width="21.42578125" style="1028" bestFit="1" customWidth="1"/>
    <col min="2820" max="2820" width="28.28515625" style="1028" customWidth="1"/>
    <col min="2821" max="2821" width="48.5703125" style="1028" customWidth="1"/>
    <col min="2822" max="2822" width="18.28515625" style="1028" bestFit="1" customWidth="1"/>
    <col min="2823" max="2827" width="11" style="1028" customWidth="1"/>
    <col min="2828" max="2829" width="10.7109375" style="1028" customWidth="1"/>
    <col min="2830" max="2830" width="10.42578125" style="1028" customWidth="1"/>
    <col min="2831" max="2831" width="8.7109375" style="1028" customWidth="1"/>
    <col min="2832" max="2832" width="10.7109375" style="1028" customWidth="1"/>
    <col min="2833" max="2833" width="9.140625" style="1028" customWidth="1"/>
    <col min="2834" max="2834" width="11" style="1028" customWidth="1"/>
    <col min="2835" max="2839" width="8.85546875" style="1028"/>
    <col min="2840" max="2840" width="11.5703125" style="1028" bestFit="1" customWidth="1"/>
    <col min="2841" max="2841" width="11.28515625" style="1028" bestFit="1" customWidth="1"/>
    <col min="2842" max="3072" width="8.85546875" style="1028"/>
    <col min="3073" max="3073" width="1.7109375" style="1028" customWidth="1"/>
    <col min="3074" max="3074" width="5.42578125" style="1028" customWidth="1"/>
    <col min="3075" max="3075" width="21.42578125" style="1028" bestFit="1" customWidth="1"/>
    <col min="3076" max="3076" width="28.28515625" style="1028" customWidth="1"/>
    <col min="3077" max="3077" width="48.5703125" style="1028" customWidth="1"/>
    <col min="3078" max="3078" width="18.28515625" style="1028" bestFit="1" customWidth="1"/>
    <col min="3079" max="3083" width="11" style="1028" customWidth="1"/>
    <col min="3084" max="3085" width="10.7109375" style="1028" customWidth="1"/>
    <col min="3086" max="3086" width="10.42578125" style="1028" customWidth="1"/>
    <col min="3087" max="3087" width="8.7109375" style="1028" customWidth="1"/>
    <col min="3088" max="3088" width="10.7109375" style="1028" customWidth="1"/>
    <col min="3089" max="3089" width="9.140625" style="1028" customWidth="1"/>
    <col min="3090" max="3090" width="11" style="1028" customWidth="1"/>
    <col min="3091" max="3095" width="8.85546875" style="1028"/>
    <col min="3096" max="3096" width="11.5703125" style="1028" bestFit="1" customWidth="1"/>
    <col min="3097" max="3097" width="11.28515625" style="1028" bestFit="1" customWidth="1"/>
    <col min="3098" max="3328" width="8.85546875" style="1028"/>
    <col min="3329" max="3329" width="1.7109375" style="1028" customWidth="1"/>
    <col min="3330" max="3330" width="5.42578125" style="1028" customWidth="1"/>
    <col min="3331" max="3331" width="21.42578125" style="1028" bestFit="1" customWidth="1"/>
    <col min="3332" max="3332" width="28.28515625" style="1028" customWidth="1"/>
    <col min="3333" max="3333" width="48.5703125" style="1028" customWidth="1"/>
    <col min="3334" max="3334" width="18.28515625" style="1028" bestFit="1" customWidth="1"/>
    <col min="3335" max="3339" width="11" style="1028" customWidth="1"/>
    <col min="3340" max="3341" width="10.7109375" style="1028" customWidth="1"/>
    <col min="3342" max="3342" width="10.42578125" style="1028" customWidth="1"/>
    <col min="3343" max="3343" width="8.7109375" style="1028" customWidth="1"/>
    <col min="3344" max="3344" width="10.7109375" style="1028" customWidth="1"/>
    <col min="3345" max="3345" width="9.140625" style="1028" customWidth="1"/>
    <col min="3346" max="3346" width="11" style="1028" customWidth="1"/>
    <col min="3347" max="3351" width="8.85546875" style="1028"/>
    <col min="3352" max="3352" width="11.5703125" style="1028" bestFit="1" customWidth="1"/>
    <col min="3353" max="3353" width="11.28515625" style="1028" bestFit="1" customWidth="1"/>
    <col min="3354" max="3584" width="8.85546875" style="1028"/>
    <col min="3585" max="3585" width="1.7109375" style="1028" customWidth="1"/>
    <col min="3586" max="3586" width="5.42578125" style="1028" customWidth="1"/>
    <col min="3587" max="3587" width="21.42578125" style="1028" bestFit="1" customWidth="1"/>
    <col min="3588" max="3588" width="28.28515625" style="1028" customWidth="1"/>
    <col min="3589" max="3589" width="48.5703125" style="1028" customWidth="1"/>
    <col min="3590" max="3590" width="18.28515625" style="1028" bestFit="1" customWidth="1"/>
    <col min="3591" max="3595" width="11" style="1028" customWidth="1"/>
    <col min="3596" max="3597" width="10.7109375" style="1028" customWidth="1"/>
    <col min="3598" max="3598" width="10.42578125" style="1028" customWidth="1"/>
    <col min="3599" max="3599" width="8.7109375" style="1028" customWidth="1"/>
    <col min="3600" max="3600" width="10.7109375" style="1028" customWidth="1"/>
    <col min="3601" max="3601" width="9.140625" style="1028" customWidth="1"/>
    <col min="3602" max="3602" width="11" style="1028" customWidth="1"/>
    <col min="3603" max="3607" width="8.85546875" style="1028"/>
    <col min="3608" max="3608" width="11.5703125" style="1028" bestFit="1" customWidth="1"/>
    <col min="3609" max="3609" width="11.28515625" style="1028" bestFit="1" customWidth="1"/>
    <col min="3610" max="3840" width="8.85546875" style="1028"/>
    <col min="3841" max="3841" width="1.7109375" style="1028" customWidth="1"/>
    <col min="3842" max="3842" width="5.42578125" style="1028" customWidth="1"/>
    <col min="3843" max="3843" width="21.42578125" style="1028" bestFit="1" customWidth="1"/>
    <col min="3844" max="3844" width="28.28515625" style="1028" customWidth="1"/>
    <col min="3845" max="3845" width="48.5703125" style="1028" customWidth="1"/>
    <col min="3846" max="3846" width="18.28515625" style="1028" bestFit="1" customWidth="1"/>
    <col min="3847" max="3851" width="11" style="1028" customWidth="1"/>
    <col min="3852" max="3853" width="10.7109375" style="1028" customWidth="1"/>
    <col min="3854" max="3854" width="10.42578125" style="1028" customWidth="1"/>
    <col min="3855" max="3855" width="8.7109375" style="1028" customWidth="1"/>
    <col min="3856" max="3856" width="10.7109375" style="1028" customWidth="1"/>
    <col min="3857" max="3857" width="9.140625" style="1028" customWidth="1"/>
    <col min="3858" max="3858" width="11" style="1028" customWidth="1"/>
    <col min="3859" max="3863" width="8.85546875" style="1028"/>
    <col min="3864" max="3864" width="11.5703125" style="1028" bestFit="1" customWidth="1"/>
    <col min="3865" max="3865" width="11.28515625" style="1028" bestFit="1" customWidth="1"/>
    <col min="3866" max="4096" width="8.85546875" style="1028"/>
    <col min="4097" max="4097" width="1.7109375" style="1028" customWidth="1"/>
    <col min="4098" max="4098" width="5.42578125" style="1028" customWidth="1"/>
    <col min="4099" max="4099" width="21.42578125" style="1028" bestFit="1" customWidth="1"/>
    <col min="4100" max="4100" width="28.28515625" style="1028" customWidth="1"/>
    <col min="4101" max="4101" width="48.5703125" style="1028" customWidth="1"/>
    <col min="4102" max="4102" width="18.28515625" style="1028" bestFit="1" customWidth="1"/>
    <col min="4103" max="4107" width="11" style="1028" customWidth="1"/>
    <col min="4108" max="4109" width="10.7109375" style="1028" customWidth="1"/>
    <col min="4110" max="4110" width="10.42578125" style="1028" customWidth="1"/>
    <col min="4111" max="4111" width="8.7109375" style="1028" customWidth="1"/>
    <col min="4112" max="4112" width="10.7109375" style="1028" customWidth="1"/>
    <col min="4113" max="4113" width="9.140625" style="1028" customWidth="1"/>
    <col min="4114" max="4114" width="11" style="1028" customWidth="1"/>
    <col min="4115" max="4119" width="8.85546875" style="1028"/>
    <col min="4120" max="4120" width="11.5703125" style="1028" bestFit="1" customWidth="1"/>
    <col min="4121" max="4121" width="11.28515625" style="1028" bestFit="1" customWidth="1"/>
    <col min="4122" max="4352" width="8.85546875" style="1028"/>
    <col min="4353" max="4353" width="1.7109375" style="1028" customWidth="1"/>
    <col min="4354" max="4354" width="5.42578125" style="1028" customWidth="1"/>
    <col min="4355" max="4355" width="21.42578125" style="1028" bestFit="1" customWidth="1"/>
    <col min="4356" max="4356" width="28.28515625" style="1028" customWidth="1"/>
    <col min="4357" max="4357" width="48.5703125" style="1028" customWidth="1"/>
    <col min="4358" max="4358" width="18.28515625" style="1028" bestFit="1" customWidth="1"/>
    <col min="4359" max="4363" width="11" style="1028" customWidth="1"/>
    <col min="4364" max="4365" width="10.7109375" style="1028" customWidth="1"/>
    <col min="4366" max="4366" width="10.42578125" style="1028" customWidth="1"/>
    <col min="4367" max="4367" width="8.7109375" style="1028" customWidth="1"/>
    <col min="4368" max="4368" width="10.7109375" style="1028" customWidth="1"/>
    <col min="4369" max="4369" width="9.140625" style="1028" customWidth="1"/>
    <col min="4370" max="4370" width="11" style="1028" customWidth="1"/>
    <col min="4371" max="4375" width="8.85546875" style="1028"/>
    <col min="4376" max="4376" width="11.5703125" style="1028" bestFit="1" customWidth="1"/>
    <col min="4377" max="4377" width="11.28515625" style="1028" bestFit="1" customWidth="1"/>
    <col min="4378" max="4608" width="8.85546875" style="1028"/>
    <col min="4609" max="4609" width="1.7109375" style="1028" customWidth="1"/>
    <col min="4610" max="4610" width="5.42578125" style="1028" customWidth="1"/>
    <col min="4611" max="4611" width="21.42578125" style="1028" bestFit="1" customWidth="1"/>
    <col min="4612" max="4612" width="28.28515625" style="1028" customWidth="1"/>
    <col min="4613" max="4613" width="48.5703125" style="1028" customWidth="1"/>
    <col min="4614" max="4614" width="18.28515625" style="1028" bestFit="1" customWidth="1"/>
    <col min="4615" max="4619" width="11" style="1028" customWidth="1"/>
    <col min="4620" max="4621" width="10.7109375" style="1028" customWidth="1"/>
    <col min="4622" max="4622" width="10.42578125" style="1028" customWidth="1"/>
    <col min="4623" max="4623" width="8.7109375" style="1028" customWidth="1"/>
    <col min="4624" max="4624" width="10.7109375" style="1028" customWidth="1"/>
    <col min="4625" max="4625" width="9.140625" style="1028" customWidth="1"/>
    <col min="4626" max="4626" width="11" style="1028" customWidth="1"/>
    <col min="4627" max="4631" width="8.85546875" style="1028"/>
    <col min="4632" max="4632" width="11.5703125" style="1028" bestFit="1" customWidth="1"/>
    <col min="4633" max="4633" width="11.28515625" style="1028" bestFit="1" customWidth="1"/>
    <col min="4634" max="4864" width="8.85546875" style="1028"/>
    <col min="4865" max="4865" width="1.7109375" style="1028" customWidth="1"/>
    <col min="4866" max="4866" width="5.42578125" style="1028" customWidth="1"/>
    <col min="4867" max="4867" width="21.42578125" style="1028" bestFit="1" customWidth="1"/>
    <col min="4868" max="4868" width="28.28515625" style="1028" customWidth="1"/>
    <col min="4869" max="4869" width="48.5703125" style="1028" customWidth="1"/>
    <col min="4870" max="4870" width="18.28515625" style="1028" bestFit="1" customWidth="1"/>
    <col min="4871" max="4875" width="11" style="1028" customWidth="1"/>
    <col min="4876" max="4877" width="10.7109375" style="1028" customWidth="1"/>
    <col min="4878" max="4878" width="10.42578125" style="1028" customWidth="1"/>
    <col min="4879" max="4879" width="8.7109375" style="1028" customWidth="1"/>
    <col min="4880" max="4880" width="10.7109375" style="1028" customWidth="1"/>
    <col min="4881" max="4881" width="9.140625" style="1028" customWidth="1"/>
    <col min="4882" max="4882" width="11" style="1028" customWidth="1"/>
    <col min="4883" max="4887" width="8.85546875" style="1028"/>
    <col min="4888" max="4888" width="11.5703125" style="1028" bestFit="1" customWidth="1"/>
    <col min="4889" max="4889" width="11.28515625" style="1028" bestFit="1" customWidth="1"/>
    <col min="4890" max="5120" width="8.85546875" style="1028"/>
    <col min="5121" max="5121" width="1.7109375" style="1028" customWidth="1"/>
    <col min="5122" max="5122" width="5.42578125" style="1028" customWidth="1"/>
    <col min="5123" max="5123" width="21.42578125" style="1028" bestFit="1" customWidth="1"/>
    <col min="5124" max="5124" width="28.28515625" style="1028" customWidth="1"/>
    <col min="5125" max="5125" width="48.5703125" style="1028" customWidth="1"/>
    <col min="5126" max="5126" width="18.28515625" style="1028" bestFit="1" customWidth="1"/>
    <col min="5127" max="5131" width="11" style="1028" customWidth="1"/>
    <col min="5132" max="5133" width="10.7109375" style="1028" customWidth="1"/>
    <col min="5134" max="5134" width="10.42578125" style="1028" customWidth="1"/>
    <col min="5135" max="5135" width="8.7109375" style="1028" customWidth="1"/>
    <col min="5136" max="5136" width="10.7109375" style="1028" customWidth="1"/>
    <col min="5137" max="5137" width="9.140625" style="1028" customWidth="1"/>
    <col min="5138" max="5138" width="11" style="1028" customWidth="1"/>
    <col min="5139" max="5143" width="8.85546875" style="1028"/>
    <col min="5144" max="5144" width="11.5703125" style="1028" bestFit="1" customWidth="1"/>
    <col min="5145" max="5145" width="11.28515625" style="1028" bestFit="1" customWidth="1"/>
    <col min="5146" max="5376" width="8.85546875" style="1028"/>
    <col min="5377" max="5377" width="1.7109375" style="1028" customWidth="1"/>
    <col min="5378" max="5378" width="5.42578125" style="1028" customWidth="1"/>
    <col min="5379" max="5379" width="21.42578125" style="1028" bestFit="1" customWidth="1"/>
    <col min="5380" max="5380" width="28.28515625" style="1028" customWidth="1"/>
    <col min="5381" max="5381" width="48.5703125" style="1028" customWidth="1"/>
    <col min="5382" max="5382" width="18.28515625" style="1028" bestFit="1" customWidth="1"/>
    <col min="5383" max="5387" width="11" style="1028" customWidth="1"/>
    <col min="5388" max="5389" width="10.7109375" style="1028" customWidth="1"/>
    <col min="5390" max="5390" width="10.42578125" style="1028" customWidth="1"/>
    <col min="5391" max="5391" width="8.7109375" style="1028" customWidth="1"/>
    <col min="5392" max="5392" width="10.7109375" style="1028" customWidth="1"/>
    <col min="5393" max="5393" width="9.140625" style="1028" customWidth="1"/>
    <col min="5394" max="5394" width="11" style="1028" customWidth="1"/>
    <col min="5395" max="5399" width="8.85546875" style="1028"/>
    <col min="5400" max="5400" width="11.5703125" style="1028" bestFit="1" customWidth="1"/>
    <col min="5401" max="5401" width="11.28515625" style="1028" bestFit="1" customWidth="1"/>
    <col min="5402" max="5632" width="8.85546875" style="1028"/>
    <col min="5633" max="5633" width="1.7109375" style="1028" customWidth="1"/>
    <col min="5634" max="5634" width="5.42578125" style="1028" customWidth="1"/>
    <col min="5635" max="5635" width="21.42578125" style="1028" bestFit="1" customWidth="1"/>
    <col min="5636" max="5636" width="28.28515625" style="1028" customWidth="1"/>
    <col min="5637" max="5637" width="48.5703125" style="1028" customWidth="1"/>
    <col min="5638" max="5638" width="18.28515625" style="1028" bestFit="1" customWidth="1"/>
    <col min="5639" max="5643" width="11" style="1028" customWidth="1"/>
    <col min="5644" max="5645" width="10.7109375" style="1028" customWidth="1"/>
    <col min="5646" max="5646" width="10.42578125" style="1028" customWidth="1"/>
    <col min="5647" max="5647" width="8.7109375" style="1028" customWidth="1"/>
    <col min="5648" max="5648" width="10.7109375" style="1028" customWidth="1"/>
    <col min="5649" max="5649" width="9.140625" style="1028" customWidth="1"/>
    <col min="5650" max="5650" width="11" style="1028" customWidth="1"/>
    <col min="5651" max="5655" width="8.85546875" style="1028"/>
    <col min="5656" max="5656" width="11.5703125" style="1028" bestFit="1" customWidth="1"/>
    <col min="5657" max="5657" width="11.28515625" style="1028" bestFit="1" customWidth="1"/>
    <col min="5658" max="5888" width="8.85546875" style="1028"/>
    <col min="5889" max="5889" width="1.7109375" style="1028" customWidth="1"/>
    <col min="5890" max="5890" width="5.42578125" style="1028" customWidth="1"/>
    <col min="5891" max="5891" width="21.42578125" style="1028" bestFit="1" customWidth="1"/>
    <col min="5892" max="5892" width="28.28515625" style="1028" customWidth="1"/>
    <col min="5893" max="5893" width="48.5703125" style="1028" customWidth="1"/>
    <col min="5894" max="5894" width="18.28515625" style="1028" bestFit="1" customWidth="1"/>
    <col min="5895" max="5899" width="11" style="1028" customWidth="1"/>
    <col min="5900" max="5901" width="10.7109375" style="1028" customWidth="1"/>
    <col min="5902" max="5902" width="10.42578125" style="1028" customWidth="1"/>
    <col min="5903" max="5903" width="8.7109375" style="1028" customWidth="1"/>
    <col min="5904" max="5904" width="10.7109375" style="1028" customWidth="1"/>
    <col min="5905" max="5905" width="9.140625" style="1028" customWidth="1"/>
    <col min="5906" max="5906" width="11" style="1028" customWidth="1"/>
    <col min="5907" max="5911" width="8.85546875" style="1028"/>
    <col min="5912" max="5912" width="11.5703125" style="1028" bestFit="1" customWidth="1"/>
    <col min="5913" max="5913" width="11.28515625" style="1028" bestFit="1" customWidth="1"/>
    <col min="5914" max="6144" width="8.85546875" style="1028"/>
    <col min="6145" max="6145" width="1.7109375" style="1028" customWidth="1"/>
    <col min="6146" max="6146" width="5.42578125" style="1028" customWidth="1"/>
    <col min="6147" max="6147" width="21.42578125" style="1028" bestFit="1" customWidth="1"/>
    <col min="6148" max="6148" width="28.28515625" style="1028" customWidth="1"/>
    <col min="6149" max="6149" width="48.5703125" style="1028" customWidth="1"/>
    <col min="6150" max="6150" width="18.28515625" style="1028" bestFit="1" customWidth="1"/>
    <col min="6151" max="6155" width="11" style="1028" customWidth="1"/>
    <col min="6156" max="6157" width="10.7109375" style="1028" customWidth="1"/>
    <col min="6158" max="6158" width="10.42578125" style="1028" customWidth="1"/>
    <col min="6159" max="6159" width="8.7109375" style="1028" customWidth="1"/>
    <col min="6160" max="6160" width="10.7109375" style="1028" customWidth="1"/>
    <col min="6161" max="6161" width="9.140625" style="1028" customWidth="1"/>
    <col min="6162" max="6162" width="11" style="1028" customWidth="1"/>
    <col min="6163" max="6167" width="8.85546875" style="1028"/>
    <col min="6168" max="6168" width="11.5703125" style="1028" bestFit="1" customWidth="1"/>
    <col min="6169" max="6169" width="11.28515625" style="1028" bestFit="1" customWidth="1"/>
    <col min="6170" max="6400" width="8.85546875" style="1028"/>
    <col min="6401" max="6401" width="1.7109375" style="1028" customWidth="1"/>
    <col min="6402" max="6402" width="5.42578125" style="1028" customWidth="1"/>
    <col min="6403" max="6403" width="21.42578125" style="1028" bestFit="1" customWidth="1"/>
    <col min="6404" max="6404" width="28.28515625" style="1028" customWidth="1"/>
    <col min="6405" max="6405" width="48.5703125" style="1028" customWidth="1"/>
    <col min="6406" max="6406" width="18.28515625" style="1028" bestFit="1" customWidth="1"/>
    <col min="6407" max="6411" width="11" style="1028" customWidth="1"/>
    <col min="6412" max="6413" width="10.7109375" style="1028" customWidth="1"/>
    <col min="6414" max="6414" width="10.42578125" style="1028" customWidth="1"/>
    <col min="6415" max="6415" width="8.7109375" style="1028" customWidth="1"/>
    <col min="6416" max="6416" width="10.7109375" style="1028" customWidth="1"/>
    <col min="6417" max="6417" width="9.140625" style="1028" customWidth="1"/>
    <col min="6418" max="6418" width="11" style="1028" customWidth="1"/>
    <col min="6419" max="6423" width="8.85546875" style="1028"/>
    <col min="6424" max="6424" width="11.5703125" style="1028" bestFit="1" customWidth="1"/>
    <col min="6425" max="6425" width="11.28515625" style="1028" bestFit="1" customWidth="1"/>
    <col min="6426" max="6656" width="8.85546875" style="1028"/>
    <col min="6657" max="6657" width="1.7109375" style="1028" customWidth="1"/>
    <col min="6658" max="6658" width="5.42578125" style="1028" customWidth="1"/>
    <col min="6659" max="6659" width="21.42578125" style="1028" bestFit="1" customWidth="1"/>
    <col min="6660" max="6660" width="28.28515625" style="1028" customWidth="1"/>
    <col min="6661" max="6661" width="48.5703125" style="1028" customWidth="1"/>
    <col min="6662" max="6662" width="18.28515625" style="1028" bestFit="1" customWidth="1"/>
    <col min="6663" max="6667" width="11" style="1028" customWidth="1"/>
    <col min="6668" max="6669" width="10.7109375" style="1028" customWidth="1"/>
    <col min="6670" max="6670" width="10.42578125" style="1028" customWidth="1"/>
    <col min="6671" max="6671" width="8.7109375" style="1028" customWidth="1"/>
    <col min="6672" max="6672" width="10.7109375" style="1028" customWidth="1"/>
    <col min="6673" max="6673" width="9.140625" style="1028" customWidth="1"/>
    <col min="6674" max="6674" width="11" style="1028" customWidth="1"/>
    <col min="6675" max="6679" width="8.85546875" style="1028"/>
    <col min="6680" max="6680" width="11.5703125" style="1028" bestFit="1" customWidth="1"/>
    <col min="6681" max="6681" width="11.28515625" style="1028" bestFit="1" customWidth="1"/>
    <col min="6682" max="6912" width="8.85546875" style="1028"/>
    <col min="6913" max="6913" width="1.7109375" style="1028" customWidth="1"/>
    <col min="6914" max="6914" width="5.42578125" style="1028" customWidth="1"/>
    <col min="6915" max="6915" width="21.42578125" style="1028" bestFit="1" customWidth="1"/>
    <col min="6916" max="6916" width="28.28515625" style="1028" customWidth="1"/>
    <col min="6917" max="6917" width="48.5703125" style="1028" customWidth="1"/>
    <col min="6918" max="6918" width="18.28515625" style="1028" bestFit="1" customWidth="1"/>
    <col min="6919" max="6923" width="11" style="1028" customWidth="1"/>
    <col min="6924" max="6925" width="10.7109375" style="1028" customWidth="1"/>
    <col min="6926" max="6926" width="10.42578125" style="1028" customWidth="1"/>
    <col min="6927" max="6927" width="8.7109375" style="1028" customWidth="1"/>
    <col min="6928" max="6928" width="10.7109375" style="1028" customWidth="1"/>
    <col min="6929" max="6929" width="9.140625" style="1028" customWidth="1"/>
    <col min="6930" max="6930" width="11" style="1028" customWidth="1"/>
    <col min="6931" max="6935" width="8.85546875" style="1028"/>
    <col min="6936" max="6936" width="11.5703125" style="1028" bestFit="1" customWidth="1"/>
    <col min="6937" max="6937" width="11.28515625" style="1028" bestFit="1" customWidth="1"/>
    <col min="6938" max="7168" width="8.85546875" style="1028"/>
    <col min="7169" max="7169" width="1.7109375" style="1028" customWidth="1"/>
    <col min="7170" max="7170" width="5.42578125" style="1028" customWidth="1"/>
    <col min="7171" max="7171" width="21.42578125" style="1028" bestFit="1" customWidth="1"/>
    <col min="7172" max="7172" width="28.28515625" style="1028" customWidth="1"/>
    <col min="7173" max="7173" width="48.5703125" style="1028" customWidth="1"/>
    <col min="7174" max="7174" width="18.28515625" style="1028" bestFit="1" customWidth="1"/>
    <col min="7175" max="7179" width="11" style="1028" customWidth="1"/>
    <col min="7180" max="7181" width="10.7109375" style="1028" customWidth="1"/>
    <col min="7182" max="7182" width="10.42578125" style="1028" customWidth="1"/>
    <col min="7183" max="7183" width="8.7109375" style="1028" customWidth="1"/>
    <col min="7184" max="7184" width="10.7109375" style="1028" customWidth="1"/>
    <col min="7185" max="7185" width="9.140625" style="1028" customWidth="1"/>
    <col min="7186" max="7186" width="11" style="1028" customWidth="1"/>
    <col min="7187" max="7191" width="8.85546875" style="1028"/>
    <col min="7192" max="7192" width="11.5703125" style="1028" bestFit="1" customWidth="1"/>
    <col min="7193" max="7193" width="11.28515625" style="1028" bestFit="1" customWidth="1"/>
    <col min="7194" max="7424" width="8.85546875" style="1028"/>
    <col min="7425" max="7425" width="1.7109375" style="1028" customWidth="1"/>
    <col min="7426" max="7426" width="5.42578125" style="1028" customWidth="1"/>
    <col min="7427" max="7427" width="21.42578125" style="1028" bestFit="1" customWidth="1"/>
    <col min="7428" max="7428" width="28.28515625" style="1028" customWidth="1"/>
    <col min="7429" max="7429" width="48.5703125" style="1028" customWidth="1"/>
    <col min="7430" max="7430" width="18.28515625" style="1028" bestFit="1" customWidth="1"/>
    <col min="7431" max="7435" width="11" style="1028" customWidth="1"/>
    <col min="7436" max="7437" width="10.7109375" style="1028" customWidth="1"/>
    <col min="7438" max="7438" width="10.42578125" style="1028" customWidth="1"/>
    <col min="7439" max="7439" width="8.7109375" style="1028" customWidth="1"/>
    <col min="7440" max="7440" width="10.7109375" style="1028" customWidth="1"/>
    <col min="7441" max="7441" width="9.140625" style="1028" customWidth="1"/>
    <col min="7442" max="7442" width="11" style="1028" customWidth="1"/>
    <col min="7443" max="7447" width="8.85546875" style="1028"/>
    <col min="7448" max="7448" width="11.5703125" style="1028" bestFit="1" customWidth="1"/>
    <col min="7449" max="7449" width="11.28515625" style="1028" bestFit="1" customWidth="1"/>
    <col min="7450" max="7680" width="8.85546875" style="1028"/>
    <col min="7681" max="7681" width="1.7109375" style="1028" customWidth="1"/>
    <col min="7682" max="7682" width="5.42578125" style="1028" customWidth="1"/>
    <col min="7683" max="7683" width="21.42578125" style="1028" bestFit="1" customWidth="1"/>
    <col min="7684" max="7684" width="28.28515625" style="1028" customWidth="1"/>
    <col min="7685" max="7685" width="48.5703125" style="1028" customWidth="1"/>
    <col min="7686" max="7686" width="18.28515625" style="1028" bestFit="1" customWidth="1"/>
    <col min="7687" max="7691" width="11" style="1028" customWidth="1"/>
    <col min="7692" max="7693" width="10.7109375" style="1028" customWidth="1"/>
    <col min="7694" max="7694" width="10.42578125" style="1028" customWidth="1"/>
    <col min="7695" max="7695" width="8.7109375" style="1028" customWidth="1"/>
    <col min="7696" max="7696" width="10.7109375" style="1028" customWidth="1"/>
    <col min="7697" max="7697" width="9.140625" style="1028" customWidth="1"/>
    <col min="7698" max="7698" width="11" style="1028" customWidth="1"/>
    <col min="7699" max="7703" width="8.85546875" style="1028"/>
    <col min="7704" max="7704" width="11.5703125" style="1028" bestFit="1" customWidth="1"/>
    <col min="7705" max="7705" width="11.28515625" style="1028" bestFit="1" customWidth="1"/>
    <col min="7706" max="7936" width="8.85546875" style="1028"/>
    <col min="7937" max="7937" width="1.7109375" style="1028" customWidth="1"/>
    <col min="7938" max="7938" width="5.42578125" style="1028" customWidth="1"/>
    <col min="7939" max="7939" width="21.42578125" style="1028" bestFit="1" customWidth="1"/>
    <col min="7940" max="7940" width="28.28515625" style="1028" customWidth="1"/>
    <col min="7941" max="7941" width="48.5703125" style="1028" customWidth="1"/>
    <col min="7942" max="7942" width="18.28515625" style="1028" bestFit="1" customWidth="1"/>
    <col min="7943" max="7947" width="11" style="1028" customWidth="1"/>
    <col min="7948" max="7949" width="10.7109375" style="1028" customWidth="1"/>
    <col min="7950" max="7950" width="10.42578125" style="1028" customWidth="1"/>
    <col min="7951" max="7951" width="8.7109375" style="1028" customWidth="1"/>
    <col min="7952" max="7952" width="10.7109375" style="1028" customWidth="1"/>
    <col min="7953" max="7953" width="9.140625" style="1028" customWidth="1"/>
    <col min="7954" max="7954" width="11" style="1028" customWidth="1"/>
    <col min="7955" max="7959" width="8.85546875" style="1028"/>
    <col min="7960" max="7960" width="11.5703125" style="1028" bestFit="1" customWidth="1"/>
    <col min="7961" max="7961" width="11.28515625" style="1028" bestFit="1" customWidth="1"/>
    <col min="7962" max="8192" width="8.85546875" style="1028"/>
    <col min="8193" max="8193" width="1.7109375" style="1028" customWidth="1"/>
    <col min="8194" max="8194" width="5.42578125" style="1028" customWidth="1"/>
    <col min="8195" max="8195" width="21.42578125" style="1028" bestFit="1" customWidth="1"/>
    <col min="8196" max="8196" width="28.28515625" style="1028" customWidth="1"/>
    <col min="8197" max="8197" width="48.5703125" style="1028" customWidth="1"/>
    <col min="8198" max="8198" width="18.28515625" style="1028" bestFit="1" customWidth="1"/>
    <col min="8199" max="8203" width="11" style="1028" customWidth="1"/>
    <col min="8204" max="8205" width="10.7109375" style="1028" customWidth="1"/>
    <col min="8206" max="8206" width="10.42578125" style="1028" customWidth="1"/>
    <col min="8207" max="8207" width="8.7109375" style="1028" customWidth="1"/>
    <col min="8208" max="8208" width="10.7109375" style="1028" customWidth="1"/>
    <col min="8209" max="8209" width="9.140625" style="1028" customWidth="1"/>
    <col min="8210" max="8210" width="11" style="1028" customWidth="1"/>
    <col min="8211" max="8215" width="8.85546875" style="1028"/>
    <col min="8216" max="8216" width="11.5703125" style="1028" bestFit="1" customWidth="1"/>
    <col min="8217" max="8217" width="11.28515625" style="1028" bestFit="1" customWidth="1"/>
    <col min="8218" max="8448" width="8.85546875" style="1028"/>
    <col min="8449" max="8449" width="1.7109375" style="1028" customWidth="1"/>
    <col min="8450" max="8450" width="5.42578125" style="1028" customWidth="1"/>
    <col min="8451" max="8451" width="21.42578125" style="1028" bestFit="1" customWidth="1"/>
    <col min="8452" max="8452" width="28.28515625" style="1028" customWidth="1"/>
    <col min="8453" max="8453" width="48.5703125" style="1028" customWidth="1"/>
    <col min="8454" max="8454" width="18.28515625" style="1028" bestFit="1" customWidth="1"/>
    <col min="8455" max="8459" width="11" style="1028" customWidth="1"/>
    <col min="8460" max="8461" width="10.7109375" style="1028" customWidth="1"/>
    <col min="8462" max="8462" width="10.42578125" style="1028" customWidth="1"/>
    <col min="8463" max="8463" width="8.7109375" style="1028" customWidth="1"/>
    <col min="8464" max="8464" width="10.7109375" style="1028" customWidth="1"/>
    <col min="8465" max="8465" width="9.140625" style="1028" customWidth="1"/>
    <col min="8466" max="8466" width="11" style="1028" customWidth="1"/>
    <col min="8467" max="8471" width="8.85546875" style="1028"/>
    <col min="8472" max="8472" width="11.5703125" style="1028" bestFit="1" customWidth="1"/>
    <col min="8473" max="8473" width="11.28515625" style="1028" bestFit="1" customWidth="1"/>
    <col min="8474" max="8704" width="8.85546875" style="1028"/>
    <col min="8705" max="8705" width="1.7109375" style="1028" customWidth="1"/>
    <col min="8706" max="8706" width="5.42578125" style="1028" customWidth="1"/>
    <col min="8707" max="8707" width="21.42578125" style="1028" bestFit="1" customWidth="1"/>
    <col min="8708" max="8708" width="28.28515625" style="1028" customWidth="1"/>
    <col min="8709" max="8709" width="48.5703125" style="1028" customWidth="1"/>
    <col min="8710" max="8710" width="18.28515625" style="1028" bestFit="1" customWidth="1"/>
    <col min="8711" max="8715" width="11" style="1028" customWidth="1"/>
    <col min="8716" max="8717" width="10.7109375" style="1028" customWidth="1"/>
    <col min="8718" max="8718" width="10.42578125" style="1028" customWidth="1"/>
    <col min="8719" max="8719" width="8.7109375" style="1028" customWidth="1"/>
    <col min="8720" max="8720" width="10.7109375" style="1028" customWidth="1"/>
    <col min="8721" max="8721" width="9.140625" style="1028" customWidth="1"/>
    <col min="8722" max="8722" width="11" style="1028" customWidth="1"/>
    <col min="8723" max="8727" width="8.85546875" style="1028"/>
    <col min="8728" max="8728" width="11.5703125" style="1028" bestFit="1" customWidth="1"/>
    <col min="8729" max="8729" width="11.28515625" style="1028" bestFit="1" customWidth="1"/>
    <col min="8730" max="8960" width="8.85546875" style="1028"/>
    <col min="8961" max="8961" width="1.7109375" style="1028" customWidth="1"/>
    <col min="8962" max="8962" width="5.42578125" style="1028" customWidth="1"/>
    <col min="8963" max="8963" width="21.42578125" style="1028" bestFit="1" customWidth="1"/>
    <col min="8964" max="8964" width="28.28515625" style="1028" customWidth="1"/>
    <col min="8965" max="8965" width="48.5703125" style="1028" customWidth="1"/>
    <col min="8966" max="8966" width="18.28515625" style="1028" bestFit="1" customWidth="1"/>
    <col min="8967" max="8971" width="11" style="1028" customWidth="1"/>
    <col min="8972" max="8973" width="10.7109375" style="1028" customWidth="1"/>
    <col min="8974" max="8974" width="10.42578125" style="1028" customWidth="1"/>
    <col min="8975" max="8975" width="8.7109375" style="1028" customWidth="1"/>
    <col min="8976" max="8976" width="10.7109375" style="1028" customWidth="1"/>
    <col min="8977" max="8977" width="9.140625" style="1028" customWidth="1"/>
    <col min="8978" max="8978" width="11" style="1028" customWidth="1"/>
    <col min="8979" max="8983" width="8.85546875" style="1028"/>
    <col min="8984" max="8984" width="11.5703125" style="1028" bestFit="1" customWidth="1"/>
    <col min="8985" max="8985" width="11.28515625" style="1028" bestFit="1" customWidth="1"/>
    <col min="8986" max="9216" width="8.85546875" style="1028"/>
    <col min="9217" max="9217" width="1.7109375" style="1028" customWidth="1"/>
    <col min="9218" max="9218" width="5.42578125" style="1028" customWidth="1"/>
    <col min="9219" max="9219" width="21.42578125" style="1028" bestFit="1" customWidth="1"/>
    <col min="9220" max="9220" width="28.28515625" style="1028" customWidth="1"/>
    <col min="9221" max="9221" width="48.5703125" style="1028" customWidth="1"/>
    <col min="9222" max="9222" width="18.28515625" style="1028" bestFit="1" customWidth="1"/>
    <col min="9223" max="9227" width="11" style="1028" customWidth="1"/>
    <col min="9228" max="9229" width="10.7109375" style="1028" customWidth="1"/>
    <col min="9230" max="9230" width="10.42578125" style="1028" customWidth="1"/>
    <col min="9231" max="9231" width="8.7109375" style="1028" customWidth="1"/>
    <col min="9232" max="9232" width="10.7109375" style="1028" customWidth="1"/>
    <col min="9233" max="9233" width="9.140625" style="1028" customWidth="1"/>
    <col min="9234" max="9234" width="11" style="1028" customWidth="1"/>
    <col min="9235" max="9239" width="8.85546875" style="1028"/>
    <col min="9240" max="9240" width="11.5703125" style="1028" bestFit="1" customWidth="1"/>
    <col min="9241" max="9241" width="11.28515625" style="1028" bestFit="1" customWidth="1"/>
    <col min="9242" max="9472" width="8.85546875" style="1028"/>
    <col min="9473" max="9473" width="1.7109375" style="1028" customWidth="1"/>
    <col min="9474" max="9474" width="5.42578125" style="1028" customWidth="1"/>
    <col min="9475" max="9475" width="21.42578125" style="1028" bestFit="1" customWidth="1"/>
    <col min="9476" max="9476" width="28.28515625" style="1028" customWidth="1"/>
    <col min="9477" max="9477" width="48.5703125" style="1028" customWidth="1"/>
    <col min="9478" max="9478" width="18.28515625" style="1028" bestFit="1" customWidth="1"/>
    <col min="9479" max="9483" width="11" style="1028" customWidth="1"/>
    <col min="9484" max="9485" width="10.7109375" style="1028" customWidth="1"/>
    <col min="9486" max="9486" width="10.42578125" style="1028" customWidth="1"/>
    <col min="9487" max="9487" width="8.7109375" style="1028" customWidth="1"/>
    <col min="9488" max="9488" width="10.7109375" style="1028" customWidth="1"/>
    <col min="9489" max="9489" width="9.140625" style="1028" customWidth="1"/>
    <col min="9490" max="9490" width="11" style="1028" customWidth="1"/>
    <col min="9491" max="9495" width="8.85546875" style="1028"/>
    <col min="9496" max="9496" width="11.5703125" style="1028" bestFit="1" customWidth="1"/>
    <col min="9497" max="9497" width="11.28515625" style="1028" bestFit="1" customWidth="1"/>
    <col min="9498" max="9728" width="8.85546875" style="1028"/>
    <col min="9729" max="9729" width="1.7109375" style="1028" customWidth="1"/>
    <col min="9730" max="9730" width="5.42578125" style="1028" customWidth="1"/>
    <col min="9731" max="9731" width="21.42578125" style="1028" bestFit="1" customWidth="1"/>
    <col min="9732" max="9732" width="28.28515625" style="1028" customWidth="1"/>
    <col min="9733" max="9733" width="48.5703125" style="1028" customWidth="1"/>
    <col min="9734" max="9734" width="18.28515625" style="1028" bestFit="1" customWidth="1"/>
    <col min="9735" max="9739" width="11" style="1028" customWidth="1"/>
    <col min="9740" max="9741" width="10.7109375" style="1028" customWidth="1"/>
    <col min="9742" max="9742" width="10.42578125" style="1028" customWidth="1"/>
    <col min="9743" max="9743" width="8.7109375" style="1028" customWidth="1"/>
    <col min="9744" max="9744" width="10.7109375" style="1028" customWidth="1"/>
    <col min="9745" max="9745" width="9.140625" style="1028" customWidth="1"/>
    <col min="9746" max="9746" width="11" style="1028" customWidth="1"/>
    <col min="9747" max="9751" width="8.85546875" style="1028"/>
    <col min="9752" max="9752" width="11.5703125" style="1028" bestFit="1" customWidth="1"/>
    <col min="9753" max="9753" width="11.28515625" style="1028" bestFit="1" customWidth="1"/>
    <col min="9754" max="9984" width="8.85546875" style="1028"/>
    <col min="9985" max="9985" width="1.7109375" style="1028" customWidth="1"/>
    <col min="9986" max="9986" width="5.42578125" style="1028" customWidth="1"/>
    <col min="9987" max="9987" width="21.42578125" style="1028" bestFit="1" customWidth="1"/>
    <col min="9988" max="9988" width="28.28515625" style="1028" customWidth="1"/>
    <col min="9989" max="9989" width="48.5703125" style="1028" customWidth="1"/>
    <col min="9990" max="9990" width="18.28515625" style="1028" bestFit="1" customWidth="1"/>
    <col min="9991" max="9995" width="11" style="1028" customWidth="1"/>
    <col min="9996" max="9997" width="10.7109375" style="1028" customWidth="1"/>
    <col min="9998" max="9998" width="10.42578125" style="1028" customWidth="1"/>
    <col min="9999" max="9999" width="8.7109375" style="1028" customWidth="1"/>
    <col min="10000" max="10000" width="10.7109375" style="1028" customWidth="1"/>
    <col min="10001" max="10001" width="9.140625" style="1028" customWidth="1"/>
    <col min="10002" max="10002" width="11" style="1028" customWidth="1"/>
    <col min="10003" max="10007" width="8.85546875" style="1028"/>
    <col min="10008" max="10008" width="11.5703125" style="1028" bestFit="1" customWidth="1"/>
    <col min="10009" max="10009" width="11.28515625" style="1028" bestFit="1" customWidth="1"/>
    <col min="10010" max="10240" width="8.85546875" style="1028"/>
    <col min="10241" max="10241" width="1.7109375" style="1028" customWidth="1"/>
    <col min="10242" max="10242" width="5.42578125" style="1028" customWidth="1"/>
    <col min="10243" max="10243" width="21.42578125" style="1028" bestFit="1" customWidth="1"/>
    <col min="10244" max="10244" width="28.28515625" style="1028" customWidth="1"/>
    <col min="10245" max="10245" width="48.5703125" style="1028" customWidth="1"/>
    <col min="10246" max="10246" width="18.28515625" style="1028" bestFit="1" customWidth="1"/>
    <col min="10247" max="10251" width="11" style="1028" customWidth="1"/>
    <col min="10252" max="10253" width="10.7109375" style="1028" customWidth="1"/>
    <col min="10254" max="10254" width="10.42578125" style="1028" customWidth="1"/>
    <col min="10255" max="10255" width="8.7109375" style="1028" customWidth="1"/>
    <col min="10256" max="10256" width="10.7109375" style="1028" customWidth="1"/>
    <col min="10257" max="10257" width="9.140625" style="1028" customWidth="1"/>
    <col min="10258" max="10258" width="11" style="1028" customWidth="1"/>
    <col min="10259" max="10263" width="8.85546875" style="1028"/>
    <col min="10264" max="10264" width="11.5703125" style="1028" bestFit="1" customWidth="1"/>
    <col min="10265" max="10265" width="11.28515625" style="1028" bestFit="1" customWidth="1"/>
    <col min="10266" max="10496" width="8.85546875" style="1028"/>
    <col min="10497" max="10497" width="1.7109375" style="1028" customWidth="1"/>
    <col min="10498" max="10498" width="5.42578125" style="1028" customWidth="1"/>
    <col min="10499" max="10499" width="21.42578125" style="1028" bestFit="1" customWidth="1"/>
    <col min="10500" max="10500" width="28.28515625" style="1028" customWidth="1"/>
    <col min="10501" max="10501" width="48.5703125" style="1028" customWidth="1"/>
    <col min="10502" max="10502" width="18.28515625" style="1028" bestFit="1" customWidth="1"/>
    <col min="10503" max="10507" width="11" style="1028" customWidth="1"/>
    <col min="10508" max="10509" width="10.7109375" style="1028" customWidth="1"/>
    <col min="10510" max="10510" width="10.42578125" style="1028" customWidth="1"/>
    <col min="10511" max="10511" width="8.7109375" style="1028" customWidth="1"/>
    <col min="10512" max="10512" width="10.7109375" style="1028" customWidth="1"/>
    <col min="10513" max="10513" width="9.140625" style="1028" customWidth="1"/>
    <col min="10514" max="10514" width="11" style="1028" customWidth="1"/>
    <col min="10515" max="10519" width="8.85546875" style="1028"/>
    <col min="10520" max="10520" width="11.5703125" style="1028" bestFit="1" customWidth="1"/>
    <col min="10521" max="10521" width="11.28515625" style="1028" bestFit="1" customWidth="1"/>
    <col min="10522" max="10752" width="8.85546875" style="1028"/>
    <col min="10753" max="10753" width="1.7109375" style="1028" customWidth="1"/>
    <col min="10754" max="10754" width="5.42578125" style="1028" customWidth="1"/>
    <col min="10755" max="10755" width="21.42578125" style="1028" bestFit="1" customWidth="1"/>
    <col min="10756" max="10756" width="28.28515625" style="1028" customWidth="1"/>
    <col min="10757" max="10757" width="48.5703125" style="1028" customWidth="1"/>
    <col min="10758" max="10758" width="18.28515625" style="1028" bestFit="1" customWidth="1"/>
    <col min="10759" max="10763" width="11" style="1028" customWidth="1"/>
    <col min="10764" max="10765" width="10.7109375" style="1028" customWidth="1"/>
    <col min="10766" max="10766" width="10.42578125" style="1028" customWidth="1"/>
    <col min="10767" max="10767" width="8.7109375" style="1028" customWidth="1"/>
    <col min="10768" max="10768" width="10.7109375" style="1028" customWidth="1"/>
    <col min="10769" max="10769" width="9.140625" style="1028" customWidth="1"/>
    <col min="10770" max="10770" width="11" style="1028" customWidth="1"/>
    <col min="10771" max="10775" width="8.85546875" style="1028"/>
    <col min="10776" max="10776" width="11.5703125" style="1028" bestFit="1" customWidth="1"/>
    <col min="10777" max="10777" width="11.28515625" style="1028" bestFit="1" customWidth="1"/>
    <col min="10778" max="11008" width="8.85546875" style="1028"/>
    <col min="11009" max="11009" width="1.7109375" style="1028" customWidth="1"/>
    <col min="11010" max="11010" width="5.42578125" style="1028" customWidth="1"/>
    <col min="11011" max="11011" width="21.42578125" style="1028" bestFit="1" customWidth="1"/>
    <col min="11012" max="11012" width="28.28515625" style="1028" customWidth="1"/>
    <col min="11013" max="11013" width="48.5703125" style="1028" customWidth="1"/>
    <col min="11014" max="11014" width="18.28515625" style="1028" bestFit="1" customWidth="1"/>
    <col min="11015" max="11019" width="11" style="1028" customWidth="1"/>
    <col min="11020" max="11021" width="10.7109375" style="1028" customWidth="1"/>
    <col min="11022" max="11022" width="10.42578125" style="1028" customWidth="1"/>
    <col min="11023" max="11023" width="8.7109375" style="1028" customWidth="1"/>
    <col min="11024" max="11024" width="10.7109375" style="1028" customWidth="1"/>
    <col min="11025" max="11025" width="9.140625" style="1028" customWidth="1"/>
    <col min="11026" max="11026" width="11" style="1028" customWidth="1"/>
    <col min="11027" max="11031" width="8.85546875" style="1028"/>
    <col min="11032" max="11032" width="11.5703125" style="1028" bestFit="1" customWidth="1"/>
    <col min="11033" max="11033" width="11.28515625" style="1028" bestFit="1" customWidth="1"/>
    <col min="11034" max="11264" width="8.85546875" style="1028"/>
    <col min="11265" max="11265" width="1.7109375" style="1028" customWidth="1"/>
    <col min="11266" max="11266" width="5.42578125" style="1028" customWidth="1"/>
    <col min="11267" max="11267" width="21.42578125" style="1028" bestFit="1" customWidth="1"/>
    <col min="11268" max="11268" width="28.28515625" style="1028" customWidth="1"/>
    <col min="11269" max="11269" width="48.5703125" style="1028" customWidth="1"/>
    <col min="11270" max="11270" width="18.28515625" style="1028" bestFit="1" customWidth="1"/>
    <col min="11271" max="11275" width="11" style="1028" customWidth="1"/>
    <col min="11276" max="11277" width="10.7109375" style="1028" customWidth="1"/>
    <col min="11278" max="11278" width="10.42578125" style="1028" customWidth="1"/>
    <col min="11279" max="11279" width="8.7109375" style="1028" customWidth="1"/>
    <col min="11280" max="11280" width="10.7109375" style="1028" customWidth="1"/>
    <col min="11281" max="11281" width="9.140625" style="1028" customWidth="1"/>
    <col min="11282" max="11282" width="11" style="1028" customWidth="1"/>
    <col min="11283" max="11287" width="8.85546875" style="1028"/>
    <col min="11288" max="11288" width="11.5703125" style="1028" bestFit="1" customWidth="1"/>
    <col min="11289" max="11289" width="11.28515625" style="1028" bestFit="1" customWidth="1"/>
    <col min="11290" max="11520" width="8.85546875" style="1028"/>
    <col min="11521" max="11521" width="1.7109375" style="1028" customWidth="1"/>
    <col min="11522" max="11522" width="5.42578125" style="1028" customWidth="1"/>
    <col min="11523" max="11523" width="21.42578125" style="1028" bestFit="1" customWidth="1"/>
    <col min="11524" max="11524" width="28.28515625" style="1028" customWidth="1"/>
    <col min="11525" max="11525" width="48.5703125" style="1028" customWidth="1"/>
    <col min="11526" max="11526" width="18.28515625" style="1028" bestFit="1" customWidth="1"/>
    <col min="11527" max="11531" width="11" style="1028" customWidth="1"/>
    <col min="11532" max="11533" width="10.7109375" style="1028" customWidth="1"/>
    <col min="11534" max="11534" width="10.42578125" style="1028" customWidth="1"/>
    <col min="11535" max="11535" width="8.7109375" style="1028" customWidth="1"/>
    <col min="11536" max="11536" width="10.7109375" style="1028" customWidth="1"/>
    <col min="11537" max="11537" width="9.140625" style="1028" customWidth="1"/>
    <col min="11538" max="11538" width="11" style="1028" customWidth="1"/>
    <col min="11539" max="11543" width="8.85546875" style="1028"/>
    <col min="11544" max="11544" width="11.5703125" style="1028" bestFit="1" customWidth="1"/>
    <col min="11545" max="11545" width="11.28515625" style="1028" bestFit="1" customWidth="1"/>
    <col min="11546" max="11776" width="8.85546875" style="1028"/>
    <col min="11777" max="11777" width="1.7109375" style="1028" customWidth="1"/>
    <col min="11778" max="11778" width="5.42578125" style="1028" customWidth="1"/>
    <col min="11779" max="11779" width="21.42578125" style="1028" bestFit="1" customWidth="1"/>
    <col min="11780" max="11780" width="28.28515625" style="1028" customWidth="1"/>
    <col min="11781" max="11781" width="48.5703125" style="1028" customWidth="1"/>
    <col min="11782" max="11782" width="18.28515625" style="1028" bestFit="1" customWidth="1"/>
    <col min="11783" max="11787" width="11" style="1028" customWidth="1"/>
    <col min="11788" max="11789" width="10.7109375" style="1028" customWidth="1"/>
    <col min="11790" max="11790" width="10.42578125" style="1028" customWidth="1"/>
    <col min="11791" max="11791" width="8.7109375" style="1028" customWidth="1"/>
    <col min="11792" max="11792" width="10.7109375" style="1028" customWidth="1"/>
    <col min="11793" max="11793" width="9.140625" style="1028" customWidth="1"/>
    <col min="11794" max="11794" width="11" style="1028" customWidth="1"/>
    <col min="11795" max="11799" width="8.85546875" style="1028"/>
    <col min="11800" max="11800" width="11.5703125" style="1028" bestFit="1" customWidth="1"/>
    <col min="11801" max="11801" width="11.28515625" style="1028" bestFit="1" customWidth="1"/>
    <col min="11802" max="12032" width="8.85546875" style="1028"/>
    <col min="12033" max="12033" width="1.7109375" style="1028" customWidth="1"/>
    <col min="12034" max="12034" width="5.42578125" style="1028" customWidth="1"/>
    <col min="12035" max="12035" width="21.42578125" style="1028" bestFit="1" customWidth="1"/>
    <col min="12036" max="12036" width="28.28515625" style="1028" customWidth="1"/>
    <col min="12037" max="12037" width="48.5703125" style="1028" customWidth="1"/>
    <col min="12038" max="12038" width="18.28515625" style="1028" bestFit="1" customWidth="1"/>
    <col min="12039" max="12043" width="11" style="1028" customWidth="1"/>
    <col min="12044" max="12045" width="10.7109375" style="1028" customWidth="1"/>
    <col min="12046" max="12046" width="10.42578125" style="1028" customWidth="1"/>
    <col min="12047" max="12047" width="8.7109375" style="1028" customWidth="1"/>
    <col min="12048" max="12048" width="10.7109375" style="1028" customWidth="1"/>
    <col min="12049" max="12049" width="9.140625" style="1028" customWidth="1"/>
    <col min="12050" max="12050" width="11" style="1028" customWidth="1"/>
    <col min="12051" max="12055" width="8.85546875" style="1028"/>
    <col min="12056" max="12056" width="11.5703125" style="1028" bestFit="1" customWidth="1"/>
    <col min="12057" max="12057" width="11.28515625" style="1028" bestFit="1" customWidth="1"/>
    <col min="12058" max="12288" width="8.85546875" style="1028"/>
    <col min="12289" max="12289" width="1.7109375" style="1028" customWidth="1"/>
    <col min="12290" max="12290" width="5.42578125" style="1028" customWidth="1"/>
    <col min="12291" max="12291" width="21.42578125" style="1028" bestFit="1" customWidth="1"/>
    <col min="12292" max="12292" width="28.28515625" style="1028" customWidth="1"/>
    <col min="12293" max="12293" width="48.5703125" style="1028" customWidth="1"/>
    <col min="12294" max="12294" width="18.28515625" style="1028" bestFit="1" customWidth="1"/>
    <col min="12295" max="12299" width="11" style="1028" customWidth="1"/>
    <col min="12300" max="12301" width="10.7109375" style="1028" customWidth="1"/>
    <col min="12302" max="12302" width="10.42578125" style="1028" customWidth="1"/>
    <col min="12303" max="12303" width="8.7109375" style="1028" customWidth="1"/>
    <col min="12304" max="12304" width="10.7109375" style="1028" customWidth="1"/>
    <col min="12305" max="12305" width="9.140625" style="1028" customWidth="1"/>
    <col min="12306" max="12306" width="11" style="1028" customWidth="1"/>
    <col min="12307" max="12311" width="8.85546875" style="1028"/>
    <col min="12312" max="12312" width="11.5703125" style="1028" bestFit="1" customWidth="1"/>
    <col min="12313" max="12313" width="11.28515625" style="1028" bestFit="1" customWidth="1"/>
    <col min="12314" max="12544" width="8.85546875" style="1028"/>
    <col min="12545" max="12545" width="1.7109375" style="1028" customWidth="1"/>
    <col min="12546" max="12546" width="5.42578125" style="1028" customWidth="1"/>
    <col min="12547" max="12547" width="21.42578125" style="1028" bestFit="1" customWidth="1"/>
    <col min="12548" max="12548" width="28.28515625" style="1028" customWidth="1"/>
    <col min="12549" max="12549" width="48.5703125" style="1028" customWidth="1"/>
    <col min="12550" max="12550" width="18.28515625" style="1028" bestFit="1" customWidth="1"/>
    <col min="12551" max="12555" width="11" style="1028" customWidth="1"/>
    <col min="12556" max="12557" width="10.7109375" style="1028" customWidth="1"/>
    <col min="12558" max="12558" width="10.42578125" style="1028" customWidth="1"/>
    <col min="12559" max="12559" width="8.7109375" style="1028" customWidth="1"/>
    <col min="12560" max="12560" width="10.7109375" style="1028" customWidth="1"/>
    <col min="12561" max="12561" width="9.140625" style="1028" customWidth="1"/>
    <col min="12562" max="12562" width="11" style="1028" customWidth="1"/>
    <col min="12563" max="12567" width="8.85546875" style="1028"/>
    <col min="12568" max="12568" width="11.5703125" style="1028" bestFit="1" customWidth="1"/>
    <col min="12569" max="12569" width="11.28515625" style="1028" bestFit="1" customWidth="1"/>
    <col min="12570" max="12800" width="8.85546875" style="1028"/>
    <col min="12801" max="12801" width="1.7109375" style="1028" customWidth="1"/>
    <col min="12802" max="12802" width="5.42578125" style="1028" customWidth="1"/>
    <col min="12803" max="12803" width="21.42578125" style="1028" bestFit="1" customWidth="1"/>
    <col min="12804" max="12804" width="28.28515625" style="1028" customWidth="1"/>
    <col min="12805" max="12805" width="48.5703125" style="1028" customWidth="1"/>
    <col min="12806" max="12806" width="18.28515625" style="1028" bestFit="1" customWidth="1"/>
    <col min="12807" max="12811" width="11" style="1028" customWidth="1"/>
    <col min="12812" max="12813" width="10.7109375" style="1028" customWidth="1"/>
    <col min="12814" max="12814" width="10.42578125" style="1028" customWidth="1"/>
    <col min="12815" max="12815" width="8.7109375" style="1028" customWidth="1"/>
    <col min="12816" max="12816" width="10.7109375" style="1028" customWidth="1"/>
    <col min="12817" max="12817" width="9.140625" style="1028" customWidth="1"/>
    <col min="12818" max="12818" width="11" style="1028" customWidth="1"/>
    <col min="12819" max="12823" width="8.85546875" style="1028"/>
    <col min="12824" max="12824" width="11.5703125" style="1028" bestFit="1" customWidth="1"/>
    <col min="12825" max="12825" width="11.28515625" style="1028" bestFit="1" customWidth="1"/>
    <col min="12826" max="13056" width="8.85546875" style="1028"/>
    <col min="13057" max="13057" width="1.7109375" style="1028" customWidth="1"/>
    <col min="13058" max="13058" width="5.42578125" style="1028" customWidth="1"/>
    <col min="13059" max="13059" width="21.42578125" style="1028" bestFit="1" customWidth="1"/>
    <col min="13060" max="13060" width="28.28515625" style="1028" customWidth="1"/>
    <col min="13061" max="13061" width="48.5703125" style="1028" customWidth="1"/>
    <col min="13062" max="13062" width="18.28515625" style="1028" bestFit="1" customWidth="1"/>
    <col min="13063" max="13067" width="11" style="1028" customWidth="1"/>
    <col min="13068" max="13069" width="10.7109375" style="1028" customWidth="1"/>
    <col min="13070" max="13070" width="10.42578125" style="1028" customWidth="1"/>
    <col min="13071" max="13071" width="8.7109375" style="1028" customWidth="1"/>
    <col min="13072" max="13072" width="10.7109375" style="1028" customWidth="1"/>
    <col min="13073" max="13073" width="9.140625" style="1028" customWidth="1"/>
    <col min="13074" max="13074" width="11" style="1028" customWidth="1"/>
    <col min="13075" max="13079" width="8.85546875" style="1028"/>
    <col min="13080" max="13080" width="11.5703125" style="1028" bestFit="1" customWidth="1"/>
    <col min="13081" max="13081" width="11.28515625" style="1028" bestFit="1" customWidth="1"/>
    <col min="13082" max="13312" width="8.85546875" style="1028"/>
    <col min="13313" max="13313" width="1.7109375" style="1028" customWidth="1"/>
    <col min="13314" max="13314" width="5.42578125" style="1028" customWidth="1"/>
    <col min="13315" max="13315" width="21.42578125" style="1028" bestFit="1" customWidth="1"/>
    <col min="13316" max="13316" width="28.28515625" style="1028" customWidth="1"/>
    <col min="13317" max="13317" width="48.5703125" style="1028" customWidth="1"/>
    <col min="13318" max="13318" width="18.28515625" style="1028" bestFit="1" customWidth="1"/>
    <col min="13319" max="13323" width="11" style="1028" customWidth="1"/>
    <col min="13324" max="13325" width="10.7109375" style="1028" customWidth="1"/>
    <col min="13326" max="13326" width="10.42578125" style="1028" customWidth="1"/>
    <col min="13327" max="13327" width="8.7109375" style="1028" customWidth="1"/>
    <col min="13328" max="13328" width="10.7109375" style="1028" customWidth="1"/>
    <col min="13329" max="13329" width="9.140625" style="1028" customWidth="1"/>
    <col min="13330" max="13330" width="11" style="1028" customWidth="1"/>
    <col min="13331" max="13335" width="8.85546875" style="1028"/>
    <col min="13336" max="13336" width="11.5703125" style="1028" bestFit="1" customWidth="1"/>
    <col min="13337" max="13337" width="11.28515625" style="1028" bestFit="1" customWidth="1"/>
    <col min="13338" max="13568" width="8.85546875" style="1028"/>
    <col min="13569" max="13569" width="1.7109375" style="1028" customWidth="1"/>
    <col min="13570" max="13570" width="5.42578125" style="1028" customWidth="1"/>
    <col min="13571" max="13571" width="21.42578125" style="1028" bestFit="1" customWidth="1"/>
    <col min="13572" max="13572" width="28.28515625" style="1028" customWidth="1"/>
    <col min="13573" max="13573" width="48.5703125" style="1028" customWidth="1"/>
    <col min="13574" max="13574" width="18.28515625" style="1028" bestFit="1" customWidth="1"/>
    <col min="13575" max="13579" width="11" style="1028" customWidth="1"/>
    <col min="13580" max="13581" width="10.7109375" style="1028" customWidth="1"/>
    <col min="13582" max="13582" width="10.42578125" style="1028" customWidth="1"/>
    <col min="13583" max="13583" width="8.7109375" style="1028" customWidth="1"/>
    <col min="13584" max="13584" width="10.7109375" style="1028" customWidth="1"/>
    <col min="13585" max="13585" width="9.140625" style="1028" customWidth="1"/>
    <col min="13586" max="13586" width="11" style="1028" customWidth="1"/>
    <col min="13587" max="13591" width="8.85546875" style="1028"/>
    <col min="13592" max="13592" width="11.5703125" style="1028" bestFit="1" customWidth="1"/>
    <col min="13593" max="13593" width="11.28515625" style="1028" bestFit="1" customWidth="1"/>
    <col min="13594" max="13824" width="8.85546875" style="1028"/>
    <col min="13825" max="13825" width="1.7109375" style="1028" customWidth="1"/>
    <col min="13826" max="13826" width="5.42578125" style="1028" customWidth="1"/>
    <col min="13827" max="13827" width="21.42578125" style="1028" bestFit="1" customWidth="1"/>
    <col min="13828" max="13828" width="28.28515625" style="1028" customWidth="1"/>
    <col min="13829" max="13829" width="48.5703125" style="1028" customWidth="1"/>
    <col min="13830" max="13830" width="18.28515625" style="1028" bestFit="1" customWidth="1"/>
    <col min="13831" max="13835" width="11" style="1028" customWidth="1"/>
    <col min="13836" max="13837" width="10.7109375" style="1028" customWidth="1"/>
    <col min="13838" max="13838" width="10.42578125" style="1028" customWidth="1"/>
    <col min="13839" max="13839" width="8.7109375" style="1028" customWidth="1"/>
    <col min="13840" max="13840" width="10.7109375" style="1028" customWidth="1"/>
    <col min="13841" max="13841" width="9.140625" style="1028" customWidth="1"/>
    <col min="13842" max="13842" width="11" style="1028" customWidth="1"/>
    <col min="13843" max="13847" width="8.85546875" style="1028"/>
    <col min="13848" max="13848" width="11.5703125" style="1028" bestFit="1" customWidth="1"/>
    <col min="13849" max="13849" width="11.28515625" style="1028" bestFit="1" customWidth="1"/>
    <col min="13850" max="14080" width="8.85546875" style="1028"/>
    <col min="14081" max="14081" width="1.7109375" style="1028" customWidth="1"/>
    <col min="14082" max="14082" width="5.42578125" style="1028" customWidth="1"/>
    <col min="14083" max="14083" width="21.42578125" style="1028" bestFit="1" customWidth="1"/>
    <col min="14084" max="14084" width="28.28515625" style="1028" customWidth="1"/>
    <col min="14085" max="14085" width="48.5703125" style="1028" customWidth="1"/>
    <col min="14086" max="14086" width="18.28515625" style="1028" bestFit="1" customWidth="1"/>
    <col min="14087" max="14091" width="11" style="1028" customWidth="1"/>
    <col min="14092" max="14093" width="10.7109375" style="1028" customWidth="1"/>
    <col min="14094" max="14094" width="10.42578125" style="1028" customWidth="1"/>
    <col min="14095" max="14095" width="8.7109375" style="1028" customWidth="1"/>
    <col min="14096" max="14096" width="10.7109375" style="1028" customWidth="1"/>
    <col min="14097" max="14097" width="9.140625" style="1028" customWidth="1"/>
    <col min="14098" max="14098" width="11" style="1028" customWidth="1"/>
    <col min="14099" max="14103" width="8.85546875" style="1028"/>
    <col min="14104" max="14104" width="11.5703125" style="1028" bestFit="1" customWidth="1"/>
    <col min="14105" max="14105" width="11.28515625" style="1028" bestFit="1" customWidth="1"/>
    <col min="14106" max="14336" width="8.85546875" style="1028"/>
    <col min="14337" max="14337" width="1.7109375" style="1028" customWidth="1"/>
    <col min="14338" max="14338" width="5.42578125" style="1028" customWidth="1"/>
    <col min="14339" max="14339" width="21.42578125" style="1028" bestFit="1" customWidth="1"/>
    <col min="14340" max="14340" width="28.28515625" style="1028" customWidth="1"/>
    <col min="14341" max="14341" width="48.5703125" style="1028" customWidth="1"/>
    <col min="14342" max="14342" width="18.28515625" style="1028" bestFit="1" customWidth="1"/>
    <col min="14343" max="14347" width="11" style="1028" customWidth="1"/>
    <col min="14348" max="14349" width="10.7109375" style="1028" customWidth="1"/>
    <col min="14350" max="14350" width="10.42578125" style="1028" customWidth="1"/>
    <col min="14351" max="14351" width="8.7109375" style="1028" customWidth="1"/>
    <col min="14352" max="14352" width="10.7109375" style="1028" customWidth="1"/>
    <col min="14353" max="14353" width="9.140625" style="1028" customWidth="1"/>
    <col min="14354" max="14354" width="11" style="1028" customWidth="1"/>
    <col min="14355" max="14359" width="8.85546875" style="1028"/>
    <col min="14360" max="14360" width="11.5703125" style="1028" bestFit="1" customWidth="1"/>
    <col min="14361" max="14361" width="11.28515625" style="1028" bestFit="1" customWidth="1"/>
    <col min="14362" max="14592" width="8.85546875" style="1028"/>
    <col min="14593" max="14593" width="1.7109375" style="1028" customWidth="1"/>
    <col min="14594" max="14594" width="5.42578125" style="1028" customWidth="1"/>
    <col min="14595" max="14595" width="21.42578125" style="1028" bestFit="1" customWidth="1"/>
    <col min="14596" max="14596" width="28.28515625" style="1028" customWidth="1"/>
    <col min="14597" max="14597" width="48.5703125" style="1028" customWidth="1"/>
    <col min="14598" max="14598" width="18.28515625" style="1028" bestFit="1" customWidth="1"/>
    <col min="14599" max="14603" width="11" style="1028" customWidth="1"/>
    <col min="14604" max="14605" width="10.7109375" style="1028" customWidth="1"/>
    <col min="14606" max="14606" width="10.42578125" style="1028" customWidth="1"/>
    <col min="14607" max="14607" width="8.7109375" style="1028" customWidth="1"/>
    <col min="14608" max="14608" width="10.7109375" style="1028" customWidth="1"/>
    <col min="14609" max="14609" width="9.140625" style="1028" customWidth="1"/>
    <col min="14610" max="14610" width="11" style="1028" customWidth="1"/>
    <col min="14611" max="14615" width="8.85546875" style="1028"/>
    <col min="14616" max="14616" width="11.5703125" style="1028" bestFit="1" customWidth="1"/>
    <col min="14617" max="14617" width="11.28515625" style="1028" bestFit="1" customWidth="1"/>
    <col min="14618" max="14848" width="8.85546875" style="1028"/>
    <col min="14849" max="14849" width="1.7109375" style="1028" customWidth="1"/>
    <col min="14850" max="14850" width="5.42578125" style="1028" customWidth="1"/>
    <col min="14851" max="14851" width="21.42578125" style="1028" bestFit="1" customWidth="1"/>
    <col min="14852" max="14852" width="28.28515625" style="1028" customWidth="1"/>
    <col min="14853" max="14853" width="48.5703125" style="1028" customWidth="1"/>
    <col min="14854" max="14854" width="18.28515625" style="1028" bestFit="1" customWidth="1"/>
    <col min="14855" max="14859" width="11" style="1028" customWidth="1"/>
    <col min="14860" max="14861" width="10.7109375" style="1028" customWidth="1"/>
    <col min="14862" max="14862" width="10.42578125" style="1028" customWidth="1"/>
    <col min="14863" max="14863" width="8.7109375" style="1028" customWidth="1"/>
    <col min="14864" max="14864" width="10.7109375" style="1028" customWidth="1"/>
    <col min="14865" max="14865" width="9.140625" style="1028" customWidth="1"/>
    <col min="14866" max="14866" width="11" style="1028" customWidth="1"/>
    <col min="14867" max="14871" width="8.85546875" style="1028"/>
    <col min="14872" max="14872" width="11.5703125" style="1028" bestFit="1" customWidth="1"/>
    <col min="14873" max="14873" width="11.28515625" style="1028" bestFit="1" customWidth="1"/>
    <col min="14874" max="15104" width="8.85546875" style="1028"/>
    <col min="15105" max="15105" width="1.7109375" style="1028" customWidth="1"/>
    <col min="15106" max="15106" width="5.42578125" style="1028" customWidth="1"/>
    <col min="15107" max="15107" width="21.42578125" style="1028" bestFit="1" customWidth="1"/>
    <col min="15108" max="15108" width="28.28515625" style="1028" customWidth="1"/>
    <col min="15109" max="15109" width="48.5703125" style="1028" customWidth="1"/>
    <col min="15110" max="15110" width="18.28515625" style="1028" bestFit="1" customWidth="1"/>
    <col min="15111" max="15115" width="11" style="1028" customWidth="1"/>
    <col min="15116" max="15117" width="10.7109375" style="1028" customWidth="1"/>
    <col min="15118" max="15118" width="10.42578125" style="1028" customWidth="1"/>
    <col min="15119" max="15119" width="8.7109375" style="1028" customWidth="1"/>
    <col min="15120" max="15120" width="10.7109375" style="1028" customWidth="1"/>
    <col min="15121" max="15121" width="9.140625" style="1028" customWidth="1"/>
    <col min="15122" max="15122" width="11" style="1028" customWidth="1"/>
    <col min="15123" max="15127" width="8.85546875" style="1028"/>
    <col min="15128" max="15128" width="11.5703125" style="1028" bestFit="1" customWidth="1"/>
    <col min="15129" max="15129" width="11.28515625" style="1028" bestFit="1" customWidth="1"/>
    <col min="15130" max="15360" width="8.85546875" style="1028"/>
    <col min="15361" max="15361" width="1.7109375" style="1028" customWidth="1"/>
    <col min="15362" max="15362" width="5.42578125" style="1028" customWidth="1"/>
    <col min="15363" max="15363" width="21.42578125" style="1028" bestFit="1" customWidth="1"/>
    <col min="15364" max="15364" width="28.28515625" style="1028" customWidth="1"/>
    <col min="15365" max="15365" width="48.5703125" style="1028" customWidth="1"/>
    <col min="15366" max="15366" width="18.28515625" style="1028" bestFit="1" customWidth="1"/>
    <col min="15367" max="15371" width="11" style="1028" customWidth="1"/>
    <col min="15372" max="15373" width="10.7109375" style="1028" customWidth="1"/>
    <col min="15374" max="15374" width="10.42578125" style="1028" customWidth="1"/>
    <col min="15375" max="15375" width="8.7109375" style="1028" customWidth="1"/>
    <col min="15376" max="15376" width="10.7109375" style="1028" customWidth="1"/>
    <col min="15377" max="15377" width="9.140625" style="1028" customWidth="1"/>
    <col min="15378" max="15378" width="11" style="1028" customWidth="1"/>
    <col min="15379" max="15383" width="8.85546875" style="1028"/>
    <col min="15384" max="15384" width="11.5703125" style="1028" bestFit="1" customWidth="1"/>
    <col min="15385" max="15385" width="11.28515625" style="1028" bestFit="1" customWidth="1"/>
    <col min="15386" max="15616" width="8.85546875" style="1028"/>
    <col min="15617" max="15617" width="1.7109375" style="1028" customWidth="1"/>
    <col min="15618" max="15618" width="5.42578125" style="1028" customWidth="1"/>
    <col min="15619" max="15619" width="21.42578125" style="1028" bestFit="1" customWidth="1"/>
    <col min="15620" max="15620" width="28.28515625" style="1028" customWidth="1"/>
    <col min="15621" max="15621" width="48.5703125" style="1028" customWidth="1"/>
    <col min="15622" max="15622" width="18.28515625" style="1028" bestFit="1" customWidth="1"/>
    <col min="15623" max="15627" width="11" style="1028" customWidth="1"/>
    <col min="15628" max="15629" width="10.7109375" style="1028" customWidth="1"/>
    <col min="15630" max="15630" width="10.42578125" style="1028" customWidth="1"/>
    <col min="15631" max="15631" width="8.7109375" style="1028" customWidth="1"/>
    <col min="15632" max="15632" width="10.7109375" style="1028" customWidth="1"/>
    <col min="15633" max="15633" width="9.140625" style="1028" customWidth="1"/>
    <col min="15634" max="15634" width="11" style="1028" customWidth="1"/>
    <col min="15635" max="15639" width="8.85546875" style="1028"/>
    <col min="15640" max="15640" width="11.5703125" style="1028" bestFit="1" customWidth="1"/>
    <col min="15641" max="15641" width="11.28515625" style="1028" bestFit="1" customWidth="1"/>
    <col min="15642" max="15872" width="8.85546875" style="1028"/>
    <col min="15873" max="15873" width="1.7109375" style="1028" customWidth="1"/>
    <col min="15874" max="15874" width="5.42578125" style="1028" customWidth="1"/>
    <col min="15875" max="15875" width="21.42578125" style="1028" bestFit="1" customWidth="1"/>
    <col min="15876" max="15876" width="28.28515625" style="1028" customWidth="1"/>
    <col min="15877" max="15877" width="48.5703125" style="1028" customWidth="1"/>
    <col min="15878" max="15878" width="18.28515625" style="1028" bestFit="1" customWidth="1"/>
    <col min="15879" max="15883" width="11" style="1028" customWidth="1"/>
    <col min="15884" max="15885" width="10.7109375" style="1028" customWidth="1"/>
    <col min="15886" max="15886" width="10.42578125" style="1028" customWidth="1"/>
    <col min="15887" max="15887" width="8.7109375" style="1028" customWidth="1"/>
    <col min="15888" max="15888" width="10.7109375" style="1028" customWidth="1"/>
    <col min="15889" max="15889" width="9.140625" style="1028" customWidth="1"/>
    <col min="15890" max="15890" width="11" style="1028" customWidth="1"/>
    <col min="15891" max="15895" width="8.85546875" style="1028"/>
    <col min="15896" max="15896" width="11.5703125" style="1028" bestFit="1" customWidth="1"/>
    <col min="15897" max="15897" width="11.28515625" style="1028" bestFit="1" customWidth="1"/>
    <col min="15898" max="16128" width="8.85546875" style="1028"/>
    <col min="16129" max="16129" width="1.7109375" style="1028" customWidth="1"/>
    <col min="16130" max="16130" width="5.42578125" style="1028" customWidth="1"/>
    <col min="16131" max="16131" width="21.42578125" style="1028" bestFit="1" customWidth="1"/>
    <col min="16132" max="16132" width="28.28515625" style="1028" customWidth="1"/>
    <col min="16133" max="16133" width="48.5703125" style="1028" customWidth="1"/>
    <col min="16134" max="16134" width="18.28515625" style="1028" bestFit="1" customWidth="1"/>
    <col min="16135" max="16139" width="11" style="1028" customWidth="1"/>
    <col min="16140" max="16141" width="10.7109375" style="1028" customWidth="1"/>
    <col min="16142" max="16142" width="10.42578125" style="1028" customWidth="1"/>
    <col min="16143" max="16143" width="8.7109375" style="1028" customWidth="1"/>
    <col min="16144" max="16144" width="10.7109375" style="1028" customWidth="1"/>
    <col min="16145" max="16145" width="9.140625" style="1028" customWidth="1"/>
    <col min="16146" max="16146" width="11" style="1028" customWidth="1"/>
    <col min="16147" max="16151" width="8.85546875" style="1028"/>
    <col min="16152" max="16152" width="11.5703125" style="1028" bestFit="1" customWidth="1"/>
    <col min="16153" max="16153" width="11.28515625" style="1028" bestFit="1" customWidth="1"/>
    <col min="16154" max="16384" width="8.85546875" style="1028"/>
  </cols>
  <sheetData>
    <row r="1" spans="2:25" ht="20.25" x14ac:dyDescent="0.3">
      <c r="B1" s="1919" t="s">
        <v>3327</v>
      </c>
      <c r="C1" s="1919"/>
      <c r="D1" s="1919"/>
      <c r="E1" s="1919"/>
      <c r="F1" s="1919"/>
      <c r="G1" s="1919"/>
      <c r="H1" s="1919"/>
      <c r="I1" s="1919"/>
      <c r="J1" s="1919"/>
      <c r="K1" s="1919"/>
      <c r="L1" s="1919"/>
      <c r="M1" s="1919"/>
      <c r="N1" s="1919"/>
      <c r="O1" s="1919"/>
      <c r="P1" s="1919"/>
      <c r="Q1" s="1919"/>
      <c r="R1" s="1919"/>
    </row>
    <row r="2" spans="2:25" ht="6" customHeight="1" x14ac:dyDescent="0.2"/>
    <row r="3" spans="2:25" ht="20.25" x14ac:dyDescent="0.3">
      <c r="B3" s="1919" t="s">
        <v>3328</v>
      </c>
      <c r="C3" s="1919"/>
      <c r="D3" s="1919"/>
      <c r="E3" s="1919"/>
      <c r="F3" s="1919"/>
      <c r="G3" s="1919"/>
      <c r="H3" s="1919"/>
      <c r="I3" s="1919"/>
      <c r="J3" s="1919"/>
      <c r="K3" s="1919"/>
      <c r="L3" s="1919"/>
      <c r="M3" s="1919"/>
      <c r="N3" s="1919"/>
      <c r="O3" s="1919"/>
      <c r="P3" s="1919"/>
      <c r="Q3" s="1919"/>
      <c r="R3" s="1919"/>
    </row>
    <row r="4" spans="2:25" ht="9.9499999999999993" customHeight="1" x14ac:dyDescent="0.2"/>
    <row r="5" spans="2:25" ht="18" customHeight="1" x14ac:dyDescent="0.25">
      <c r="B5" s="1423" t="s">
        <v>3329</v>
      </c>
      <c r="C5" s="1424" t="s">
        <v>3330</v>
      </c>
      <c r="D5" s="1424" t="s">
        <v>3331</v>
      </c>
      <c r="E5" s="1424" t="s">
        <v>3332</v>
      </c>
      <c r="F5" s="1424" t="s">
        <v>3333</v>
      </c>
      <c r="G5" s="1424" t="s">
        <v>3334</v>
      </c>
      <c r="H5" s="1920" t="s">
        <v>550</v>
      </c>
      <c r="I5" s="1921"/>
      <c r="J5" s="1922"/>
      <c r="K5" s="1425" t="s">
        <v>3335</v>
      </c>
      <c r="L5" s="1920" t="s">
        <v>3336</v>
      </c>
      <c r="M5" s="1922"/>
      <c r="N5" s="1424" t="s">
        <v>3337</v>
      </c>
      <c r="O5" s="1424" t="s">
        <v>3338</v>
      </c>
      <c r="P5" s="1424" t="s">
        <v>3337</v>
      </c>
      <c r="Q5" s="1424" t="s">
        <v>3338</v>
      </c>
      <c r="R5" s="1424" t="s">
        <v>2284</v>
      </c>
    </row>
    <row r="6" spans="2:25" ht="18" customHeight="1" x14ac:dyDescent="0.25">
      <c r="B6" s="1426"/>
      <c r="C6" s="1427"/>
      <c r="D6" s="1427"/>
      <c r="E6" s="1427"/>
      <c r="F6" s="1427" t="s">
        <v>3339</v>
      </c>
      <c r="G6" s="1427" t="s">
        <v>3339</v>
      </c>
      <c r="H6" s="1428" t="s">
        <v>3340</v>
      </c>
      <c r="I6" s="1428" t="s">
        <v>3341</v>
      </c>
      <c r="J6" s="1428" t="s">
        <v>3342</v>
      </c>
      <c r="K6" s="1428" t="s">
        <v>3339</v>
      </c>
      <c r="L6" s="1425"/>
      <c r="M6" s="1423"/>
      <c r="N6" s="1427" t="s">
        <v>3343</v>
      </c>
      <c r="O6" s="1427" t="s">
        <v>3344</v>
      </c>
      <c r="P6" s="1427" t="s">
        <v>3343</v>
      </c>
      <c r="Q6" s="1427" t="s">
        <v>3344</v>
      </c>
      <c r="R6" s="1427" t="s">
        <v>3339</v>
      </c>
    </row>
    <row r="7" spans="2:25" ht="16.5" thickBot="1" x14ac:dyDescent="0.3">
      <c r="B7" s="1429" t="s">
        <v>906</v>
      </c>
      <c r="C7" s="1430"/>
      <c r="D7" s="1430"/>
      <c r="E7" s="1430"/>
      <c r="F7" s="1431" t="s">
        <v>906</v>
      </c>
      <c r="G7" s="1431" t="s">
        <v>906</v>
      </c>
      <c r="H7" s="1431"/>
      <c r="I7" s="1431"/>
      <c r="J7" s="1431"/>
      <c r="K7" s="1431" t="s">
        <v>906</v>
      </c>
      <c r="L7" s="1432" t="s">
        <v>3345</v>
      </c>
      <c r="M7" s="1432" t="s">
        <v>3346</v>
      </c>
      <c r="N7" s="1431" t="s">
        <v>2291</v>
      </c>
      <c r="O7" s="1431" t="s">
        <v>2291</v>
      </c>
      <c r="P7" s="1431" t="s">
        <v>3339</v>
      </c>
      <c r="Q7" s="1431" t="s">
        <v>3339</v>
      </c>
      <c r="R7" s="1431" t="s">
        <v>906</v>
      </c>
      <c r="X7" s="1433">
        <v>43921</v>
      </c>
      <c r="Y7" s="1433">
        <v>44286</v>
      </c>
    </row>
    <row r="8" spans="2:25" ht="9.9499999999999993" customHeight="1" thickTop="1" x14ac:dyDescent="0.25">
      <c r="B8" s="1434"/>
      <c r="C8" s="1435"/>
      <c r="D8" s="1435"/>
      <c r="E8" s="1435"/>
      <c r="F8" s="1427"/>
      <c r="G8" s="1427"/>
      <c r="H8" s="1427"/>
      <c r="I8" s="1427"/>
      <c r="J8" s="1427"/>
      <c r="K8" s="1427"/>
      <c r="L8" s="1427"/>
      <c r="M8" s="1427"/>
      <c r="N8" s="1427"/>
      <c r="O8" s="1427"/>
      <c r="P8" s="1427"/>
      <c r="Q8" s="1427"/>
      <c r="R8" s="1427"/>
    </row>
    <row r="9" spans="2:25" ht="15" customHeight="1" x14ac:dyDescent="0.2">
      <c r="B9" s="1434">
        <v>1</v>
      </c>
      <c r="C9" s="1436" t="s">
        <v>3347</v>
      </c>
      <c r="D9" s="1435" t="s">
        <v>3348</v>
      </c>
      <c r="E9" s="1435" t="s">
        <v>3349</v>
      </c>
      <c r="F9" s="1437">
        <v>10000000</v>
      </c>
      <c r="G9" s="1435">
        <v>5102</v>
      </c>
      <c r="H9" s="1435">
        <v>389</v>
      </c>
      <c r="I9" s="1435">
        <v>389</v>
      </c>
      <c r="J9" s="1435">
        <v>0</v>
      </c>
      <c r="K9" s="1435">
        <f>SUM(G9-H9-I9)</f>
        <v>4324</v>
      </c>
      <c r="L9" s="1438" t="s">
        <v>3350</v>
      </c>
      <c r="M9" s="1438" t="s">
        <v>3351</v>
      </c>
      <c r="N9" s="1435">
        <v>366</v>
      </c>
      <c r="O9" s="1435">
        <f>SUM(366-N9)</f>
        <v>0</v>
      </c>
      <c r="P9" s="1435">
        <f>ROUND(K9/366*N9,0)</f>
        <v>4324</v>
      </c>
      <c r="Q9" s="1435">
        <f>ROUND(K9/366*O9,0)</f>
        <v>0</v>
      </c>
      <c r="R9" s="1435">
        <f>SUM(P9:Q9)</f>
        <v>4324</v>
      </c>
      <c r="T9" s="1028">
        <f>+M9-L9+1</f>
        <v>366</v>
      </c>
      <c r="V9" s="1028">
        <f>SUM(N9:O9)</f>
        <v>366</v>
      </c>
      <c r="X9" s="1028">
        <f>+M9-X7</f>
        <v>98</v>
      </c>
    </row>
    <row r="10" spans="2:25" ht="15" customHeight="1" x14ac:dyDescent="0.2">
      <c r="B10" s="1434"/>
      <c r="C10" s="1439"/>
      <c r="D10" s="1435" t="s">
        <v>3352</v>
      </c>
      <c r="E10" s="1435" t="s">
        <v>906</v>
      </c>
      <c r="F10" s="1435"/>
      <c r="G10" s="1435"/>
      <c r="H10" s="1435"/>
      <c r="I10" s="1435"/>
      <c r="J10" s="1435"/>
      <c r="K10" s="1435"/>
      <c r="L10" s="1440"/>
      <c r="M10" s="1438"/>
      <c r="N10" s="1435"/>
      <c r="O10" s="1435"/>
      <c r="P10" s="1435"/>
      <c r="Q10" s="1435"/>
      <c r="R10" s="1435"/>
    </row>
    <row r="11" spans="2:25" ht="15" customHeight="1" x14ac:dyDescent="0.2">
      <c r="B11" s="1434">
        <v>2</v>
      </c>
      <c r="C11" s="1436" t="s">
        <v>3353</v>
      </c>
      <c r="D11" s="1435" t="s">
        <v>3354</v>
      </c>
      <c r="E11" s="1435" t="s">
        <v>3355</v>
      </c>
      <c r="F11" s="1441">
        <v>329037</v>
      </c>
      <c r="G11" s="1435">
        <v>13647</v>
      </c>
      <c r="H11" s="1435">
        <v>0</v>
      </c>
      <c r="I11" s="1435">
        <v>0</v>
      </c>
      <c r="J11" s="1435">
        <v>0</v>
      </c>
      <c r="K11" s="1435">
        <f>SUM(G11-H11-I11-J11)</f>
        <v>13647</v>
      </c>
      <c r="L11" s="1440" t="s">
        <v>3356</v>
      </c>
      <c r="M11" s="1438" t="s">
        <v>3357</v>
      </c>
      <c r="N11" s="1435">
        <v>338</v>
      </c>
      <c r="O11" s="1435">
        <f>SUM(365-N11)</f>
        <v>27</v>
      </c>
      <c r="P11" s="1435">
        <f>ROUND(K11/365*N11,0)</f>
        <v>12637</v>
      </c>
      <c r="Q11" s="1435">
        <f>ROUND(K11/365*O11,0)</f>
        <v>1010</v>
      </c>
      <c r="R11" s="1435">
        <f>SUM(P11:Q11)</f>
        <v>13647</v>
      </c>
      <c r="T11" s="1028">
        <f t="shared" ref="T11:T21" si="0">+M11-L11+1</f>
        <v>365</v>
      </c>
      <c r="V11" s="1028">
        <f>SUM(N11:O11)</f>
        <v>365</v>
      </c>
      <c r="X11" s="1028">
        <f>+$Y$7-L11+1</f>
        <v>338</v>
      </c>
      <c r="Y11" s="1028">
        <f>+M11-$Y$7</f>
        <v>27</v>
      </c>
    </row>
    <row r="12" spans="2:25" ht="5.0999999999999996" customHeight="1" x14ac:dyDescent="0.25">
      <c r="B12" s="1434"/>
      <c r="C12" s="1435"/>
      <c r="D12" s="1435"/>
      <c r="E12" s="1435"/>
      <c r="F12" s="1427"/>
      <c r="G12" s="1427"/>
      <c r="H12" s="1427"/>
      <c r="I12" s="1427"/>
      <c r="J12" s="1427"/>
      <c r="K12" s="1427"/>
      <c r="L12" s="1427"/>
      <c r="M12" s="1427"/>
      <c r="N12" s="1427"/>
      <c r="O12" s="1427"/>
      <c r="P12" s="1427"/>
      <c r="Q12" s="1427"/>
      <c r="R12" s="1427"/>
      <c r="T12" s="1028">
        <f t="shared" si="0"/>
        <v>1</v>
      </c>
    </row>
    <row r="13" spans="2:25" ht="15" customHeight="1" x14ac:dyDescent="0.2">
      <c r="B13" s="1434">
        <v>3</v>
      </c>
      <c r="C13" s="1436" t="s">
        <v>3358</v>
      </c>
      <c r="D13" s="1442" t="s">
        <v>3359</v>
      </c>
      <c r="E13" s="1442" t="s">
        <v>3360</v>
      </c>
      <c r="F13" s="1441">
        <v>752000</v>
      </c>
      <c r="G13" s="1435">
        <v>3527</v>
      </c>
      <c r="H13" s="1435">
        <v>269</v>
      </c>
      <c r="I13" s="1435">
        <v>269</v>
      </c>
      <c r="J13" s="1435">
        <v>0</v>
      </c>
      <c r="K13" s="1435">
        <f>SUM(G13-H13-I13-J13)</f>
        <v>2989</v>
      </c>
      <c r="L13" s="1440" t="s">
        <v>3361</v>
      </c>
      <c r="M13" s="1438" t="s">
        <v>3362</v>
      </c>
      <c r="N13" s="1435">
        <v>328</v>
      </c>
      <c r="O13" s="1435">
        <f>SUM(365-N13)</f>
        <v>37</v>
      </c>
      <c r="P13" s="1435">
        <f>ROUND(K13/365*N13,0)</f>
        <v>2686</v>
      </c>
      <c r="Q13" s="1435">
        <f>ROUND(K13/365*O13,0)</f>
        <v>303</v>
      </c>
      <c r="R13" s="1435">
        <f>SUM(P13:Q13)</f>
        <v>2989</v>
      </c>
      <c r="T13" s="1028">
        <f t="shared" si="0"/>
        <v>365</v>
      </c>
      <c r="V13" s="1028">
        <f>SUM(N13:O13)</f>
        <v>365</v>
      </c>
      <c r="X13" s="1028">
        <f>+$Y$7-L13+1</f>
        <v>328</v>
      </c>
      <c r="Y13" s="1028">
        <f>+M13-$Y$7</f>
        <v>37</v>
      </c>
    </row>
    <row r="14" spans="2:25" ht="5.0999999999999996" customHeight="1" x14ac:dyDescent="0.25">
      <c r="B14" s="1434"/>
      <c r="C14" s="1435"/>
      <c r="D14" s="1435"/>
      <c r="E14" s="1435"/>
      <c r="F14" s="1427"/>
      <c r="G14" s="1427"/>
      <c r="H14" s="1427"/>
      <c r="I14" s="1427"/>
      <c r="J14" s="1427"/>
      <c r="K14" s="1427"/>
      <c r="L14" s="1427"/>
      <c r="M14" s="1427"/>
      <c r="N14" s="1427"/>
      <c r="O14" s="1427"/>
      <c r="P14" s="1427"/>
      <c r="Q14" s="1427"/>
      <c r="R14" s="1427"/>
      <c r="T14" s="1028">
        <f t="shared" si="0"/>
        <v>1</v>
      </c>
    </row>
    <row r="15" spans="2:25" ht="15" customHeight="1" x14ac:dyDescent="0.2">
      <c r="B15" s="1434">
        <v>4</v>
      </c>
      <c r="C15" s="1436" t="s">
        <v>3363</v>
      </c>
      <c r="D15" s="1442" t="s">
        <v>3354</v>
      </c>
      <c r="E15" s="1443" t="s">
        <v>3364</v>
      </c>
      <c r="F15" s="1441">
        <v>248146</v>
      </c>
      <c r="G15" s="1435">
        <v>8580</v>
      </c>
      <c r="H15" s="1435">
        <v>0</v>
      </c>
      <c r="I15" s="1435">
        <v>0</v>
      </c>
      <c r="J15" s="1435">
        <v>0</v>
      </c>
      <c r="K15" s="1435">
        <f>SUM(G15-H15-I15-J15)</f>
        <v>8580</v>
      </c>
      <c r="L15" s="1440" t="s">
        <v>3365</v>
      </c>
      <c r="M15" s="1438" t="s">
        <v>3366</v>
      </c>
      <c r="N15" s="1435">
        <v>325</v>
      </c>
      <c r="O15" s="1435">
        <f>SUM(365-N15)</f>
        <v>40</v>
      </c>
      <c r="P15" s="1435">
        <f>ROUND(K15/365*N15,0)</f>
        <v>7640</v>
      </c>
      <c r="Q15" s="1435">
        <f>ROUND(K15/365*O15,0)</f>
        <v>940</v>
      </c>
      <c r="R15" s="1435">
        <f>SUM(P15:Q15)</f>
        <v>8580</v>
      </c>
      <c r="T15" s="1028">
        <f t="shared" si="0"/>
        <v>365</v>
      </c>
      <c r="V15" s="1028">
        <f>SUM(N15:O15)</f>
        <v>365</v>
      </c>
      <c r="X15" s="1028">
        <f>+$Y$7-L15+1</f>
        <v>325</v>
      </c>
      <c r="Y15" s="1028">
        <f>+M15-$Y$7</f>
        <v>40</v>
      </c>
    </row>
    <row r="16" spans="2:25" ht="5.0999999999999996" customHeight="1" x14ac:dyDescent="0.2">
      <c r="B16" s="1434"/>
      <c r="C16" s="1436"/>
      <c r="D16" s="1442"/>
      <c r="E16" s="1442"/>
      <c r="F16" s="1441"/>
      <c r="G16" s="1435"/>
      <c r="H16" s="1435"/>
      <c r="I16" s="1435"/>
      <c r="J16" s="1435"/>
      <c r="K16" s="1435"/>
      <c r="L16" s="1440"/>
      <c r="M16" s="1438"/>
      <c r="N16" s="1435"/>
      <c r="O16" s="1435"/>
      <c r="P16" s="1435"/>
      <c r="Q16" s="1435"/>
      <c r="R16" s="1435"/>
      <c r="T16" s="1028">
        <f t="shared" si="0"/>
        <v>1</v>
      </c>
    </row>
    <row r="17" spans="2:25" ht="15" customHeight="1" x14ac:dyDescent="0.2">
      <c r="B17" s="1434">
        <v>5</v>
      </c>
      <c r="C17" s="1436" t="s">
        <v>3367</v>
      </c>
      <c r="D17" s="1442" t="s">
        <v>3359</v>
      </c>
      <c r="E17" s="1442" t="s">
        <v>3368</v>
      </c>
      <c r="F17" s="1441">
        <v>392000</v>
      </c>
      <c r="G17" s="1435">
        <v>2359</v>
      </c>
      <c r="H17" s="1435">
        <v>180</v>
      </c>
      <c r="I17" s="1435">
        <v>180</v>
      </c>
      <c r="J17" s="1435">
        <v>0</v>
      </c>
      <c r="K17" s="1435">
        <f>SUM(G17-H17-I17-J17)</f>
        <v>1999</v>
      </c>
      <c r="L17" s="1440" t="s">
        <v>3369</v>
      </c>
      <c r="M17" s="1438" t="s">
        <v>3370</v>
      </c>
      <c r="N17" s="1435">
        <v>311</v>
      </c>
      <c r="O17" s="1435">
        <f>SUM(365-N17)</f>
        <v>54</v>
      </c>
      <c r="P17" s="1435">
        <f>ROUND(K17/365*N17,0)</f>
        <v>1703</v>
      </c>
      <c r="Q17" s="1435">
        <f>ROUND(K17/365*O17,0)</f>
        <v>296</v>
      </c>
      <c r="R17" s="1435">
        <f>SUM(P17:Q17)</f>
        <v>1999</v>
      </c>
      <c r="T17" s="1028">
        <f t="shared" si="0"/>
        <v>365</v>
      </c>
      <c r="V17" s="1028">
        <f>SUM(N17:O17)</f>
        <v>365</v>
      </c>
      <c r="X17" s="1028">
        <f>+$Y$7-L17+1</f>
        <v>311</v>
      </c>
      <c r="Y17" s="1028">
        <f>+M17-$Y$7</f>
        <v>54</v>
      </c>
    </row>
    <row r="18" spans="2:25" ht="5.0999999999999996" customHeight="1" x14ac:dyDescent="0.2">
      <c r="B18" s="1434"/>
      <c r="C18" s="1436"/>
      <c r="D18" s="1442"/>
      <c r="E18" s="1442"/>
      <c r="F18" s="1441"/>
      <c r="G18" s="1435"/>
      <c r="H18" s="1435"/>
      <c r="I18" s="1435"/>
      <c r="J18" s="1435"/>
      <c r="K18" s="1435"/>
      <c r="L18" s="1440"/>
      <c r="M18" s="1438"/>
      <c r="N18" s="1435"/>
      <c r="O18" s="1435"/>
      <c r="P18" s="1435"/>
      <c r="Q18" s="1435"/>
      <c r="R18" s="1435"/>
      <c r="T18" s="1028">
        <f t="shared" si="0"/>
        <v>1</v>
      </c>
    </row>
    <row r="19" spans="2:25" ht="15" customHeight="1" x14ac:dyDescent="0.2">
      <c r="B19" s="1434">
        <v>6</v>
      </c>
      <c r="C19" s="1436" t="s">
        <v>3371</v>
      </c>
      <c r="D19" s="1442" t="s">
        <v>3359</v>
      </c>
      <c r="E19" s="1442" t="s">
        <v>3372</v>
      </c>
      <c r="F19" s="1441">
        <v>950000</v>
      </c>
      <c r="G19" s="1435">
        <v>4708</v>
      </c>
      <c r="H19" s="1435">
        <v>359</v>
      </c>
      <c r="I19" s="1435">
        <v>359</v>
      </c>
      <c r="J19" s="1435">
        <v>0</v>
      </c>
      <c r="K19" s="1435">
        <f>SUM(G19-H19-I19)</f>
        <v>3990</v>
      </c>
      <c r="L19" s="1440" t="s">
        <v>3373</v>
      </c>
      <c r="M19" s="1438" t="s">
        <v>3374</v>
      </c>
      <c r="N19" s="1435">
        <v>310</v>
      </c>
      <c r="O19" s="1435">
        <f>SUM(365-N19)</f>
        <v>55</v>
      </c>
      <c r="P19" s="1435">
        <f>ROUND(K19/365*N19,0)</f>
        <v>3389</v>
      </c>
      <c r="Q19" s="1435">
        <f>ROUND(K19/365*O19,0)</f>
        <v>601</v>
      </c>
      <c r="R19" s="1435">
        <f>SUM(P19:Q19)</f>
        <v>3990</v>
      </c>
      <c r="T19" s="1028">
        <f t="shared" si="0"/>
        <v>365</v>
      </c>
      <c r="V19" s="1028">
        <f>SUM(N19:O19)</f>
        <v>365</v>
      </c>
      <c r="X19" s="1028">
        <f>+$Y$7-L19+1</f>
        <v>310</v>
      </c>
      <c r="Y19" s="1028">
        <f>+M19-$Y$7</f>
        <v>55</v>
      </c>
    </row>
    <row r="20" spans="2:25" ht="5.0999999999999996" customHeight="1" x14ac:dyDescent="0.2">
      <c r="B20" s="1434"/>
      <c r="C20" s="1436"/>
      <c r="D20" s="1442"/>
      <c r="E20" s="1442"/>
      <c r="F20" s="1441"/>
      <c r="G20" s="1435"/>
      <c r="H20" s="1435"/>
      <c r="I20" s="1435"/>
      <c r="J20" s="1435"/>
      <c r="K20" s="1435"/>
      <c r="L20" s="1440"/>
      <c r="M20" s="1438"/>
      <c r="N20" s="1435"/>
      <c r="O20" s="1435"/>
      <c r="P20" s="1435"/>
      <c r="Q20" s="1435"/>
      <c r="R20" s="1435"/>
      <c r="T20" s="1028">
        <f t="shared" si="0"/>
        <v>1</v>
      </c>
    </row>
    <row r="21" spans="2:25" ht="15" customHeight="1" x14ac:dyDescent="0.2">
      <c r="B21" s="1434">
        <v>7</v>
      </c>
      <c r="C21" s="1436" t="s">
        <v>3375</v>
      </c>
      <c r="D21" s="1435" t="s">
        <v>3376</v>
      </c>
      <c r="E21" s="1435" t="s">
        <v>3377</v>
      </c>
      <c r="F21" s="1437">
        <v>1289000</v>
      </c>
      <c r="G21" s="1435">
        <v>10003</v>
      </c>
      <c r="H21" s="1435">
        <v>763</v>
      </c>
      <c r="I21" s="1435">
        <v>763</v>
      </c>
      <c r="J21" s="1435">
        <v>0</v>
      </c>
      <c r="K21" s="1435">
        <f>SUM(G21-H21-I21)</f>
        <v>8477</v>
      </c>
      <c r="L21" s="1438" t="s">
        <v>3378</v>
      </c>
      <c r="M21" s="1438" t="s">
        <v>3379</v>
      </c>
      <c r="N21" s="1435">
        <v>267</v>
      </c>
      <c r="O21" s="1435">
        <f>SUM(365-N21)</f>
        <v>98</v>
      </c>
      <c r="P21" s="1435">
        <f>ROUND(K21/365*N21,0)</f>
        <v>6201</v>
      </c>
      <c r="Q21" s="1435">
        <f>ROUND(K21/365*O21,0)</f>
        <v>2276</v>
      </c>
      <c r="R21" s="1435">
        <f>SUM(P21:Q21)</f>
        <v>8477</v>
      </c>
      <c r="T21" s="1028">
        <f t="shared" si="0"/>
        <v>365</v>
      </c>
      <c r="V21" s="1028">
        <f>SUM(N21:O21)</f>
        <v>365</v>
      </c>
      <c r="X21" s="1028">
        <f>+$Y$7-L21+1</f>
        <v>267</v>
      </c>
      <c r="Y21" s="1028">
        <f>+M21-$Y$7</f>
        <v>98</v>
      </c>
    </row>
    <row r="22" spans="2:25" ht="15" customHeight="1" x14ac:dyDescent="0.2">
      <c r="B22" s="1434"/>
      <c r="C22" s="1439"/>
      <c r="D22" s="1435"/>
      <c r="E22" s="1435" t="s">
        <v>3380</v>
      </c>
      <c r="F22" s="1435"/>
      <c r="G22" s="1435"/>
      <c r="H22" s="1435"/>
      <c r="I22" s="1435"/>
      <c r="J22" s="1435"/>
      <c r="K22" s="1435"/>
      <c r="L22" s="1440"/>
      <c r="M22" s="1438"/>
      <c r="N22" s="1435"/>
      <c r="O22" s="1435"/>
      <c r="P22" s="1435"/>
      <c r="Q22" s="1435"/>
      <c r="R22" s="1435"/>
    </row>
    <row r="23" spans="2:25" ht="15" customHeight="1" x14ac:dyDescent="0.2">
      <c r="B23" s="1434"/>
      <c r="C23" s="1439"/>
      <c r="D23" s="1435"/>
      <c r="E23" s="1435" t="s">
        <v>3381</v>
      </c>
      <c r="F23" s="1435"/>
      <c r="G23" s="1435"/>
      <c r="H23" s="1435"/>
      <c r="I23" s="1435"/>
      <c r="J23" s="1435"/>
      <c r="K23" s="1435"/>
      <c r="L23" s="1440"/>
      <c r="M23" s="1438"/>
      <c r="N23" s="1435"/>
      <c r="O23" s="1435"/>
      <c r="P23" s="1435"/>
      <c r="Q23" s="1435"/>
      <c r="R23" s="1435"/>
    </row>
    <row r="24" spans="2:25" ht="15" customHeight="1" x14ac:dyDescent="0.2">
      <c r="B24" s="1434"/>
      <c r="C24" s="1439"/>
      <c r="D24" s="1435"/>
      <c r="E24" s="1435" t="s">
        <v>3382</v>
      </c>
      <c r="F24" s="1435"/>
      <c r="G24" s="1435"/>
      <c r="H24" s="1435"/>
      <c r="I24" s="1435"/>
      <c r="J24" s="1435"/>
      <c r="K24" s="1435"/>
      <c r="L24" s="1440"/>
      <c r="M24" s="1438"/>
      <c r="N24" s="1435"/>
      <c r="O24" s="1435"/>
      <c r="P24" s="1435"/>
      <c r="Q24" s="1435"/>
      <c r="R24" s="1435"/>
    </row>
    <row r="25" spans="2:25" ht="15" customHeight="1" x14ac:dyDescent="0.2">
      <c r="B25" s="1434"/>
      <c r="C25" s="1439"/>
      <c r="D25" s="1435"/>
      <c r="E25" s="1435" t="s">
        <v>3383</v>
      </c>
      <c r="F25" s="1435"/>
      <c r="G25" s="1435"/>
      <c r="H25" s="1435"/>
      <c r="I25" s="1435"/>
      <c r="J25" s="1435"/>
      <c r="K25" s="1435"/>
      <c r="L25" s="1440"/>
      <c r="M25" s="1438"/>
      <c r="N25" s="1435"/>
      <c r="O25" s="1435"/>
      <c r="P25" s="1435"/>
      <c r="Q25" s="1435"/>
      <c r="R25" s="1435"/>
    </row>
    <row r="26" spans="2:25" ht="5.0999999999999996" customHeight="1" x14ac:dyDescent="0.2">
      <c r="B26" s="1434"/>
      <c r="C26" s="1436"/>
      <c r="D26" s="1442"/>
      <c r="E26" s="1442"/>
      <c r="F26" s="1441"/>
      <c r="G26" s="1435"/>
      <c r="H26" s="1435"/>
      <c r="I26" s="1435"/>
      <c r="J26" s="1435"/>
      <c r="K26" s="1435"/>
      <c r="L26" s="1440"/>
      <c r="M26" s="1438"/>
      <c r="N26" s="1435"/>
      <c r="O26" s="1435"/>
      <c r="P26" s="1435"/>
      <c r="Q26" s="1435"/>
      <c r="R26" s="1435"/>
    </row>
    <row r="27" spans="2:25" ht="15" customHeight="1" x14ac:dyDescent="0.2">
      <c r="B27" s="1434">
        <v>8</v>
      </c>
      <c r="C27" s="1436" t="s">
        <v>3384</v>
      </c>
      <c r="D27" s="1435" t="s">
        <v>3385</v>
      </c>
      <c r="E27" s="1435" t="s">
        <v>3386</v>
      </c>
      <c r="F27" s="1437">
        <v>2029500</v>
      </c>
      <c r="G27" s="1435">
        <v>2991</v>
      </c>
      <c r="H27" s="1435">
        <v>228</v>
      </c>
      <c r="I27" s="1435">
        <v>228</v>
      </c>
      <c r="J27" s="1435">
        <v>0</v>
      </c>
      <c r="K27" s="1435">
        <f>SUM(G27-H27-I27)</f>
        <v>2535</v>
      </c>
      <c r="L27" s="1438" t="s">
        <v>3387</v>
      </c>
      <c r="M27" s="1438" t="s">
        <v>3388</v>
      </c>
      <c r="N27" s="1435">
        <v>264</v>
      </c>
      <c r="O27" s="1435">
        <f>SUM(365-N27)</f>
        <v>101</v>
      </c>
      <c r="P27" s="1435">
        <f>ROUND(K27/365*N27,0)</f>
        <v>1834</v>
      </c>
      <c r="Q27" s="1435">
        <f>ROUND(K27/365*O27,0)</f>
        <v>701</v>
      </c>
      <c r="R27" s="1435">
        <f>SUM(P27:Q27)</f>
        <v>2535</v>
      </c>
      <c r="T27" s="1028">
        <f t="shared" ref="T27" si="1">+M27-L27+1</f>
        <v>365</v>
      </c>
      <c r="V27" s="1028">
        <f>SUM(N27:O27)</f>
        <v>365</v>
      </c>
      <c r="X27" s="1028">
        <f>+$Y$7-L27+1</f>
        <v>264</v>
      </c>
      <c r="Y27" s="1028">
        <f>+M27-$Y$7</f>
        <v>101</v>
      </c>
    </row>
    <row r="28" spans="2:25" ht="15" customHeight="1" x14ac:dyDescent="0.2">
      <c r="B28" s="1434"/>
      <c r="C28" s="1439"/>
      <c r="D28" s="1435"/>
      <c r="E28" s="1435" t="s">
        <v>3389</v>
      </c>
      <c r="F28" s="1444"/>
      <c r="G28" s="1435"/>
      <c r="H28" s="1435"/>
      <c r="I28" s="1435"/>
      <c r="J28" s="1438"/>
      <c r="K28" s="1438"/>
      <c r="L28" s="1435"/>
      <c r="M28" s="1435"/>
      <c r="N28" s="1435"/>
      <c r="O28" s="1435"/>
      <c r="P28" s="1435"/>
      <c r="Q28" s="1435"/>
      <c r="R28" s="1435"/>
    </row>
    <row r="29" spans="2:25" ht="15" customHeight="1" x14ac:dyDescent="0.2">
      <c r="B29" s="1434"/>
      <c r="C29" s="1439"/>
      <c r="D29" s="1435"/>
      <c r="E29" s="1435" t="s">
        <v>3390</v>
      </c>
      <c r="F29" s="1435"/>
      <c r="G29" s="1435"/>
      <c r="H29" s="1435"/>
      <c r="I29" s="1435"/>
      <c r="J29" s="1438"/>
      <c r="K29" s="1438"/>
      <c r="L29" s="1435"/>
      <c r="M29" s="1435"/>
      <c r="N29" s="1435"/>
      <c r="O29" s="1435"/>
      <c r="P29" s="1435"/>
      <c r="Q29" s="1435"/>
      <c r="R29" s="1435"/>
    </row>
    <row r="30" spans="2:25" ht="15" customHeight="1" x14ac:dyDescent="0.2">
      <c r="B30" s="1434"/>
      <c r="C30" s="1439"/>
      <c r="D30" s="1435"/>
      <c r="E30" s="1435" t="s">
        <v>3391</v>
      </c>
      <c r="F30" s="1435"/>
      <c r="G30" s="1435"/>
      <c r="H30" s="1435"/>
      <c r="I30" s="1435"/>
      <c r="J30" s="1438"/>
      <c r="K30" s="1438"/>
      <c r="L30" s="1435"/>
      <c r="M30" s="1435"/>
      <c r="N30" s="1435"/>
      <c r="O30" s="1435"/>
      <c r="P30" s="1435"/>
      <c r="Q30" s="1435"/>
      <c r="R30" s="1435"/>
    </row>
    <row r="31" spans="2:25" ht="15" customHeight="1" x14ac:dyDescent="0.2">
      <c r="B31" s="1434"/>
      <c r="C31" s="1439"/>
      <c r="D31" s="1435"/>
      <c r="E31" s="1435" t="s">
        <v>3392</v>
      </c>
      <c r="F31" s="1435"/>
      <c r="G31" s="1435"/>
      <c r="H31" s="1435"/>
      <c r="I31" s="1435"/>
      <c r="J31" s="1438"/>
      <c r="K31" s="1438"/>
      <c r="L31" s="1435"/>
      <c r="M31" s="1435"/>
      <c r="N31" s="1435"/>
      <c r="O31" s="1435"/>
      <c r="P31" s="1435"/>
      <c r="Q31" s="1435"/>
      <c r="R31" s="1435"/>
    </row>
    <row r="32" spans="2:25" ht="15" customHeight="1" x14ac:dyDescent="0.2">
      <c r="B32" s="1434"/>
      <c r="C32" s="1439"/>
      <c r="D32" s="1435"/>
      <c r="E32" s="1435" t="s">
        <v>3393</v>
      </c>
      <c r="F32" s="1435"/>
      <c r="G32" s="1435"/>
      <c r="H32" s="1435"/>
      <c r="I32" s="1435"/>
      <c r="J32" s="1438"/>
      <c r="K32" s="1438"/>
      <c r="L32" s="1435"/>
      <c r="M32" s="1435"/>
      <c r="N32" s="1435"/>
      <c r="O32" s="1435"/>
      <c r="P32" s="1435"/>
      <c r="Q32" s="1435"/>
      <c r="R32" s="1435"/>
    </row>
    <row r="33" spans="2:25" ht="5.0999999999999996" customHeight="1" x14ac:dyDescent="0.2">
      <c r="B33" s="1434"/>
      <c r="C33" s="1439"/>
      <c r="D33" s="1435"/>
      <c r="E33" s="1435"/>
      <c r="F33" s="1435"/>
      <c r="G33" s="1435"/>
      <c r="H33" s="1435"/>
      <c r="I33" s="1435"/>
      <c r="J33" s="1438"/>
      <c r="K33" s="1438"/>
      <c r="L33" s="1435"/>
      <c r="M33" s="1435"/>
      <c r="N33" s="1435"/>
      <c r="O33" s="1435"/>
      <c r="P33" s="1435"/>
      <c r="Q33" s="1435"/>
      <c r="R33" s="1435"/>
    </row>
    <row r="34" spans="2:25" ht="15" customHeight="1" x14ac:dyDescent="0.2">
      <c r="B34" s="1434">
        <v>9</v>
      </c>
      <c r="C34" s="1436" t="s">
        <v>3394</v>
      </c>
      <c r="D34" s="1435" t="s">
        <v>3348</v>
      </c>
      <c r="E34" s="1435" t="s">
        <v>3395</v>
      </c>
      <c r="F34" s="1437">
        <v>65000000</v>
      </c>
      <c r="G34" s="1435">
        <v>133458</v>
      </c>
      <c r="H34" s="1435">
        <v>10179</v>
      </c>
      <c r="I34" s="1435">
        <v>10179</v>
      </c>
      <c r="J34" s="1435">
        <v>0</v>
      </c>
      <c r="K34" s="1435">
        <f>SUM(G34-H34-I34)</f>
        <v>113100</v>
      </c>
      <c r="L34" s="1438" t="s">
        <v>3378</v>
      </c>
      <c r="M34" s="1438" t="s">
        <v>3379</v>
      </c>
      <c r="N34" s="1435">
        <v>267</v>
      </c>
      <c r="O34" s="1435">
        <f>SUM(365-N34)</f>
        <v>98</v>
      </c>
      <c r="P34" s="1435">
        <f>ROUND(K34/365*N34,0)</f>
        <v>82733</v>
      </c>
      <c r="Q34" s="1435">
        <f>ROUND(K34/365*O34,0)</f>
        <v>30367</v>
      </c>
      <c r="R34" s="1435">
        <f>SUM(P34:Q34)</f>
        <v>113100</v>
      </c>
      <c r="T34" s="1028">
        <f t="shared" ref="T34" si="2">+M34-L34+1</f>
        <v>365</v>
      </c>
      <c r="V34" s="1028">
        <f>SUM(N34:O34)</f>
        <v>365</v>
      </c>
      <c r="X34" s="1028">
        <f>+$Y$7-L34+1</f>
        <v>267</v>
      </c>
      <c r="Y34" s="1028">
        <f>+M34-$Y$7</f>
        <v>98</v>
      </c>
    </row>
    <row r="35" spans="2:25" ht="15" customHeight="1" x14ac:dyDescent="0.2">
      <c r="B35" s="1434"/>
      <c r="C35" s="1439"/>
      <c r="D35" s="1435" t="s">
        <v>3352</v>
      </c>
      <c r="E35" s="1435" t="s">
        <v>3396</v>
      </c>
      <c r="F35" s="1435"/>
      <c r="G35" s="1435"/>
      <c r="H35" s="1435"/>
      <c r="I35" s="1435"/>
      <c r="J35" s="1435"/>
      <c r="K35" s="1435"/>
      <c r="L35" s="1440"/>
      <c r="M35" s="1438"/>
      <c r="N35" s="1435"/>
      <c r="O35" s="1435"/>
      <c r="P35" s="1435"/>
      <c r="Q35" s="1435"/>
      <c r="R35" s="1435"/>
    </row>
    <row r="36" spans="2:25" ht="15" customHeight="1" x14ac:dyDescent="0.2">
      <c r="B36" s="1434"/>
      <c r="C36" s="1439"/>
      <c r="D36" s="1435"/>
      <c r="E36" s="1435" t="s">
        <v>3397</v>
      </c>
      <c r="F36" s="1435"/>
      <c r="G36" s="1435"/>
      <c r="H36" s="1435"/>
      <c r="I36" s="1435"/>
      <c r="J36" s="1435"/>
      <c r="K36" s="1435"/>
      <c r="L36" s="1440"/>
      <c r="M36" s="1438"/>
      <c r="N36" s="1435"/>
      <c r="O36" s="1435"/>
      <c r="P36" s="1435"/>
      <c r="Q36" s="1435"/>
      <c r="R36" s="1435"/>
    </row>
    <row r="37" spans="2:25" ht="15" customHeight="1" x14ac:dyDescent="0.2">
      <c r="B37" s="1434"/>
      <c r="C37" s="1439"/>
      <c r="D37" s="1435"/>
      <c r="E37" s="1435" t="s">
        <v>3398</v>
      </c>
      <c r="F37" s="1435"/>
      <c r="G37" s="1435"/>
      <c r="H37" s="1435"/>
      <c r="I37" s="1435"/>
      <c r="J37" s="1435"/>
      <c r="K37" s="1435"/>
      <c r="L37" s="1440"/>
      <c r="M37" s="1438"/>
      <c r="N37" s="1435"/>
      <c r="O37" s="1435"/>
      <c r="P37" s="1435"/>
      <c r="Q37" s="1435"/>
      <c r="R37" s="1435"/>
    </row>
    <row r="38" spans="2:25" ht="15" customHeight="1" x14ac:dyDescent="0.2">
      <c r="B38" s="1434"/>
      <c r="C38" s="1439"/>
      <c r="D38" s="1435"/>
      <c r="E38" s="1435" t="s">
        <v>3399</v>
      </c>
      <c r="F38" s="1435"/>
      <c r="G38" s="1435"/>
      <c r="H38" s="1435"/>
      <c r="I38" s="1435"/>
      <c r="J38" s="1435"/>
      <c r="K38" s="1435"/>
      <c r="L38" s="1440"/>
      <c r="M38" s="1438"/>
      <c r="N38" s="1435"/>
      <c r="O38" s="1435"/>
      <c r="P38" s="1435"/>
      <c r="Q38" s="1435"/>
      <c r="R38" s="1435"/>
    </row>
    <row r="39" spans="2:25" ht="15" customHeight="1" x14ac:dyDescent="0.2">
      <c r="B39" s="1434"/>
      <c r="C39" s="1439"/>
      <c r="D39" s="1435"/>
      <c r="E39" s="1435" t="s">
        <v>3400</v>
      </c>
      <c r="F39" s="1435"/>
      <c r="G39" s="1435"/>
      <c r="H39" s="1435"/>
      <c r="I39" s="1435"/>
      <c r="J39" s="1435"/>
      <c r="K39" s="1435"/>
      <c r="L39" s="1440"/>
      <c r="M39" s="1438"/>
      <c r="N39" s="1435"/>
      <c r="O39" s="1435"/>
      <c r="P39" s="1435"/>
      <c r="Q39" s="1435"/>
      <c r="R39" s="1435"/>
    </row>
    <row r="40" spans="2:25" ht="5.0999999999999996" customHeight="1" x14ac:dyDescent="0.2">
      <c r="B40" s="1434"/>
      <c r="C40" s="1439"/>
      <c r="D40" s="1435"/>
      <c r="E40" s="1435"/>
      <c r="F40" s="1435"/>
      <c r="G40" s="1435"/>
      <c r="H40" s="1435"/>
      <c r="I40" s="1435"/>
      <c r="J40" s="1438"/>
      <c r="K40" s="1438"/>
      <c r="L40" s="1435"/>
      <c r="M40" s="1435"/>
      <c r="N40" s="1435"/>
      <c r="O40" s="1435"/>
      <c r="P40" s="1435"/>
      <c r="Q40" s="1435"/>
      <c r="R40" s="1435"/>
    </row>
    <row r="41" spans="2:25" ht="15" customHeight="1" x14ac:dyDescent="0.2">
      <c r="B41" s="1434">
        <v>10</v>
      </c>
      <c r="C41" s="1436" t="s">
        <v>3401</v>
      </c>
      <c r="D41" s="1435" t="s">
        <v>3348</v>
      </c>
      <c r="E41" s="1435" t="s">
        <v>3402</v>
      </c>
      <c r="F41" s="1437">
        <v>282600000</v>
      </c>
      <c r="G41" s="1435">
        <v>446847</v>
      </c>
      <c r="H41" s="1435">
        <v>34082</v>
      </c>
      <c r="I41" s="1435">
        <v>34082</v>
      </c>
      <c r="J41" s="1435">
        <v>0</v>
      </c>
      <c r="K41" s="1435">
        <f>SUM(G41-H41-I41)</f>
        <v>378683</v>
      </c>
      <c r="L41" s="1438" t="s">
        <v>3403</v>
      </c>
      <c r="M41" s="1438" t="s">
        <v>3404</v>
      </c>
      <c r="N41" s="1435">
        <v>263</v>
      </c>
      <c r="O41" s="1435">
        <f>SUM(365-N41)</f>
        <v>102</v>
      </c>
      <c r="P41" s="1435">
        <f>ROUND(K41/365*N41,0)</f>
        <v>272859</v>
      </c>
      <c r="Q41" s="1435">
        <f>ROUND(K41/365*O41,0)</f>
        <v>105824</v>
      </c>
      <c r="R41" s="1435">
        <f>SUM(P41:Q41)</f>
        <v>378683</v>
      </c>
      <c r="T41" s="1028">
        <f t="shared" ref="T41" si="3">+M41-L41+1</f>
        <v>365</v>
      </c>
      <c r="V41" s="1028">
        <f>SUM(N41:O41)</f>
        <v>365</v>
      </c>
      <c r="X41" s="1028">
        <f>+$Y$7-L41+1</f>
        <v>263</v>
      </c>
      <c r="Y41" s="1028">
        <f>+M41-$Y$7</f>
        <v>102</v>
      </c>
    </row>
    <row r="42" spans="2:25" ht="15" customHeight="1" x14ac:dyDescent="0.2">
      <c r="B42" s="1434"/>
      <c r="C42" s="1439"/>
      <c r="D42" s="1435" t="s">
        <v>3352</v>
      </c>
      <c r="E42" s="1435" t="s">
        <v>3405</v>
      </c>
      <c r="F42" s="1435"/>
      <c r="G42" s="1435"/>
      <c r="H42" s="1435"/>
      <c r="I42" s="1435"/>
      <c r="J42" s="1435"/>
      <c r="K42" s="1435"/>
      <c r="L42" s="1440"/>
      <c r="M42" s="1438"/>
      <c r="N42" s="1435"/>
      <c r="O42" s="1435"/>
      <c r="P42" s="1435"/>
      <c r="Q42" s="1435"/>
      <c r="R42" s="1435"/>
    </row>
    <row r="43" spans="2:25" ht="15" customHeight="1" x14ac:dyDescent="0.2">
      <c r="B43" s="1434"/>
      <c r="C43" s="1439"/>
      <c r="D43" s="1435"/>
      <c r="E43" s="1435" t="s">
        <v>3406</v>
      </c>
      <c r="F43" s="1435"/>
      <c r="G43" s="1435"/>
      <c r="H43" s="1435"/>
      <c r="I43" s="1435"/>
      <c r="J43" s="1435"/>
      <c r="K43" s="1435"/>
      <c r="L43" s="1440"/>
      <c r="M43" s="1438"/>
      <c r="N43" s="1435"/>
      <c r="O43" s="1435"/>
      <c r="P43" s="1435"/>
      <c r="Q43" s="1435"/>
      <c r="R43" s="1435"/>
    </row>
    <row r="44" spans="2:25" ht="15" customHeight="1" x14ac:dyDescent="0.2">
      <c r="B44" s="1434"/>
      <c r="C44" s="1439"/>
      <c r="D44" s="1435"/>
      <c r="E44" s="1435" t="s">
        <v>3407</v>
      </c>
      <c r="F44" s="1435"/>
      <c r="G44" s="1435"/>
      <c r="H44" s="1435"/>
      <c r="I44" s="1435"/>
      <c r="J44" s="1435"/>
      <c r="K44" s="1435"/>
      <c r="L44" s="1440"/>
      <c r="M44" s="1438"/>
      <c r="N44" s="1435"/>
      <c r="O44" s="1435"/>
      <c r="P44" s="1435"/>
      <c r="Q44" s="1435"/>
      <c r="R44" s="1435"/>
    </row>
    <row r="45" spans="2:25" ht="15" customHeight="1" x14ac:dyDescent="0.2">
      <c r="B45" s="1434"/>
      <c r="C45" s="1439"/>
      <c r="D45" s="1435"/>
      <c r="E45" s="1435" t="s">
        <v>3408</v>
      </c>
      <c r="F45" s="1435"/>
      <c r="G45" s="1435"/>
      <c r="H45" s="1435"/>
      <c r="I45" s="1435"/>
      <c r="J45" s="1435"/>
      <c r="K45" s="1435"/>
      <c r="L45" s="1440"/>
      <c r="M45" s="1438"/>
      <c r="N45" s="1435"/>
      <c r="O45" s="1435"/>
      <c r="P45" s="1435"/>
      <c r="Q45" s="1435"/>
      <c r="R45" s="1435"/>
    </row>
    <row r="46" spans="2:25" ht="15" customHeight="1" x14ac:dyDescent="0.2">
      <c r="B46" s="1434"/>
      <c r="C46" s="1439"/>
      <c r="D46" s="1435"/>
      <c r="E46" s="1435" t="s">
        <v>3409</v>
      </c>
      <c r="F46" s="1435"/>
      <c r="G46" s="1435"/>
      <c r="H46" s="1435"/>
      <c r="I46" s="1435"/>
      <c r="J46" s="1435"/>
      <c r="K46" s="1435"/>
      <c r="L46" s="1440"/>
      <c r="M46" s="1438"/>
      <c r="N46" s="1435"/>
      <c r="O46" s="1435"/>
      <c r="P46" s="1435"/>
      <c r="Q46" s="1435"/>
      <c r="R46" s="1435"/>
    </row>
    <row r="47" spans="2:25" ht="15" customHeight="1" x14ac:dyDescent="0.2">
      <c r="B47" s="1434"/>
      <c r="C47" s="1439"/>
      <c r="D47" s="1435"/>
      <c r="E47" s="1435" t="s">
        <v>3410</v>
      </c>
      <c r="F47" s="1435"/>
      <c r="G47" s="1435"/>
      <c r="H47" s="1435"/>
      <c r="I47" s="1435"/>
      <c r="J47" s="1435"/>
      <c r="K47" s="1435"/>
      <c r="L47" s="1440"/>
      <c r="M47" s="1438"/>
      <c r="N47" s="1435"/>
      <c r="O47" s="1435"/>
      <c r="P47" s="1435"/>
      <c r="Q47" s="1435"/>
      <c r="R47" s="1435"/>
    </row>
    <row r="48" spans="2:25" ht="15" customHeight="1" x14ac:dyDescent="0.2">
      <c r="B48" s="1434"/>
      <c r="C48" s="1439"/>
      <c r="D48" s="1435"/>
      <c r="E48" s="1435" t="s">
        <v>3411</v>
      </c>
      <c r="F48" s="1435"/>
      <c r="G48" s="1435"/>
      <c r="H48" s="1435"/>
      <c r="I48" s="1435"/>
      <c r="J48" s="1435"/>
      <c r="K48" s="1435"/>
      <c r="L48" s="1440"/>
      <c r="M48" s="1438"/>
      <c r="N48" s="1435"/>
      <c r="O48" s="1435"/>
      <c r="P48" s="1435"/>
      <c r="Q48" s="1435"/>
      <c r="R48" s="1435"/>
    </row>
    <row r="49" spans="2:25" ht="15" customHeight="1" x14ac:dyDescent="0.2">
      <c r="B49" s="1434"/>
      <c r="C49" s="1439"/>
      <c r="D49" s="1435"/>
      <c r="E49" s="1435" t="s">
        <v>3412</v>
      </c>
      <c r="F49" s="1435"/>
      <c r="G49" s="1435"/>
      <c r="H49" s="1435"/>
      <c r="I49" s="1435"/>
      <c r="J49" s="1435"/>
      <c r="K49" s="1435"/>
      <c r="L49" s="1440"/>
      <c r="M49" s="1438"/>
      <c r="N49" s="1435"/>
      <c r="O49" s="1435"/>
      <c r="P49" s="1435"/>
      <c r="Q49" s="1435"/>
      <c r="R49" s="1435"/>
    </row>
    <row r="50" spans="2:25" ht="5.0999999999999996" customHeight="1" x14ac:dyDescent="0.2">
      <c r="B50" s="1434"/>
      <c r="C50" s="1439"/>
      <c r="D50" s="1435"/>
      <c r="E50" s="1435"/>
      <c r="F50" s="1435"/>
      <c r="G50" s="1435"/>
      <c r="H50" s="1435"/>
      <c r="I50" s="1435"/>
      <c r="J50" s="1438"/>
      <c r="K50" s="1438"/>
      <c r="L50" s="1435"/>
      <c r="M50" s="1435"/>
      <c r="N50" s="1435"/>
      <c r="O50" s="1435"/>
      <c r="P50" s="1435"/>
      <c r="Q50" s="1435"/>
      <c r="R50" s="1435"/>
    </row>
    <row r="51" spans="2:25" ht="15" customHeight="1" x14ac:dyDescent="0.2">
      <c r="B51" s="1434">
        <v>11</v>
      </c>
      <c r="C51" s="1436" t="s">
        <v>3413</v>
      </c>
      <c r="D51" s="1435" t="s">
        <v>3414</v>
      </c>
      <c r="E51" s="1435" t="s">
        <v>3415</v>
      </c>
      <c r="F51" s="1437">
        <v>60000000</v>
      </c>
      <c r="G51" s="1435">
        <v>26020</v>
      </c>
      <c r="H51" s="1435">
        <v>1985</v>
      </c>
      <c r="I51" s="1435">
        <v>1985</v>
      </c>
      <c r="J51" s="1435">
        <v>0</v>
      </c>
      <c r="K51" s="1435">
        <f>SUM(G51-H51-I51)</f>
        <v>22050</v>
      </c>
      <c r="L51" s="1438" t="s">
        <v>3416</v>
      </c>
      <c r="M51" s="1438" t="s">
        <v>3417</v>
      </c>
      <c r="N51" s="1435">
        <v>257</v>
      </c>
      <c r="O51" s="1435">
        <f>SUM(365-N51)</f>
        <v>108</v>
      </c>
      <c r="P51" s="1435">
        <f>ROUND(K51/365*N51,0)</f>
        <v>15526</v>
      </c>
      <c r="Q51" s="1435">
        <f>ROUND(K51/365*O51,0)</f>
        <v>6524</v>
      </c>
      <c r="R51" s="1435">
        <f>SUM(P51:Q51)</f>
        <v>22050</v>
      </c>
      <c r="T51" s="1028">
        <f t="shared" ref="T51" si="4">+M51-L51+1</f>
        <v>365</v>
      </c>
      <c r="V51" s="1028">
        <f>SUM(N51:O51)</f>
        <v>365</v>
      </c>
      <c r="X51" s="1028">
        <f>+$Y$7-L51+1</f>
        <v>257</v>
      </c>
      <c r="Y51" s="1028">
        <f>+M51-$Y$7</f>
        <v>108</v>
      </c>
    </row>
    <row r="52" spans="2:25" ht="15" customHeight="1" x14ac:dyDescent="0.2">
      <c r="B52" s="1434"/>
      <c r="C52" s="1439"/>
      <c r="D52" s="1435" t="s">
        <v>906</v>
      </c>
      <c r="E52" s="1435" t="s">
        <v>3418</v>
      </c>
      <c r="F52" s="1435"/>
      <c r="G52" s="1435"/>
      <c r="H52" s="1435"/>
      <c r="I52" s="1435"/>
      <c r="J52" s="1435"/>
      <c r="K52" s="1435"/>
      <c r="L52" s="1440"/>
      <c r="M52" s="1438"/>
      <c r="N52" s="1435"/>
      <c r="O52" s="1435"/>
      <c r="P52" s="1435"/>
      <c r="Q52" s="1435"/>
      <c r="R52" s="1435"/>
    </row>
    <row r="53" spans="2:25" ht="15" customHeight="1" x14ac:dyDescent="0.2">
      <c r="B53" s="1434"/>
      <c r="C53" s="1439"/>
      <c r="D53" s="1435"/>
      <c r="E53" s="1445" t="s">
        <v>3419</v>
      </c>
      <c r="F53" s="1435"/>
      <c r="G53" s="1435"/>
      <c r="H53" s="1435"/>
      <c r="I53" s="1435"/>
      <c r="J53" s="1435"/>
      <c r="K53" s="1435"/>
      <c r="L53" s="1440"/>
      <c r="M53" s="1438"/>
      <c r="N53" s="1435"/>
      <c r="O53" s="1435"/>
      <c r="P53" s="1435"/>
      <c r="Q53" s="1435"/>
      <c r="R53" s="1435"/>
    </row>
    <row r="54" spans="2:25" ht="5.0999999999999996" customHeight="1" x14ac:dyDescent="0.2">
      <c r="B54" s="1434"/>
      <c r="C54" s="1439"/>
      <c r="D54" s="1435"/>
      <c r="E54" s="1445"/>
      <c r="F54" s="1435"/>
      <c r="G54" s="1435"/>
      <c r="H54" s="1435"/>
      <c r="I54" s="1435"/>
      <c r="J54" s="1435"/>
      <c r="K54" s="1435"/>
      <c r="L54" s="1440"/>
      <c r="M54" s="1438"/>
      <c r="N54" s="1435"/>
      <c r="O54" s="1435"/>
      <c r="P54" s="1435"/>
      <c r="Q54" s="1435"/>
      <c r="R54" s="1435"/>
    </row>
    <row r="55" spans="2:25" ht="15" customHeight="1" x14ac:dyDescent="0.2">
      <c r="B55" s="1434">
        <v>12</v>
      </c>
      <c r="C55" s="1436" t="s">
        <v>3420</v>
      </c>
      <c r="D55" s="1435" t="s">
        <v>3421</v>
      </c>
      <c r="E55" s="1435" t="s">
        <v>3422</v>
      </c>
      <c r="F55" s="1446">
        <v>2000000</v>
      </c>
      <c r="G55" s="1435">
        <v>2974</v>
      </c>
      <c r="H55" s="1435">
        <v>0</v>
      </c>
      <c r="I55" s="1435">
        <v>0</v>
      </c>
      <c r="J55" s="1435">
        <v>0</v>
      </c>
      <c r="K55" s="1435">
        <f>SUM(G55-H55-I55-J55)</f>
        <v>2974</v>
      </c>
      <c r="L55" s="1440" t="s">
        <v>3423</v>
      </c>
      <c r="M55" s="1438" t="s">
        <v>3424</v>
      </c>
      <c r="N55" s="1435">
        <v>172</v>
      </c>
      <c r="O55" s="1435">
        <f>SUM(365-N55)</f>
        <v>193</v>
      </c>
      <c r="P55" s="1435">
        <f>ROUND(K55/365*N55,0)</f>
        <v>1401</v>
      </c>
      <c r="Q55" s="1435">
        <f>ROUND(K55/365*O55,0)</f>
        <v>1573</v>
      </c>
      <c r="R55" s="1435">
        <f>SUM(P55:Q55)</f>
        <v>2974</v>
      </c>
      <c r="T55" s="1028">
        <f t="shared" ref="T55:T76" si="5">+M55-L55+1</f>
        <v>365</v>
      </c>
      <c r="V55" s="1028">
        <f>SUM(N55:O55)</f>
        <v>365</v>
      </c>
      <c r="X55" s="1028">
        <f>+$Y$7-L55+1</f>
        <v>172</v>
      </c>
      <c r="Y55" s="1028">
        <f>+M55-$Y$7</f>
        <v>193</v>
      </c>
    </row>
    <row r="56" spans="2:25" ht="15" customHeight="1" x14ac:dyDescent="0.2">
      <c r="B56" s="1434"/>
      <c r="C56" s="1436" t="s">
        <v>3425</v>
      </c>
      <c r="D56" s="1438" t="s">
        <v>3426</v>
      </c>
      <c r="E56" s="1435" t="s">
        <v>3427</v>
      </c>
      <c r="F56" s="1446">
        <v>2000000</v>
      </c>
      <c r="G56" s="1435">
        <v>2974</v>
      </c>
      <c r="H56" s="1435">
        <v>0</v>
      </c>
      <c r="I56" s="1435">
        <v>0</v>
      </c>
      <c r="J56" s="1435">
        <v>0</v>
      </c>
      <c r="K56" s="1435">
        <f>SUM(G56-H56-I56-J56)</f>
        <v>2974</v>
      </c>
      <c r="L56" s="1440" t="s">
        <v>3423</v>
      </c>
      <c r="M56" s="1438" t="s">
        <v>3424</v>
      </c>
      <c r="N56" s="1435">
        <v>172</v>
      </c>
      <c r="O56" s="1435">
        <f>SUM(365-N56)</f>
        <v>193</v>
      </c>
      <c r="P56" s="1435">
        <f>ROUND(K56/365*N56,0)</f>
        <v>1401</v>
      </c>
      <c r="Q56" s="1435">
        <f>ROUND(K56/365*O56,0)</f>
        <v>1573</v>
      </c>
      <c r="R56" s="1435">
        <f>SUM(P56:Q56)</f>
        <v>2974</v>
      </c>
      <c r="T56" s="1028">
        <f t="shared" si="5"/>
        <v>365</v>
      </c>
      <c r="V56" s="1028">
        <f>SUM(N56:O56)</f>
        <v>365</v>
      </c>
      <c r="X56" s="1028">
        <f>+$Y$7-L56+1</f>
        <v>172</v>
      </c>
      <c r="Y56" s="1028">
        <f>+M56-$Y$7</f>
        <v>193</v>
      </c>
    </row>
    <row r="57" spans="2:25" ht="15" customHeight="1" x14ac:dyDescent="0.2">
      <c r="B57" s="1434"/>
      <c r="C57" s="1436" t="s">
        <v>3428</v>
      </c>
      <c r="D57" s="1438" t="s">
        <v>3426</v>
      </c>
      <c r="E57" s="1435" t="s">
        <v>3429</v>
      </c>
      <c r="F57" s="1446">
        <v>700000</v>
      </c>
      <c r="G57" s="1435">
        <v>978</v>
      </c>
      <c r="H57" s="1435">
        <v>0</v>
      </c>
      <c r="I57" s="1435">
        <v>0</v>
      </c>
      <c r="J57" s="1435">
        <v>0</v>
      </c>
      <c r="K57" s="1435">
        <f>SUM(G57-H57-I57-J57)</f>
        <v>978</v>
      </c>
      <c r="L57" s="1440" t="s">
        <v>3430</v>
      </c>
      <c r="M57" s="1438" t="s">
        <v>3431</v>
      </c>
      <c r="N57" s="1435">
        <v>174</v>
      </c>
      <c r="O57" s="1435">
        <f>SUM(365-N57)</f>
        <v>191</v>
      </c>
      <c r="P57" s="1435">
        <f>ROUND(K57/365*N57,0)</f>
        <v>466</v>
      </c>
      <c r="Q57" s="1435">
        <f>ROUND(K57/365*O57,0)</f>
        <v>512</v>
      </c>
      <c r="R57" s="1435">
        <f>SUM(P57:Q57)</f>
        <v>978</v>
      </c>
      <c r="T57" s="1028">
        <f t="shared" si="5"/>
        <v>365</v>
      </c>
      <c r="V57" s="1028">
        <f>SUM(N57:O57)</f>
        <v>365</v>
      </c>
      <c r="X57" s="1028">
        <f>+$Y$7-L57+1</f>
        <v>174</v>
      </c>
      <c r="Y57" s="1028">
        <f>+M57-$Y$7</f>
        <v>191</v>
      </c>
    </row>
    <row r="58" spans="2:25" ht="5.0999999999999996" customHeight="1" x14ac:dyDescent="0.2">
      <c r="B58" s="1434"/>
      <c r="C58" s="1439"/>
      <c r="D58" s="1435"/>
      <c r="E58" s="1445"/>
      <c r="F58" s="1435"/>
      <c r="G58" s="1435"/>
      <c r="H58" s="1435"/>
      <c r="I58" s="1435"/>
      <c r="J58" s="1435"/>
      <c r="K58" s="1435"/>
      <c r="L58" s="1440"/>
      <c r="M58" s="1438"/>
      <c r="N58" s="1435"/>
      <c r="O58" s="1435"/>
      <c r="P58" s="1435"/>
      <c r="Q58" s="1435"/>
      <c r="R58" s="1435"/>
    </row>
    <row r="59" spans="2:25" ht="15" customHeight="1" x14ac:dyDescent="0.2">
      <c r="B59" s="1434">
        <v>13</v>
      </c>
      <c r="C59" s="1436" t="s">
        <v>3432</v>
      </c>
      <c r="D59" s="1435" t="s">
        <v>3354</v>
      </c>
      <c r="E59" s="1445" t="s">
        <v>3433</v>
      </c>
      <c r="F59" s="1441">
        <v>1900000</v>
      </c>
      <c r="G59" s="1435">
        <v>43630</v>
      </c>
      <c r="H59" s="1435">
        <v>0</v>
      </c>
      <c r="I59" s="1435">
        <v>0</v>
      </c>
      <c r="J59" s="1435">
        <v>0</v>
      </c>
      <c r="K59" s="1435">
        <f>SUM(G59-H59-I59-J59)</f>
        <v>43630</v>
      </c>
      <c r="L59" s="1440" t="s">
        <v>3434</v>
      </c>
      <c r="M59" s="1438" t="s">
        <v>3435</v>
      </c>
      <c r="N59" s="1435">
        <v>125</v>
      </c>
      <c r="O59" s="1435">
        <f>SUM(730-N59)</f>
        <v>605</v>
      </c>
      <c r="P59" s="1435">
        <f>ROUND(K59/730*N59,0)</f>
        <v>7471</v>
      </c>
      <c r="Q59" s="1435">
        <f>ROUND(K59/730*O59,0)</f>
        <v>36159</v>
      </c>
      <c r="R59" s="1435">
        <f>SUM(P59:Q59)</f>
        <v>43630</v>
      </c>
      <c r="T59" s="1028">
        <f t="shared" si="5"/>
        <v>730</v>
      </c>
      <c r="V59" s="1028">
        <f>SUM(N59:O59)</f>
        <v>730</v>
      </c>
      <c r="X59" s="1028">
        <f>+$Y$7-L59+1</f>
        <v>125</v>
      </c>
      <c r="Y59" s="1028">
        <f>+M59-$Y$7</f>
        <v>605</v>
      </c>
    </row>
    <row r="60" spans="2:25" ht="5.0999999999999996" customHeight="1" x14ac:dyDescent="0.2">
      <c r="B60" s="1434"/>
      <c r="C60" s="1439"/>
      <c r="D60" s="1435"/>
      <c r="E60" s="1445"/>
      <c r="F60" s="1435"/>
      <c r="G60" s="1435"/>
      <c r="H60" s="1435"/>
      <c r="I60" s="1435"/>
      <c r="J60" s="1435"/>
      <c r="K60" s="1435"/>
      <c r="L60" s="1440"/>
      <c r="M60" s="1438"/>
      <c r="N60" s="1435"/>
      <c r="O60" s="1435"/>
      <c r="P60" s="1435"/>
      <c r="Q60" s="1435"/>
      <c r="R60" s="1435"/>
    </row>
    <row r="61" spans="2:25" ht="15" customHeight="1" x14ac:dyDescent="0.2">
      <c r="B61" s="1434">
        <v>14</v>
      </c>
      <c r="C61" s="1436" t="s">
        <v>3436</v>
      </c>
      <c r="D61" s="1435" t="s">
        <v>3354</v>
      </c>
      <c r="E61" s="1435" t="s">
        <v>3437</v>
      </c>
      <c r="F61" s="1441">
        <v>575000</v>
      </c>
      <c r="G61" s="1435">
        <v>17780</v>
      </c>
      <c r="H61" s="1435">
        <v>0</v>
      </c>
      <c r="I61" s="1435">
        <v>0</v>
      </c>
      <c r="J61" s="1435">
        <v>0</v>
      </c>
      <c r="K61" s="1435">
        <f>SUM(G61-H61-I61-J61)</f>
        <v>17780</v>
      </c>
      <c r="L61" s="1440" t="s">
        <v>3438</v>
      </c>
      <c r="M61" s="1438" t="s">
        <v>3439</v>
      </c>
      <c r="N61" s="1435">
        <v>113</v>
      </c>
      <c r="O61" s="1435">
        <f>SUM(365-N61)</f>
        <v>252</v>
      </c>
      <c r="P61" s="1435">
        <f>ROUND(K61/365*N61,0)</f>
        <v>5504</v>
      </c>
      <c r="Q61" s="1435">
        <f>ROUND(K61/365*O61,0)</f>
        <v>12276</v>
      </c>
      <c r="R61" s="1435">
        <f>SUM(P61:Q61)</f>
        <v>17780</v>
      </c>
      <c r="T61" s="1028">
        <f t="shared" si="5"/>
        <v>365</v>
      </c>
      <c r="V61" s="1028">
        <f>SUM(N61:O61)</f>
        <v>365</v>
      </c>
      <c r="X61" s="1028">
        <f>+$Y$7-L61+1</f>
        <v>113</v>
      </c>
      <c r="Y61" s="1028">
        <f>+M61-$Y$7</f>
        <v>252</v>
      </c>
    </row>
    <row r="62" spans="2:25" ht="9.9499999999999993" customHeight="1" x14ac:dyDescent="0.2">
      <c r="B62" s="1434"/>
      <c r="C62" s="1439"/>
      <c r="D62" s="1435"/>
      <c r="E62" s="1445"/>
      <c r="F62" s="1435"/>
      <c r="G62" s="1435"/>
      <c r="H62" s="1435"/>
      <c r="I62" s="1435"/>
      <c r="J62" s="1435"/>
      <c r="K62" s="1435"/>
      <c r="L62" s="1440"/>
      <c r="M62" s="1438"/>
      <c r="N62" s="1435"/>
      <c r="O62" s="1435"/>
      <c r="P62" s="1435"/>
      <c r="Q62" s="1435"/>
      <c r="R62" s="1435"/>
    </row>
    <row r="63" spans="2:25" ht="15" customHeight="1" x14ac:dyDescent="0.2">
      <c r="B63" s="1434">
        <v>15</v>
      </c>
      <c r="C63" s="1436" t="s">
        <v>3440</v>
      </c>
      <c r="D63" s="1435" t="s">
        <v>3441</v>
      </c>
      <c r="E63" s="1445" t="s">
        <v>3442</v>
      </c>
      <c r="F63" s="1441" t="s">
        <v>906</v>
      </c>
      <c r="G63" s="1435">
        <v>285801</v>
      </c>
      <c r="H63" s="1435">
        <v>0</v>
      </c>
      <c r="I63" s="1435">
        <v>0</v>
      </c>
      <c r="J63" s="1435">
        <v>0</v>
      </c>
      <c r="K63" s="1435">
        <f>SUM(G63-H63-I63-J63)</f>
        <v>285801</v>
      </c>
      <c r="L63" s="1438" t="s">
        <v>3443</v>
      </c>
      <c r="M63" s="1438" t="s">
        <v>3444</v>
      </c>
      <c r="N63" s="1435">
        <v>106</v>
      </c>
      <c r="O63" s="1435">
        <f>SUM(365-N63)</f>
        <v>259</v>
      </c>
      <c r="P63" s="1435">
        <f>ROUND(K63/365*N63,0)</f>
        <v>83000</v>
      </c>
      <c r="Q63" s="1435">
        <f>ROUND(K63/365*O63,0)</f>
        <v>202801</v>
      </c>
      <c r="R63" s="1435">
        <f>SUM(P63:Q63)</f>
        <v>285801</v>
      </c>
      <c r="T63" s="1028">
        <f t="shared" si="5"/>
        <v>365</v>
      </c>
      <c r="V63" s="1028">
        <f>SUM(N63:O63)</f>
        <v>365</v>
      </c>
      <c r="X63" s="1028">
        <f>+$Y$7-L63+1</f>
        <v>106</v>
      </c>
      <c r="Y63" s="1028">
        <f>+M63-$Y$7</f>
        <v>259</v>
      </c>
    </row>
    <row r="64" spans="2:25" ht="15" customHeight="1" x14ac:dyDescent="0.2">
      <c r="B64" s="1434"/>
      <c r="C64" s="1439"/>
      <c r="D64" s="1435" t="s">
        <v>3445</v>
      </c>
      <c r="E64" s="1435" t="s">
        <v>3446</v>
      </c>
      <c r="F64" s="1441"/>
      <c r="G64" s="1447"/>
      <c r="H64" s="1438"/>
      <c r="I64" s="1438"/>
      <c r="J64" s="1435"/>
      <c r="K64" s="1435"/>
      <c r="L64" s="1438"/>
      <c r="M64" s="1438"/>
      <c r="N64" s="1435"/>
      <c r="O64" s="1435"/>
      <c r="P64" s="1435"/>
      <c r="Q64" s="1435"/>
      <c r="R64" s="1435"/>
      <c r="V64" s="1028" t="s">
        <v>906</v>
      </c>
    </row>
    <row r="65" spans="2:25" ht="5.0999999999999996" customHeight="1" x14ac:dyDescent="0.2">
      <c r="B65" s="1434"/>
      <c r="C65" s="1439"/>
      <c r="D65" s="1435"/>
      <c r="E65" s="1445"/>
      <c r="F65" s="1435"/>
      <c r="G65" s="1435"/>
      <c r="H65" s="1438"/>
      <c r="I65" s="1438"/>
      <c r="J65" s="1435"/>
      <c r="K65" s="1435"/>
      <c r="L65" s="1438"/>
      <c r="M65" s="1438"/>
      <c r="N65" s="1435"/>
      <c r="O65" s="1435"/>
      <c r="P65" s="1435"/>
      <c r="Q65" s="1435"/>
      <c r="R65" s="1435"/>
      <c r="V65" s="1028" t="s">
        <v>906</v>
      </c>
    </row>
    <row r="66" spans="2:25" s="1454" customFormat="1" ht="15" customHeight="1" x14ac:dyDescent="0.2">
      <c r="B66" s="1448">
        <v>16</v>
      </c>
      <c r="C66" s="1449"/>
      <c r="D66" s="1450" t="s">
        <v>3447</v>
      </c>
      <c r="E66" s="1451" t="s">
        <v>3448</v>
      </c>
      <c r="F66" s="1452">
        <v>30700000</v>
      </c>
      <c r="G66" s="1451">
        <v>15116</v>
      </c>
      <c r="H66" s="1451">
        <v>0</v>
      </c>
      <c r="I66" s="1451">
        <v>0</v>
      </c>
      <c r="J66" s="1451">
        <v>0</v>
      </c>
      <c r="K66" s="1451">
        <f>SUM(G66-H66-I66-J66)</f>
        <v>15116</v>
      </c>
      <c r="L66" s="1453" t="s">
        <v>3443</v>
      </c>
      <c r="M66" s="1453" t="s">
        <v>3444</v>
      </c>
      <c r="N66" s="1451">
        <v>16</v>
      </c>
      <c r="O66" s="1451">
        <f>SUM(365-N66)</f>
        <v>349</v>
      </c>
      <c r="P66" s="1451">
        <f>ROUND(K66/365*N66,0)</f>
        <v>663</v>
      </c>
      <c r="Q66" s="1451">
        <f>ROUND(K66/365*O66,0)</f>
        <v>14453</v>
      </c>
      <c r="R66" s="1451">
        <f>SUM(P66:Q66)</f>
        <v>15116</v>
      </c>
      <c r="T66" s="1454">
        <f t="shared" si="5"/>
        <v>365</v>
      </c>
      <c r="V66" s="1454">
        <f>SUM(N66:O66)</f>
        <v>365</v>
      </c>
      <c r="X66" s="1454">
        <f>+$Y$7-L66+1</f>
        <v>106</v>
      </c>
      <c r="Y66" s="1454">
        <f>+M66-$Y$7</f>
        <v>259</v>
      </c>
    </row>
    <row r="67" spans="2:25" ht="15" customHeight="1" x14ac:dyDescent="0.2">
      <c r="B67" s="1434" t="s">
        <v>906</v>
      </c>
      <c r="C67" s="1455" t="s">
        <v>906</v>
      </c>
      <c r="D67" s="1435" t="s">
        <v>906</v>
      </c>
      <c r="E67" s="1435" t="s">
        <v>3449</v>
      </c>
      <c r="F67" s="1435" t="s">
        <v>906</v>
      </c>
      <c r="G67" s="1435"/>
      <c r="H67" s="1438"/>
      <c r="I67" s="1438"/>
      <c r="J67" s="1435"/>
      <c r="K67" s="1435"/>
      <c r="L67" s="1438"/>
      <c r="M67" s="1438"/>
      <c r="N67" s="1435"/>
      <c r="O67" s="1435"/>
      <c r="P67" s="1435"/>
      <c r="Q67" s="1435"/>
      <c r="R67" s="1435"/>
      <c r="V67" s="1028" t="s">
        <v>906</v>
      </c>
    </row>
    <row r="68" spans="2:25" ht="5.0999999999999996" customHeight="1" x14ac:dyDescent="0.2">
      <c r="B68" s="1434"/>
      <c r="C68" s="1439"/>
      <c r="D68" s="1435" t="s">
        <v>906</v>
      </c>
      <c r="F68" s="1441"/>
      <c r="G68" s="1447"/>
      <c r="H68" s="1438"/>
      <c r="I68" s="1438"/>
      <c r="J68" s="1435"/>
      <c r="K68" s="1435"/>
      <c r="L68" s="1438"/>
      <c r="M68" s="1438"/>
      <c r="N68" s="1435"/>
      <c r="O68" s="1435"/>
      <c r="P68" s="1435"/>
      <c r="Q68" s="1435"/>
      <c r="R68" s="1435"/>
      <c r="V68" s="1028" t="s">
        <v>906</v>
      </c>
    </row>
    <row r="69" spans="2:25" ht="15" customHeight="1" x14ac:dyDescent="0.2">
      <c r="B69" s="1434">
        <v>17</v>
      </c>
      <c r="C69" s="1455"/>
      <c r="D69" s="1445" t="s">
        <v>3450</v>
      </c>
      <c r="E69" s="1435" t="s">
        <v>3448</v>
      </c>
      <c r="F69" s="1441">
        <v>30700000</v>
      </c>
      <c r="G69" s="1435">
        <v>40273</v>
      </c>
      <c r="H69" s="1435">
        <v>0</v>
      </c>
      <c r="I69" s="1435">
        <v>0</v>
      </c>
      <c r="J69" s="1435">
        <v>0</v>
      </c>
      <c r="K69" s="1435">
        <f>SUM(G69-H69-I69-J69)</f>
        <v>40273</v>
      </c>
      <c r="L69" s="1438" t="s">
        <v>3443</v>
      </c>
      <c r="M69" s="1438" t="s">
        <v>3444</v>
      </c>
      <c r="N69" s="1435">
        <v>16</v>
      </c>
      <c r="O69" s="1435">
        <f>SUM(365-N69)</f>
        <v>349</v>
      </c>
      <c r="P69" s="1435">
        <f>ROUND(K69/365*N69,0)</f>
        <v>1765</v>
      </c>
      <c r="Q69" s="1435">
        <f>ROUND(K69/365*O69,0)</f>
        <v>38508</v>
      </c>
      <c r="R69" s="1435">
        <f>SUM(P69:Q69)</f>
        <v>40273</v>
      </c>
      <c r="T69" s="1028">
        <f t="shared" si="5"/>
        <v>365</v>
      </c>
      <c r="V69" s="1028">
        <f>SUM(N69:O69)</f>
        <v>365</v>
      </c>
      <c r="X69" s="1454">
        <f>+$Y$7-L69+1</f>
        <v>106</v>
      </c>
      <c r="Y69" s="1454">
        <f>+M69-$Y$7</f>
        <v>259</v>
      </c>
    </row>
    <row r="70" spans="2:25" ht="15" customHeight="1" x14ac:dyDescent="0.2">
      <c r="B70" s="1434" t="s">
        <v>906</v>
      </c>
      <c r="C70" s="1455" t="s">
        <v>906</v>
      </c>
      <c r="D70" s="1435" t="s">
        <v>906</v>
      </c>
      <c r="E70" s="1435" t="s">
        <v>3449</v>
      </c>
      <c r="F70" s="1435" t="s">
        <v>906</v>
      </c>
      <c r="G70" s="1435"/>
      <c r="H70" s="1438"/>
      <c r="I70" s="1438"/>
      <c r="J70" s="1435"/>
      <c r="K70" s="1435"/>
      <c r="L70" s="1435"/>
      <c r="M70" s="1435"/>
      <c r="N70" s="1435"/>
      <c r="O70" s="1435"/>
      <c r="P70" s="1435"/>
      <c r="Q70" s="1435"/>
      <c r="R70" s="1435"/>
    </row>
    <row r="71" spans="2:25" ht="5.0999999999999996" customHeight="1" x14ac:dyDescent="0.2">
      <c r="B71" s="1434"/>
      <c r="C71" s="1455"/>
      <c r="D71" s="1435"/>
      <c r="E71" s="1435"/>
      <c r="F71" s="1435"/>
      <c r="G71" s="1435"/>
      <c r="H71" s="1438"/>
      <c r="I71" s="1438"/>
      <c r="J71" s="1435"/>
      <c r="K71" s="1435"/>
      <c r="L71" s="1435"/>
      <c r="M71" s="1435"/>
      <c r="N71" s="1435"/>
      <c r="O71" s="1435"/>
      <c r="P71" s="1435"/>
      <c r="Q71" s="1435"/>
      <c r="R71" s="1435"/>
    </row>
    <row r="72" spans="2:25" ht="15" customHeight="1" x14ac:dyDescent="0.2">
      <c r="B72" s="1434">
        <v>18</v>
      </c>
      <c r="C72" s="1436" t="s">
        <v>3451</v>
      </c>
      <c r="D72" s="1442" t="s">
        <v>3359</v>
      </c>
      <c r="E72" s="1442" t="s">
        <v>3452</v>
      </c>
      <c r="F72" s="1441">
        <v>932200</v>
      </c>
      <c r="G72" s="1435">
        <v>3620</v>
      </c>
      <c r="H72" s="1435">
        <v>276</v>
      </c>
      <c r="I72" s="1435">
        <v>276</v>
      </c>
      <c r="J72" s="1435">
        <v>0</v>
      </c>
      <c r="K72" s="1435">
        <f>SUM(G72-H72-I72)</f>
        <v>3068</v>
      </c>
      <c r="L72" s="1440" t="s">
        <v>3453</v>
      </c>
      <c r="M72" s="1438" t="s">
        <v>3454</v>
      </c>
      <c r="N72" s="1435">
        <v>54</v>
      </c>
      <c r="O72" s="1435">
        <f>SUM(365-N72)</f>
        <v>311</v>
      </c>
      <c r="P72" s="1435">
        <f>ROUND(K72/365*N72,0)</f>
        <v>454</v>
      </c>
      <c r="Q72" s="1435">
        <f>ROUND(K72/365*O72,0)</f>
        <v>2614</v>
      </c>
      <c r="R72" s="1435">
        <f>SUM(P72:Q72)</f>
        <v>3068</v>
      </c>
      <c r="T72" s="1028">
        <f t="shared" si="5"/>
        <v>365</v>
      </c>
      <c r="V72" s="1028">
        <f>SUM(N72:O72)</f>
        <v>365</v>
      </c>
      <c r="X72" s="1454">
        <f>+$Y$7-L72+1</f>
        <v>54</v>
      </c>
      <c r="Y72" s="1454">
        <f>+M72-$Y$7</f>
        <v>311</v>
      </c>
    </row>
    <row r="73" spans="2:25" ht="9.9499999999999993" customHeight="1" x14ac:dyDescent="0.2">
      <c r="B73" s="1434"/>
      <c r="C73" s="1436"/>
      <c r="D73" s="1442"/>
      <c r="E73" s="1442"/>
      <c r="F73" s="1441"/>
      <c r="G73" s="1435"/>
      <c r="H73" s="1435"/>
      <c r="I73" s="1435"/>
      <c r="J73" s="1435"/>
      <c r="K73" s="1435"/>
      <c r="L73" s="1440"/>
      <c r="M73" s="1438"/>
      <c r="N73" s="1435"/>
      <c r="O73" s="1435"/>
      <c r="P73" s="1435"/>
      <c r="Q73" s="1435"/>
      <c r="R73" s="1435"/>
    </row>
    <row r="74" spans="2:25" ht="15" customHeight="1" x14ac:dyDescent="0.2">
      <c r="B74" s="1434">
        <v>19</v>
      </c>
      <c r="C74" s="1436" t="s">
        <v>3455</v>
      </c>
      <c r="D74" s="1435" t="s">
        <v>3354</v>
      </c>
      <c r="E74" s="1435" t="s">
        <v>3456</v>
      </c>
      <c r="F74" s="1441">
        <v>366011</v>
      </c>
      <c r="G74" s="1435">
        <v>13921</v>
      </c>
      <c r="H74" s="1435">
        <v>0</v>
      </c>
      <c r="I74" s="1435">
        <v>0</v>
      </c>
      <c r="J74" s="1435">
        <v>0</v>
      </c>
      <c r="K74" s="1435">
        <f>SUM(G74-H74-I74-J74)</f>
        <v>13921</v>
      </c>
      <c r="L74" s="1438" t="s">
        <v>3457</v>
      </c>
      <c r="M74" s="1438" t="s">
        <v>3458</v>
      </c>
      <c r="N74" s="1435">
        <v>20</v>
      </c>
      <c r="O74" s="1435">
        <f>SUM(365-N74)</f>
        <v>345</v>
      </c>
      <c r="P74" s="1435">
        <f>ROUND(K74/365*N74,0)</f>
        <v>763</v>
      </c>
      <c r="Q74" s="1435">
        <f>ROUND(K74/365*O74,0)</f>
        <v>13158</v>
      </c>
      <c r="R74" s="1435">
        <f>SUM(P74:Q74)</f>
        <v>13921</v>
      </c>
      <c r="T74" s="1028">
        <f t="shared" si="5"/>
        <v>365</v>
      </c>
      <c r="V74" s="1028">
        <f>SUM(N74:O74)</f>
        <v>365</v>
      </c>
      <c r="X74" s="1454">
        <f>+$Y$7-L74+1</f>
        <v>20</v>
      </c>
      <c r="Y74" s="1454">
        <f>+M74-$Y$7</f>
        <v>345</v>
      </c>
    </row>
    <row r="75" spans="2:25" ht="5.0999999999999996" customHeight="1" x14ac:dyDescent="0.2">
      <c r="B75" s="1434"/>
      <c r="C75" s="1436"/>
      <c r="D75" s="1442"/>
      <c r="E75" s="1442"/>
      <c r="F75" s="1441"/>
      <c r="G75" s="1435"/>
      <c r="H75" s="1435"/>
      <c r="I75" s="1435"/>
      <c r="J75" s="1435"/>
      <c r="K75" s="1435"/>
      <c r="L75" s="1440"/>
      <c r="M75" s="1438"/>
      <c r="N75" s="1435"/>
      <c r="O75" s="1435"/>
      <c r="P75" s="1435"/>
      <c r="Q75" s="1435"/>
      <c r="R75" s="1435"/>
    </row>
    <row r="76" spans="2:25" ht="15" customHeight="1" x14ac:dyDescent="0.2">
      <c r="B76" s="1456">
        <v>20</v>
      </c>
      <c r="C76" s="1436" t="s">
        <v>3459</v>
      </c>
      <c r="D76" s="1442" t="s">
        <v>3421</v>
      </c>
      <c r="E76" s="1442" t="s">
        <v>3460</v>
      </c>
      <c r="F76" s="1441">
        <v>200000</v>
      </c>
      <c r="G76" s="1435">
        <v>409</v>
      </c>
      <c r="H76" s="1435">
        <v>0</v>
      </c>
      <c r="I76" s="1435">
        <v>0</v>
      </c>
      <c r="J76" s="1435">
        <v>0</v>
      </c>
      <c r="K76" s="1435">
        <f>SUM(G76-H76-I76-J76)</f>
        <v>409</v>
      </c>
      <c r="L76" s="1438" t="s">
        <v>3461</v>
      </c>
      <c r="M76" s="1438" t="s">
        <v>3462</v>
      </c>
      <c r="N76" s="1435">
        <v>1</v>
      </c>
      <c r="O76" s="1435">
        <f>SUM(365-N76)</f>
        <v>364</v>
      </c>
      <c r="P76" s="1435">
        <f>ROUND(K76/365*N76,0)</f>
        <v>1</v>
      </c>
      <c r="Q76" s="1435">
        <f>ROUND(K76/365*O76,0)</f>
        <v>408</v>
      </c>
      <c r="R76" s="1435">
        <f>SUM(P76:Q76)</f>
        <v>409</v>
      </c>
      <c r="T76" s="1028">
        <f t="shared" si="5"/>
        <v>365</v>
      </c>
      <c r="V76" s="1028">
        <f>SUM(N76:O76)</f>
        <v>365</v>
      </c>
      <c r="X76" s="1454">
        <f>+$Y$7-L76+1</f>
        <v>1</v>
      </c>
      <c r="Y76" s="1454">
        <f>+M76-$Y$7</f>
        <v>364</v>
      </c>
    </row>
    <row r="77" spans="2:25" ht="5.0999999999999996" customHeight="1" x14ac:dyDescent="0.2">
      <c r="B77" s="1434"/>
      <c r="C77" s="1439"/>
      <c r="D77" s="1435"/>
      <c r="E77" s="1445"/>
      <c r="F77" s="1435"/>
      <c r="G77" s="1435"/>
      <c r="H77" s="1435"/>
      <c r="I77" s="1435"/>
      <c r="J77" s="1435"/>
      <c r="K77" s="1435"/>
      <c r="L77" s="1438"/>
      <c r="M77" s="1438"/>
      <c r="N77" s="1435"/>
      <c r="O77" s="1435"/>
      <c r="P77" s="1435"/>
      <c r="Q77" s="1435"/>
      <c r="R77" s="1435"/>
    </row>
    <row r="78" spans="2:25" ht="16.5" thickBot="1" x14ac:dyDescent="0.3">
      <c r="B78" s="1457"/>
      <c r="C78" s="1458"/>
      <c r="D78" s="1432" t="s">
        <v>2284</v>
      </c>
      <c r="E78" s="1432"/>
      <c r="F78" s="1458"/>
      <c r="G78" s="1459">
        <f>SUM(G9:G77)</f>
        <v>1084718</v>
      </c>
      <c r="H78" s="1459">
        <f>SUM(H9:H77)</f>
        <v>48710</v>
      </c>
      <c r="I78" s="1459">
        <f>SUM(I9:I77)</f>
        <v>48710</v>
      </c>
      <c r="J78" s="1459">
        <f>SUM(J9:J77)</f>
        <v>0</v>
      </c>
      <c r="K78" s="1459">
        <f>SUM(K9:K77)</f>
        <v>987298</v>
      </c>
      <c r="L78" s="1460"/>
      <c r="M78" s="1460"/>
      <c r="N78" s="1458"/>
      <c r="O78" s="1458"/>
      <c r="P78" s="1459">
        <f>SUM(P9:P77)</f>
        <v>514421</v>
      </c>
      <c r="Q78" s="1459">
        <f>SUM(Q9:Q77)</f>
        <v>472877</v>
      </c>
      <c r="R78" s="1459">
        <f>SUM(R9:R77)</f>
        <v>987298</v>
      </c>
    </row>
    <row r="79" spans="2:25" ht="9.9499999999999993" customHeight="1" thickTop="1" x14ac:dyDescent="0.2">
      <c r="B79" s="1461"/>
      <c r="C79" s="1462"/>
      <c r="D79" s="1463"/>
      <c r="E79" s="1463" t="s">
        <v>906</v>
      </c>
      <c r="F79" s="1464"/>
      <c r="G79" s="1465" t="s">
        <v>906</v>
      </c>
      <c r="H79" s="1465"/>
      <c r="I79" s="1465"/>
      <c r="J79" s="1465"/>
      <c r="K79" s="1465"/>
      <c r="L79" s="1463"/>
      <c r="M79" s="1463"/>
      <c r="N79" s="1463"/>
      <c r="O79" s="1463"/>
      <c r="P79" s="1463"/>
      <c r="Q79" s="1463"/>
      <c r="R79" s="1461"/>
    </row>
    <row r="80" spans="2:25" ht="15" customHeight="1" x14ac:dyDescent="0.25">
      <c r="B80" s="1434">
        <v>1</v>
      </c>
      <c r="C80" s="1436" t="s">
        <v>3463</v>
      </c>
      <c r="D80" s="1466" t="s">
        <v>3464</v>
      </c>
      <c r="E80" s="1463"/>
      <c r="F80" s="1463"/>
      <c r="G80" s="1463" t="s">
        <v>906</v>
      </c>
      <c r="H80" s="1463"/>
      <c r="I80" s="1463"/>
      <c r="J80" s="1463"/>
      <c r="K80" s="1463"/>
      <c r="L80" s="1463"/>
      <c r="M80" s="1463"/>
      <c r="N80" s="1463"/>
      <c r="O80" s="1463"/>
      <c r="P80" s="1463" t="s">
        <v>906</v>
      </c>
      <c r="Q80" s="1463" t="s">
        <v>906</v>
      </c>
      <c r="R80" s="1434" t="s">
        <v>906</v>
      </c>
    </row>
    <row r="81" spans="2:18" ht="15" customHeight="1" x14ac:dyDescent="0.25">
      <c r="B81" s="1434"/>
      <c r="C81" s="1435"/>
      <c r="D81" s="1467" t="s">
        <v>3465</v>
      </c>
      <c r="E81" s="1463"/>
      <c r="F81" s="1463"/>
      <c r="G81" s="1463"/>
      <c r="H81" s="1463"/>
      <c r="I81" s="1463"/>
      <c r="J81" s="1463"/>
      <c r="K81" s="1463"/>
      <c r="L81" s="1463"/>
      <c r="M81" s="1463"/>
      <c r="N81" s="1463"/>
      <c r="O81" s="1463"/>
      <c r="P81" s="1463"/>
      <c r="Q81" s="1466">
        <v>9864</v>
      </c>
      <c r="R81" s="1434"/>
    </row>
    <row r="82" spans="2:18" ht="15" customHeight="1" thickBot="1" x14ac:dyDescent="0.3">
      <c r="B82" s="1434"/>
      <c r="C82" s="1435"/>
      <c r="D82" s="1468" t="s">
        <v>3466</v>
      </c>
      <c r="E82" s="1463"/>
      <c r="F82" s="1463"/>
      <c r="G82" s="1463"/>
      <c r="H82" s="1463"/>
      <c r="I82" s="1463"/>
      <c r="J82" s="1463"/>
      <c r="K82" s="1463"/>
      <c r="L82" s="1463"/>
      <c r="M82" s="1463"/>
      <c r="N82" s="1923" t="s">
        <v>3467</v>
      </c>
      <c r="O82" s="1923"/>
      <c r="P82" s="1923"/>
      <c r="Q82" s="1469">
        <f>SUM(Q78:Q81)</f>
        <v>482741</v>
      </c>
      <c r="R82" s="1434"/>
    </row>
    <row r="83" spans="2:18" ht="6" customHeight="1" thickTop="1" thickBot="1" x14ac:dyDescent="0.25">
      <c r="B83" s="1429"/>
      <c r="C83" s="1430"/>
      <c r="D83" s="1470"/>
      <c r="E83" s="1470"/>
      <c r="F83" s="1470"/>
      <c r="G83" s="1470"/>
      <c r="H83" s="1470"/>
      <c r="I83" s="1470"/>
      <c r="J83" s="1470"/>
      <c r="K83" s="1470"/>
      <c r="L83" s="1470"/>
      <c r="M83" s="1470"/>
      <c r="N83" s="1470"/>
      <c r="O83" s="1470"/>
      <c r="P83" s="1470"/>
      <c r="Q83" s="1470"/>
      <c r="R83" s="1429"/>
    </row>
    <row r="84" spans="2:18" ht="15.75" thickTop="1" x14ac:dyDescent="0.2">
      <c r="B84" s="1463"/>
      <c r="C84" s="1463"/>
      <c r="D84" s="1463"/>
      <c r="E84" s="1463"/>
      <c r="F84" s="1463"/>
      <c r="G84" s="1463"/>
      <c r="H84" s="1463"/>
      <c r="I84" s="1463"/>
      <c r="J84" s="1463"/>
      <c r="K84" s="1463"/>
      <c r="L84" s="1463"/>
      <c r="M84" s="1463"/>
      <c r="N84" s="1463"/>
      <c r="O84" s="1463"/>
      <c r="P84" s="1463"/>
      <c r="Q84" s="1463"/>
      <c r="R84" s="1463"/>
    </row>
    <row r="85" spans="2:18" ht="15" x14ac:dyDescent="0.2">
      <c r="B85" s="1463"/>
      <c r="C85" s="1463"/>
      <c r="D85" s="1463"/>
      <c r="E85" s="1463"/>
      <c r="F85" s="1463"/>
      <c r="G85" s="1463"/>
      <c r="H85" s="1463"/>
      <c r="I85" s="1463"/>
      <c r="J85" s="1463"/>
      <c r="K85" s="1463"/>
      <c r="L85" s="1463"/>
      <c r="M85" s="1463"/>
      <c r="N85" s="1463"/>
      <c r="O85" s="1463"/>
      <c r="P85" s="1463"/>
      <c r="Q85" s="1463"/>
      <c r="R85" s="1463"/>
    </row>
    <row r="86" spans="2:18" ht="15" x14ac:dyDescent="0.2">
      <c r="B86" s="1463"/>
      <c r="C86" s="1463"/>
      <c r="D86" s="1463"/>
      <c r="E86" s="1463"/>
      <c r="F86" s="1463"/>
      <c r="G86" s="1463"/>
      <c r="H86" s="1463"/>
      <c r="I86" s="1463"/>
      <c r="J86" s="1463"/>
      <c r="K86" s="1463"/>
      <c r="L86" s="1463"/>
      <c r="M86" s="1463"/>
      <c r="N86" s="1463"/>
      <c r="O86" s="1463"/>
      <c r="P86" s="1463"/>
      <c r="Q86" s="1463"/>
      <c r="R86" s="1463"/>
    </row>
  </sheetData>
  <mergeCells count="5">
    <mergeCell ref="B1:R1"/>
    <mergeCell ref="B3:R3"/>
    <mergeCell ref="H5:J5"/>
    <mergeCell ref="L5:M5"/>
    <mergeCell ref="N82:P82"/>
  </mergeCells>
  <pageMargins left="0.15748031496062992" right="0.23622047244094491" top="0.23622047244094491" bottom="0.23622047244094491" header="0.51181102362204722" footer="0.51181102362204722"/>
  <pageSetup scale="54" orientation="landscape" horizontalDpi="180" verticalDpi="18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8"/>
  <sheetViews>
    <sheetView view="pageBreakPreview" zoomScale="60" workbookViewId="0">
      <selection activeCell="C37" sqref="C37"/>
    </sheetView>
  </sheetViews>
  <sheetFormatPr defaultColWidth="8.85546875" defaultRowHeight="15" x14ac:dyDescent="0.25"/>
  <cols>
    <col min="1" max="1" width="10.85546875" bestFit="1" customWidth="1"/>
    <col min="2" max="2" width="30.85546875" customWidth="1"/>
    <col min="3" max="3" width="11.85546875" customWidth="1"/>
    <col min="4" max="4" width="9.7109375" bestFit="1" customWidth="1"/>
    <col min="5" max="5" width="22.140625" style="244" bestFit="1" customWidth="1"/>
    <col min="6" max="6" width="20.140625" style="244" customWidth="1"/>
    <col min="7" max="7" width="21.5703125" style="244" customWidth="1"/>
    <col min="8" max="8" width="25.28515625" customWidth="1"/>
  </cols>
  <sheetData>
    <row r="1" spans="1:8" ht="26.25" x14ac:dyDescent="0.4">
      <c r="B1" s="1692" t="s">
        <v>2274</v>
      </c>
      <c r="C1" s="1692"/>
      <c r="D1" s="1692"/>
      <c r="E1" s="1692"/>
      <c r="F1" s="1692"/>
      <c r="G1" s="1692"/>
    </row>
    <row r="2" spans="1:8" x14ac:dyDescent="0.25">
      <c r="B2" s="1924" t="s">
        <v>3317</v>
      </c>
      <c r="C2" s="1924"/>
      <c r="D2" s="1924"/>
      <c r="E2" s="1924"/>
      <c r="F2" s="1924"/>
      <c r="G2" s="1924"/>
    </row>
    <row r="4" spans="1:8" s="1418" customFormat="1" ht="30" x14ac:dyDescent="0.25">
      <c r="B4" s="1419" t="s">
        <v>3318</v>
      </c>
      <c r="C4" s="1419" t="s">
        <v>3319</v>
      </c>
      <c r="D4" s="1419" t="s">
        <v>3320</v>
      </c>
      <c r="E4" s="1420" t="s">
        <v>3321</v>
      </c>
      <c r="F4" s="1420" t="s">
        <v>3322</v>
      </c>
      <c r="G4" s="1421" t="s">
        <v>3323</v>
      </c>
      <c r="H4" s="1422" t="s">
        <v>3325</v>
      </c>
    </row>
    <row r="5" spans="1:8" x14ac:dyDescent="0.25">
      <c r="B5" s="1413"/>
      <c r="C5" s="1412"/>
      <c r="D5" s="1412"/>
      <c r="E5" s="1415"/>
      <c r="F5" s="1415"/>
      <c r="G5" s="1415"/>
      <c r="H5" s="260"/>
    </row>
    <row r="6" spans="1:8" x14ac:dyDescent="0.25">
      <c r="A6" s="890">
        <v>44286</v>
      </c>
      <c r="B6" s="1413" t="s">
        <v>3324</v>
      </c>
      <c r="C6" s="1412">
        <v>44204</v>
      </c>
      <c r="D6" s="1413">
        <f>+A6-C6+1</f>
        <v>83</v>
      </c>
      <c r="E6" s="1415">
        <v>2745000</v>
      </c>
      <c r="F6" s="1414">
        <v>27450000</v>
      </c>
      <c r="G6" s="1415">
        <f>IF((F6-E6)&lt;0,0,(F6-E6))</f>
        <v>24705000</v>
      </c>
      <c r="H6" s="260" t="s">
        <v>277</v>
      </c>
    </row>
    <row r="7" spans="1:8" x14ac:dyDescent="0.25">
      <c r="B7" s="1413"/>
      <c r="C7" s="1413"/>
      <c r="D7" s="1413"/>
      <c r="E7" s="1415"/>
      <c r="F7" s="1415"/>
      <c r="G7" s="1415">
        <f t="shared" ref="G7" si="0">F7-E7</f>
        <v>0</v>
      </c>
      <c r="H7" s="260"/>
    </row>
    <row r="8" spans="1:8" x14ac:dyDescent="0.25">
      <c r="B8" s="1416" t="s">
        <v>1079</v>
      </c>
      <c r="C8" s="1416"/>
      <c r="D8" s="1416"/>
      <c r="E8" s="1417">
        <f>SUM(E5:E7)</f>
        <v>2745000</v>
      </c>
      <c r="F8" s="1417">
        <f>SUM(F5:F7)</f>
        <v>27450000</v>
      </c>
      <c r="G8" s="1417">
        <f>SUM(G5:G7)</f>
        <v>24705000</v>
      </c>
      <c r="H8" s="260"/>
    </row>
  </sheetData>
  <mergeCells count="2">
    <mergeCell ref="B1:G1"/>
    <mergeCell ref="B2:G2"/>
  </mergeCells>
  <pageMargins left="0.7" right="0.7" top="0.75" bottom="0.75" header="0.3" footer="0.3"/>
  <pageSetup scale="5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4:P38"/>
  <sheetViews>
    <sheetView view="pageBreakPreview" zoomScale="60" workbookViewId="0">
      <selection activeCell="D8" sqref="D8"/>
    </sheetView>
  </sheetViews>
  <sheetFormatPr defaultColWidth="9.140625" defaultRowHeight="15" x14ac:dyDescent="0.25"/>
  <cols>
    <col min="1" max="1" width="4.140625" style="359" customWidth="1"/>
    <col min="2" max="2" width="21.42578125" style="359" customWidth="1"/>
    <col min="3" max="3" width="14.7109375" style="359" customWidth="1"/>
    <col min="4" max="4" width="19.5703125" style="359" customWidth="1"/>
    <col min="5" max="6" width="14" style="359" bestFit="1" customWidth="1"/>
    <col min="7" max="11" width="20.7109375" style="359" customWidth="1"/>
    <col min="12" max="12" width="18.28515625" style="359" customWidth="1"/>
    <col min="13" max="13" width="13.7109375" style="359" customWidth="1"/>
    <col min="14" max="14" width="14.42578125" style="359" bestFit="1" customWidth="1"/>
    <col min="15" max="15" width="15.5703125" style="359" customWidth="1"/>
    <col min="16" max="16" width="13.7109375" style="1378" bestFit="1" customWidth="1"/>
    <col min="17" max="16384" width="9.140625" style="359"/>
  </cols>
  <sheetData>
    <row r="4" spans="2:16" x14ac:dyDescent="0.25">
      <c r="B4" s="1925" t="s">
        <v>907</v>
      </c>
      <c r="C4" s="1925"/>
      <c r="D4" s="1925"/>
      <c r="E4" s="1925"/>
      <c r="F4" s="1925"/>
      <c r="G4" s="1925"/>
      <c r="H4" s="1925"/>
      <c r="I4" s="1925"/>
      <c r="J4" s="1925"/>
      <c r="K4" s="1925"/>
      <c r="L4" s="1925"/>
      <c r="M4" s="1925"/>
      <c r="N4" s="1925"/>
      <c r="O4" s="1925"/>
    </row>
    <row r="5" spans="2:16" ht="58.15" customHeight="1" x14ac:dyDescent="0.25">
      <c r="B5" s="1379" t="s">
        <v>3294</v>
      </c>
      <c r="C5" s="1379" t="s">
        <v>3295</v>
      </c>
      <c r="D5" s="1379" t="s">
        <v>3296</v>
      </c>
      <c r="E5" s="1379" t="s">
        <v>3297</v>
      </c>
      <c r="F5" s="1379" t="s">
        <v>3298</v>
      </c>
      <c r="G5" s="1379" t="s">
        <v>3299</v>
      </c>
      <c r="H5" s="1379" t="s">
        <v>3300</v>
      </c>
      <c r="I5" s="1379" t="s">
        <v>3315</v>
      </c>
      <c r="J5" s="1379" t="s">
        <v>3314</v>
      </c>
      <c r="K5" s="1379" t="s">
        <v>1417</v>
      </c>
      <c r="L5" s="1380" t="s">
        <v>3301</v>
      </c>
      <c r="M5" s="1380" t="s">
        <v>3302</v>
      </c>
      <c r="N5" s="1379" t="s">
        <v>3303</v>
      </c>
      <c r="O5" s="1379" t="s">
        <v>3304</v>
      </c>
    </row>
    <row r="6" spans="2:16" ht="24.95" customHeight="1" x14ac:dyDescent="0.25">
      <c r="B6" s="1381">
        <v>38325014049</v>
      </c>
      <c r="C6" s="1382" t="s">
        <v>3305</v>
      </c>
      <c r="D6" s="1382" t="s">
        <v>3306</v>
      </c>
      <c r="E6" s="1383">
        <v>125000</v>
      </c>
      <c r="F6" s="1384">
        <v>6.8000000000000005E-2</v>
      </c>
      <c r="G6" s="1385">
        <v>931</v>
      </c>
      <c r="H6" s="1385">
        <v>931</v>
      </c>
      <c r="I6" s="1385"/>
      <c r="J6" s="1385"/>
      <c r="K6" s="1385">
        <f>+E6+G6-H6</f>
        <v>125000</v>
      </c>
      <c r="L6" s="1386">
        <f>M6-E6-G6</f>
        <v>-931</v>
      </c>
      <c r="M6" s="1385">
        <v>125000</v>
      </c>
      <c r="N6" s="1385">
        <v>153025</v>
      </c>
      <c r="O6" s="1387" t="s">
        <v>3307</v>
      </c>
      <c r="P6" s="1378">
        <f>+E6+G6+L6</f>
        <v>125000</v>
      </c>
    </row>
    <row r="7" spans="2:16" ht="24.95" customHeight="1" x14ac:dyDescent="0.25">
      <c r="B7" s="1381">
        <v>35633066338</v>
      </c>
      <c r="C7" s="1382" t="s">
        <v>3308</v>
      </c>
      <c r="D7" s="1382" t="s">
        <v>3309</v>
      </c>
      <c r="E7" s="1383">
        <v>1508572</v>
      </c>
      <c r="F7" s="1384">
        <v>4.9000000000000002E-2</v>
      </c>
      <c r="G7" s="1385">
        <v>153694</v>
      </c>
      <c r="H7" s="1385">
        <f>3728+4484</f>
        <v>8212</v>
      </c>
      <c r="I7" s="1385"/>
      <c r="J7" s="1385"/>
      <c r="K7" s="1385">
        <f>+E7+G7-H7</f>
        <v>1654054</v>
      </c>
      <c r="L7" s="1386">
        <f>M7-E7-G7</f>
        <v>-8212</v>
      </c>
      <c r="M7" s="1385">
        <v>1654054</v>
      </c>
      <c r="N7" s="1385">
        <v>1779412</v>
      </c>
      <c r="O7" s="1387" t="s">
        <v>3310</v>
      </c>
      <c r="P7" s="1378">
        <f>+E7+G7+L7</f>
        <v>1654054</v>
      </c>
    </row>
    <row r="8" spans="2:16" ht="24.95" customHeight="1" x14ac:dyDescent="0.25">
      <c r="B8" s="1381">
        <v>40016070416</v>
      </c>
      <c r="C8" s="1382" t="s">
        <v>3311</v>
      </c>
      <c r="D8" s="1382" t="s">
        <v>3312</v>
      </c>
      <c r="E8" s="1383">
        <v>206250</v>
      </c>
      <c r="F8" s="1384">
        <v>0.05</v>
      </c>
      <c r="G8" s="1385">
        <v>1245.6099999999999</v>
      </c>
      <c r="H8" s="1385">
        <v>125</v>
      </c>
      <c r="I8" s="1385"/>
      <c r="J8" s="1385">
        <v>1539</v>
      </c>
      <c r="K8" s="1385">
        <f>+E8+G8-H8</f>
        <v>207370.61</v>
      </c>
      <c r="L8" s="1388">
        <f>M8-E8-G8</f>
        <v>-1664.0000000000139</v>
      </c>
      <c r="M8" s="1385">
        <v>205831.61</v>
      </c>
      <c r="N8" s="1385">
        <v>216757</v>
      </c>
      <c r="O8" s="1387" t="s">
        <v>3313</v>
      </c>
      <c r="P8" s="1378">
        <f>+E8+G8+L8</f>
        <v>205831.61</v>
      </c>
    </row>
    <row r="9" spans="2:16" ht="24.95" customHeight="1" x14ac:dyDescent="0.25">
      <c r="B9" s="1404">
        <v>34928264708</v>
      </c>
      <c r="C9" s="1405"/>
      <c r="D9" s="1405"/>
      <c r="E9" s="1406">
        <v>447710</v>
      </c>
      <c r="F9" s="1407">
        <v>6.8000000000000005E-2</v>
      </c>
      <c r="G9" s="1408"/>
      <c r="H9" s="1408"/>
      <c r="I9" s="1408"/>
      <c r="J9" s="1408"/>
      <c r="K9" s="1409">
        <f>L9-E9-G9</f>
        <v>-447710</v>
      </c>
      <c r="L9" s="1410"/>
      <c r="M9" s="1410"/>
      <c r="N9" s="1411"/>
      <c r="O9" s="1411"/>
    </row>
    <row r="10" spans="2:16" x14ac:dyDescent="0.25">
      <c r="B10" s="1392"/>
      <c r="C10" s="1393"/>
      <c r="D10" s="1393"/>
      <c r="E10" s="1394">
        <f>SUM(E6:E9)</f>
        <v>2287532</v>
      </c>
      <c r="F10" s="1395"/>
      <c r="G10" s="1395"/>
      <c r="H10" s="1395"/>
      <c r="I10" s="1395"/>
      <c r="J10" s="1395"/>
      <c r="K10" s="1395">
        <f>+SUM(K6:K8)</f>
        <v>1986424.6099999999</v>
      </c>
      <c r="L10" s="1394">
        <f>SUM(L6:L9)</f>
        <v>-10807.000000000015</v>
      </c>
      <c r="M10" s="1394">
        <f>SUM(M6:M9)</f>
        <v>1984885.6099999999</v>
      </c>
      <c r="N10" s="1394">
        <f>SUM(N6:N9)</f>
        <v>2149194</v>
      </c>
      <c r="O10" s="1396"/>
    </row>
    <row r="11" spans="2:16" x14ac:dyDescent="0.25">
      <c r="B11" s="1381"/>
      <c r="C11" s="1389"/>
      <c r="D11" s="1389"/>
      <c r="E11" s="1390"/>
      <c r="F11" s="1385"/>
      <c r="G11" s="1385"/>
      <c r="H11" s="1385"/>
      <c r="I11" s="1385"/>
      <c r="J11" s="1385"/>
      <c r="K11" s="1385"/>
      <c r="L11" s="1386">
        <f>M11-E11-G11</f>
        <v>0</v>
      </c>
      <c r="M11" s="1390"/>
      <c r="N11" s="1390"/>
      <c r="O11" s="1391"/>
    </row>
    <row r="12" spans="2:16" x14ac:dyDescent="0.25">
      <c r="B12" s="1397" t="s">
        <v>2284</v>
      </c>
      <c r="C12" s="1398"/>
      <c r="D12" s="1398"/>
      <c r="E12" s="1399">
        <f>SUM(E10:E11)</f>
        <v>2287532</v>
      </c>
      <c r="F12" s="1400"/>
      <c r="G12" s="1399">
        <f>SUM(G10:G11)</f>
        <v>0</v>
      </c>
      <c r="H12" s="1399"/>
      <c r="I12" s="1399"/>
      <c r="J12" s="1399"/>
      <c r="K12" s="1399"/>
      <c r="L12" s="1399">
        <f>SUM(L10:L11)</f>
        <v>-10807.000000000015</v>
      </c>
      <c r="M12" s="1399">
        <f>SUM(M10:M11)</f>
        <v>1984885.6099999999</v>
      </c>
      <c r="N12" s="1399">
        <f>SUM(N10:N11)</f>
        <v>2149194</v>
      </c>
      <c r="O12" s="364"/>
    </row>
    <row r="13" spans="2:16" x14ac:dyDescent="0.25">
      <c r="B13" s="1401"/>
      <c r="C13" s="1401"/>
      <c r="D13" s="1401"/>
      <c r="E13" s="399"/>
      <c r="G13" s="399"/>
      <c r="H13" s="399"/>
      <c r="I13" s="399"/>
      <c r="J13" s="399"/>
      <c r="K13" s="399"/>
    </row>
    <row r="14" spans="2:16" x14ac:dyDescent="0.25">
      <c r="B14" s="1401"/>
      <c r="C14" s="1401"/>
      <c r="D14" s="1401"/>
      <c r="E14" s="399"/>
      <c r="G14" s="399"/>
      <c r="H14" s="399"/>
      <c r="I14" s="399"/>
      <c r="J14" s="399"/>
      <c r="K14" s="399"/>
    </row>
    <row r="15" spans="2:16" x14ac:dyDescent="0.25">
      <c r="B15" s="1402"/>
      <c r="C15" s="1403"/>
      <c r="M15" s="1403"/>
      <c r="N15" s="1403"/>
    </row>
    <row r="16" spans="2:16" x14ac:dyDescent="0.25">
      <c r="B16" s="1402"/>
      <c r="C16" s="1403"/>
      <c r="N16" s="1403"/>
    </row>
    <row r="17" spans="2:3" x14ac:dyDescent="0.25">
      <c r="B17" s="1402"/>
      <c r="C17" s="1403"/>
    </row>
    <row r="18" spans="2:3" x14ac:dyDescent="0.25">
      <c r="B18" s="1402"/>
      <c r="C18" s="1403"/>
    </row>
    <row r="19" spans="2:3" x14ac:dyDescent="0.25">
      <c r="B19" s="1402"/>
      <c r="C19" s="1403"/>
    </row>
    <row r="20" spans="2:3" x14ac:dyDescent="0.25">
      <c r="B20" s="1402"/>
      <c r="C20" s="1403"/>
    </row>
    <row r="21" spans="2:3" x14ac:dyDescent="0.25">
      <c r="B21" s="1402"/>
      <c r="C21" s="1403"/>
    </row>
    <row r="22" spans="2:3" x14ac:dyDescent="0.25">
      <c r="B22" s="1402"/>
      <c r="C22" s="1403"/>
    </row>
    <row r="23" spans="2:3" x14ac:dyDescent="0.25">
      <c r="B23" s="1402"/>
      <c r="C23" s="1403"/>
    </row>
    <row r="24" spans="2:3" x14ac:dyDescent="0.25">
      <c r="B24" s="1402"/>
      <c r="C24" s="1403"/>
    </row>
    <row r="25" spans="2:3" x14ac:dyDescent="0.25">
      <c r="B25" s="1402"/>
      <c r="C25" s="1403"/>
    </row>
    <row r="26" spans="2:3" x14ac:dyDescent="0.25">
      <c r="B26" s="1402"/>
      <c r="C26" s="1403"/>
    </row>
    <row r="27" spans="2:3" x14ac:dyDescent="0.25">
      <c r="B27" s="1402"/>
      <c r="C27" s="1403"/>
    </row>
    <row r="28" spans="2:3" x14ac:dyDescent="0.25">
      <c r="B28" s="1402"/>
      <c r="C28" s="1403"/>
    </row>
    <row r="29" spans="2:3" x14ac:dyDescent="0.25">
      <c r="B29" s="1402"/>
      <c r="C29" s="1403"/>
    </row>
    <row r="30" spans="2:3" x14ac:dyDescent="0.25">
      <c r="B30" s="1402"/>
      <c r="C30" s="1403"/>
    </row>
    <row r="31" spans="2:3" x14ac:dyDescent="0.25">
      <c r="B31" s="1402"/>
      <c r="C31" s="1403"/>
    </row>
    <row r="32" spans="2:3" x14ac:dyDescent="0.25">
      <c r="B32" s="1402"/>
      <c r="C32" s="1403"/>
    </row>
    <row r="33" spans="2:11" x14ac:dyDescent="0.25">
      <c r="B33" s="1402"/>
      <c r="C33" s="1403"/>
    </row>
    <row r="34" spans="2:11" x14ac:dyDescent="0.25">
      <c r="B34" s="1402"/>
      <c r="C34" s="1403"/>
    </row>
    <row r="35" spans="2:11" x14ac:dyDescent="0.25">
      <c r="B35" s="1402"/>
    </row>
    <row r="36" spans="2:11" x14ac:dyDescent="0.25">
      <c r="B36" s="1402"/>
      <c r="G36" s="399"/>
      <c r="H36" s="399"/>
      <c r="I36" s="399"/>
      <c r="J36" s="399"/>
      <c r="K36" s="399"/>
    </row>
    <row r="38" spans="2:11" x14ac:dyDescent="0.25">
      <c r="G38" s="399"/>
      <c r="H38" s="399"/>
      <c r="I38" s="399"/>
      <c r="J38" s="399"/>
      <c r="K38" s="399"/>
    </row>
  </sheetData>
  <mergeCells count="1">
    <mergeCell ref="B4:O4"/>
  </mergeCells>
  <pageMargins left="0.7" right="0.7" top="0.75" bottom="0.75" header="0.3" footer="0.3"/>
  <pageSetup scale="4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XEU60"/>
  <sheetViews>
    <sheetView topLeftCell="C7" workbookViewId="0">
      <selection activeCell="F16" sqref="F16"/>
    </sheetView>
  </sheetViews>
  <sheetFormatPr defaultColWidth="9.140625" defaultRowHeight="13.5" x14ac:dyDescent="0.25"/>
  <cols>
    <col min="1" max="2" width="9.140625" style="1232" hidden="1" customWidth="1"/>
    <col min="3" max="3" width="9.140625" style="1232" customWidth="1"/>
    <col min="4" max="4" width="4" style="1232" customWidth="1"/>
    <col min="5" max="5" width="34.140625" style="1232" bestFit="1" customWidth="1"/>
    <col min="6" max="6" width="16" style="1232" customWidth="1"/>
    <col min="7" max="7" width="14.7109375" style="1232" customWidth="1"/>
    <col min="8" max="8" width="12.42578125" style="1232" bestFit="1" customWidth="1"/>
    <col min="9" max="9" width="12.85546875" style="1232" bestFit="1" customWidth="1"/>
    <col min="10" max="11" width="12.42578125" style="1232" bestFit="1" customWidth="1"/>
    <col min="12" max="12" width="16.5703125" style="1232" bestFit="1" customWidth="1"/>
    <col min="13" max="16384" width="9.140625" style="1232"/>
  </cols>
  <sheetData>
    <row r="2" spans="2:20 16375:16375" ht="15" x14ac:dyDescent="0.3">
      <c r="D2" s="1233"/>
      <c r="E2" s="1233" t="s">
        <v>907</v>
      </c>
      <c r="F2" s="1233"/>
      <c r="G2" s="1233"/>
      <c r="H2" s="1233"/>
      <c r="I2" s="1233"/>
    </row>
    <row r="3" spans="2:20 16375:16375" ht="14.25" thickBot="1" x14ac:dyDescent="0.3"/>
    <row r="4" spans="2:20 16375:16375" ht="15.75" thickBot="1" x14ac:dyDescent="0.3">
      <c r="E4" s="1234" t="s">
        <v>451</v>
      </c>
      <c r="F4" s="1235" t="s">
        <v>1122</v>
      </c>
      <c r="G4" s="1235" t="s">
        <v>1089</v>
      </c>
    </row>
    <row r="5" spans="2:20 16375:16375" ht="30.75" thickBot="1" x14ac:dyDescent="0.3">
      <c r="E5" s="1236"/>
      <c r="F5" s="1237" t="s">
        <v>3209</v>
      </c>
      <c r="G5" s="1237" t="s">
        <v>3209</v>
      </c>
      <c r="XEU5" s="1237" t="s">
        <v>3209</v>
      </c>
    </row>
    <row r="6" spans="2:20 16375:16375" ht="15" x14ac:dyDescent="0.25">
      <c r="D6" s="1232" t="s">
        <v>3210</v>
      </c>
      <c r="E6" s="1238" t="s">
        <v>3211</v>
      </c>
      <c r="F6" s="1239"/>
      <c r="G6" s="1239"/>
    </row>
    <row r="7" spans="2:20 16375:16375" s="1240" customFormat="1" ht="19.5" customHeight="1" x14ac:dyDescent="0.25">
      <c r="D7" s="1240">
        <v>1</v>
      </c>
      <c r="E7" s="1241" t="s">
        <v>3212</v>
      </c>
      <c r="F7" s="1242">
        <f>+BSPL!F78</f>
        <v>819759041.19999993</v>
      </c>
      <c r="G7" s="1242">
        <f>+BSPL!G78</f>
        <v>698726028.5999999</v>
      </c>
      <c r="H7" s="1243">
        <v>805648112.33000004</v>
      </c>
      <c r="I7" s="1243"/>
      <c r="J7" s="1243"/>
      <c r="K7" s="1243"/>
      <c r="L7" s="1243"/>
      <c r="M7" s="1243"/>
      <c r="N7" s="1243"/>
      <c r="O7" s="1243"/>
      <c r="P7" s="1243"/>
      <c r="Q7" s="1243"/>
      <c r="R7" s="1243"/>
      <c r="S7" s="1243"/>
      <c r="T7" s="1243"/>
    </row>
    <row r="8" spans="2:20 16375:16375" s="1240" customFormat="1" ht="19.5" customHeight="1" x14ac:dyDescent="0.25">
      <c r="D8" s="1240">
        <v>2</v>
      </c>
      <c r="E8" s="1241" t="s">
        <v>3213</v>
      </c>
      <c r="F8" s="1242">
        <f>+BSPL!F80-BSPL!F82-BSPL!F84-BSPL!F85-BSPL!F88</f>
        <v>72364703.027889341</v>
      </c>
      <c r="G8" s="1242">
        <f>+BSPL!G80-BSPL!G82-BSPL!G84-BSPL!G85-BSPL!G88</f>
        <v>49282864.344710112</v>
      </c>
      <c r="H8" s="1243">
        <v>101927080.9696674</v>
      </c>
      <c r="I8" s="1243"/>
      <c r="J8" s="1243"/>
      <c r="K8" s="1243"/>
      <c r="L8" s="1243"/>
      <c r="M8" s="1243"/>
      <c r="N8" s="1243"/>
      <c r="O8" s="1243"/>
      <c r="P8" s="1243"/>
      <c r="Q8" s="1243"/>
      <c r="R8" s="1243"/>
      <c r="S8" s="1243"/>
      <c r="T8" s="1243"/>
    </row>
    <row r="9" spans="2:20 16375:16375" s="1240" customFormat="1" ht="20.100000000000001" customHeight="1" x14ac:dyDescent="0.25">
      <c r="D9" s="1240">
        <v>3</v>
      </c>
      <c r="E9" s="1241" t="s">
        <v>3214</v>
      </c>
      <c r="F9" s="1242">
        <f>+SUM(BSPL!F15:F22)</f>
        <v>235771514.06788936</v>
      </c>
      <c r="G9" s="1242">
        <f>+SUM(BSPL!G15:G22)</f>
        <v>177279746.70499998</v>
      </c>
      <c r="H9" s="1243"/>
      <c r="I9" s="1243"/>
      <c r="J9" s="1243"/>
      <c r="K9" s="1243"/>
      <c r="L9" s="1243"/>
      <c r="M9" s="1243"/>
      <c r="N9" s="1243"/>
      <c r="O9" s="1243"/>
      <c r="P9" s="1243"/>
      <c r="Q9" s="1243"/>
      <c r="R9" s="1243"/>
      <c r="S9" s="1243"/>
      <c r="T9" s="1243"/>
    </row>
    <row r="10" spans="2:20 16375:16375" s="1240" customFormat="1" ht="20.100000000000001" customHeight="1" x14ac:dyDescent="0.25">
      <c r="E10" s="1241" t="s">
        <v>3215</v>
      </c>
      <c r="F10" s="1242">
        <v>0</v>
      </c>
      <c r="G10" s="1242">
        <v>0</v>
      </c>
      <c r="H10" s="1243"/>
      <c r="I10" s="1243"/>
      <c r="J10" s="1243"/>
      <c r="K10" s="1243"/>
      <c r="L10" s="1243"/>
      <c r="M10" s="1243"/>
      <c r="N10" s="1243"/>
      <c r="O10" s="1243"/>
      <c r="P10" s="1243"/>
      <c r="Q10" s="1243"/>
      <c r="R10" s="1243"/>
      <c r="S10" s="1243"/>
      <c r="T10" s="1243"/>
    </row>
    <row r="11" spans="2:20 16375:16375" s="1240" customFormat="1" ht="20.100000000000001" customHeight="1" x14ac:dyDescent="0.25">
      <c r="E11" s="1238" t="s">
        <v>3216</v>
      </c>
      <c r="F11" s="1244">
        <f>+F9-F10</f>
        <v>235771514.06788936</v>
      </c>
      <c r="G11" s="1244">
        <f t="shared" ref="G11" si="0">+G9-G10</f>
        <v>177279746.70499998</v>
      </c>
      <c r="H11" s="1243"/>
      <c r="I11" s="1243"/>
      <c r="J11" s="1243"/>
      <c r="K11" s="1243"/>
      <c r="L11" s="1243"/>
      <c r="M11" s="1243"/>
      <c r="N11" s="1243"/>
      <c r="O11" s="1243"/>
      <c r="P11" s="1243"/>
      <c r="Q11" s="1243"/>
      <c r="R11" s="1243"/>
      <c r="S11" s="1243"/>
      <c r="T11" s="1243"/>
    </row>
    <row r="12" spans="2:20 16375:16375" s="1240" customFormat="1" ht="20.100000000000001" customHeight="1" x14ac:dyDescent="0.25">
      <c r="B12" s="1245"/>
      <c r="C12" s="1245"/>
      <c r="D12" s="1240">
        <v>4</v>
      </c>
      <c r="E12" s="1241" t="s">
        <v>3217</v>
      </c>
      <c r="F12" s="1242">
        <f>+SUM(BSPL!F40:F44)</f>
        <v>144586832.54499999</v>
      </c>
      <c r="G12" s="1242">
        <f>+SUM(BSPL!G40:G44)</f>
        <v>132792985.53</v>
      </c>
      <c r="H12" s="1243"/>
      <c r="I12" s="1243"/>
      <c r="J12" s="1243"/>
      <c r="K12" s="1243"/>
      <c r="L12" s="1243"/>
      <c r="M12" s="1243"/>
      <c r="N12" s="1243"/>
      <c r="O12" s="1243"/>
      <c r="P12" s="1243"/>
      <c r="Q12" s="1243"/>
      <c r="R12" s="1243"/>
      <c r="S12" s="1243"/>
      <c r="T12" s="1243"/>
    </row>
    <row r="13" spans="2:20 16375:16375" s="1240" customFormat="1" ht="20.100000000000001" customHeight="1" x14ac:dyDescent="0.25">
      <c r="B13" s="1245"/>
      <c r="C13" s="1245"/>
      <c r="E13" s="1246" t="s">
        <v>3218</v>
      </c>
      <c r="F13" s="1242">
        <f>+-GETPIVOTDATA("Sum of Cr. Final HYR",Pivot!$A$3,"Note",8,"BS Main Head","Other Current Liabilities","BS Sub Head","Trade Payables for capital goods")</f>
        <v>0</v>
      </c>
      <c r="G13" s="1242">
        <f>+-GETPIVOTDATA("Sum of Cr. Final HYR",Pivot!$A$3,"Note",8,"BS Main Head","Other Current Liabilities","BS Sub Head","Trade Payables for capital goods")</f>
        <v>0</v>
      </c>
      <c r="H13" s="1243"/>
      <c r="I13" s="1243"/>
      <c r="J13" s="1243"/>
      <c r="K13" s="1243"/>
      <c r="L13" s="1243"/>
      <c r="M13" s="1243"/>
      <c r="N13" s="1243"/>
      <c r="O13" s="1243"/>
      <c r="P13" s="1243"/>
      <c r="Q13" s="1243"/>
      <c r="R13" s="1243"/>
      <c r="S13" s="1243"/>
      <c r="T13" s="1243"/>
    </row>
    <row r="14" spans="2:20 16375:16375" s="1240" customFormat="1" ht="20.100000000000001" customHeight="1" x14ac:dyDescent="0.25">
      <c r="B14" s="1245"/>
      <c r="C14" s="1245"/>
      <c r="E14" s="1238" t="s">
        <v>3219</v>
      </c>
      <c r="F14" s="1244">
        <f>+F12-F13</f>
        <v>144586832.54499999</v>
      </c>
      <c r="G14" s="1244">
        <f t="shared" ref="G14" si="1">+G12-G13</f>
        <v>132792985.53</v>
      </c>
      <c r="H14" s="1243"/>
      <c r="I14" s="1243"/>
      <c r="J14" s="1243"/>
      <c r="K14" s="1243"/>
      <c r="L14" s="1243"/>
      <c r="M14" s="1243"/>
      <c r="N14" s="1243"/>
      <c r="O14" s="1243"/>
      <c r="P14" s="1243"/>
      <c r="Q14" s="1243"/>
      <c r="R14" s="1243"/>
      <c r="S14" s="1243"/>
      <c r="T14" s="1243"/>
    </row>
    <row r="15" spans="2:20 16375:16375" s="1240" customFormat="1" ht="20.100000000000001" customHeight="1" x14ac:dyDescent="0.25">
      <c r="D15" s="1240">
        <v>5</v>
      </c>
      <c r="E15" s="1247" t="s">
        <v>3220</v>
      </c>
      <c r="F15" s="1248">
        <f>+F9-F14</f>
        <v>91184681.522889376</v>
      </c>
      <c r="G15" s="1242">
        <f>G9-G14</f>
        <v>44486761.174999982</v>
      </c>
      <c r="H15" s="1278"/>
    </row>
    <row r="16" spans="2:20 16375:16375" s="1240" customFormat="1" ht="20.100000000000001" customHeight="1" x14ac:dyDescent="0.25">
      <c r="D16" s="1240">
        <v>6</v>
      </c>
      <c r="E16" s="1249" t="s">
        <v>3221</v>
      </c>
      <c r="F16" s="1279">
        <f>+BSPL!F80-BSPL!F82-BSPL!F83-BSPL!F84-BSPL!F474</f>
        <v>108106568.37788934</v>
      </c>
      <c r="G16" s="1279">
        <f>+BSPL!G80-BSPL!G82-BSPL!G83-BSPL!G84-BSPL!G474</f>
        <v>81101830.944710106</v>
      </c>
      <c r="H16" s="1279"/>
      <c r="I16" s="1250"/>
    </row>
    <row r="17" spans="4:21" s="1240" customFormat="1" x14ac:dyDescent="0.25">
      <c r="D17" s="1240">
        <v>7</v>
      </c>
      <c r="E17" s="1247" t="s">
        <v>3222</v>
      </c>
      <c r="F17" s="1280">
        <f>+BSPL!F93+BSPL!F87</f>
        <v>65992518.077889249</v>
      </c>
      <c r="G17" s="1280">
        <f>+BSPL!G93+BSPL!G87</f>
        <v>38691738.404710174</v>
      </c>
    </row>
    <row r="18" spans="4:21" s="1240" customFormat="1" x14ac:dyDescent="0.25">
      <c r="D18" s="1240">
        <v>8</v>
      </c>
      <c r="E18" s="1241" t="s">
        <v>3223</v>
      </c>
      <c r="F18" s="1242">
        <f>+BSPL!F46-BSPL!F31</f>
        <v>197592058.41094685</v>
      </c>
      <c r="G18" s="1242">
        <f>+BSPL!G46-BSPL!G31</f>
        <v>179776082.73226473</v>
      </c>
    </row>
    <row r="19" spans="4:21" s="1240" customFormat="1" x14ac:dyDescent="0.25">
      <c r="D19" s="1240">
        <v>9</v>
      </c>
      <c r="E19" s="1241" t="s">
        <v>3224</v>
      </c>
      <c r="F19" s="1280">
        <f>+BSPL!F23-BSPL!F37-BSPL!F45</f>
        <v>38179455.656942517</v>
      </c>
      <c r="G19" s="1280">
        <f>+BSPL!G23-BSPL!G37-BSPL!G45</f>
        <v>-2496336.027264744</v>
      </c>
    </row>
    <row r="20" spans="4:21" s="1240" customFormat="1" ht="15" x14ac:dyDescent="0.25">
      <c r="D20" s="1240">
        <v>10</v>
      </c>
      <c r="E20" s="1238" t="s">
        <v>3225</v>
      </c>
      <c r="F20" s="1242">
        <f>+BSPL!F26-BSPL!F45-BSPL!F37</f>
        <v>268294783.94793475</v>
      </c>
      <c r="G20" s="1242">
        <f>+BSPL!G26-BSPL!G45-BSPL!G37</f>
        <v>232891786.39260465</v>
      </c>
    </row>
    <row r="21" spans="4:21" s="1240" customFormat="1" x14ac:dyDescent="0.25">
      <c r="E21" s="1241" t="s">
        <v>3226</v>
      </c>
      <c r="F21" s="1242">
        <v>0</v>
      </c>
      <c r="G21" s="1242">
        <v>0</v>
      </c>
    </row>
    <row r="22" spans="4:21" s="1240" customFormat="1" ht="15" x14ac:dyDescent="0.25">
      <c r="E22" s="1238" t="s">
        <v>3227</v>
      </c>
      <c r="F22" s="1244">
        <f>F20-F21</f>
        <v>268294783.94793475</v>
      </c>
      <c r="G22" s="1244">
        <f t="shared" ref="G22" si="2">G20-G21</f>
        <v>232891786.39260465</v>
      </c>
    </row>
    <row r="23" spans="4:21" s="1240" customFormat="1" x14ac:dyDescent="0.25">
      <c r="D23" s="1240">
        <v>11</v>
      </c>
      <c r="E23" s="1241" t="s">
        <v>3228</v>
      </c>
      <c r="F23" s="1242">
        <f>+BSPL!F8</f>
        <v>216229798.2609922</v>
      </c>
      <c r="G23" s="1242">
        <f>+BSPL!G8</f>
        <v>226395167.21986935</v>
      </c>
    </row>
    <row r="24" spans="4:21" s="1240" customFormat="1" x14ac:dyDescent="0.25">
      <c r="D24" s="1240">
        <v>12</v>
      </c>
      <c r="E24" s="1241" t="s">
        <v>1428</v>
      </c>
      <c r="F24" s="1242">
        <f>+BSPL!F333</f>
        <v>1292191</v>
      </c>
      <c r="G24" s="1242">
        <f>+BSPL!G333</f>
        <v>7052448</v>
      </c>
    </row>
    <row r="25" spans="4:21" s="1240" customFormat="1" x14ac:dyDescent="0.25">
      <c r="D25" s="1240">
        <v>13</v>
      </c>
      <c r="E25" s="1241" t="s">
        <v>3229</v>
      </c>
      <c r="F25" s="1242">
        <f>+BSPL!F337</f>
        <v>10544440</v>
      </c>
      <c r="G25" s="1242">
        <f>+BSPL!G337</f>
        <v>0</v>
      </c>
    </row>
    <row r="26" spans="4:21" s="1240" customFormat="1" ht="15" x14ac:dyDescent="0.25">
      <c r="D26" s="1240">
        <v>14</v>
      </c>
      <c r="E26" s="1251" t="s">
        <v>3230</v>
      </c>
      <c r="F26" s="1244">
        <f>SUM(F24:F25)</f>
        <v>11836631</v>
      </c>
      <c r="G26" s="1244">
        <f t="shared" ref="G26" si="3">SUM(G24:G25)</f>
        <v>7052448</v>
      </c>
    </row>
    <row r="27" spans="4:21" s="1240" customFormat="1" ht="15" x14ac:dyDescent="0.25">
      <c r="D27" s="1240" t="s">
        <v>3231</v>
      </c>
      <c r="E27" s="1251" t="s">
        <v>3232</v>
      </c>
      <c r="F27" s="1249"/>
      <c r="G27" s="1249"/>
    </row>
    <row r="28" spans="4:21" s="1240" customFormat="1" x14ac:dyDescent="0.25">
      <c r="D28" s="1240">
        <v>1</v>
      </c>
      <c r="E28" s="1241" t="s">
        <v>3233</v>
      </c>
      <c r="F28" s="1252">
        <f>+(F7-G7)/G7</f>
        <v>0.17321955622936708</v>
      </c>
      <c r="G28" s="1252">
        <f>+(G7-H7)/H7</f>
        <v>-0.13271561379418212</v>
      </c>
    </row>
    <row r="29" spans="4:21" s="1240" customFormat="1" x14ac:dyDescent="0.25">
      <c r="D29" s="1240">
        <f>+D28+1</f>
        <v>2</v>
      </c>
      <c r="E29" s="1249" t="s">
        <v>3234</v>
      </c>
      <c r="F29" s="1254">
        <f>+F16/F7</f>
        <v>0.13187603057068831</v>
      </c>
      <c r="G29" s="1254">
        <f t="shared" ref="G29" si="4">+G16/G7</f>
        <v>0.11607100297552894</v>
      </c>
      <c r="H29" s="1255">
        <f>+F29-G29</f>
        <v>1.5805027595159366E-2</v>
      </c>
    </row>
    <row r="30" spans="4:21" s="1240" customFormat="1" x14ac:dyDescent="0.25">
      <c r="D30" s="1240">
        <f>+D29+1</f>
        <v>3</v>
      </c>
      <c r="E30" s="1249" t="s">
        <v>3235</v>
      </c>
      <c r="F30" s="1254">
        <f>F8/F7</f>
        <v>8.8275577811204931E-2</v>
      </c>
      <c r="G30" s="1254">
        <f>G8/G7</f>
        <v>7.0532458113025442E-2</v>
      </c>
      <c r="H30" s="1256">
        <f>+F30-G30</f>
        <v>1.7743119698179488E-2</v>
      </c>
    </row>
    <row r="31" spans="4:21" s="1240" customFormat="1" x14ac:dyDescent="0.25">
      <c r="D31" s="1240">
        <f t="shared" ref="D31:D42" si="5">+D30+1</f>
        <v>4</v>
      </c>
      <c r="E31" s="1249" t="s">
        <v>3236</v>
      </c>
      <c r="F31" s="1257">
        <f>+('[68]Balance Sheet'!E81+'[68]Balance Sheet'!E82+'[68]Balance Sheet'!E83)/[69]Ratios!F7</f>
        <v>0.66470103428718952</v>
      </c>
      <c r="G31" s="1257">
        <f>+('[68]Balance Sheet'!F81+'[68]Balance Sheet'!F82+'[68]Balance Sheet'!F83)/[69]Ratios!G7</f>
        <v>0.68393372596986024</v>
      </c>
      <c r="H31" s="1255">
        <f t="shared" ref="H31:H42" si="6">+F31-G31</f>
        <v>-1.9232691682670722E-2</v>
      </c>
    </row>
    <row r="32" spans="4:21" s="1240" customFormat="1" x14ac:dyDescent="0.25">
      <c r="D32" s="1240">
        <f t="shared" si="5"/>
        <v>5</v>
      </c>
      <c r="E32" s="1249" t="s">
        <v>3237</v>
      </c>
      <c r="F32" s="1253">
        <f>+('[68]Balance Sheet'!E100+'[68]Balance Sheet'!E102)/[69]Ratios!F7</f>
        <v>-2.8826511770574294E-2</v>
      </c>
      <c r="G32" s="1253">
        <f>+('[68]Balance Sheet'!F100+'[68]Balance Sheet'!F102)/[69]Ratios!G7</f>
        <v>1.4970334381903871E-2</v>
      </c>
      <c r="H32" s="1255">
        <f t="shared" si="6"/>
        <v>-4.3796846152478169E-2</v>
      </c>
      <c r="I32" s="1255"/>
      <c r="J32" s="1255"/>
      <c r="K32" s="1255"/>
      <c r="L32" s="1255"/>
      <c r="M32" s="1255"/>
      <c r="N32" s="1255"/>
      <c r="O32" s="1255"/>
      <c r="P32" s="1255"/>
      <c r="Q32" s="1255"/>
      <c r="R32" s="1255"/>
      <c r="S32" s="1255"/>
      <c r="T32" s="1255"/>
      <c r="U32" s="1255"/>
    </row>
    <row r="33" spans="4:21" s="1240" customFormat="1" x14ac:dyDescent="0.25">
      <c r="D33" s="1240">
        <f t="shared" si="5"/>
        <v>6</v>
      </c>
      <c r="E33" s="1249" t="s">
        <v>3238</v>
      </c>
      <c r="F33" s="1253">
        <f>+'[68]Balance Sheet'!E100/[69]Ratios!F7</f>
        <v>-2.8826511770574294E-2</v>
      </c>
      <c r="G33" s="1253">
        <f>+'[68]Balance Sheet'!F100/[69]Ratios!G7</f>
        <v>2.9896099762497801E-3</v>
      </c>
      <c r="H33" s="1255">
        <f t="shared" si="6"/>
        <v>-3.1816121746824078E-2</v>
      </c>
      <c r="I33" s="1255"/>
      <c r="J33" s="1255"/>
      <c r="K33" s="1255"/>
      <c r="L33" s="1255"/>
      <c r="M33" s="1255"/>
      <c r="N33" s="1255"/>
      <c r="O33" s="1255"/>
      <c r="P33" s="1255"/>
      <c r="Q33" s="1255"/>
      <c r="R33" s="1255"/>
      <c r="S33" s="1255"/>
      <c r="T33" s="1255"/>
      <c r="U33" s="1255"/>
    </row>
    <row r="34" spans="4:21" s="1240" customFormat="1" x14ac:dyDescent="0.25">
      <c r="D34" s="1240">
        <f t="shared" si="5"/>
        <v>7</v>
      </c>
      <c r="E34" s="1249" t="s">
        <v>3239</v>
      </c>
      <c r="F34" s="1253">
        <f>+'[68]Balance Sheet'!E122/[69]Ratios!F7</f>
        <v>-1.9287052016123272E-2</v>
      </c>
      <c r="G34" s="1253">
        <f>+'[68]Balance Sheet'!F122/[69]Ratios!G7</f>
        <v>1.2186200426869543E-2</v>
      </c>
      <c r="H34" s="1255">
        <f t="shared" si="6"/>
        <v>-3.1473252442992816E-2</v>
      </c>
    </row>
    <row r="35" spans="4:21" s="1240" customFormat="1" x14ac:dyDescent="0.25">
      <c r="D35" s="1240">
        <f t="shared" si="5"/>
        <v>8</v>
      </c>
      <c r="E35" s="1249" t="s">
        <v>3240</v>
      </c>
      <c r="F35" s="1253">
        <f>+('[68]Balance Sheet'!E122-'[68]Balance Sheet'!E102)/[69]Ratios!F7</f>
        <v>-1.9287052016123272E-2</v>
      </c>
      <c r="G35" s="1253">
        <f>+('[68]Balance Sheet'!F122-'[68]Balance Sheet'!F102)/[69]Ratios!G7</f>
        <v>2.0547602121545139E-4</v>
      </c>
      <c r="H35" s="1255">
        <f t="shared" si="6"/>
        <v>-1.9492528037338724E-2</v>
      </c>
    </row>
    <row r="36" spans="4:21" s="1240" customFormat="1" x14ac:dyDescent="0.25">
      <c r="D36" s="1240">
        <f t="shared" si="5"/>
        <v>9</v>
      </c>
      <c r="E36" s="1249" t="s">
        <v>3241</v>
      </c>
      <c r="F36" s="1258">
        <f>+('[68]Balance Sheet'!E100+'[68]Balance Sheet'!E86+'[68]Balance Sheet'!E85)/'[68]Balance Sheet'!E85</f>
        <v>0.90287240456980433</v>
      </c>
      <c r="G36" s="1258">
        <f>+('[68]Balance Sheet'!F100+'[68]Balance Sheet'!F86+'[68]Balance Sheet'!F85)/'[68]Balance Sheet'!F85</f>
        <v>2.9015226891129329</v>
      </c>
      <c r="H36" s="1255"/>
    </row>
    <row r="37" spans="4:21" s="1240" customFormat="1" x14ac:dyDescent="0.25">
      <c r="D37" s="1240">
        <f t="shared" si="5"/>
        <v>10</v>
      </c>
      <c r="E37" s="1249" t="s">
        <v>3242</v>
      </c>
      <c r="F37" s="1258">
        <f>F18/F19</f>
        <v>5.1753503294124856</v>
      </c>
      <c r="G37" s="1258">
        <f>G18/G19</f>
        <v>-72.015978926221266</v>
      </c>
      <c r="H37" s="1256"/>
      <c r="L37" s="1243"/>
    </row>
    <row r="38" spans="4:21" s="1240" customFormat="1" x14ac:dyDescent="0.25">
      <c r="D38" s="1240">
        <f t="shared" si="5"/>
        <v>11</v>
      </c>
      <c r="E38" s="1249" t="s">
        <v>3243</v>
      </c>
      <c r="F38" s="1258">
        <f>+F9/F14</f>
        <v>1.6306568856780912</v>
      </c>
      <c r="G38" s="1258">
        <f>+G9/G14</f>
        <v>1.3350083665748274</v>
      </c>
      <c r="H38" s="1256"/>
      <c r="I38" s="1259"/>
      <c r="K38" s="1259"/>
    </row>
    <row r="39" spans="4:21" s="1240" customFormat="1" x14ac:dyDescent="0.25">
      <c r="D39" s="1240">
        <f t="shared" si="5"/>
        <v>12</v>
      </c>
      <c r="E39" s="1249" t="s">
        <v>3244</v>
      </c>
      <c r="F39" s="1258">
        <v>1.4564358616316335</v>
      </c>
      <c r="G39" s="1249"/>
      <c r="H39" s="1256">
        <f t="shared" si="6"/>
        <v>1.4564358616316335</v>
      </c>
    </row>
    <row r="40" spans="4:21" s="1240" customFormat="1" x14ac:dyDescent="0.25">
      <c r="D40" s="1240">
        <f>+D38+1</f>
        <v>12</v>
      </c>
      <c r="E40" s="1249" t="s">
        <v>3245</v>
      </c>
      <c r="F40" s="1253">
        <f t="shared" ref="F40:G40" si="7">+F15/F9</f>
        <v>0.38675020552581746</v>
      </c>
      <c r="G40" s="1253">
        <f t="shared" si="7"/>
        <v>0.25094102401346269</v>
      </c>
      <c r="H40" s="1255">
        <f t="shared" si="6"/>
        <v>0.13580918151235477</v>
      </c>
    </row>
    <row r="41" spans="4:21" s="1240" customFormat="1" x14ac:dyDescent="0.25">
      <c r="D41" s="1240">
        <f t="shared" si="5"/>
        <v>13</v>
      </c>
      <c r="E41" s="1260" t="s">
        <v>3246</v>
      </c>
      <c r="F41" s="1253">
        <f>(F8)/F23</f>
        <v>0.33466572882126172</v>
      </c>
      <c r="G41" s="1253">
        <f>(G8/G23)</f>
        <v>0.21768514297325006</v>
      </c>
      <c r="H41" s="1255">
        <f t="shared" si="6"/>
        <v>0.11698058584801166</v>
      </c>
      <c r="I41" s="1255"/>
      <c r="J41" s="1255"/>
      <c r="K41" s="1255"/>
    </row>
    <row r="42" spans="4:21" s="1240" customFormat="1" x14ac:dyDescent="0.25">
      <c r="D42" s="1240">
        <f t="shared" si="5"/>
        <v>14</v>
      </c>
      <c r="E42" s="1249" t="s">
        <v>3247</v>
      </c>
      <c r="F42" s="1253">
        <f>F17/F7</f>
        <v>8.0502336371046854E-2</v>
      </c>
      <c r="G42" s="1253">
        <f>G17/G7</f>
        <v>5.5374691683140451E-2</v>
      </c>
      <c r="H42" s="1255">
        <f t="shared" si="6"/>
        <v>2.5127644687906403E-2</v>
      </c>
    </row>
    <row r="43" spans="4:21" s="1240" customFormat="1" ht="14.25" thickBot="1" x14ac:dyDescent="0.3">
      <c r="D43" s="1240">
        <v>15</v>
      </c>
      <c r="E43" s="1261" t="s">
        <v>3248</v>
      </c>
      <c r="F43" s="1262">
        <f>F26/F8</f>
        <v>0.16356912285590622</v>
      </c>
      <c r="G43" s="1262">
        <f>G26/G8</f>
        <v>0.14310142265010192</v>
      </c>
      <c r="H43" s="1256"/>
    </row>
    <row r="44" spans="4:21" s="1240" customFormat="1" x14ac:dyDescent="0.25">
      <c r="E44" s="1263"/>
      <c r="F44" s="1264"/>
      <c r="G44" s="1265"/>
    </row>
    <row r="45" spans="4:21" s="1240" customFormat="1" ht="15" x14ac:dyDescent="0.25">
      <c r="D45" s="1240" t="s">
        <v>3249</v>
      </c>
      <c r="E45" s="1266" t="s">
        <v>3250</v>
      </c>
      <c r="F45" s="1253"/>
      <c r="G45" s="1249"/>
    </row>
    <row r="46" spans="4:21" s="1240" customFormat="1" x14ac:dyDescent="0.25">
      <c r="D46" s="1240">
        <v>1</v>
      </c>
      <c r="E46" s="1249" t="s">
        <v>3251</v>
      </c>
      <c r="F46" s="1253">
        <f>+('[68]Balance Sheet'!E100+'[68]Balance Sheet'!E85-'[68]Balance Sheet'!E76)/[69]Ratios!F7</f>
        <v>2.846871544197215E-3</v>
      </c>
      <c r="G46" s="1253">
        <f>+('[68]Balance Sheet'!F100+'[68]Balance Sheet'!F85-'[68]Balance Sheet'!F76)/[69]Ratios!G7</f>
        <v>1.3297837307290058E-2</v>
      </c>
      <c r="H46" s="1255">
        <f t="shared" ref="H46:H52" si="8">+F46-G46</f>
        <v>-1.0450965763092842E-2</v>
      </c>
    </row>
    <row r="47" spans="4:21" s="1240" customFormat="1" x14ac:dyDescent="0.25">
      <c r="D47" s="1240">
        <f>+D46+1</f>
        <v>2</v>
      </c>
      <c r="E47" s="1249" t="s">
        <v>3252</v>
      </c>
      <c r="F47" s="1253">
        <f>+('[68]Balance Sheet'!E82+'[68]Balance Sheet'!E83+'[68]Balance Sheet'!E84+'[68]Balance Sheet'!E86+'[68]Balance Sheet'!E87)/[69]Ratios!F7</f>
        <v>0.99715313006916584</v>
      </c>
      <c r="G47" s="1253">
        <f>+('[68]Balance Sheet'!F82+'[68]Balance Sheet'!F83+'[68]Balance Sheet'!F84+'[68]Balance Sheet'!F86+'[68]Balance Sheet'!F87)/[69]Ratios!G7</f>
        <v>0.98670216269270994</v>
      </c>
      <c r="H47" s="1255">
        <f t="shared" si="8"/>
        <v>1.04509673764559E-2</v>
      </c>
    </row>
    <row r="48" spans="4:21" s="1240" customFormat="1" x14ac:dyDescent="0.25">
      <c r="D48" s="1240">
        <f t="shared" ref="D48:D59" si="9">+D47+1</f>
        <v>3</v>
      </c>
      <c r="E48" s="1249" t="s">
        <v>3253</v>
      </c>
      <c r="F48" s="1258">
        <f>+SUM('[68]Balance Sheet'!E15:E16)/SUM('[68]Balance Sheet'!E11:E12)</f>
        <v>1.0293248260257575</v>
      </c>
      <c r="G48" s="1258">
        <f>+SUM('[68]Balance Sheet'!F15:F16)/SUM('[68]Balance Sheet'!F11:F12)</f>
        <v>1.0790668279903015</v>
      </c>
    </row>
    <row r="49" spans="4:8" s="1240" customFormat="1" x14ac:dyDescent="0.25">
      <c r="D49" s="1240">
        <f t="shared" si="9"/>
        <v>4</v>
      </c>
      <c r="E49" s="1249" t="s">
        <v>3254</v>
      </c>
      <c r="F49" s="1253">
        <f>+F9/'[68]Balance Sheet'!E45</f>
        <v>0.73443695143134979</v>
      </c>
      <c r="G49" s="1253">
        <f>+G9/'[68]Balance Sheet'!F45</f>
        <v>0.65445939424550315</v>
      </c>
      <c r="H49" s="1255">
        <f t="shared" si="8"/>
        <v>7.9977557185846648E-2</v>
      </c>
    </row>
    <row r="50" spans="4:8" s="1256" customFormat="1" x14ac:dyDescent="0.25">
      <c r="D50" s="1240">
        <f t="shared" si="9"/>
        <v>5</v>
      </c>
      <c r="E50" s="1267" t="s">
        <v>3255</v>
      </c>
      <c r="F50" s="1253">
        <f>+'[68]Balance Sheet'!E317/[69]Ratios!F9</f>
        <v>0.46952676820067651</v>
      </c>
      <c r="G50" s="1253">
        <f>+'[68]Balance Sheet'!F317/[69]Ratios!G9</f>
        <v>0.5788781566692025</v>
      </c>
      <c r="H50" s="1255">
        <f t="shared" si="8"/>
        <v>-0.10935138846852599</v>
      </c>
    </row>
    <row r="51" spans="4:8" s="1240" customFormat="1" x14ac:dyDescent="0.25">
      <c r="D51" s="1240">
        <f t="shared" si="9"/>
        <v>6</v>
      </c>
      <c r="E51" s="1249" t="s">
        <v>3256</v>
      </c>
      <c r="F51" s="1253">
        <f>+'[68]Balance Sheet'!E39/[69]Ratios!F9</f>
        <v>0.28580350575582769</v>
      </c>
      <c r="G51" s="1253">
        <f>+'[68]Balance Sheet'!F39/[69]Ratios!G9</f>
        <v>0.57373579297673216</v>
      </c>
      <c r="H51" s="1255">
        <f t="shared" si="8"/>
        <v>-0.28793228722090447</v>
      </c>
    </row>
    <row r="52" spans="4:8" s="1240" customFormat="1" x14ac:dyDescent="0.25">
      <c r="D52" s="1240">
        <f t="shared" si="9"/>
        <v>7</v>
      </c>
      <c r="E52" s="1249" t="s">
        <v>3257</v>
      </c>
      <c r="F52" s="1253">
        <f>+'[68]Balance Sheet'!E40/[69]Ratios!F9</f>
        <v>0.62976768438266706</v>
      </c>
      <c r="G52" s="1253">
        <f>+'[68]Balance Sheet'!F40/[69]Ratios!G9</f>
        <v>0.22014830455151474</v>
      </c>
      <c r="H52" s="1255">
        <f t="shared" si="8"/>
        <v>0.40961937983115232</v>
      </c>
    </row>
    <row r="53" spans="4:8" s="1240" customFormat="1" x14ac:dyDescent="0.25">
      <c r="D53" s="1240">
        <f t="shared" si="9"/>
        <v>8</v>
      </c>
      <c r="E53" s="1249" t="s">
        <v>3258</v>
      </c>
      <c r="F53" s="1248">
        <f>+'[68]Balance Sheet'!E39/[69]Ratios!F7*365</f>
        <v>20.976791817560276</v>
      </c>
      <c r="G53" s="1248">
        <f>+'[68]Balance Sheet'!F39/[69]Ratios!G7*365</f>
        <v>31.484981188932764</v>
      </c>
    </row>
    <row r="54" spans="4:8" s="1240" customFormat="1" x14ac:dyDescent="0.25">
      <c r="D54" s="1240">
        <f t="shared" si="9"/>
        <v>9</v>
      </c>
      <c r="E54" s="1249" t="s">
        <v>3259</v>
      </c>
      <c r="F54" s="1248">
        <f>+'[68]Balance Sheet'!E40/[69]Ratios!F7*365</f>
        <v>46.222335775014692</v>
      </c>
      <c r="G54" s="1248">
        <f>+'[68]Balance Sheet'!F40/[69]Ratios!G7*365</f>
        <v>12.08111000294692</v>
      </c>
    </row>
    <row r="55" spans="4:8" s="1240" customFormat="1" x14ac:dyDescent="0.25">
      <c r="D55" s="1240">
        <f t="shared" si="9"/>
        <v>10</v>
      </c>
      <c r="E55" s="1249" t="s">
        <v>3260</v>
      </c>
      <c r="F55" s="1248">
        <f>+'[68]Balance Sheet'!E338/'[68]Balance Sheet'!E82*365</f>
        <v>47.366069128940069</v>
      </c>
      <c r="G55" s="1248">
        <f>+'[68]Balance Sheet'!F338/'[68]Balance Sheet'!F82*365</f>
        <v>16.571421943629726</v>
      </c>
    </row>
    <row r="56" spans="4:8" s="1240" customFormat="1" ht="14.25" thickBot="1" x14ac:dyDescent="0.3">
      <c r="D56" s="1240">
        <f t="shared" si="9"/>
        <v>11</v>
      </c>
      <c r="E56" s="1261" t="s">
        <v>3261</v>
      </c>
      <c r="F56" s="1268">
        <f>+('[68]Balance Sheet'!E82+'[68]Balance Sheet'!E83+'[68]Balance Sheet'!E81)/[69]Ratios!F7</f>
        <v>0.66470103428718952</v>
      </c>
      <c r="G56" s="1268">
        <f>+('[68]Balance Sheet'!F82+'[68]Balance Sheet'!F83+'[68]Balance Sheet'!F81)/[69]Ratios!G7</f>
        <v>0.68393372596986024</v>
      </c>
      <c r="H56" s="1255">
        <f t="shared" ref="H56" si="10">+F56-G56</f>
        <v>-1.9232691682670722E-2</v>
      </c>
    </row>
    <row r="57" spans="4:8" s="1240" customFormat="1" x14ac:dyDescent="0.25">
      <c r="D57" s="1240">
        <f t="shared" si="9"/>
        <v>12</v>
      </c>
      <c r="E57" s="1269" t="s">
        <v>3262</v>
      </c>
      <c r="F57" s="1270">
        <v>132.98167389583742</v>
      </c>
      <c r="G57" s="1271">
        <v>26.981640312865323</v>
      </c>
    </row>
    <row r="58" spans="4:8" s="1240" customFormat="1" x14ac:dyDescent="0.25">
      <c r="D58" s="1240">
        <f>+D57+1</f>
        <v>13</v>
      </c>
      <c r="E58" s="1272" t="s">
        <v>3263</v>
      </c>
      <c r="F58" s="1273">
        <v>23.311947541845068</v>
      </c>
      <c r="G58" s="1274">
        <v>16.688179061084988</v>
      </c>
    </row>
    <row r="59" spans="4:8" s="1240" customFormat="1" x14ac:dyDescent="0.25">
      <c r="D59" s="1240">
        <f t="shared" si="9"/>
        <v>14</v>
      </c>
      <c r="E59" s="1272" t="s">
        <v>3264</v>
      </c>
      <c r="F59" s="1273">
        <v>163.14551105838626</v>
      </c>
      <c r="G59" s="1274">
        <v>31.567391652720762</v>
      </c>
    </row>
    <row r="60" spans="4:8" s="1240" customFormat="1" ht="14.25" thickBot="1" x14ac:dyDescent="0.3">
      <c r="E60" s="1275"/>
      <c r="F60" s="1276"/>
      <c r="G60" s="1277"/>
    </row>
  </sheetData>
  <pageMargins left="0.7" right="0.7" top="0.75" bottom="0.75" header="0.3" footer="0.3"/>
  <pageSetup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50"/>
  <sheetViews>
    <sheetView workbookViewId="0">
      <selection activeCell="G7" sqref="G7"/>
    </sheetView>
  </sheetViews>
  <sheetFormatPr defaultRowHeight="15" x14ac:dyDescent="0.25"/>
  <cols>
    <col min="2" max="2" width="34.5703125" bestFit="1" customWidth="1"/>
    <col min="3" max="3" width="29.28515625" bestFit="1" customWidth="1"/>
    <col min="4" max="4" width="13.42578125" bestFit="1" customWidth="1"/>
    <col min="5" max="5" width="12.42578125" bestFit="1" customWidth="1"/>
    <col min="6" max="6" width="11.42578125" bestFit="1" customWidth="1"/>
    <col min="7" max="8" width="16.7109375" bestFit="1" customWidth="1"/>
    <col min="9" max="9" width="14.28515625" bestFit="1" customWidth="1"/>
  </cols>
  <sheetData>
    <row r="1" spans="2:9" x14ac:dyDescent="0.25">
      <c r="G1" s="244"/>
      <c r="H1" s="244"/>
    </row>
    <row r="2" spans="2:9" x14ac:dyDescent="0.25">
      <c r="G2" s="244"/>
      <c r="H2" s="244"/>
    </row>
    <row r="3" spans="2:9" x14ac:dyDescent="0.25">
      <c r="B3" s="1926" t="s">
        <v>2385</v>
      </c>
      <c r="C3" s="1926"/>
      <c r="D3" s="1926"/>
      <c r="E3" s="1926"/>
      <c r="F3" s="1926"/>
      <c r="G3" s="1926"/>
      <c r="H3" s="244"/>
    </row>
    <row r="4" spans="2:9" x14ac:dyDescent="0.25">
      <c r="B4" s="667"/>
      <c r="C4" s="667"/>
      <c r="D4" s="667"/>
      <c r="E4" s="667"/>
      <c r="F4" s="667"/>
      <c r="G4" s="1488"/>
      <c r="H4" s="257"/>
      <c r="I4" s="442"/>
    </row>
    <row r="5" spans="2:9" x14ac:dyDescent="0.25">
      <c r="B5" s="1926" t="s">
        <v>2406</v>
      </c>
      <c r="C5" s="1926"/>
      <c r="D5" s="1926"/>
      <c r="E5" s="1926"/>
      <c r="F5" s="1926"/>
      <c r="G5" s="1926"/>
      <c r="H5" s="244"/>
    </row>
    <row r="6" spans="2:9" x14ac:dyDescent="0.25">
      <c r="B6" s="668" t="s">
        <v>2386</v>
      </c>
      <c r="C6" s="669"/>
      <c r="D6" s="669"/>
      <c r="E6" s="670" t="s">
        <v>1122</v>
      </c>
      <c r="F6" s="669"/>
      <c r="G6" s="671" t="s">
        <v>1122</v>
      </c>
      <c r="H6" s="244" t="s">
        <v>1089</v>
      </c>
    </row>
    <row r="7" spans="2:9" x14ac:dyDescent="0.25">
      <c r="B7" s="672" t="s">
        <v>2388</v>
      </c>
      <c r="C7" s="673"/>
      <c r="D7" s="674"/>
      <c r="E7" s="675"/>
      <c r="F7" s="676" t="s">
        <v>2389</v>
      </c>
      <c r="G7" s="1649">
        <v>32919.506999999998</v>
      </c>
      <c r="H7" s="677">
        <v>33764.815000000002</v>
      </c>
      <c r="I7">
        <f>+G7/36262</f>
        <v>0.90782381004908719</v>
      </c>
    </row>
    <row r="8" spans="2:9" x14ac:dyDescent="0.25">
      <c r="B8" s="678" t="s">
        <v>2390</v>
      </c>
      <c r="C8" s="679"/>
      <c r="D8" s="680"/>
      <c r="E8" s="681" t="s">
        <v>1415</v>
      </c>
      <c r="F8" s="682"/>
      <c r="G8" s="683" t="s">
        <v>1415</v>
      </c>
      <c r="H8" s="683" t="s">
        <v>1415</v>
      </c>
    </row>
    <row r="9" spans="2:9" x14ac:dyDescent="0.25">
      <c r="B9" s="684" t="s">
        <v>2391</v>
      </c>
      <c r="C9" s="685"/>
      <c r="D9" s="686"/>
      <c r="E9" s="687">
        <f>+BSPL!F444</f>
        <v>552919696.88999999</v>
      </c>
      <c r="F9" s="688"/>
      <c r="G9" s="689">
        <f>E9-F9</f>
        <v>552919696.88999999</v>
      </c>
      <c r="H9" s="689">
        <f>+BSPL!G444</f>
        <v>432876064.31999999</v>
      </c>
    </row>
    <row r="10" spans="2:9" x14ac:dyDescent="0.25">
      <c r="B10" s="690" t="s">
        <v>2392</v>
      </c>
      <c r="C10" s="691"/>
      <c r="D10" s="692"/>
      <c r="E10" s="693">
        <f>+BSPL!F450</f>
        <v>19178887</v>
      </c>
      <c r="F10" s="694"/>
      <c r="G10" s="695">
        <f t="shared" ref="G10:G25" si="0">E10-F10</f>
        <v>19178887</v>
      </c>
      <c r="H10" s="696">
        <f>+BSPL!G450</f>
        <v>19024629</v>
      </c>
    </row>
    <row r="11" spans="2:9" x14ac:dyDescent="0.25">
      <c r="B11" s="690" t="s">
        <v>1121</v>
      </c>
      <c r="C11" s="691"/>
      <c r="D11" s="692"/>
      <c r="E11" s="693">
        <f>+BSPL!F466</f>
        <v>123939401.44</v>
      </c>
      <c r="F11" s="694"/>
      <c r="G11" s="695">
        <f t="shared" si="0"/>
        <v>123939401.44</v>
      </c>
      <c r="H11" s="696">
        <f>+BSPL!G466</f>
        <v>131093465.02</v>
      </c>
    </row>
    <row r="12" spans="2:9" x14ac:dyDescent="0.25">
      <c r="B12" s="690" t="s">
        <v>2393</v>
      </c>
      <c r="C12" s="691"/>
      <c r="D12" s="692"/>
      <c r="E12" s="693">
        <v>0</v>
      </c>
      <c r="F12" s="694"/>
      <c r="G12" s="695">
        <f t="shared" si="0"/>
        <v>0</v>
      </c>
      <c r="H12" s="696">
        <v>0</v>
      </c>
    </row>
    <row r="13" spans="2:9" x14ac:dyDescent="0.25">
      <c r="B13" s="690" t="s">
        <v>2394</v>
      </c>
      <c r="C13" s="691"/>
      <c r="D13" s="692"/>
      <c r="E13" s="693">
        <f>+BSPL!F471</f>
        <v>703243</v>
      </c>
      <c r="F13" s="694"/>
      <c r="G13" s="695">
        <f t="shared" si="0"/>
        <v>703243</v>
      </c>
      <c r="H13" s="696">
        <f>+BSPL!G471</f>
        <v>689707</v>
      </c>
    </row>
    <row r="14" spans="2:9" x14ac:dyDescent="0.25">
      <c r="B14" s="690" t="s">
        <v>2395</v>
      </c>
      <c r="C14" s="691"/>
      <c r="D14" s="692"/>
      <c r="E14" s="693">
        <f>+BSPL!F472</f>
        <v>8205875.8399999999</v>
      </c>
      <c r="F14" s="694"/>
      <c r="G14" s="695">
        <f t="shared" si="0"/>
        <v>8205875.8399999999</v>
      </c>
      <c r="H14" s="696">
        <f>+BSPL!G472</f>
        <v>6068106.8599999994</v>
      </c>
    </row>
    <row r="15" spans="2:9" x14ac:dyDescent="0.25">
      <c r="B15" s="690" t="s">
        <v>2396</v>
      </c>
      <c r="C15" s="691"/>
      <c r="D15" s="692"/>
      <c r="E15" s="693">
        <f>+BSPL!F465</f>
        <v>6875832.8200000003</v>
      </c>
      <c r="F15" s="694"/>
      <c r="G15" s="695">
        <f t="shared" si="0"/>
        <v>6875832.8200000003</v>
      </c>
      <c r="H15" s="696">
        <f>+BSPL!G465</f>
        <v>7784928.8099999996</v>
      </c>
    </row>
    <row r="16" spans="2:9" x14ac:dyDescent="0.25">
      <c r="B16" s="690" t="s">
        <v>2407</v>
      </c>
      <c r="C16" s="691"/>
      <c r="D16" s="692"/>
      <c r="E16" s="693">
        <f>+BSPL!F469</f>
        <v>10661532.07</v>
      </c>
      <c r="F16" s="694"/>
      <c r="G16" s="695">
        <f t="shared" si="0"/>
        <v>10661532.07</v>
      </c>
      <c r="H16" s="696">
        <f>+BSPL!G469</f>
        <v>13943254.359999999</v>
      </c>
    </row>
    <row r="17" spans="2:8" x14ac:dyDescent="0.25">
      <c r="B17" s="690" t="s">
        <v>2397</v>
      </c>
      <c r="C17" s="691"/>
      <c r="D17" s="692"/>
      <c r="E17" s="693">
        <f>+BSPL!F463</f>
        <v>4250954.5</v>
      </c>
      <c r="F17" s="694"/>
      <c r="G17" s="695">
        <f t="shared" si="0"/>
        <v>4250954.5</v>
      </c>
      <c r="H17" s="696">
        <f>+BSPL!G463</f>
        <v>4661821.3</v>
      </c>
    </row>
    <row r="18" spans="2:8" x14ac:dyDescent="0.25">
      <c r="B18" s="690" t="str">
        <f>'[70]Balance Sheet'!B538</f>
        <v>Raw Material Sorting Charges</v>
      </c>
      <c r="C18" s="691"/>
      <c r="D18" s="692"/>
      <c r="E18" s="693">
        <f>+BSPL!F467</f>
        <v>3861148</v>
      </c>
      <c r="F18" s="694"/>
      <c r="G18" s="695">
        <f t="shared" si="0"/>
        <v>3861148</v>
      </c>
      <c r="H18" s="696">
        <f>+BSPL!G467</f>
        <v>4167429</v>
      </c>
    </row>
    <row r="19" spans="2:8" x14ac:dyDescent="0.25">
      <c r="B19" s="690" t="str">
        <f>'[70]Balance Sheet'!B541</f>
        <v>Finished Goods Packing and Allied Charges</v>
      </c>
      <c r="C19" s="669"/>
      <c r="D19" s="697"/>
      <c r="E19" s="693">
        <f>+BSPL!F464</f>
        <v>2854617</v>
      </c>
      <c r="F19" s="698"/>
      <c r="G19" s="695">
        <f t="shared" si="0"/>
        <v>2854617</v>
      </c>
      <c r="H19" s="696">
        <f>+BSPL!G464</f>
        <v>2841598</v>
      </c>
    </row>
    <row r="20" spans="2:8" x14ac:dyDescent="0.25">
      <c r="B20" s="690" t="s">
        <v>2398</v>
      </c>
      <c r="C20" s="669"/>
      <c r="D20" s="697"/>
      <c r="E20" s="693">
        <f>+BSPL!F473</f>
        <v>6129998</v>
      </c>
      <c r="F20" s="698"/>
      <c r="G20" s="695">
        <f t="shared" si="0"/>
        <v>6129998</v>
      </c>
      <c r="H20" s="696">
        <f>+BSPL!G473</f>
        <v>6659960</v>
      </c>
    </row>
    <row r="21" spans="2:8" x14ac:dyDescent="0.25">
      <c r="B21" s="690" t="s">
        <v>591</v>
      </c>
      <c r="C21" s="691"/>
      <c r="D21" s="692"/>
      <c r="E21" s="693">
        <f>+BSPL!F87</f>
        <v>17727981.603100225</v>
      </c>
      <c r="F21" s="694"/>
      <c r="G21" s="695">
        <f t="shared" si="0"/>
        <v>17727981.603100225</v>
      </c>
      <c r="H21" s="696">
        <f>+BSPL!G87</f>
        <v>17192939</v>
      </c>
    </row>
    <row r="22" spans="2:8" x14ac:dyDescent="0.25">
      <c r="B22" s="699" t="s">
        <v>2399</v>
      </c>
      <c r="C22" s="669"/>
      <c r="D22" s="697"/>
      <c r="E22" s="693"/>
      <c r="F22" s="698"/>
      <c r="G22" s="695">
        <f t="shared" si="0"/>
        <v>0</v>
      </c>
      <c r="H22" s="696"/>
    </row>
    <row r="23" spans="2:8" x14ac:dyDescent="0.25">
      <c r="B23" s="690" t="str">
        <f>'[70]Balance Sheet'!B519</f>
        <v>Contribution to Funds</v>
      </c>
      <c r="C23" s="669"/>
      <c r="D23" s="697"/>
      <c r="E23" s="693">
        <f>+BSPL!F451</f>
        <v>2155531</v>
      </c>
      <c r="F23" s="698"/>
      <c r="G23" s="695">
        <f t="shared" si="0"/>
        <v>2155531</v>
      </c>
      <c r="H23" s="696">
        <f>+BSPL!G451</f>
        <v>2072611</v>
      </c>
    </row>
    <row r="24" spans="2:8" x14ac:dyDescent="0.25">
      <c r="B24" s="690" t="s">
        <v>704</v>
      </c>
      <c r="C24" s="669"/>
      <c r="D24" s="697"/>
      <c r="E24" s="693">
        <f>+BSPL!F452</f>
        <v>306631</v>
      </c>
      <c r="F24" s="698"/>
      <c r="G24" s="695">
        <f t="shared" si="0"/>
        <v>306631</v>
      </c>
      <c r="H24" s="696">
        <f>+BSPL!G452</f>
        <v>239427</v>
      </c>
    </row>
    <row r="25" spans="2:8" x14ac:dyDescent="0.25">
      <c r="B25" s="690" t="s">
        <v>1244</v>
      </c>
      <c r="C25" s="669"/>
      <c r="D25" s="697"/>
      <c r="E25" s="693"/>
      <c r="F25" s="698"/>
      <c r="G25" s="695">
        <f t="shared" si="0"/>
        <v>0</v>
      </c>
      <c r="H25" s="695"/>
    </row>
    <row r="26" spans="2:8" x14ac:dyDescent="0.25">
      <c r="B26" s="690" t="s">
        <v>2307</v>
      </c>
      <c r="C26" s="669"/>
      <c r="D26" s="697"/>
      <c r="E26" s="693">
        <v>0</v>
      </c>
      <c r="F26" s="698"/>
      <c r="G26" s="695">
        <f>-BSPL!F428</f>
        <v>-18856500</v>
      </c>
      <c r="H26" s="695">
        <f>-BSPL!G428</f>
        <v>-9443500</v>
      </c>
    </row>
    <row r="27" spans="2:8" x14ac:dyDescent="0.25">
      <c r="B27" s="690"/>
      <c r="C27" s="669"/>
      <c r="D27" s="697"/>
      <c r="E27" s="693"/>
      <c r="F27" s="698"/>
      <c r="G27" s="695"/>
      <c r="H27" s="695"/>
    </row>
    <row r="28" spans="2:8" ht="15.75" thickBot="1" x14ac:dyDescent="0.3">
      <c r="B28" s="700" t="s">
        <v>1079</v>
      </c>
      <c r="C28" s="701"/>
      <c r="D28" s="702"/>
      <c r="E28" s="703"/>
      <c r="F28" s="703"/>
      <c r="G28" s="704">
        <f>SUM(G9:G26)</f>
        <v>740914830.16310024</v>
      </c>
      <c r="H28" s="704">
        <f>SUM(H9:H26)</f>
        <v>639872440.66999996</v>
      </c>
    </row>
    <row r="29" spans="2:8" ht="15.75" thickTop="1" x14ac:dyDescent="0.25">
      <c r="B29" s="669"/>
      <c r="C29" s="705" t="s">
        <v>2400</v>
      </c>
      <c r="D29" s="669"/>
      <c r="E29" s="669"/>
      <c r="F29" s="669"/>
      <c r="G29" s="706">
        <f>G28/G7</f>
        <v>22506.86288112092</v>
      </c>
      <c r="H29" s="706">
        <f>H28/H7</f>
        <v>18950.864699540038</v>
      </c>
    </row>
    <row r="30" spans="2:8" x14ac:dyDescent="0.25">
      <c r="B30" s="669"/>
      <c r="C30" s="669"/>
      <c r="D30" s="669"/>
      <c r="E30" s="669"/>
      <c r="F30" s="669"/>
      <c r="G30" s="671"/>
      <c r="H30" s="244"/>
    </row>
    <row r="31" spans="2:8" x14ac:dyDescent="0.25">
      <c r="B31" s="669"/>
      <c r="C31" s="669"/>
      <c r="D31" s="669"/>
      <c r="E31" s="669"/>
      <c r="F31" s="669"/>
      <c r="G31" s="671">
        <v>0</v>
      </c>
      <c r="H31" s="244"/>
    </row>
    <row r="32" spans="2:8" x14ac:dyDescent="0.25">
      <c r="B32" s="669"/>
      <c r="C32" s="669"/>
      <c r="D32" s="705" t="s">
        <v>2401</v>
      </c>
      <c r="E32" s="705"/>
      <c r="F32" s="669"/>
      <c r="G32" s="706">
        <f>SUM(G29:G31)</f>
        <v>22506.86288112092</v>
      </c>
      <c r="H32" s="706">
        <f>SUM(H29:H31)</f>
        <v>18950.864699540038</v>
      </c>
    </row>
    <row r="33" spans="2:8" x14ac:dyDescent="0.25">
      <c r="B33" s="669"/>
      <c r="C33" s="705" t="s">
        <v>2402</v>
      </c>
      <c r="D33" s="669"/>
      <c r="E33" s="669">
        <f>+'CLOSING STOCK AS ON 31-03-21'!N47</f>
        <v>349.31700000000001</v>
      </c>
      <c r="F33" s="669"/>
      <c r="G33" s="706">
        <f>+'CLOSING STOCK AS ON 31-03-21'!N46+'CLOSING STOCK AS ON 31-03-21'!N47</f>
        <v>715.32899999999995</v>
      </c>
      <c r="H33" s="706">
        <f>+'CLOSING STOCK AS ON 31-03-21'!D46</f>
        <v>416.44099999999997</v>
      </c>
    </row>
    <row r="34" spans="2:8" x14ac:dyDescent="0.25">
      <c r="B34" s="669"/>
      <c r="C34" s="669"/>
      <c r="D34" s="669"/>
      <c r="E34" s="669">
        <f>+'CLOSING STOCK AS ON 31-03-21'!N46</f>
        <v>366.012</v>
      </c>
      <c r="F34" s="669"/>
      <c r="G34" s="671"/>
      <c r="H34" s="671"/>
    </row>
    <row r="35" spans="2:8" x14ac:dyDescent="0.25">
      <c r="B35" s="669"/>
      <c r="C35" s="705" t="s">
        <v>2403</v>
      </c>
      <c r="D35" s="669"/>
      <c r="E35" s="669"/>
      <c r="F35" s="669"/>
      <c r="G35" s="706">
        <f>G32*G33</f>
        <v>16099811.717889346</v>
      </c>
      <c r="H35" s="706">
        <f>H32*H33</f>
        <v>7891917.0463411519</v>
      </c>
    </row>
    <row r="36" spans="2:8" x14ac:dyDescent="0.25">
      <c r="B36" s="669"/>
      <c r="C36" s="669"/>
      <c r="D36" s="669"/>
      <c r="E36" s="669"/>
      <c r="F36" s="669"/>
      <c r="G36" s="671"/>
      <c r="H36" s="244"/>
    </row>
    <row r="37" spans="2:8" x14ac:dyDescent="0.25">
      <c r="B37" s="669"/>
      <c r="C37" s="669" t="s">
        <v>2404</v>
      </c>
      <c r="D37" s="669">
        <f>+E50/1000</f>
        <v>366.012</v>
      </c>
      <c r="E37" s="669">
        <f>+F37/D37</f>
        <v>31189.638591084444</v>
      </c>
      <c r="F37" s="669">
        <f>+G50</f>
        <v>11415782</v>
      </c>
      <c r="G37" s="671"/>
      <c r="H37" s="244"/>
    </row>
    <row r="38" spans="2:8" x14ac:dyDescent="0.25">
      <c r="B38" s="669"/>
      <c r="C38" s="669"/>
      <c r="D38" s="669"/>
      <c r="E38" s="669"/>
      <c r="F38" s="669"/>
      <c r="G38" s="671"/>
      <c r="H38" s="244"/>
    </row>
    <row r="39" spans="2:8" x14ac:dyDescent="0.25">
      <c r="B39" s="669"/>
      <c r="C39" s="705" t="s">
        <v>2405</v>
      </c>
      <c r="D39" s="669"/>
      <c r="E39" s="669"/>
      <c r="F39" s="669"/>
      <c r="G39" s="706"/>
      <c r="H39" s="244"/>
    </row>
    <row r="40" spans="2:8" x14ac:dyDescent="0.25">
      <c r="G40" s="244"/>
      <c r="H40" s="244"/>
    </row>
    <row r="41" spans="2:8" x14ac:dyDescent="0.25">
      <c r="G41" s="244"/>
    </row>
    <row r="42" spans="2:8" x14ac:dyDescent="0.25">
      <c r="G42" s="244"/>
    </row>
    <row r="43" spans="2:8" x14ac:dyDescent="0.25">
      <c r="E43" t="s">
        <v>2408</v>
      </c>
      <c r="F43" t="s">
        <v>2409</v>
      </c>
      <c r="G43" s="244" t="s">
        <v>1415</v>
      </c>
    </row>
    <row r="44" spans="2:8" x14ac:dyDescent="0.25">
      <c r="E44">
        <v>1819</v>
      </c>
      <c r="F44">
        <v>22</v>
      </c>
      <c r="G44" s="244">
        <f>+ROUND(F44*E44,0)</f>
        <v>40018</v>
      </c>
    </row>
    <row r="45" spans="2:8" x14ac:dyDescent="0.25">
      <c r="E45">
        <v>63984</v>
      </c>
      <c r="F45">
        <v>26</v>
      </c>
      <c r="G45" s="244">
        <f t="shared" ref="G45:G49" si="1">+ROUND(F45*E45,0)</f>
        <v>1663584</v>
      </c>
    </row>
    <row r="46" spans="2:8" x14ac:dyDescent="0.25">
      <c r="E46">
        <v>68505</v>
      </c>
      <c r="F46">
        <v>32</v>
      </c>
      <c r="G46" s="244">
        <f t="shared" si="1"/>
        <v>2192160</v>
      </c>
    </row>
    <row r="47" spans="2:8" x14ac:dyDescent="0.25">
      <c r="E47">
        <v>155999</v>
      </c>
      <c r="F47">
        <v>32</v>
      </c>
      <c r="G47" s="244">
        <f t="shared" si="1"/>
        <v>4991968</v>
      </c>
    </row>
    <row r="48" spans="2:8" x14ac:dyDescent="0.25">
      <c r="E48">
        <v>64844</v>
      </c>
      <c r="F48">
        <v>33.25</v>
      </c>
      <c r="G48" s="244">
        <f t="shared" si="1"/>
        <v>2156063</v>
      </c>
    </row>
    <row r="49" spans="5:7" x14ac:dyDescent="0.25">
      <c r="E49">
        <v>10861</v>
      </c>
      <c r="F49">
        <v>34.25</v>
      </c>
      <c r="G49" s="244">
        <f t="shared" si="1"/>
        <v>371989</v>
      </c>
    </row>
    <row r="50" spans="5:7" x14ac:dyDescent="0.25">
      <c r="E50" s="4">
        <f>+SUM(E44:E49)</f>
        <v>366012</v>
      </c>
      <c r="F50">
        <f>+G50/E50</f>
        <v>31.189638591084446</v>
      </c>
      <c r="G50" s="249">
        <f>+SUM(G44:G49)</f>
        <v>11415782</v>
      </c>
    </row>
  </sheetData>
  <customSheetViews>
    <customSheetView guid="{334DC1DD-AD60-4D12-A532-9CEE6201A253}" topLeftCell="A13">
      <selection activeCell="G32" sqref="G32"/>
      <pageMargins left="0.7" right="0.7" top="0.75" bottom="0.75" header="0.3" footer="0.3"/>
    </customSheetView>
    <customSheetView guid="{BD5AA3B3-719E-4481-B722-8DE3E8101662}" topLeftCell="A13">
      <selection activeCell="G32" sqref="G32"/>
      <pageMargins left="0.7" right="0.7" top="0.75" bottom="0.75" header="0.3" footer="0.3"/>
    </customSheetView>
  </customSheetViews>
  <mergeCells count="2">
    <mergeCell ref="B3:G3"/>
    <mergeCell ref="B5:G5"/>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P28"/>
  <sheetViews>
    <sheetView topLeftCell="H1" workbookViewId="0">
      <selection activeCell="P34" sqref="P34"/>
    </sheetView>
  </sheetViews>
  <sheetFormatPr defaultColWidth="9.140625" defaultRowHeight="12.75" x14ac:dyDescent="0.2"/>
  <cols>
    <col min="1" max="1" width="5" style="1028" hidden="1" customWidth="1"/>
    <col min="2" max="2" width="40" style="1028" hidden="1" customWidth="1"/>
    <col min="3" max="3" width="12" style="1028" hidden="1" customWidth="1"/>
    <col min="4" max="4" width="40" style="1028" hidden="1" customWidth="1"/>
    <col min="5" max="5" width="3" style="1028" hidden="1" customWidth="1"/>
    <col min="6" max="6" width="10" style="1028" hidden="1" customWidth="1"/>
    <col min="7" max="7" width="10.5703125" style="1028" hidden="1" customWidth="1"/>
    <col min="8" max="8" width="8.5703125" style="1028" customWidth="1"/>
    <col min="9" max="9" width="27.28515625" style="1028" bestFit="1" customWidth="1"/>
    <col min="10" max="10" width="17.42578125" style="1028" customWidth="1"/>
    <col min="11" max="11" width="13.42578125" style="1028" bestFit="1" customWidth="1"/>
    <col min="12" max="12" width="14.7109375" style="1028" bestFit="1" customWidth="1"/>
    <col min="13" max="13" width="15.140625" style="1028" bestFit="1" customWidth="1"/>
    <col min="14" max="14" width="9.28515625" style="1028" bestFit="1" customWidth="1"/>
    <col min="15" max="15" width="9.5703125" style="1028" bestFit="1" customWidth="1"/>
    <col min="16" max="16" width="9.28515625" style="1028" bestFit="1" customWidth="1"/>
    <col min="17" max="16384" width="9.140625" style="1028"/>
  </cols>
  <sheetData>
    <row r="2" spans="1:16" ht="26.25" x14ac:dyDescent="0.4">
      <c r="H2" s="1927" t="s">
        <v>2274</v>
      </c>
      <c r="I2" s="1927"/>
      <c r="J2" s="1927"/>
      <c r="K2" s="1927"/>
      <c r="L2" s="1927"/>
      <c r="M2" s="1927"/>
    </row>
    <row r="3" spans="1:16" ht="18.75" x14ac:dyDescent="0.2">
      <c r="H3" s="1928" t="s">
        <v>3109</v>
      </c>
      <c r="I3" s="1928"/>
      <c r="J3" s="1928"/>
      <c r="K3" s="1928"/>
      <c r="L3" s="1928"/>
      <c r="M3" s="1928"/>
    </row>
    <row r="4" spans="1:16" ht="15" x14ac:dyDescent="0.25">
      <c r="A4" s="1028" t="s">
        <v>3110</v>
      </c>
      <c r="B4" s="1028" t="s">
        <v>3111</v>
      </c>
      <c r="C4" s="1028" t="s">
        <v>3112</v>
      </c>
      <c r="D4" s="1028" t="s">
        <v>3113</v>
      </c>
      <c r="E4" s="1028" t="s">
        <v>3114</v>
      </c>
      <c r="F4" s="1028" t="s">
        <v>3115</v>
      </c>
      <c r="H4" s="1929" t="s">
        <v>2624</v>
      </c>
      <c r="I4" s="1929" t="s">
        <v>3116</v>
      </c>
      <c r="J4" s="1930" t="s">
        <v>3117</v>
      </c>
      <c r="K4" s="1932" t="s">
        <v>1416</v>
      </c>
      <c r="L4" s="1932"/>
      <c r="M4" s="1929" t="s">
        <v>1079</v>
      </c>
    </row>
    <row r="5" spans="1:16" ht="15" x14ac:dyDescent="0.25">
      <c r="G5" s="1028" t="s">
        <v>1127</v>
      </c>
      <c r="H5" s="1929"/>
      <c r="I5" s="1929"/>
      <c r="J5" s="1931"/>
      <c r="K5" s="1029" t="s">
        <v>3118</v>
      </c>
      <c r="L5" s="1029" t="s">
        <v>3119</v>
      </c>
      <c r="M5" s="1929"/>
    </row>
    <row r="6" spans="1:16" x14ac:dyDescent="0.2">
      <c r="G6" s="1030">
        <v>574500</v>
      </c>
      <c r="H6" s="1031">
        <v>1</v>
      </c>
      <c r="I6" s="1032" t="s">
        <v>21</v>
      </c>
      <c r="J6" s="1030">
        <v>4500</v>
      </c>
      <c r="K6" s="1030">
        <v>4500</v>
      </c>
      <c r="L6" s="1030">
        <v>0</v>
      </c>
      <c r="M6" s="1030">
        <f>+K6+L6</f>
        <v>4500</v>
      </c>
    </row>
    <row r="7" spans="1:16" x14ac:dyDescent="0.2">
      <c r="G7" s="1030">
        <v>356585</v>
      </c>
      <c r="H7" s="1031">
        <v>2</v>
      </c>
      <c r="I7" s="1032" t="s">
        <v>76</v>
      </c>
      <c r="J7" s="1030">
        <v>4000</v>
      </c>
      <c r="K7" s="1030">
        <v>4000</v>
      </c>
      <c r="L7" s="1030">
        <v>0</v>
      </c>
      <c r="M7" s="1030">
        <f t="shared" ref="M7:M25" si="0">+K7+L7</f>
        <v>4000</v>
      </c>
    </row>
    <row r="8" spans="1:16" x14ac:dyDescent="0.2">
      <c r="A8" s="1028" t="s">
        <v>3120</v>
      </c>
      <c r="B8" s="1028" t="s">
        <v>3121</v>
      </c>
      <c r="C8" s="1028" t="s">
        <v>3122</v>
      </c>
      <c r="D8" s="1028" t="s">
        <v>3123</v>
      </c>
      <c r="E8" s="1028" t="s">
        <v>3124</v>
      </c>
      <c r="F8" s="1028" t="s">
        <v>3125</v>
      </c>
      <c r="G8" s="1030">
        <v>249000</v>
      </c>
      <c r="H8" s="1031">
        <v>3</v>
      </c>
      <c r="I8" s="1032" t="s">
        <v>117</v>
      </c>
      <c r="J8" s="1030">
        <v>6000</v>
      </c>
      <c r="K8" s="1030">
        <v>6000</v>
      </c>
      <c r="L8" s="1030">
        <v>0</v>
      </c>
      <c r="M8" s="1030">
        <f t="shared" si="0"/>
        <v>6000</v>
      </c>
      <c r="P8" s="1033"/>
    </row>
    <row r="9" spans="1:16" x14ac:dyDescent="0.2">
      <c r="G9" s="1030">
        <v>180000</v>
      </c>
      <c r="H9" s="1031">
        <v>4</v>
      </c>
      <c r="I9" s="1032" t="s">
        <v>638</v>
      </c>
      <c r="J9" s="1030">
        <v>27000</v>
      </c>
      <c r="K9" s="1030">
        <v>27000</v>
      </c>
      <c r="L9" s="1030">
        <v>0</v>
      </c>
      <c r="M9" s="1030">
        <f t="shared" si="0"/>
        <v>27000</v>
      </c>
      <c r="P9" s="1033"/>
    </row>
    <row r="10" spans="1:16" x14ac:dyDescent="0.2">
      <c r="G10" s="1030">
        <v>32500</v>
      </c>
      <c r="H10" s="1031">
        <v>5</v>
      </c>
      <c r="I10" s="1032" t="s">
        <v>207</v>
      </c>
      <c r="J10" s="1030">
        <v>66000</v>
      </c>
      <c r="K10" s="1030">
        <v>66000</v>
      </c>
      <c r="L10" s="1030">
        <v>0</v>
      </c>
      <c r="M10" s="1030">
        <f t="shared" si="0"/>
        <v>66000</v>
      </c>
    </row>
    <row r="11" spans="1:16" hidden="1" x14ac:dyDescent="0.2">
      <c r="G11" s="1030">
        <v>53000</v>
      </c>
      <c r="H11" s="1031">
        <v>8</v>
      </c>
      <c r="I11" s="1032"/>
      <c r="J11" s="1030"/>
      <c r="K11" s="1030"/>
      <c r="L11" s="1030">
        <v>0</v>
      </c>
      <c r="M11" s="1030">
        <f t="shared" si="0"/>
        <v>0</v>
      </c>
    </row>
    <row r="12" spans="1:16" hidden="1" x14ac:dyDescent="0.2">
      <c r="G12" s="1030">
        <v>4000</v>
      </c>
      <c r="H12" s="1031">
        <v>9</v>
      </c>
      <c r="I12" s="1032"/>
      <c r="J12" s="1030"/>
      <c r="K12" s="1030"/>
      <c r="L12" s="1030">
        <v>0</v>
      </c>
      <c r="M12" s="1030">
        <f t="shared" si="0"/>
        <v>0</v>
      </c>
    </row>
    <row r="13" spans="1:16" hidden="1" x14ac:dyDescent="0.2">
      <c r="A13" s="1028" t="s">
        <v>3120</v>
      </c>
      <c r="B13" s="1028" t="s">
        <v>3121</v>
      </c>
      <c r="C13" s="1028" t="s">
        <v>3122</v>
      </c>
      <c r="D13" s="1028" t="s">
        <v>3123</v>
      </c>
      <c r="E13" s="1028" t="s">
        <v>3124</v>
      </c>
      <c r="F13" s="1028" t="s">
        <v>3126</v>
      </c>
      <c r="G13" s="1030">
        <v>4500</v>
      </c>
      <c r="H13" s="1031">
        <v>10</v>
      </c>
      <c r="I13" s="1032"/>
      <c r="J13" s="1030"/>
      <c r="K13" s="1030"/>
      <c r="L13" s="1030">
        <v>0</v>
      </c>
      <c r="M13" s="1030">
        <f t="shared" si="0"/>
        <v>0</v>
      </c>
    </row>
    <row r="14" spans="1:16" x14ac:dyDescent="0.2">
      <c r="G14" s="1030"/>
      <c r="H14" s="1031">
        <v>6</v>
      </c>
      <c r="I14" s="1032" t="s">
        <v>215</v>
      </c>
      <c r="J14" s="1030">
        <v>6000</v>
      </c>
      <c r="K14" s="1030">
        <v>6000</v>
      </c>
      <c r="L14" s="1030">
        <v>0</v>
      </c>
      <c r="M14" s="1030">
        <f t="shared" si="0"/>
        <v>6000</v>
      </c>
    </row>
    <row r="15" spans="1:16" x14ac:dyDescent="0.2">
      <c r="G15" s="1030"/>
      <c r="H15" s="1031">
        <v>7</v>
      </c>
      <c r="I15" s="1032" t="s">
        <v>230</v>
      </c>
      <c r="J15" s="1030">
        <v>11000</v>
      </c>
      <c r="K15" s="1030">
        <v>11000</v>
      </c>
      <c r="L15" s="1030">
        <v>0</v>
      </c>
      <c r="M15" s="1030">
        <f t="shared" si="0"/>
        <v>11000</v>
      </c>
    </row>
    <row r="16" spans="1:16" x14ac:dyDescent="0.2">
      <c r="G16" s="1030"/>
      <c r="H16" s="1031">
        <v>8</v>
      </c>
      <c r="I16" s="1032" t="s">
        <v>233</v>
      </c>
      <c r="J16" s="1030">
        <v>8000</v>
      </c>
      <c r="K16" s="1030">
        <v>8000</v>
      </c>
      <c r="L16" s="1030">
        <v>0</v>
      </c>
      <c r="M16" s="1030">
        <f t="shared" si="0"/>
        <v>8000</v>
      </c>
    </row>
    <row r="17" spans="7:15" x14ac:dyDescent="0.2">
      <c r="G17" s="1030"/>
      <c r="H17" s="1031">
        <v>9</v>
      </c>
      <c r="I17" s="1032" t="s">
        <v>3127</v>
      </c>
      <c r="J17" s="1030">
        <v>2000</v>
      </c>
      <c r="K17" s="1030">
        <v>2000</v>
      </c>
      <c r="L17" s="1030">
        <v>0</v>
      </c>
      <c r="M17" s="1030">
        <f t="shared" si="0"/>
        <v>2000</v>
      </c>
    </row>
    <row r="18" spans="7:15" x14ac:dyDescent="0.2">
      <c r="G18" s="1030"/>
      <c r="H18" s="1031">
        <v>10</v>
      </c>
      <c r="I18" s="1032" t="s">
        <v>246</v>
      </c>
      <c r="J18" s="1030">
        <v>1000</v>
      </c>
      <c r="K18" s="1030">
        <v>1000</v>
      </c>
      <c r="L18" s="1030">
        <v>0</v>
      </c>
      <c r="M18" s="1030">
        <f t="shared" si="0"/>
        <v>1000</v>
      </c>
    </row>
    <row r="19" spans="7:15" x14ac:dyDescent="0.2">
      <c r="G19" s="1030"/>
      <c r="H19" s="1031">
        <v>11</v>
      </c>
      <c r="I19" s="1032" t="s">
        <v>249</v>
      </c>
      <c r="J19" s="1030">
        <v>12000</v>
      </c>
      <c r="K19" s="1030">
        <v>12000</v>
      </c>
      <c r="L19" s="1030">
        <v>0</v>
      </c>
      <c r="M19" s="1030">
        <f t="shared" si="0"/>
        <v>12000</v>
      </c>
    </row>
    <row r="20" spans="7:15" x14ac:dyDescent="0.2">
      <c r="G20" s="1030"/>
      <c r="H20" s="1031">
        <v>12</v>
      </c>
      <c r="I20" s="1032" t="s">
        <v>311</v>
      </c>
      <c r="J20" s="1030">
        <v>11000</v>
      </c>
      <c r="K20" s="1030">
        <v>11000</v>
      </c>
      <c r="L20" s="1030">
        <v>0</v>
      </c>
      <c r="M20" s="1030">
        <f t="shared" si="0"/>
        <v>11000</v>
      </c>
    </row>
    <row r="21" spans="7:15" x14ac:dyDescent="0.2">
      <c r="G21" s="1030"/>
      <c r="H21" s="1031">
        <v>13</v>
      </c>
      <c r="I21" s="1032" t="s">
        <v>392</v>
      </c>
      <c r="J21" s="1030">
        <v>2500</v>
      </c>
      <c r="K21" s="1030">
        <v>2500</v>
      </c>
      <c r="L21" s="1030">
        <v>0</v>
      </c>
      <c r="M21" s="1030">
        <f t="shared" si="0"/>
        <v>2500</v>
      </c>
    </row>
    <row r="22" spans="7:15" x14ac:dyDescent="0.2">
      <c r="G22" s="1030"/>
      <c r="H22" s="1031">
        <v>14</v>
      </c>
      <c r="I22" s="1032" t="s">
        <v>834</v>
      </c>
      <c r="J22" s="1030">
        <v>37000</v>
      </c>
      <c r="K22" s="1030">
        <v>37000</v>
      </c>
      <c r="L22" s="1030">
        <v>0</v>
      </c>
      <c r="M22" s="1030">
        <f t="shared" si="0"/>
        <v>37000</v>
      </c>
    </row>
    <row r="23" spans="7:15" x14ac:dyDescent="0.2">
      <c r="G23" s="1030"/>
      <c r="H23" s="1031">
        <v>15</v>
      </c>
      <c r="I23" s="1032" t="s">
        <v>396</v>
      </c>
      <c r="J23" s="1030">
        <v>4000</v>
      </c>
      <c r="K23" s="1030">
        <v>4000</v>
      </c>
      <c r="L23" s="1030">
        <v>0</v>
      </c>
      <c r="M23" s="1030">
        <f t="shared" si="0"/>
        <v>4000</v>
      </c>
    </row>
    <row r="24" spans="7:15" x14ac:dyDescent="0.2">
      <c r="G24" s="1030"/>
      <c r="H24" s="1031">
        <v>16</v>
      </c>
      <c r="I24" s="1028" t="s">
        <v>3128</v>
      </c>
      <c r="J24" s="1030">
        <v>5000</v>
      </c>
      <c r="K24" s="1030">
        <v>5000</v>
      </c>
      <c r="L24" s="1030">
        <v>0</v>
      </c>
      <c r="M24" s="1030">
        <f t="shared" si="0"/>
        <v>5000</v>
      </c>
    </row>
    <row r="25" spans="7:15" hidden="1" x14ac:dyDescent="0.2">
      <c r="G25" s="1030">
        <v>32000</v>
      </c>
      <c r="H25" s="1031">
        <v>11</v>
      </c>
      <c r="I25" s="1032" t="s">
        <v>3129</v>
      </c>
      <c r="J25" s="1030"/>
      <c r="K25" s="1030"/>
      <c r="L25" s="1030"/>
      <c r="M25" s="1030">
        <f t="shared" si="0"/>
        <v>0</v>
      </c>
    </row>
    <row r="26" spans="7:15" s="1034" customFormat="1" ht="15" x14ac:dyDescent="0.25">
      <c r="G26" s="1035">
        <f>SUM(G6:G25)</f>
        <v>1486085</v>
      </c>
      <c r="H26" s="1036"/>
      <c r="I26" s="1036"/>
      <c r="J26" s="1037">
        <f>SUM(J6:J25)</f>
        <v>207000</v>
      </c>
      <c r="K26" s="1037">
        <f>SUM(K6:K25)</f>
        <v>207000</v>
      </c>
      <c r="L26" s="1037">
        <f>SUM(L6:L25)</f>
        <v>0</v>
      </c>
      <c r="M26" s="1037">
        <f>SUM(M6:M25)</f>
        <v>207000</v>
      </c>
      <c r="O26" s="1028"/>
    </row>
    <row r="28" spans="7:15" x14ac:dyDescent="0.2">
      <c r="M28" s="1033">
        <f>+J26-M26</f>
        <v>0</v>
      </c>
    </row>
  </sheetData>
  <mergeCells count="7">
    <mergeCell ref="H2:M2"/>
    <mergeCell ref="H3:M3"/>
    <mergeCell ref="H4:H5"/>
    <mergeCell ref="I4:I5"/>
    <mergeCell ref="J4:J5"/>
    <mergeCell ref="K4:L4"/>
    <mergeCell ref="M4:M5"/>
  </mergeCells>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F45"/>
  <sheetViews>
    <sheetView view="pageBreakPreview" zoomScale="60" workbookViewId="0">
      <selection activeCell="E44" sqref="E44"/>
    </sheetView>
  </sheetViews>
  <sheetFormatPr defaultColWidth="24.7109375" defaultRowHeight="15" x14ac:dyDescent="0.25"/>
  <cols>
    <col min="3" max="3" width="29.5703125" bestFit="1" customWidth="1"/>
    <col min="4" max="4" width="20.42578125" customWidth="1"/>
    <col min="5" max="5" width="20.42578125" bestFit="1" customWidth="1"/>
    <col min="6" max="6" width="21.7109375" bestFit="1" customWidth="1"/>
  </cols>
  <sheetData>
    <row r="1" spans="2:6" x14ac:dyDescent="0.25">
      <c r="B1" s="300" t="s">
        <v>2274</v>
      </c>
    </row>
    <row r="2" spans="2:6" x14ac:dyDescent="0.25">
      <c r="E2" s="4"/>
      <c r="F2" s="244"/>
    </row>
    <row r="3" spans="2:6" x14ac:dyDescent="0.25">
      <c r="B3" s="1933" t="s">
        <v>2588</v>
      </c>
      <c r="C3" s="1934"/>
      <c r="D3" s="1934"/>
      <c r="E3" s="1934"/>
      <c r="F3" s="1893"/>
    </row>
    <row r="4" spans="2:6" ht="30" x14ac:dyDescent="0.25">
      <c r="B4" s="887" t="s">
        <v>2589</v>
      </c>
      <c r="C4" s="888" t="s">
        <v>2590</v>
      </c>
      <c r="D4" s="888" t="s">
        <v>2591</v>
      </c>
      <c r="E4" s="888" t="s">
        <v>2592</v>
      </c>
      <c r="F4" s="889" t="s">
        <v>2593</v>
      </c>
    </row>
    <row r="5" spans="2:6" x14ac:dyDescent="0.25">
      <c r="B5" s="829" t="s">
        <v>2594</v>
      </c>
      <c r="C5" s="890">
        <v>41900</v>
      </c>
      <c r="D5" s="891">
        <v>246000</v>
      </c>
      <c r="E5" s="257">
        <v>209000</v>
      </c>
      <c r="F5" s="892">
        <f>+D5-E5</f>
        <v>37000</v>
      </c>
    </row>
    <row r="6" spans="2:6" x14ac:dyDescent="0.25">
      <c r="B6" s="829" t="s">
        <v>2595</v>
      </c>
      <c r="C6" s="890">
        <v>41900</v>
      </c>
      <c r="D6" s="891">
        <v>504000</v>
      </c>
      <c r="E6" s="257">
        <v>428400</v>
      </c>
      <c r="F6" s="892">
        <f t="shared" ref="F6:F15" si="0">+D6-E6</f>
        <v>75600</v>
      </c>
    </row>
    <row r="7" spans="2:6" x14ac:dyDescent="0.25">
      <c r="B7" s="829" t="s">
        <v>2596</v>
      </c>
      <c r="C7" s="890">
        <v>41900</v>
      </c>
      <c r="D7" s="891">
        <v>1627500</v>
      </c>
      <c r="E7" s="257">
        <v>1383000</v>
      </c>
      <c r="F7" s="892">
        <f t="shared" si="0"/>
        <v>244500</v>
      </c>
    </row>
    <row r="8" spans="2:6" x14ac:dyDescent="0.25">
      <c r="B8" s="829" t="s">
        <v>2597</v>
      </c>
      <c r="C8" s="890">
        <v>41900</v>
      </c>
      <c r="D8" s="891">
        <v>904000</v>
      </c>
      <c r="E8" s="257">
        <v>768000</v>
      </c>
      <c r="F8" s="892">
        <f t="shared" si="0"/>
        <v>136000</v>
      </c>
    </row>
    <row r="9" spans="2:6" x14ac:dyDescent="0.25">
      <c r="B9" s="829" t="s">
        <v>2598</v>
      </c>
      <c r="C9" s="890">
        <v>41900</v>
      </c>
      <c r="D9" s="893">
        <v>1003000</v>
      </c>
      <c r="E9" s="257">
        <v>852000</v>
      </c>
      <c r="F9" s="892">
        <f t="shared" si="0"/>
        <v>151000</v>
      </c>
    </row>
    <row r="10" spans="2:6" x14ac:dyDescent="0.25">
      <c r="B10" s="829" t="s">
        <v>2599</v>
      </c>
      <c r="C10" s="890">
        <v>42164</v>
      </c>
      <c r="D10" s="893">
        <v>1481000</v>
      </c>
      <c r="E10" s="257">
        <v>1259000</v>
      </c>
      <c r="F10" s="892">
        <f t="shared" si="0"/>
        <v>222000</v>
      </c>
    </row>
    <row r="11" spans="2:6" x14ac:dyDescent="0.25">
      <c r="B11" s="829" t="s">
        <v>2600</v>
      </c>
      <c r="C11" s="890">
        <v>42530</v>
      </c>
      <c r="D11" s="893">
        <v>1541000</v>
      </c>
      <c r="E11" s="257">
        <v>1310000</v>
      </c>
      <c r="F11" s="892">
        <f t="shared" si="0"/>
        <v>231000</v>
      </c>
    </row>
    <row r="12" spans="2:6" x14ac:dyDescent="0.25">
      <c r="B12" s="829" t="s">
        <v>2601</v>
      </c>
      <c r="C12" s="890">
        <v>42922</v>
      </c>
      <c r="D12" s="893">
        <v>1727866</v>
      </c>
      <c r="E12" s="257">
        <v>1468800</v>
      </c>
      <c r="F12" s="892">
        <f t="shared" si="0"/>
        <v>259066</v>
      </c>
    </row>
    <row r="13" spans="2:6" x14ac:dyDescent="0.25">
      <c r="B13" s="829" t="s">
        <v>2602</v>
      </c>
      <c r="C13" s="890">
        <v>43263</v>
      </c>
      <c r="D13" s="893">
        <v>205500</v>
      </c>
      <c r="E13" s="257">
        <v>205500</v>
      </c>
      <c r="F13" s="892">
        <f t="shared" si="0"/>
        <v>0</v>
      </c>
    </row>
    <row r="14" spans="2:6" x14ac:dyDescent="0.25">
      <c r="B14" s="829" t="s">
        <v>2603</v>
      </c>
      <c r="C14" s="890">
        <v>43566</v>
      </c>
      <c r="D14" s="893">
        <v>9443500</v>
      </c>
      <c r="E14" s="246">
        <v>8026975</v>
      </c>
      <c r="F14" s="894">
        <f t="shared" si="0"/>
        <v>1416525</v>
      </c>
    </row>
    <row r="15" spans="2:6" x14ac:dyDescent="0.25">
      <c r="B15" s="829" t="s">
        <v>2604</v>
      </c>
      <c r="C15" s="890">
        <v>44082</v>
      </c>
      <c r="D15" s="893">
        <v>3663000</v>
      </c>
      <c r="E15" s="246">
        <v>0</v>
      </c>
      <c r="F15" s="894">
        <f t="shared" si="0"/>
        <v>3663000</v>
      </c>
    </row>
    <row r="16" spans="2:6" x14ac:dyDescent="0.25">
      <c r="B16" s="895" t="s">
        <v>2605</v>
      </c>
      <c r="C16" s="890"/>
      <c r="D16" s="893"/>
      <c r="E16" s="246"/>
      <c r="F16" s="894"/>
    </row>
    <row r="17" spans="2:6" x14ac:dyDescent="0.25">
      <c r="B17" s="829" t="s">
        <v>2606</v>
      </c>
      <c r="C17" s="890">
        <v>44082</v>
      </c>
      <c r="D17" s="893">
        <v>5770500</v>
      </c>
      <c r="E17" s="246">
        <v>0</v>
      </c>
      <c r="F17" s="894">
        <f t="shared" ref="F17:F18" si="1">+D17-E17</f>
        <v>5770500</v>
      </c>
    </row>
    <row r="18" spans="2:6" x14ac:dyDescent="0.25">
      <c r="B18" s="829" t="s">
        <v>2607</v>
      </c>
      <c r="C18" s="890">
        <v>44082</v>
      </c>
      <c r="D18" s="893">
        <v>9433500</v>
      </c>
      <c r="E18" s="246">
        <v>0</v>
      </c>
      <c r="F18" s="894">
        <f t="shared" si="1"/>
        <v>9433500</v>
      </c>
    </row>
    <row r="19" spans="2:6" x14ac:dyDescent="0.25">
      <c r="B19" s="896"/>
      <c r="C19" s="246"/>
      <c r="D19" s="246"/>
      <c r="E19" s="246"/>
      <c r="F19" s="894"/>
    </row>
    <row r="20" spans="2:6" ht="15.75" thickBot="1" x14ac:dyDescent="0.3">
      <c r="B20" s="897"/>
      <c r="C20" s="898"/>
      <c r="D20" s="898">
        <f>SUM(D5:D19)</f>
        <v>37550366</v>
      </c>
      <c r="E20" s="898">
        <f>SUM(E5:E19)</f>
        <v>15910675</v>
      </c>
      <c r="F20" s="899">
        <f>SUM(F5:F19)</f>
        <v>21639691</v>
      </c>
    </row>
    <row r="21" spans="2:6" ht="15.75" thickTop="1" x14ac:dyDescent="0.25">
      <c r="B21" s="900"/>
      <c r="C21" s="901"/>
      <c r="F21" s="847"/>
    </row>
    <row r="22" spans="2:6" x14ac:dyDescent="0.25">
      <c r="B22" s="902"/>
      <c r="C22" s="901"/>
      <c r="F22" s="847"/>
    </row>
    <row r="23" spans="2:6" x14ac:dyDescent="0.25">
      <c r="B23" s="895" t="s">
        <v>2608</v>
      </c>
      <c r="C23" s="903"/>
      <c r="F23" s="847"/>
    </row>
    <row r="24" spans="2:6" x14ac:dyDescent="0.25">
      <c r="B24" s="829" t="s">
        <v>2609</v>
      </c>
      <c r="E24" s="901">
        <f>+D20</f>
        <v>37550366</v>
      </c>
      <c r="F24" s="904"/>
    </row>
    <row r="25" spans="2:6" x14ac:dyDescent="0.25">
      <c r="B25" s="829" t="s">
        <v>2610</v>
      </c>
      <c r="E25" s="901">
        <f>+E20</f>
        <v>15910675</v>
      </c>
      <c r="F25" s="904"/>
    </row>
    <row r="26" spans="2:6" ht="15.75" thickBot="1" x14ac:dyDescent="0.3">
      <c r="B26" s="905" t="s">
        <v>2611</v>
      </c>
      <c r="C26" s="906"/>
      <c r="D26" s="906"/>
      <c r="E26" s="907">
        <f>+E24-E25</f>
        <v>21639691</v>
      </c>
      <c r="F26" s="908"/>
    </row>
    <row r="27" spans="2:6" ht="15.75" thickTop="1" x14ac:dyDescent="0.25">
      <c r="B27" s="829"/>
      <c r="F27" s="847"/>
    </row>
    <row r="28" spans="2:6" x14ac:dyDescent="0.25">
      <c r="B28" s="829"/>
      <c r="F28" s="847"/>
    </row>
    <row r="29" spans="2:6" x14ac:dyDescent="0.25">
      <c r="B29" s="909" t="s">
        <v>2612</v>
      </c>
      <c r="E29" s="910">
        <f>+E26</f>
        <v>21639691</v>
      </c>
      <c r="F29" s="847"/>
    </row>
    <row r="30" spans="2:6" x14ac:dyDescent="0.25">
      <c r="B30" s="909"/>
      <c r="E30" s="910"/>
      <c r="F30" s="847"/>
    </row>
    <row r="31" spans="2:6" x14ac:dyDescent="0.25">
      <c r="B31" s="909" t="s">
        <v>2613</v>
      </c>
      <c r="F31" s="847"/>
    </row>
    <row r="32" spans="2:6" x14ac:dyDescent="0.25">
      <c r="B32" s="829" t="s">
        <v>2604</v>
      </c>
      <c r="C32" s="890">
        <v>44082</v>
      </c>
      <c r="D32" s="246">
        <v>3113550</v>
      </c>
      <c r="E32" s="246"/>
      <c r="F32" s="894"/>
    </row>
    <row r="33" spans="2:6" x14ac:dyDescent="0.25">
      <c r="B33" s="829" t="s">
        <v>2606</v>
      </c>
      <c r="C33" s="890">
        <v>44082</v>
      </c>
      <c r="D33" s="246">
        <v>4327000</v>
      </c>
      <c r="E33" s="246"/>
      <c r="F33" s="894"/>
    </row>
    <row r="34" spans="2:6" x14ac:dyDescent="0.25">
      <c r="B34" s="829" t="s">
        <v>2614</v>
      </c>
      <c r="C34" s="890">
        <v>44082</v>
      </c>
      <c r="D34" s="246">
        <v>7074000</v>
      </c>
      <c r="E34" s="246"/>
      <c r="F34" s="894"/>
    </row>
    <row r="35" spans="2:6" x14ac:dyDescent="0.25">
      <c r="B35" s="829" t="s">
        <v>2615</v>
      </c>
      <c r="C35" s="890">
        <v>44286</v>
      </c>
      <c r="D35" s="257">
        <v>231000</v>
      </c>
      <c r="F35" s="847"/>
    </row>
    <row r="36" spans="2:6" x14ac:dyDescent="0.25">
      <c r="B36" s="829" t="s">
        <v>2616</v>
      </c>
      <c r="C36" s="890">
        <v>44286</v>
      </c>
      <c r="D36" s="257">
        <v>244500</v>
      </c>
      <c r="F36" s="847"/>
    </row>
    <row r="37" spans="2:6" x14ac:dyDescent="0.25">
      <c r="B37" s="829" t="s">
        <v>2617</v>
      </c>
      <c r="C37" s="890">
        <v>44286</v>
      </c>
      <c r="D37" s="257">
        <v>222000</v>
      </c>
      <c r="F37" s="847"/>
    </row>
    <row r="38" spans="2:6" x14ac:dyDescent="0.25">
      <c r="B38" s="829" t="s">
        <v>2618</v>
      </c>
      <c r="C38" s="890">
        <v>44286</v>
      </c>
      <c r="D38" s="257">
        <v>259200</v>
      </c>
      <c r="F38" s="847"/>
    </row>
    <row r="39" spans="2:6" x14ac:dyDescent="0.25">
      <c r="B39" s="829" t="s">
        <v>2619</v>
      </c>
      <c r="C39" s="890">
        <v>44286</v>
      </c>
      <c r="D39" s="257">
        <v>151000</v>
      </c>
      <c r="F39" s="847"/>
    </row>
    <row r="40" spans="2:6" x14ac:dyDescent="0.25">
      <c r="B40" s="829"/>
      <c r="D40" s="911">
        <f>SUM(D32:D39)</f>
        <v>15622250</v>
      </c>
      <c r="E40" s="912">
        <f>+D40</f>
        <v>15622250</v>
      </c>
      <c r="F40" s="847"/>
    </row>
    <row r="41" spans="2:6" ht="15.75" thickBot="1" x14ac:dyDescent="0.3">
      <c r="B41" s="829"/>
      <c r="C41" s="906"/>
      <c r="D41" s="913" t="s">
        <v>2620</v>
      </c>
      <c r="E41" s="907">
        <f>+E29-E40</f>
        <v>6017441</v>
      </c>
      <c r="F41" s="847"/>
    </row>
    <row r="42" spans="2:6" ht="15.75" thickTop="1" x14ac:dyDescent="0.25">
      <c r="B42" s="914"/>
      <c r="C42" s="915" t="s">
        <v>2621</v>
      </c>
      <c r="D42" s="915"/>
      <c r="E42" s="916">
        <v>9433000</v>
      </c>
      <c r="F42" s="847"/>
    </row>
    <row r="43" spans="2:6" x14ac:dyDescent="0.25">
      <c r="B43" s="1933" t="s">
        <v>2622</v>
      </c>
      <c r="C43" s="1934"/>
      <c r="D43" s="1934"/>
      <c r="E43" s="918">
        <f>+E42+E41</f>
        <v>15450441</v>
      </c>
      <c r="F43" s="917"/>
    </row>
    <row r="44" spans="2:6" x14ac:dyDescent="0.25">
      <c r="C44" t="s">
        <v>1424</v>
      </c>
      <c r="E44" s="244">
        <v>7074000</v>
      </c>
    </row>
    <row r="45" spans="2:6" x14ac:dyDescent="0.25">
      <c r="C45" t="s">
        <v>1425</v>
      </c>
      <c r="E45" s="244">
        <f>+E43-E44</f>
        <v>8376441</v>
      </c>
    </row>
  </sheetData>
  <customSheetViews>
    <customSheetView guid="{334DC1DD-AD60-4D12-A532-9CEE6201A253}">
      <selection activeCell="D25" sqref="D25"/>
      <pageMargins left="0.7" right="0.7" top="0.75" bottom="0.75" header="0.3" footer="0.3"/>
    </customSheetView>
    <customSheetView guid="{BD5AA3B3-719E-4481-B722-8DE3E8101662}">
      <selection activeCell="D5" sqref="D5"/>
      <pageMargins left="0.7" right="0.7" top="0.75" bottom="0.75" header="0.3" footer="0.3"/>
    </customSheetView>
  </customSheetViews>
  <mergeCells count="2">
    <mergeCell ref="B3:F3"/>
    <mergeCell ref="B43:D43"/>
  </mergeCells>
  <pageMargins left="0.7" right="0.7" top="0.75" bottom="0.75" header="0.3" footer="0.3"/>
  <pageSetup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3"/>
  <sheetViews>
    <sheetView topLeftCell="A16" workbookViewId="0">
      <selection activeCell="D10" sqref="D10"/>
    </sheetView>
  </sheetViews>
  <sheetFormatPr defaultRowHeight="15" x14ac:dyDescent="0.25"/>
  <cols>
    <col min="2" max="2" width="50.7109375" bestFit="1" customWidth="1"/>
    <col min="3" max="3" width="15.7109375" customWidth="1"/>
    <col min="4" max="4" width="15.140625" customWidth="1"/>
    <col min="5" max="5" width="22.42578125" bestFit="1" customWidth="1"/>
    <col min="6" max="7" width="22.42578125" customWidth="1"/>
    <col min="8" max="8" width="22.42578125" bestFit="1" customWidth="1"/>
    <col min="9" max="10" width="9.7109375" bestFit="1" customWidth="1"/>
  </cols>
  <sheetData>
    <row r="1" spans="1:10" x14ac:dyDescent="0.25">
      <c r="A1">
        <v>1</v>
      </c>
    </row>
    <row r="3" spans="1:10" ht="18.75" x14ac:dyDescent="0.25">
      <c r="B3" s="1722" t="s">
        <v>907</v>
      </c>
      <c r="C3" s="1937"/>
      <c r="D3" s="1937"/>
      <c r="E3" s="1937"/>
      <c r="F3" s="1937"/>
      <c r="G3" s="1937"/>
      <c r="H3" s="1937"/>
    </row>
    <row r="4" spans="1:10" ht="18.75" x14ac:dyDescent="0.25">
      <c r="B4" s="1776" t="s">
        <v>2314</v>
      </c>
      <c r="C4" s="1777"/>
      <c r="D4" s="1777"/>
      <c r="E4" s="1777"/>
      <c r="F4" s="1777"/>
      <c r="G4" s="1777"/>
      <c r="H4" s="1777"/>
    </row>
    <row r="5" spans="1:10" ht="18.75" x14ac:dyDescent="0.25">
      <c r="B5" s="1936" t="s">
        <v>9</v>
      </c>
      <c r="C5" s="1935" t="s">
        <v>2312</v>
      </c>
      <c r="D5" s="1935"/>
      <c r="E5" s="1935"/>
      <c r="F5" s="1935" t="s">
        <v>2313</v>
      </c>
      <c r="G5" s="1935"/>
      <c r="H5" s="1935"/>
    </row>
    <row r="6" spans="1:10" ht="18.75" x14ac:dyDescent="0.3">
      <c r="B6" s="1936"/>
      <c r="C6" s="416" t="s">
        <v>2311</v>
      </c>
      <c r="D6" s="416" t="s">
        <v>2293</v>
      </c>
      <c r="E6" s="166" t="s">
        <v>1415</v>
      </c>
      <c r="F6" s="416" t="s">
        <v>2311</v>
      </c>
      <c r="G6" s="416" t="s">
        <v>2293</v>
      </c>
      <c r="H6" s="166" t="s">
        <v>1415</v>
      </c>
    </row>
    <row r="7" spans="1:10" ht="18.75" x14ac:dyDescent="0.3">
      <c r="B7" s="417" t="s">
        <v>958</v>
      </c>
      <c r="C7" s="418">
        <v>32969.936000000009</v>
      </c>
      <c r="D7" s="419">
        <f>+E7/C7</f>
        <v>24291.904637000196</v>
      </c>
      <c r="E7" s="82">
        <f>+BSPL!F426</f>
        <v>800902541.19999993</v>
      </c>
      <c r="F7" s="415">
        <v>33997.266999999993</v>
      </c>
      <c r="G7" s="414">
        <f>+H7/F7</f>
        <v>20274.645270750734</v>
      </c>
      <c r="H7" s="82">
        <f>+BSPL!G426</f>
        <v>689282528.5999999</v>
      </c>
    </row>
    <row r="8" spans="1:10" ht="18.75" x14ac:dyDescent="0.3">
      <c r="B8" s="40" t="s">
        <v>959</v>
      </c>
      <c r="C8" s="43"/>
      <c r="D8" s="43"/>
      <c r="E8" s="45">
        <f>+BSPL!F79/$A$1</f>
        <v>1189801</v>
      </c>
      <c r="F8" s="45"/>
      <c r="G8" s="45"/>
      <c r="H8" s="45">
        <f>+BSPL!G79/$A$1</f>
        <v>1037875</v>
      </c>
    </row>
    <row r="9" spans="1:10" ht="18.75" x14ac:dyDescent="0.25">
      <c r="B9" s="426" t="s">
        <v>960</v>
      </c>
      <c r="C9" s="428">
        <f>+C7</f>
        <v>32969.936000000009</v>
      </c>
      <c r="D9" s="429">
        <f>+E9/C9</f>
        <v>24327.992089520576</v>
      </c>
      <c r="E9" s="84">
        <f>+E7+E8</f>
        <v>802092342.19999993</v>
      </c>
      <c r="F9" s="428">
        <f>+F7</f>
        <v>33997.266999999993</v>
      </c>
      <c r="G9" s="429">
        <f>+H9/F9</f>
        <v>20305.173459972535</v>
      </c>
      <c r="H9" s="84">
        <f>+H7+H8</f>
        <v>690320403.5999999</v>
      </c>
      <c r="I9" s="441">
        <f>+E9-E10</f>
        <v>1226836.3130828142</v>
      </c>
      <c r="J9" s="441">
        <f>+H9-H10</f>
        <v>4719978.1811172962</v>
      </c>
    </row>
    <row r="10" spans="1:10" ht="18.75" x14ac:dyDescent="0.25">
      <c r="B10" s="434" t="s">
        <v>2319</v>
      </c>
      <c r="C10" s="438">
        <f>+C13</f>
        <v>32919.506999999998</v>
      </c>
      <c r="D10" s="439">
        <f>+D9</f>
        <v>24327.992089520576</v>
      </c>
      <c r="E10" s="440">
        <f>+D10*C10</f>
        <v>800865505.88691711</v>
      </c>
      <c r="F10" s="438">
        <f>+F13</f>
        <v>33764.815000000002</v>
      </c>
      <c r="G10" s="439">
        <f>+G9</f>
        <v>20305.173459972535</v>
      </c>
      <c r="H10" s="440">
        <f>+G10*F10</f>
        <v>685600425.41888261</v>
      </c>
      <c r="I10" s="443">
        <f>+C9-C10</f>
        <v>50.429000000011001</v>
      </c>
      <c r="J10" s="442">
        <f>+F9-F10</f>
        <v>232.45199999999022</v>
      </c>
    </row>
    <row r="11" spans="1:10" ht="18.75" x14ac:dyDescent="0.25">
      <c r="B11" s="434"/>
      <c r="C11" s="438"/>
      <c r="D11" s="439"/>
      <c r="E11" s="440"/>
      <c r="F11" s="438"/>
      <c r="G11" s="439"/>
      <c r="H11" s="440"/>
      <c r="I11" s="442"/>
    </row>
    <row r="12" spans="1:10" ht="18.75" x14ac:dyDescent="0.25">
      <c r="B12" s="420" t="s">
        <v>961</v>
      </c>
      <c r="C12" s="40"/>
      <c r="D12" s="40"/>
      <c r="E12" s="41"/>
      <c r="F12" s="41"/>
      <c r="G12" s="41"/>
      <c r="H12" s="41"/>
    </row>
    <row r="13" spans="1:10" ht="18.75" x14ac:dyDescent="0.3">
      <c r="B13" s="40" t="s">
        <v>962</v>
      </c>
      <c r="C13" s="421">
        <v>32919.506999999998</v>
      </c>
      <c r="D13" s="422">
        <f>+E13/C13</f>
        <v>16796.111098808375</v>
      </c>
      <c r="E13" s="45">
        <f>+BSPL!F82/$A$1</f>
        <v>552919696.88999999</v>
      </c>
      <c r="F13" s="423">
        <v>33764.815000000002</v>
      </c>
      <c r="G13" s="422">
        <f>+H13/F13</f>
        <v>12820.329811373169</v>
      </c>
      <c r="H13" s="45">
        <f>+BSPL!G82/$A$1</f>
        <v>432876064.31999999</v>
      </c>
    </row>
    <row r="14" spans="1:10" ht="18.75" x14ac:dyDescent="0.3">
      <c r="B14" s="40" t="s">
        <v>963</v>
      </c>
      <c r="C14" s="43"/>
      <c r="D14" s="43"/>
      <c r="E14" s="45">
        <f>+BSPL!F83/$A$1</f>
        <v>0</v>
      </c>
      <c r="F14" s="45"/>
      <c r="G14" s="45"/>
      <c r="H14" s="45">
        <f>+BSPL!G83/$A$1</f>
        <v>1234765</v>
      </c>
    </row>
    <row r="15" spans="1:10" s="259" customFormat="1" ht="18.75" x14ac:dyDescent="0.3">
      <c r="B15" s="444" t="s">
        <v>964</v>
      </c>
      <c r="C15" s="445"/>
      <c r="D15" s="446"/>
      <c r="E15" s="310">
        <f>+BSPL!F84/$A$1</f>
        <v>-8248259.7178893462</v>
      </c>
      <c r="F15" s="445"/>
      <c r="G15" s="446"/>
      <c r="H15" s="310">
        <f>+BSPL!G84/$A$1</f>
        <v>5686699.3852898097</v>
      </c>
    </row>
    <row r="16" spans="1:10" ht="18.75" x14ac:dyDescent="0.3">
      <c r="B16" s="40" t="s">
        <v>965</v>
      </c>
      <c r="C16" s="421"/>
      <c r="D16" s="422"/>
      <c r="E16" s="45">
        <f>+BSPL!F85/$A$1</f>
        <v>21641049</v>
      </c>
      <c r="F16" s="421"/>
      <c r="G16" s="422"/>
      <c r="H16" s="45">
        <f>+BSPL!G85/$A$1</f>
        <v>21336667</v>
      </c>
    </row>
    <row r="17" spans="2:8" ht="18.75" x14ac:dyDescent="0.3">
      <c r="B17" s="424" t="s">
        <v>967</v>
      </c>
      <c r="C17" s="421"/>
      <c r="D17" s="422"/>
      <c r="E17" s="45">
        <f>+BSPL!F87/$A$1</f>
        <v>17727981.603100225</v>
      </c>
      <c r="F17" s="421"/>
      <c r="G17" s="422"/>
      <c r="H17" s="45">
        <f>+BSPL!G87/$A$1</f>
        <v>17192939</v>
      </c>
    </row>
    <row r="18" spans="2:8" ht="18.75" x14ac:dyDescent="0.3">
      <c r="B18" s="40" t="s">
        <v>2315</v>
      </c>
      <c r="C18" s="421"/>
      <c r="D18" s="422"/>
      <c r="E18" s="45">
        <f>+BSPL!F474</f>
        <v>168170836.64999998</v>
      </c>
      <c r="F18" s="421"/>
      <c r="G18" s="422"/>
      <c r="H18" s="45">
        <f>+BSPL!G474</f>
        <v>178864543.94999999</v>
      </c>
    </row>
    <row r="19" spans="2:8" ht="18.75" x14ac:dyDescent="0.3">
      <c r="B19" s="426" t="s">
        <v>2316</v>
      </c>
      <c r="C19" s="435">
        <f>+C13</f>
        <v>32919.506999999998</v>
      </c>
      <c r="D19" s="436">
        <f>+E19/C19</f>
        <v>22850.017299020026</v>
      </c>
      <c r="E19" s="49">
        <f>+SUM(E13:E18)</f>
        <v>752211304.42521083</v>
      </c>
      <c r="F19" s="435">
        <f>+F13</f>
        <v>33764.815000000002</v>
      </c>
      <c r="G19" s="436">
        <f>+H19/F19</f>
        <v>19463.802145970287</v>
      </c>
      <c r="H19" s="49">
        <f>+SUM(H13:H18)</f>
        <v>657191678.65528977</v>
      </c>
    </row>
    <row r="20" spans="2:8" ht="18.75" x14ac:dyDescent="0.3">
      <c r="B20" s="426" t="s">
        <v>2317</v>
      </c>
      <c r="C20" s="435">
        <f>+C19</f>
        <v>32919.506999999998</v>
      </c>
      <c r="D20" s="436">
        <f>+E20/C20</f>
        <v>1477.9747905005468</v>
      </c>
      <c r="E20" s="437">
        <f>+E10-E19</f>
        <v>48654201.461706281</v>
      </c>
      <c r="F20" s="435">
        <f>+F19</f>
        <v>33764.815000000002</v>
      </c>
      <c r="G20" s="436">
        <f>+H20/F20</f>
        <v>841.37131400224871</v>
      </c>
      <c r="H20" s="437">
        <f>+H10-H19</f>
        <v>28408746.763592839</v>
      </c>
    </row>
    <row r="21" spans="2:8" ht="18.75" x14ac:dyDescent="0.3">
      <c r="B21" s="40" t="s">
        <v>966</v>
      </c>
      <c r="C21" s="421"/>
      <c r="D21" s="422"/>
      <c r="E21" s="45">
        <f>+BSPL!F86/$A$1</f>
        <v>6372184.9500000002</v>
      </c>
      <c r="F21" s="421"/>
      <c r="G21" s="422"/>
      <c r="H21" s="45">
        <f>+BSPL!G86/$A$1</f>
        <v>9356360.9400000013</v>
      </c>
    </row>
    <row r="22" spans="2:8" ht="18.75" x14ac:dyDescent="0.3">
      <c r="B22" s="40" t="s">
        <v>968</v>
      </c>
      <c r="C22" s="421"/>
      <c r="D22" s="422"/>
      <c r="E22" s="45">
        <f>+BSPL!F505+BSPL!F511-BSPL!F482</f>
        <v>13190939.350000001</v>
      </c>
      <c r="F22" s="45"/>
      <c r="G22" s="422"/>
      <c r="H22" s="45">
        <f>+BSPL!G505+BSPL!G511-BSPL!G482</f>
        <v>11336814.6</v>
      </c>
    </row>
    <row r="23" spans="2:8" ht="18.75" x14ac:dyDescent="0.25">
      <c r="B23" s="426" t="s">
        <v>969</v>
      </c>
      <c r="C23" s="430">
        <f>+C13</f>
        <v>32919.506999999998</v>
      </c>
      <c r="D23" s="431">
        <f>+E23/C23</f>
        <v>23444.288783705382</v>
      </c>
      <c r="E23" s="84">
        <f>+SUM(E21:E22)+E19</f>
        <v>771774428.72521079</v>
      </c>
      <c r="F23" s="430">
        <f>+F13</f>
        <v>33764.815000000002</v>
      </c>
      <c r="G23" s="431">
        <f>+H23/F23</f>
        <v>20076.664249316626</v>
      </c>
      <c r="H23" s="84">
        <f>+SUM(H21:H22)+H19</f>
        <v>677884854.19528973</v>
      </c>
    </row>
    <row r="24" spans="2:8" ht="18.75" x14ac:dyDescent="0.25">
      <c r="B24" s="432" t="s">
        <v>2318</v>
      </c>
      <c r="C24" s="430">
        <f>+C23</f>
        <v>32919.506999999998</v>
      </c>
      <c r="D24" s="431">
        <f>+E24/C24</f>
        <v>883.70330581519124</v>
      </c>
      <c r="E24" s="84">
        <f>+E10-E23</f>
        <v>29091077.161706328</v>
      </c>
      <c r="F24" s="430">
        <f>+F23</f>
        <v>33764.815000000002</v>
      </c>
      <c r="G24" s="431">
        <f>+H24/F24</f>
        <v>228.5092106559114</v>
      </c>
      <c r="H24" s="84">
        <f>+H10-H23</f>
        <v>7715571.2235928774</v>
      </c>
    </row>
    <row r="25" spans="2:8" ht="18.75" x14ac:dyDescent="0.25">
      <c r="B25" s="424" t="s">
        <v>971</v>
      </c>
      <c r="C25" s="40"/>
      <c r="D25" s="40"/>
      <c r="E25" s="41"/>
      <c r="F25" s="41"/>
      <c r="G25" s="41"/>
      <c r="H25" s="41">
        <v>0</v>
      </c>
    </row>
    <row r="26" spans="2:8" ht="18.75" x14ac:dyDescent="0.25">
      <c r="B26" s="424"/>
      <c r="C26" s="40"/>
      <c r="D26" s="40"/>
      <c r="E26" s="41"/>
      <c r="F26" s="41"/>
      <c r="G26" s="41"/>
      <c r="H26" s="41"/>
    </row>
    <row r="27" spans="2:8" ht="18.75" x14ac:dyDescent="0.25">
      <c r="B27" s="426" t="s">
        <v>972</v>
      </c>
      <c r="C27" s="433"/>
      <c r="D27" s="433"/>
      <c r="E27" s="84">
        <f>+E24-E25</f>
        <v>29091077.161706328</v>
      </c>
      <c r="F27" s="84"/>
      <c r="G27" s="84"/>
      <c r="H27" s="84">
        <f>+H24-H25</f>
        <v>7715571.2235928774</v>
      </c>
    </row>
    <row r="28" spans="2:8" ht="18.75" x14ac:dyDescent="0.25">
      <c r="B28" s="40" t="s">
        <v>973</v>
      </c>
      <c r="C28" s="425"/>
      <c r="D28" s="425"/>
      <c r="E28" s="41"/>
      <c r="F28" s="41"/>
      <c r="G28" s="41"/>
      <c r="H28" s="41"/>
    </row>
    <row r="29" spans="2:8" ht="18.75" x14ac:dyDescent="0.3">
      <c r="B29" s="40" t="s">
        <v>974</v>
      </c>
      <c r="C29" s="43"/>
      <c r="D29" s="43"/>
      <c r="E29" s="80">
        <f>+(E27*0.22)</f>
        <v>6400036.9755753921</v>
      </c>
      <c r="F29" s="80"/>
      <c r="G29" s="80"/>
      <c r="H29" s="80">
        <f>+(H27*0.22)</f>
        <v>1697425.6691904331</v>
      </c>
    </row>
    <row r="30" spans="2:8" ht="18.75" x14ac:dyDescent="0.3">
      <c r="B30" s="40" t="s">
        <v>975</v>
      </c>
      <c r="C30" s="43"/>
      <c r="D30" s="43"/>
      <c r="E30" s="47"/>
      <c r="F30" s="47"/>
      <c r="G30" s="47"/>
      <c r="H30" s="45"/>
    </row>
    <row r="31" spans="2:8" ht="18.75" x14ac:dyDescent="0.3">
      <c r="B31" s="40" t="s">
        <v>976</v>
      </c>
      <c r="C31" s="43"/>
      <c r="D31" s="43"/>
      <c r="E31" s="47"/>
      <c r="F31" s="47"/>
      <c r="G31" s="47"/>
      <c r="H31" s="45"/>
    </row>
    <row r="32" spans="2:8" ht="18.75" x14ac:dyDescent="0.3">
      <c r="B32" s="40"/>
      <c r="C32" s="43"/>
      <c r="D32" s="43"/>
      <c r="E32" s="47">
        <f>+SUM(E29:E31)</f>
        <v>6400036.9755753921</v>
      </c>
      <c r="F32" s="47"/>
      <c r="G32" s="47"/>
      <c r="H32" s="47">
        <f>+SUM(H29:H31)</f>
        <v>1697425.6691904331</v>
      </c>
    </row>
    <row r="33" spans="2:8" ht="18.75" x14ac:dyDescent="0.25">
      <c r="B33" s="426" t="s">
        <v>977</v>
      </c>
      <c r="C33" s="427"/>
      <c r="D33" s="427"/>
      <c r="E33" s="84">
        <f>+E27-E32</f>
        <v>22691040.186130937</v>
      </c>
      <c r="F33" s="84"/>
      <c r="G33" s="84"/>
      <c r="H33" s="84">
        <f>+H27-H32</f>
        <v>6018145.5544024445</v>
      </c>
    </row>
  </sheetData>
  <customSheetViews>
    <customSheetView guid="{334DC1DD-AD60-4D12-A532-9CEE6201A253}" topLeftCell="A7">
      <selection activeCell="D22" sqref="D22"/>
      <pageMargins left="0.7" right="0.7" top="0.75" bottom="0.75" header="0.3" footer="0.3"/>
      <pageSetup paperSize="9" orientation="portrait" r:id="rId1"/>
    </customSheetView>
    <customSheetView guid="{BD5AA3B3-719E-4481-B722-8DE3E8101662}" topLeftCell="A7">
      <selection activeCell="D22" sqref="D22"/>
      <pageMargins left="0.7" right="0.7" top="0.75" bottom="0.75" header="0.3" footer="0.3"/>
      <pageSetup paperSize="9" orientation="portrait" r:id="rId2"/>
    </customSheetView>
  </customSheetViews>
  <mergeCells count="5">
    <mergeCell ref="C5:E5"/>
    <mergeCell ref="F5:H5"/>
    <mergeCell ref="B5:B6"/>
    <mergeCell ref="B3:H3"/>
    <mergeCell ref="B4:H4"/>
  </mergeCell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59"/>
  <sheetViews>
    <sheetView topLeftCell="A7" zoomScale="80" zoomScaleNormal="80" workbookViewId="0">
      <selection activeCell="D4" sqref="D4"/>
    </sheetView>
  </sheetViews>
  <sheetFormatPr defaultRowHeight="15" x14ac:dyDescent="0.25"/>
  <cols>
    <col min="3" max="3" width="45.28515625" bestFit="1" customWidth="1"/>
    <col min="4" max="4" width="16.28515625" style="244" bestFit="1" customWidth="1"/>
    <col min="5" max="5" width="13.5703125" style="244" bestFit="1" customWidth="1"/>
    <col min="6" max="6" width="15.28515625" style="244" bestFit="1" customWidth="1"/>
    <col min="8" max="8" width="15.5703125" customWidth="1"/>
    <col min="9" max="9" width="14.28515625" bestFit="1" customWidth="1"/>
    <col min="10" max="10" width="12.5703125" bestFit="1" customWidth="1"/>
    <col min="11" max="11" width="13.85546875" bestFit="1" customWidth="1"/>
    <col min="13" max="13" width="14.5703125" customWidth="1"/>
    <col min="14" max="15" width="12.5703125" bestFit="1" customWidth="1"/>
    <col min="16" max="16" width="12.28515625" bestFit="1" customWidth="1"/>
  </cols>
  <sheetData>
    <row r="2" spans="3:16" x14ac:dyDescent="0.25">
      <c r="C2" s="300" t="s">
        <v>1427</v>
      </c>
    </row>
    <row r="3" spans="3:16" x14ac:dyDescent="0.25">
      <c r="C3" s="301" t="s">
        <v>9</v>
      </c>
      <c r="D3" s="302" t="s">
        <v>10</v>
      </c>
      <c r="E3" s="302" t="s">
        <v>1424</v>
      </c>
      <c r="F3" s="302" t="s">
        <v>1425</v>
      </c>
    </row>
    <row r="4" spans="3:16" x14ac:dyDescent="0.25">
      <c r="C4" s="260" t="s">
        <v>340</v>
      </c>
      <c r="D4" s="304">
        <f>+D15</f>
        <v>14600000</v>
      </c>
      <c r="E4" s="304">
        <f>+E27</f>
        <v>4055560</v>
      </c>
      <c r="F4" s="304">
        <f>+D4-E4</f>
        <v>10544440</v>
      </c>
    </row>
    <row r="5" spans="3:16" x14ac:dyDescent="0.25">
      <c r="C5" s="260" t="s">
        <v>342</v>
      </c>
      <c r="D5" s="304">
        <f>+I15</f>
        <v>3874175</v>
      </c>
      <c r="E5" s="304">
        <f>+J29</f>
        <v>3300000</v>
      </c>
      <c r="F5" s="304">
        <f t="shared" ref="F5:F6" si="0">+D5-E5</f>
        <v>574175</v>
      </c>
    </row>
    <row r="6" spans="3:16" x14ac:dyDescent="0.25">
      <c r="C6" s="260" t="s">
        <v>343</v>
      </c>
      <c r="D6" s="304">
        <f>+N15</f>
        <v>3118016</v>
      </c>
      <c r="E6" s="304">
        <f>+O29</f>
        <v>2400000</v>
      </c>
      <c r="F6" s="304">
        <f t="shared" si="0"/>
        <v>718016</v>
      </c>
    </row>
    <row r="7" spans="3:16" x14ac:dyDescent="0.25">
      <c r="C7" s="301" t="s">
        <v>1079</v>
      </c>
      <c r="D7" s="302">
        <f>+SUM(D4:D6)</f>
        <v>21592191</v>
      </c>
      <c r="E7" s="302">
        <f t="shared" ref="E7:F7" si="1">+SUM(E4:E6)</f>
        <v>9755560</v>
      </c>
      <c r="F7" s="302">
        <f t="shared" si="1"/>
        <v>11836631</v>
      </c>
    </row>
    <row r="11" spans="3:16" x14ac:dyDescent="0.25">
      <c r="C11" s="300" t="s">
        <v>340</v>
      </c>
      <c r="H11" s="300" t="s">
        <v>342</v>
      </c>
      <c r="M11" s="300" t="s">
        <v>343</v>
      </c>
    </row>
    <row r="12" spans="3:16" x14ac:dyDescent="0.25">
      <c r="C12" t="s">
        <v>1414</v>
      </c>
    </row>
    <row r="13" spans="3:16" x14ac:dyDescent="0.25">
      <c r="C13" s="301" t="s">
        <v>1418</v>
      </c>
      <c r="D13" s="302" t="s">
        <v>1415</v>
      </c>
      <c r="E13" s="302" t="s">
        <v>1416</v>
      </c>
      <c r="F13" s="302" t="s">
        <v>1417</v>
      </c>
      <c r="H13" s="301" t="s">
        <v>1418</v>
      </c>
      <c r="I13" s="302" t="s">
        <v>1415</v>
      </c>
      <c r="J13" s="302" t="s">
        <v>1416</v>
      </c>
      <c r="K13" s="302" t="s">
        <v>1417</v>
      </c>
      <c r="M13" s="301" t="s">
        <v>1418</v>
      </c>
      <c r="N13" s="302" t="s">
        <v>1415</v>
      </c>
      <c r="O13" s="302" t="s">
        <v>1416</v>
      </c>
      <c r="P13" s="302" t="s">
        <v>1417</v>
      </c>
    </row>
    <row r="14" spans="3:16" x14ac:dyDescent="0.25">
      <c r="C14" s="301"/>
      <c r="D14" s="302"/>
      <c r="E14" s="302"/>
      <c r="F14" s="302"/>
      <c r="H14" s="301"/>
      <c r="I14" s="302"/>
      <c r="J14" s="302"/>
      <c r="K14" s="302"/>
      <c r="M14" s="301"/>
      <c r="N14" s="302"/>
      <c r="O14" s="302"/>
      <c r="P14" s="302"/>
    </row>
    <row r="15" spans="3:16" x14ac:dyDescent="0.25">
      <c r="C15" s="301" t="s">
        <v>1423</v>
      </c>
      <c r="D15" s="302">
        <v>14600000</v>
      </c>
      <c r="E15" s="302"/>
      <c r="F15" s="302"/>
      <c r="H15" s="301" t="s">
        <v>1423</v>
      </c>
      <c r="I15" s="302">
        <v>3874175</v>
      </c>
      <c r="J15" s="302"/>
      <c r="K15" s="302"/>
      <c r="M15" s="301" t="s">
        <v>1423</v>
      </c>
      <c r="N15" s="302">
        <v>3118016</v>
      </c>
      <c r="O15" s="302"/>
      <c r="P15" s="302"/>
    </row>
    <row r="16" spans="3:16" x14ac:dyDescent="0.25">
      <c r="C16" s="303" t="s">
        <v>1419</v>
      </c>
      <c r="D16" s="304"/>
      <c r="E16" s="304"/>
      <c r="F16" s="304"/>
      <c r="H16" s="303" t="s">
        <v>1419</v>
      </c>
      <c r="I16" s="304"/>
      <c r="J16" s="304"/>
      <c r="K16" s="304"/>
      <c r="M16" s="303" t="s">
        <v>1419</v>
      </c>
      <c r="N16" s="304"/>
      <c r="O16" s="304"/>
      <c r="P16" s="304"/>
    </row>
    <row r="17" spans="2:16" x14ac:dyDescent="0.25">
      <c r="B17">
        <v>1</v>
      </c>
      <c r="C17" s="305">
        <v>44348</v>
      </c>
      <c r="D17" s="304">
        <f>+D15</f>
        <v>14600000</v>
      </c>
      <c r="E17" s="304">
        <v>405556</v>
      </c>
      <c r="F17" s="304">
        <f>+D17-E17</f>
        <v>14194444</v>
      </c>
      <c r="H17" s="305">
        <v>44287</v>
      </c>
      <c r="I17" s="304">
        <f>+I15</f>
        <v>3874175</v>
      </c>
      <c r="J17" s="304">
        <v>275000</v>
      </c>
      <c r="K17" s="304">
        <f>+I17-J17</f>
        <v>3599175</v>
      </c>
      <c r="M17" s="305">
        <v>44287</v>
      </c>
      <c r="N17" s="304">
        <f>+N15</f>
        <v>3118016</v>
      </c>
      <c r="O17" s="304">
        <v>200000</v>
      </c>
      <c r="P17" s="304">
        <f>+N17-O17</f>
        <v>2918016</v>
      </c>
    </row>
    <row r="18" spans="2:16" x14ac:dyDescent="0.25">
      <c r="B18">
        <f>+B17+1</f>
        <v>2</v>
      </c>
      <c r="C18" s="305">
        <v>44378</v>
      </c>
      <c r="D18" s="304">
        <f>+F17</f>
        <v>14194444</v>
      </c>
      <c r="E18" s="304">
        <f>+E17</f>
        <v>405556</v>
      </c>
      <c r="F18" s="304">
        <f t="shared" ref="F18:F25" si="2">+D18-E18</f>
        <v>13788888</v>
      </c>
      <c r="H18" s="305">
        <v>44317</v>
      </c>
      <c r="I18" s="304">
        <f>+K17</f>
        <v>3599175</v>
      </c>
      <c r="J18" s="304">
        <f>+J17</f>
        <v>275000</v>
      </c>
      <c r="K18" s="304">
        <f>+I18-J18</f>
        <v>3324175</v>
      </c>
      <c r="M18" s="305">
        <v>44317</v>
      </c>
      <c r="N18" s="304">
        <f>+P17</f>
        <v>2918016</v>
      </c>
      <c r="O18" s="304">
        <f>+O17</f>
        <v>200000</v>
      </c>
      <c r="P18" s="304">
        <f>+N18-O18</f>
        <v>2718016</v>
      </c>
    </row>
    <row r="19" spans="2:16" x14ac:dyDescent="0.25">
      <c r="B19">
        <f t="shared" ref="B19:B26" si="3">+B18+1</f>
        <v>3</v>
      </c>
      <c r="C19" s="305">
        <v>44409</v>
      </c>
      <c r="D19" s="304">
        <f t="shared" ref="D19:D26" si="4">+F18</f>
        <v>13788888</v>
      </c>
      <c r="E19" s="304">
        <f t="shared" ref="E19:E26" si="5">+E18</f>
        <v>405556</v>
      </c>
      <c r="F19" s="304">
        <f t="shared" si="2"/>
        <v>13383332</v>
      </c>
      <c r="H19" s="305">
        <v>44348</v>
      </c>
      <c r="I19" s="304">
        <f>+K18</f>
        <v>3324175</v>
      </c>
      <c r="J19" s="304">
        <f>+J18</f>
        <v>275000</v>
      </c>
      <c r="K19" s="304">
        <f>+I19-J19</f>
        <v>3049175</v>
      </c>
      <c r="M19" s="305">
        <v>44348</v>
      </c>
      <c r="N19" s="304">
        <f>+P18</f>
        <v>2718016</v>
      </c>
      <c r="O19" s="304">
        <f>+O18</f>
        <v>200000</v>
      </c>
      <c r="P19" s="304">
        <f>+N19-O19</f>
        <v>2518016</v>
      </c>
    </row>
    <row r="20" spans="2:16" x14ac:dyDescent="0.25">
      <c r="B20">
        <f t="shared" si="3"/>
        <v>4</v>
      </c>
      <c r="C20" s="305">
        <v>44440</v>
      </c>
      <c r="D20" s="304">
        <f t="shared" si="4"/>
        <v>13383332</v>
      </c>
      <c r="E20" s="304">
        <f t="shared" si="5"/>
        <v>405556</v>
      </c>
      <c r="F20" s="304">
        <f t="shared" si="2"/>
        <v>12977776</v>
      </c>
      <c r="H20" s="305">
        <v>44378</v>
      </c>
      <c r="I20" s="304">
        <f>+K19</f>
        <v>3049175</v>
      </c>
      <c r="J20" s="304">
        <f>+J19</f>
        <v>275000</v>
      </c>
      <c r="K20" s="304">
        <f t="shared" ref="K20:K28" si="6">+I20-J20</f>
        <v>2774175</v>
      </c>
      <c r="M20" s="305">
        <v>44378</v>
      </c>
      <c r="N20" s="304">
        <f>+P19</f>
        <v>2518016</v>
      </c>
      <c r="O20" s="304">
        <f>+O19</f>
        <v>200000</v>
      </c>
      <c r="P20" s="304">
        <f t="shared" ref="P20:P28" si="7">+N20-O20</f>
        <v>2318016</v>
      </c>
    </row>
    <row r="21" spans="2:16" x14ac:dyDescent="0.25">
      <c r="B21">
        <f t="shared" si="3"/>
        <v>5</v>
      </c>
      <c r="C21" s="305">
        <v>44470</v>
      </c>
      <c r="D21" s="304">
        <f t="shared" si="4"/>
        <v>12977776</v>
      </c>
      <c r="E21" s="304">
        <f t="shared" si="5"/>
        <v>405556</v>
      </c>
      <c r="F21" s="304">
        <f t="shared" si="2"/>
        <v>12572220</v>
      </c>
      <c r="H21" s="305">
        <v>44409</v>
      </c>
      <c r="I21" s="304">
        <f t="shared" ref="I21:I28" si="8">+K20</f>
        <v>2774175</v>
      </c>
      <c r="J21" s="304">
        <f t="shared" ref="J21:J28" si="9">+J20</f>
        <v>275000</v>
      </c>
      <c r="K21" s="304">
        <f t="shared" si="6"/>
        <v>2499175</v>
      </c>
      <c r="M21" s="305">
        <v>44409</v>
      </c>
      <c r="N21" s="304">
        <f t="shared" ref="N21:N28" si="10">+P20</f>
        <v>2318016</v>
      </c>
      <c r="O21" s="304">
        <f t="shared" ref="O21:O28" si="11">+O20</f>
        <v>200000</v>
      </c>
      <c r="P21" s="304">
        <f t="shared" si="7"/>
        <v>2118016</v>
      </c>
    </row>
    <row r="22" spans="2:16" x14ac:dyDescent="0.25">
      <c r="B22">
        <f t="shared" si="3"/>
        <v>6</v>
      </c>
      <c r="C22" s="305">
        <v>44501</v>
      </c>
      <c r="D22" s="304">
        <f t="shared" si="4"/>
        <v>12572220</v>
      </c>
      <c r="E22" s="304">
        <f t="shared" si="5"/>
        <v>405556</v>
      </c>
      <c r="F22" s="304">
        <f t="shared" si="2"/>
        <v>12166664</v>
      </c>
      <c r="H22" s="305">
        <v>44440</v>
      </c>
      <c r="I22" s="304">
        <f t="shared" si="8"/>
        <v>2499175</v>
      </c>
      <c r="J22" s="304">
        <f t="shared" si="9"/>
        <v>275000</v>
      </c>
      <c r="K22" s="304">
        <f t="shared" si="6"/>
        <v>2224175</v>
      </c>
      <c r="M22" s="305">
        <v>44440</v>
      </c>
      <c r="N22" s="304">
        <f t="shared" si="10"/>
        <v>2118016</v>
      </c>
      <c r="O22" s="304">
        <f t="shared" si="11"/>
        <v>200000</v>
      </c>
      <c r="P22" s="304">
        <f t="shared" si="7"/>
        <v>1918016</v>
      </c>
    </row>
    <row r="23" spans="2:16" x14ac:dyDescent="0.25">
      <c r="B23">
        <f t="shared" si="3"/>
        <v>7</v>
      </c>
      <c r="C23" s="305">
        <v>44531</v>
      </c>
      <c r="D23" s="304">
        <f t="shared" si="4"/>
        <v>12166664</v>
      </c>
      <c r="E23" s="304">
        <f t="shared" si="5"/>
        <v>405556</v>
      </c>
      <c r="F23" s="304">
        <f t="shared" si="2"/>
        <v>11761108</v>
      </c>
      <c r="H23" s="305">
        <v>44470</v>
      </c>
      <c r="I23" s="304">
        <f t="shared" si="8"/>
        <v>2224175</v>
      </c>
      <c r="J23" s="304">
        <f t="shared" si="9"/>
        <v>275000</v>
      </c>
      <c r="K23" s="304">
        <f t="shared" si="6"/>
        <v>1949175</v>
      </c>
      <c r="M23" s="305">
        <v>44470</v>
      </c>
      <c r="N23" s="304">
        <f t="shared" si="10"/>
        <v>1918016</v>
      </c>
      <c r="O23" s="304">
        <f t="shared" si="11"/>
        <v>200000</v>
      </c>
      <c r="P23" s="304">
        <f t="shared" si="7"/>
        <v>1718016</v>
      </c>
    </row>
    <row r="24" spans="2:16" x14ac:dyDescent="0.25">
      <c r="B24">
        <f t="shared" si="3"/>
        <v>8</v>
      </c>
      <c r="C24" s="305">
        <v>44562</v>
      </c>
      <c r="D24" s="304">
        <f t="shared" si="4"/>
        <v>11761108</v>
      </c>
      <c r="E24" s="304">
        <f t="shared" si="5"/>
        <v>405556</v>
      </c>
      <c r="F24" s="304">
        <f t="shared" si="2"/>
        <v>11355552</v>
      </c>
      <c r="H24" s="305">
        <v>44501</v>
      </c>
      <c r="I24" s="304">
        <f t="shared" si="8"/>
        <v>1949175</v>
      </c>
      <c r="J24" s="304">
        <f t="shared" si="9"/>
        <v>275000</v>
      </c>
      <c r="K24" s="304">
        <f t="shared" si="6"/>
        <v>1674175</v>
      </c>
      <c r="M24" s="305">
        <v>44501</v>
      </c>
      <c r="N24" s="304">
        <f t="shared" si="10"/>
        <v>1718016</v>
      </c>
      <c r="O24" s="304">
        <f t="shared" si="11"/>
        <v>200000</v>
      </c>
      <c r="P24" s="304">
        <f t="shared" si="7"/>
        <v>1518016</v>
      </c>
    </row>
    <row r="25" spans="2:16" x14ac:dyDescent="0.25">
      <c r="B25">
        <f t="shared" si="3"/>
        <v>9</v>
      </c>
      <c r="C25" s="305">
        <v>44593</v>
      </c>
      <c r="D25" s="304">
        <f t="shared" si="4"/>
        <v>11355552</v>
      </c>
      <c r="E25" s="304">
        <f t="shared" si="5"/>
        <v>405556</v>
      </c>
      <c r="F25" s="304">
        <f t="shared" si="2"/>
        <v>10949996</v>
      </c>
      <c r="H25" s="305">
        <v>44531</v>
      </c>
      <c r="I25" s="304">
        <f t="shared" si="8"/>
        <v>1674175</v>
      </c>
      <c r="J25" s="304">
        <f t="shared" si="9"/>
        <v>275000</v>
      </c>
      <c r="K25" s="304">
        <f t="shared" si="6"/>
        <v>1399175</v>
      </c>
      <c r="M25" s="305">
        <v>44531</v>
      </c>
      <c r="N25" s="304">
        <f t="shared" si="10"/>
        <v>1518016</v>
      </c>
      <c r="O25" s="304">
        <f t="shared" si="11"/>
        <v>200000</v>
      </c>
      <c r="P25" s="304">
        <f t="shared" si="7"/>
        <v>1318016</v>
      </c>
    </row>
    <row r="26" spans="2:16" x14ac:dyDescent="0.25">
      <c r="B26">
        <f t="shared" si="3"/>
        <v>10</v>
      </c>
      <c r="C26" s="305">
        <v>44621</v>
      </c>
      <c r="D26" s="304">
        <f t="shared" si="4"/>
        <v>10949996</v>
      </c>
      <c r="E26" s="304">
        <f t="shared" si="5"/>
        <v>405556</v>
      </c>
      <c r="F26" s="304">
        <f t="shared" ref="F26" si="12">+D26-E26</f>
        <v>10544440</v>
      </c>
      <c r="H26" s="305">
        <v>44562</v>
      </c>
      <c r="I26" s="304">
        <f t="shared" si="8"/>
        <v>1399175</v>
      </c>
      <c r="J26" s="304">
        <f t="shared" si="9"/>
        <v>275000</v>
      </c>
      <c r="K26" s="304">
        <f t="shared" si="6"/>
        <v>1124175</v>
      </c>
      <c r="M26" s="305">
        <v>44562</v>
      </c>
      <c r="N26" s="304">
        <f t="shared" si="10"/>
        <v>1318016</v>
      </c>
      <c r="O26" s="304">
        <f t="shared" si="11"/>
        <v>200000</v>
      </c>
      <c r="P26" s="304">
        <f t="shared" si="7"/>
        <v>1118016</v>
      </c>
    </row>
    <row r="27" spans="2:16" x14ac:dyDescent="0.25">
      <c r="C27" s="260"/>
      <c r="D27" s="304"/>
      <c r="E27" s="302">
        <f>+SUM(E17:E26)</f>
        <v>4055560</v>
      </c>
      <c r="F27" s="304"/>
      <c r="H27" s="305">
        <v>44593</v>
      </c>
      <c r="I27" s="304">
        <f t="shared" si="8"/>
        <v>1124175</v>
      </c>
      <c r="J27" s="304">
        <f t="shared" si="9"/>
        <v>275000</v>
      </c>
      <c r="K27" s="304">
        <f t="shared" si="6"/>
        <v>849175</v>
      </c>
      <c r="M27" s="305">
        <v>44593</v>
      </c>
      <c r="N27" s="304">
        <f t="shared" si="10"/>
        <v>1118016</v>
      </c>
      <c r="O27" s="304">
        <f t="shared" si="11"/>
        <v>200000</v>
      </c>
      <c r="P27" s="304">
        <f t="shared" si="7"/>
        <v>918016</v>
      </c>
    </row>
    <row r="28" spans="2:16" x14ac:dyDescent="0.25">
      <c r="C28" s="303" t="s">
        <v>1420</v>
      </c>
      <c r="D28" s="304"/>
      <c r="E28" s="304"/>
      <c r="F28" s="304"/>
      <c r="H28" s="305">
        <v>44621</v>
      </c>
      <c r="I28" s="304">
        <f t="shared" si="8"/>
        <v>849175</v>
      </c>
      <c r="J28" s="304">
        <f t="shared" si="9"/>
        <v>275000</v>
      </c>
      <c r="K28" s="304">
        <f t="shared" si="6"/>
        <v>574175</v>
      </c>
      <c r="M28" s="305">
        <v>44621</v>
      </c>
      <c r="N28" s="304">
        <f t="shared" si="10"/>
        <v>918016</v>
      </c>
      <c r="O28" s="304">
        <f t="shared" si="11"/>
        <v>200000</v>
      </c>
      <c r="P28" s="304">
        <f t="shared" si="7"/>
        <v>718016</v>
      </c>
    </row>
    <row r="29" spans="2:16" x14ac:dyDescent="0.25">
      <c r="B29">
        <f>+B26+1</f>
        <v>11</v>
      </c>
      <c r="C29" s="305">
        <v>44652</v>
      </c>
      <c r="D29" s="304">
        <f>+F26</f>
        <v>10544440</v>
      </c>
      <c r="E29" s="304">
        <f>+E26</f>
        <v>405556</v>
      </c>
      <c r="F29" s="304">
        <f t="shared" ref="F29:F30" si="13">+D29-E29</f>
        <v>10138884</v>
      </c>
      <c r="H29" s="260"/>
      <c r="I29" s="304"/>
      <c r="J29" s="302">
        <f>+SUM(J17:J28)</f>
        <v>3300000</v>
      </c>
      <c r="K29" s="304"/>
      <c r="M29" s="260"/>
      <c r="N29" s="304"/>
      <c r="O29" s="302">
        <f>+SUM(O17:O28)</f>
        <v>2400000</v>
      </c>
      <c r="P29" s="304"/>
    </row>
    <row r="30" spans="2:16" x14ac:dyDescent="0.25">
      <c r="B30">
        <f>+B29+1</f>
        <v>12</v>
      </c>
      <c r="C30" s="305">
        <v>44682</v>
      </c>
      <c r="D30" s="304">
        <f t="shared" ref="D30" si="14">+F29</f>
        <v>10138884</v>
      </c>
      <c r="E30" s="304">
        <f>+E29</f>
        <v>405556</v>
      </c>
      <c r="F30" s="304">
        <f t="shared" si="13"/>
        <v>9733328</v>
      </c>
      <c r="H30" s="303" t="s">
        <v>1420</v>
      </c>
      <c r="I30" s="304"/>
      <c r="J30" s="304"/>
      <c r="K30" s="304"/>
      <c r="M30" s="303" t="s">
        <v>1420</v>
      </c>
      <c r="N30" s="304"/>
      <c r="O30" s="304"/>
      <c r="P30" s="304"/>
    </row>
    <row r="31" spans="2:16" x14ac:dyDescent="0.25">
      <c r="B31">
        <f t="shared" ref="B31:B40" si="15">+B30+1</f>
        <v>13</v>
      </c>
      <c r="C31" s="305">
        <v>44713</v>
      </c>
      <c r="D31" s="304">
        <f t="shared" ref="D31:D40" si="16">+F30</f>
        <v>9733328</v>
      </c>
      <c r="E31" s="304">
        <f t="shared" ref="E31:E40" si="17">+E30</f>
        <v>405556</v>
      </c>
      <c r="F31" s="304">
        <f t="shared" ref="F31:F40" si="18">+D31-E31</f>
        <v>9327772</v>
      </c>
      <c r="H31" s="305">
        <v>44652</v>
      </c>
      <c r="I31" s="304">
        <f>+K28</f>
        <v>574175</v>
      </c>
      <c r="J31" s="304">
        <f>+J28</f>
        <v>275000</v>
      </c>
      <c r="K31" s="304">
        <f t="shared" ref="K31:K33" si="19">+I31-J31</f>
        <v>299175</v>
      </c>
      <c r="M31" s="305">
        <v>44652</v>
      </c>
      <c r="N31" s="304">
        <f>+P28</f>
        <v>718016</v>
      </c>
      <c r="O31" s="304">
        <f>+O28</f>
        <v>200000</v>
      </c>
      <c r="P31" s="304">
        <f t="shared" ref="P31:P34" si="20">+N31-O31</f>
        <v>518016</v>
      </c>
    </row>
    <row r="32" spans="2:16" x14ac:dyDescent="0.25">
      <c r="B32">
        <f t="shared" si="15"/>
        <v>14</v>
      </c>
      <c r="C32" s="305">
        <v>44743</v>
      </c>
      <c r="D32" s="304">
        <f t="shared" si="16"/>
        <v>9327772</v>
      </c>
      <c r="E32" s="304">
        <f t="shared" si="17"/>
        <v>405556</v>
      </c>
      <c r="F32" s="304">
        <f t="shared" si="18"/>
        <v>8922216</v>
      </c>
      <c r="H32" s="305">
        <v>44682</v>
      </c>
      <c r="I32" s="304">
        <f t="shared" ref="I32:I33" si="21">+K31</f>
        <v>299175</v>
      </c>
      <c r="J32" s="304">
        <f>+J31</f>
        <v>275000</v>
      </c>
      <c r="K32" s="304">
        <f t="shared" si="19"/>
        <v>24175</v>
      </c>
      <c r="M32" s="305">
        <v>44682</v>
      </c>
      <c r="N32" s="304">
        <f t="shared" ref="N32:N34" si="22">+P31</f>
        <v>518016</v>
      </c>
      <c r="O32" s="304">
        <f>+O31</f>
        <v>200000</v>
      </c>
      <c r="P32" s="304">
        <f t="shared" si="20"/>
        <v>318016</v>
      </c>
    </row>
    <row r="33" spans="2:16" x14ac:dyDescent="0.25">
      <c r="B33">
        <f t="shared" si="15"/>
        <v>15</v>
      </c>
      <c r="C33" s="305">
        <v>44774</v>
      </c>
      <c r="D33" s="304">
        <f t="shared" si="16"/>
        <v>8922216</v>
      </c>
      <c r="E33" s="304">
        <f t="shared" si="17"/>
        <v>405556</v>
      </c>
      <c r="F33" s="304">
        <f t="shared" si="18"/>
        <v>8516660</v>
      </c>
      <c r="H33" s="305">
        <v>44713</v>
      </c>
      <c r="I33" s="304">
        <f t="shared" si="21"/>
        <v>24175</v>
      </c>
      <c r="J33" s="304">
        <v>24175</v>
      </c>
      <c r="K33" s="304">
        <f t="shared" si="19"/>
        <v>0</v>
      </c>
      <c r="M33" s="305">
        <v>44713</v>
      </c>
      <c r="N33" s="304">
        <f t="shared" si="22"/>
        <v>318016</v>
      </c>
      <c r="O33" s="304">
        <f>+O32</f>
        <v>200000</v>
      </c>
      <c r="P33" s="304">
        <f t="shared" si="20"/>
        <v>118016</v>
      </c>
    </row>
    <row r="34" spans="2:16" x14ac:dyDescent="0.25">
      <c r="B34">
        <f t="shared" si="15"/>
        <v>16</v>
      </c>
      <c r="C34" s="305">
        <v>44805</v>
      </c>
      <c r="D34" s="304">
        <f t="shared" si="16"/>
        <v>8516660</v>
      </c>
      <c r="E34" s="304">
        <f t="shared" si="17"/>
        <v>405556</v>
      </c>
      <c r="F34" s="304">
        <f t="shared" si="18"/>
        <v>8111104</v>
      </c>
      <c r="H34" s="260"/>
      <c r="I34" s="304"/>
      <c r="J34" s="302">
        <f>+SUM(J31:J33)</f>
        <v>574175</v>
      </c>
      <c r="K34" s="304"/>
      <c r="M34" s="305">
        <v>44743</v>
      </c>
      <c r="N34" s="304">
        <f t="shared" si="22"/>
        <v>118016</v>
      </c>
      <c r="O34" s="304">
        <v>118016</v>
      </c>
      <c r="P34" s="304">
        <f t="shared" si="20"/>
        <v>0</v>
      </c>
    </row>
    <row r="35" spans="2:16" x14ac:dyDescent="0.25">
      <c r="B35">
        <f t="shared" si="15"/>
        <v>17</v>
      </c>
      <c r="C35" s="305">
        <v>44835</v>
      </c>
      <c r="D35" s="304">
        <f t="shared" si="16"/>
        <v>8111104</v>
      </c>
      <c r="E35" s="304">
        <f t="shared" si="17"/>
        <v>405556</v>
      </c>
      <c r="F35" s="304">
        <f t="shared" si="18"/>
        <v>7705548</v>
      </c>
      <c r="M35" s="260"/>
      <c r="N35" s="304"/>
      <c r="O35" s="302">
        <f>+SUM(O31:O34)</f>
        <v>718016</v>
      </c>
      <c r="P35" s="304"/>
    </row>
    <row r="36" spans="2:16" x14ac:dyDescent="0.25">
      <c r="B36">
        <f t="shared" si="15"/>
        <v>18</v>
      </c>
      <c r="C36" s="305">
        <v>44866</v>
      </c>
      <c r="D36" s="304">
        <f t="shared" si="16"/>
        <v>7705548</v>
      </c>
      <c r="E36" s="304">
        <f t="shared" si="17"/>
        <v>405556</v>
      </c>
      <c r="F36" s="304">
        <f t="shared" si="18"/>
        <v>7299992</v>
      </c>
    </row>
    <row r="37" spans="2:16" x14ac:dyDescent="0.25">
      <c r="B37">
        <f t="shared" si="15"/>
        <v>19</v>
      </c>
      <c r="C37" s="305">
        <v>44896</v>
      </c>
      <c r="D37" s="304">
        <f t="shared" si="16"/>
        <v>7299992</v>
      </c>
      <c r="E37" s="304">
        <f t="shared" si="17"/>
        <v>405556</v>
      </c>
      <c r="F37" s="304">
        <f t="shared" si="18"/>
        <v>6894436</v>
      </c>
    </row>
    <row r="38" spans="2:16" x14ac:dyDescent="0.25">
      <c r="B38">
        <f t="shared" si="15"/>
        <v>20</v>
      </c>
      <c r="C38" s="305">
        <v>44927</v>
      </c>
      <c r="D38" s="304">
        <f t="shared" si="16"/>
        <v>6894436</v>
      </c>
      <c r="E38" s="304">
        <f t="shared" si="17"/>
        <v>405556</v>
      </c>
      <c r="F38" s="304">
        <f t="shared" si="18"/>
        <v>6488880</v>
      </c>
    </row>
    <row r="39" spans="2:16" x14ac:dyDescent="0.25">
      <c r="B39">
        <f t="shared" si="15"/>
        <v>21</v>
      </c>
      <c r="C39" s="305">
        <v>44958</v>
      </c>
      <c r="D39" s="304">
        <f t="shared" si="16"/>
        <v>6488880</v>
      </c>
      <c r="E39" s="304">
        <f t="shared" si="17"/>
        <v>405556</v>
      </c>
      <c r="F39" s="304">
        <f t="shared" si="18"/>
        <v>6083324</v>
      </c>
    </row>
    <row r="40" spans="2:16" x14ac:dyDescent="0.25">
      <c r="B40">
        <f t="shared" si="15"/>
        <v>22</v>
      </c>
      <c r="C40" s="305">
        <v>44986</v>
      </c>
      <c r="D40" s="304">
        <f t="shared" si="16"/>
        <v>6083324</v>
      </c>
      <c r="E40" s="304">
        <f t="shared" si="17"/>
        <v>405556</v>
      </c>
      <c r="F40" s="304">
        <f t="shared" si="18"/>
        <v>5677768</v>
      </c>
    </row>
    <row r="41" spans="2:16" x14ac:dyDescent="0.25">
      <c r="C41" s="260"/>
      <c r="D41" s="304"/>
      <c r="E41" s="302">
        <f>+SUM(E29:E40)</f>
        <v>4866672</v>
      </c>
      <c r="F41" s="304"/>
    </row>
    <row r="42" spans="2:16" x14ac:dyDescent="0.25">
      <c r="C42" s="303" t="s">
        <v>1421</v>
      </c>
      <c r="D42" s="304"/>
      <c r="E42" s="304"/>
      <c r="F42" s="304"/>
    </row>
    <row r="43" spans="2:16" x14ac:dyDescent="0.25">
      <c r="B43">
        <f>+B40+1</f>
        <v>23</v>
      </c>
      <c r="C43" s="305">
        <v>45017</v>
      </c>
      <c r="D43" s="304">
        <f>+F40</f>
        <v>5677768</v>
      </c>
      <c r="E43" s="304">
        <f>+E40</f>
        <v>405556</v>
      </c>
      <c r="F43" s="304">
        <f t="shared" ref="F43:F54" si="23">+D43-E43</f>
        <v>5272212</v>
      </c>
    </row>
    <row r="44" spans="2:16" x14ac:dyDescent="0.25">
      <c r="B44">
        <f>+B43+1</f>
        <v>24</v>
      </c>
      <c r="C44" s="305">
        <v>45047</v>
      </c>
      <c r="D44" s="304">
        <f t="shared" ref="D44:D54" si="24">+F43</f>
        <v>5272212</v>
      </c>
      <c r="E44" s="304">
        <f>+E43</f>
        <v>405556</v>
      </c>
      <c r="F44" s="304">
        <f t="shared" si="23"/>
        <v>4866656</v>
      </c>
    </row>
    <row r="45" spans="2:16" x14ac:dyDescent="0.25">
      <c r="B45">
        <f t="shared" ref="B45:B54" si="25">+B44+1</f>
        <v>25</v>
      </c>
      <c r="C45" s="305">
        <v>45078</v>
      </c>
      <c r="D45" s="304">
        <f t="shared" si="24"/>
        <v>4866656</v>
      </c>
      <c r="E45" s="304">
        <f t="shared" ref="E45:E54" si="26">+E44</f>
        <v>405556</v>
      </c>
      <c r="F45" s="304">
        <f t="shared" si="23"/>
        <v>4461100</v>
      </c>
    </row>
    <row r="46" spans="2:16" x14ac:dyDescent="0.25">
      <c r="B46">
        <f t="shared" si="25"/>
        <v>26</v>
      </c>
      <c r="C46" s="305">
        <v>45108</v>
      </c>
      <c r="D46" s="304">
        <f t="shared" si="24"/>
        <v>4461100</v>
      </c>
      <c r="E46" s="304">
        <f t="shared" si="26"/>
        <v>405556</v>
      </c>
      <c r="F46" s="304">
        <f t="shared" si="23"/>
        <v>4055544</v>
      </c>
    </row>
    <row r="47" spans="2:16" x14ac:dyDescent="0.25">
      <c r="B47">
        <f t="shared" si="25"/>
        <v>27</v>
      </c>
      <c r="C47" s="305">
        <v>45139</v>
      </c>
      <c r="D47" s="304">
        <f t="shared" si="24"/>
        <v>4055544</v>
      </c>
      <c r="E47" s="304">
        <f t="shared" si="26"/>
        <v>405556</v>
      </c>
      <c r="F47" s="304">
        <f t="shared" si="23"/>
        <v>3649988</v>
      </c>
    </row>
    <row r="48" spans="2:16" x14ac:dyDescent="0.25">
      <c r="B48">
        <f t="shared" si="25"/>
        <v>28</v>
      </c>
      <c r="C48" s="305">
        <v>45170</v>
      </c>
      <c r="D48" s="304">
        <f t="shared" si="24"/>
        <v>3649988</v>
      </c>
      <c r="E48" s="304">
        <f t="shared" si="26"/>
        <v>405556</v>
      </c>
      <c r="F48" s="304">
        <f t="shared" si="23"/>
        <v>3244432</v>
      </c>
    </row>
    <row r="49" spans="2:6" x14ac:dyDescent="0.25">
      <c r="B49">
        <f t="shared" si="25"/>
        <v>29</v>
      </c>
      <c r="C49" s="305">
        <v>45200</v>
      </c>
      <c r="D49" s="304">
        <f t="shared" si="24"/>
        <v>3244432</v>
      </c>
      <c r="E49" s="304">
        <f t="shared" si="26"/>
        <v>405556</v>
      </c>
      <c r="F49" s="304">
        <f t="shared" si="23"/>
        <v>2838876</v>
      </c>
    </row>
    <row r="50" spans="2:6" x14ac:dyDescent="0.25">
      <c r="B50">
        <f t="shared" si="25"/>
        <v>30</v>
      </c>
      <c r="C50" s="305">
        <v>45231</v>
      </c>
      <c r="D50" s="304">
        <f t="shared" si="24"/>
        <v>2838876</v>
      </c>
      <c r="E50" s="304">
        <f t="shared" si="26"/>
        <v>405556</v>
      </c>
      <c r="F50" s="304">
        <f t="shared" si="23"/>
        <v>2433320</v>
      </c>
    </row>
    <row r="51" spans="2:6" x14ac:dyDescent="0.25">
      <c r="B51">
        <f t="shared" si="25"/>
        <v>31</v>
      </c>
      <c r="C51" s="305">
        <v>45261</v>
      </c>
      <c r="D51" s="304">
        <f t="shared" si="24"/>
        <v>2433320</v>
      </c>
      <c r="E51" s="304">
        <f t="shared" si="26"/>
        <v>405556</v>
      </c>
      <c r="F51" s="304">
        <f t="shared" si="23"/>
        <v>2027764</v>
      </c>
    </row>
    <row r="52" spans="2:6" x14ac:dyDescent="0.25">
      <c r="B52">
        <f t="shared" si="25"/>
        <v>32</v>
      </c>
      <c r="C52" s="305">
        <v>45292</v>
      </c>
      <c r="D52" s="304">
        <f t="shared" si="24"/>
        <v>2027764</v>
      </c>
      <c r="E52" s="304">
        <f t="shared" si="26"/>
        <v>405556</v>
      </c>
      <c r="F52" s="304">
        <f t="shared" si="23"/>
        <v>1622208</v>
      </c>
    </row>
    <row r="53" spans="2:6" x14ac:dyDescent="0.25">
      <c r="B53">
        <f t="shared" si="25"/>
        <v>33</v>
      </c>
      <c r="C53" s="305">
        <v>45323</v>
      </c>
      <c r="D53" s="304">
        <f t="shared" si="24"/>
        <v>1622208</v>
      </c>
      <c r="E53" s="304">
        <f t="shared" si="26"/>
        <v>405556</v>
      </c>
      <c r="F53" s="304">
        <f t="shared" si="23"/>
        <v>1216652</v>
      </c>
    </row>
    <row r="54" spans="2:6" x14ac:dyDescent="0.25">
      <c r="B54">
        <f t="shared" si="25"/>
        <v>34</v>
      </c>
      <c r="C54" s="305">
        <v>45352</v>
      </c>
      <c r="D54" s="304">
        <f t="shared" si="24"/>
        <v>1216652</v>
      </c>
      <c r="E54" s="304">
        <f t="shared" si="26"/>
        <v>405556</v>
      </c>
      <c r="F54" s="304">
        <f t="shared" si="23"/>
        <v>811096</v>
      </c>
    </row>
    <row r="55" spans="2:6" x14ac:dyDescent="0.25">
      <c r="C55" s="260"/>
      <c r="D55" s="304"/>
      <c r="E55" s="302">
        <f>+SUM(E43:E54)</f>
        <v>4866672</v>
      </c>
      <c r="F55" s="304"/>
    </row>
    <row r="56" spans="2:6" x14ac:dyDescent="0.25">
      <c r="C56" s="303" t="s">
        <v>1422</v>
      </c>
      <c r="D56" s="304"/>
      <c r="E56" s="304"/>
      <c r="F56" s="304"/>
    </row>
    <row r="57" spans="2:6" x14ac:dyDescent="0.25">
      <c r="B57">
        <f>+B54+1</f>
        <v>35</v>
      </c>
      <c r="C57" s="305">
        <v>45383</v>
      </c>
      <c r="D57" s="304">
        <f>+F54</f>
        <v>811096</v>
      </c>
      <c r="E57" s="304">
        <f>+E54</f>
        <v>405556</v>
      </c>
      <c r="F57" s="304">
        <f t="shared" ref="F57:F58" si="27">+D57-E57</f>
        <v>405540</v>
      </c>
    </row>
    <row r="58" spans="2:6" x14ac:dyDescent="0.25">
      <c r="B58">
        <f>+B57+1</f>
        <v>36</v>
      </c>
      <c r="C58" s="305">
        <v>45413</v>
      </c>
      <c r="D58" s="304">
        <f t="shared" ref="D58" si="28">+F57</f>
        <v>405540</v>
      </c>
      <c r="E58" s="304">
        <f>+E57-16</f>
        <v>405540</v>
      </c>
      <c r="F58" s="304">
        <f t="shared" si="27"/>
        <v>0</v>
      </c>
    </row>
    <row r="59" spans="2:6" x14ac:dyDescent="0.25">
      <c r="C59" s="260"/>
      <c r="D59" s="304"/>
      <c r="E59" s="302">
        <f>+SUM(E57:E58)</f>
        <v>811096</v>
      </c>
      <c r="F59" s="304"/>
    </row>
  </sheetData>
  <customSheetViews>
    <customSheetView guid="{334DC1DD-AD60-4D12-A532-9CEE6201A253}" topLeftCell="C1">
      <selection activeCell="E5" sqref="E5:F6"/>
      <pageMargins left="0.7" right="0.7" top="0.75" bottom="0.75" header="0.3" footer="0.3"/>
    </customSheetView>
    <customSheetView guid="{BD5AA3B3-719E-4481-B722-8DE3E8101662}" topLeftCell="C1">
      <selection activeCell="E5" sqref="E5:F6"/>
      <pageMargins left="0.7" right="0.7" top="0.75" bottom="0.75" header="0.3" footer="0.3"/>
    </customSheetView>
  </customSheetViews>
  <pageMargins left="0.7" right="0.7" top="0.75" bottom="0.75" header="0.3" footer="0.3"/>
  <pageSetup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417"/>
  <sheetViews>
    <sheetView workbookViewId="0">
      <selection activeCell="G39" activeCellId="1" sqref="G8 G39"/>
    </sheetView>
  </sheetViews>
  <sheetFormatPr defaultRowHeight="15" x14ac:dyDescent="0.25"/>
  <cols>
    <col min="1" max="1" width="12.7109375" customWidth="1"/>
    <col min="2" max="2" width="17.85546875" bestFit="1" customWidth="1"/>
    <col min="3" max="3" width="38.85546875" bestFit="1" customWidth="1"/>
    <col min="4" max="4" width="15.140625" bestFit="1" customWidth="1"/>
    <col min="5" max="5" width="11.28515625" bestFit="1" customWidth="1"/>
    <col min="6" max="6" width="5.42578125" bestFit="1" customWidth="1"/>
    <col min="7" max="7" width="15.140625" bestFit="1" customWidth="1"/>
    <col min="8" max="8" width="7.7109375" style="341" bestFit="1" customWidth="1"/>
  </cols>
  <sheetData>
    <row r="1" spans="1:10" x14ac:dyDescent="0.25">
      <c r="A1" s="4" t="s">
        <v>1443</v>
      </c>
      <c r="B1" s="4"/>
      <c r="C1" s="4"/>
      <c r="D1" s="4" t="s">
        <v>1444</v>
      </c>
      <c r="E1" s="340"/>
      <c r="F1" s="340"/>
      <c r="G1" s="4" t="s">
        <v>1444</v>
      </c>
    </row>
    <row r="2" spans="1:10" x14ac:dyDescent="0.25">
      <c r="A2" s="301" t="s">
        <v>1447</v>
      </c>
      <c r="B2" s="342" t="s">
        <v>1448</v>
      </c>
      <c r="C2" s="301" t="s">
        <v>1449</v>
      </c>
      <c r="D2" s="343">
        <v>43922</v>
      </c>
      <c r="E2" s="343" t="s">
        <v>1445</v>
      </c>
      <c r="F2" s="343" t="s">
        <v>1446</v>
      </c>
      <c r="G2" s="343">
        <v>44286</v>
      </c>
      <c r="H2" s="344" t="s">
        <v>2264</v>
      </c>
    </row>
    <row r="3" spans="1:10" x14ac:dyDescent="0.25">
      <c r="A3" s="260">
        <v>1</v>
      </c>
      <c r="B3" s="345" t="s">
        <v>1775</v>
      </c>
      <c r="C3" s="260" t="s">
        <v>1776</v>
      </c>
      <c r="D3" s="260">
        <v>267360</v>
      </c>
      <c r="E3" s="260">
        <f t="shared" ref="E3:E66" si="0">G3-D3</f>
        <v>0</v>
      </c>
      <c r="F3" s="260">
        <f t="shared" ref="F3:F8" si="1">D3-G3</f>
        <v>0</v>
      </c>
      <c r="G3" s="260">
        <v>267360</v>
      </c>
      <c r="H3" s="346">
        <f t="shared" ref="H3:H66" si="2">+G3/$G$417</f>
        <v>9.9306717577950163E-2</v>
      </c>
      <c r="J3">
        <f t="shared" ref="J3:J66" si="3">+SUM(E3:F3)</f>
        <v>0</v>
      </c>
    </row>
    <row r="4" spans="1:10" x14ac:dyDescent="0.25">
      <c r="A4" s="260">
        <v>1</v>
      </c>
      <c r="B4" s="345" t="s">
        <v>1528</v>
      </c>
      <c r="C4" s="260" t="s">
        <v>1529</v>
      </c>
      <c r="D4" s="260">
        <v>241995</v>
      </c>
      <c r="E4" s="260">
        <f t="shared" si="0"/>
        <v>0</v>
      </c>
      <c r="F4" s="260">
        <f t="shared" si="1"/>
        <v>0</v>
      </c>
      <c r="G4" s="260">
        <v>241995</v>
      </c>
      <c r="H4" s="346">
        <f t="shared" si="2"/>
        <v>8.9885282466621974E-2</v>
      </c>
      <c r="J4">
        <f t="shared" si="3"/>
        <v>0</v>
      </c>
    </row>
    <row r="5" spans="1:10" s="259" customFormat="1" x14ac:dyDescent="0.25">
      <c r="A5" s="347">
        <v>1</v>
      </c>
      <c r="B5" s="348" t="s">
        <v>1777</v>
      </c>
      <c r="C5" s="347" t="s">
        <v>1778</v>
      </c>
      <c r="D5" s="347">
        <f>224905+3500</f>
        <v>228405</v>
      </c>
      <c r="E5" s="347">
        <f t="shared" si="0"/>
        <v>0</v>
      </c>
      <c r="F5" s="347">
        <f t="shared" si="1"/>
        <v>0</v>
      </c>
      <c r="G5" s="347">
        <f>224905+3500</f>
        <v>228405</v>
      </c>
      <c r="H5" s="349">
        <f t="shared" si="2"/>
        <v>8.4837488137311887E-2</v>
      </c>
      <c r="J5">
        <f t="shared" si="3"/>
        <v>0</v>
      </c>
    </row>
    <row r="6" spans="1:10" x14ac:dyDescent="0.25">
      <c r="A6" s="260">
        <v>1</v>
      </c>
      <c r="B6" s="345" t="s">
        <v>1544</v>
      </c>
      <c r="C6" s="260" t="s">
        <v>1545</v>
      </c>
      <c r="D6" s="260">
        <v>186295</v>
      </c>
      <c r="E6" s="260">
        <f t="shared" si="0"/>
        <v>0</v>
      </c>
      <c r="F6" s="260">
        <f t="shared" si="1"/>
        <v>0</v>
      </c>
      <c r="G6" s="260">
        <v>186295</v>
      </c>
      <c r="H6" s="346">
        <f t="shared" si="2"/>
        <v>6.9196382971215692E-2</v>
      </c>
      <c r="J6">
        <f t="shared" si="3"/>
        <v>0</v>
      </c>
    </row>
    <row r="7" spans="1:10" x14ac:dyDescent="0.25">
      <c r="A7" s="260"/>
      <c r="B7" s="345" t="s">
        <v>1779</v>
      </c>
      <c r="C7" s="260" t="s">
        <v>1780</v>
      </c>
      <c r="D7" s="260">
        <v>150945</v>
      </c>
      <c r="E7" s="260">
        <f t="shared" si="0"/>
        <v>0</v>
      </c>
      <c r="F7" s="260">
        <f t="shared" si="1"/>
        <v>0</v>
      </c>
      <c r="G7" s="260">
        <v>150945</v>
      </c>
      <c r="H7" s="346">
        <f t="shared" si="2"/>
        <v>5.6066174763628393E-2</v>
      </c>
      <c r="J7">
        <f t="shared" si="3"/>
        <v>0</v>
      </c>
    </row>
    <row r="8" spans="1:10" x14ac:dyDescent="0.25">
      <c r="A8" s="260"/>
      <c r="B8" s="345" t="s">
        <v>1546</v>
      </c>
      <c r="C8" s="260" t="s">
        <v>1547</v>
      </c>
      <c r="D8" s="260">
        <v>128250</v>
      </c>
      <c r="E8" s="260">
        <f t="shared" si="0"/>
        <v>0</v>
      </c>
      <c r="F8" s="260">
        <f t="shared" si="1"/>
        <v>0</v>
      </c>
      <c r="G8" s="260">
        <v>128250</v>
      </c>
      <c r="H8" s="346">
        <f t="shared" si="2"/>
        <v>4.7636469664018959E-2</v>
      </c>
      <c r="J8">
        <f t="shared" si="3"/>
        <v>0</v>
      </c>
    </row>
    <row r="9" spans="1:10" x14ac:dyDescent="0.25">
      <c r="A9" s="260">
        <v>1</v>
      </c>
      <c r="B9" s="345" t="s">
        <v>1534</v>
      </c>
      <c r="C9" s="260" t="s">
        <v>1477</v>
      </c>
      <c r="D9" s="260">
        <v>113000</v>
      </c>
      <c r="E9" s="260">
        <f t="shared" si="0"/>
        <v>1000</v>
      </c>
      <c r="F9" s="260">
        <v>0</v>
      </c>
      <c r="G9" s="260">
        <v>114000</v>
      </c>
      <c r="H9" s="346">
        <f t="shared" si="2"/>
        <v>4.2343528590239071E-2</v>
      </c>
      <c r="J9">
        <f t="shared" si="3"/>
        <v>1000</v>
      </c>
    </row>
    <row r="10" spans="1:10" x14ac:dyDescent="0.25">
      <c r="A10" s="260">
        <v>1</v>
      </c>
      <c r="B10" s="345" t="s">
        <v>1524</v>
      </c>
      <c r="C10" s="260" t="s">
        <v>1525</v>
      </c>
      <c r="D10" s="260">
        <v>112805</v>
      </c>
      <c r="E10" s="260">
        <f t="shared" si="0"/>
        <v>0</v>
      </c>
      <c r="F10" s="260">
        <f t="shared" ref="F10:F41" si="4">D10-G10</f>
        <v>0</v>
      </c>
      <c r="G10" s="260">
        <v>112805</v>
      </c>
      <c r="H10" s="346">
        <f t="shared" si="2"/>
        <v>4.1899664408964199E-2</v>
      </c>
      <c r="J10">
        <f t="shared" si="3"/>
        <v>0</v>
      </c>
    </row>
    <row r="11" spans="1:10" x14ac:dyDescent="0.25">
      <c r="A11" s="260"/>
      <c r="B11" s="345" t="s">
        <v>1781</v>
      </c>
      <c r="C11" s="260" t="s">
        <v>1782</v>
      </c>
      <c r="D11" s="260">
        <v>111800</v>
      </c>
      <c r="E11" s="260">
        <f t="shared" si="0"/>
        <v>0</v>
      </c>
      <c r="F11" s="260">
        <f t="shared" si="4"/>
        <v>0</v>
      </c>
      <c r="G11" s="260">
        <v>111800</v>
      </c>
      <c r="H11" s="346">
        <f t="shared" si="2"/>
        <v>4.1526372775339722E-2</v>
      </c>
      <c r="J11">
        <f t="shared" si="3"/>
        <v>0</v>
      </c>
    </row>
    <row r="12" spans="1:10" x14ac:dyDescent="0.25">
      <c r="A12" s="260"/>
      <c r="B12" s="345" t="s">
        <v>1542</v>
      </c>
      <c r="C12" s="260" t="s">
        <v>1543</v>
      </c>
      <c r="D12" s="260">
        <v>77900</v>
      </c>
      <c r="E12" s="260">
        <f t="shared" si="0"/>
        <v>0</v>
      </c>
      <c r="F12" s="260">
        <f t="shared" si="4"/>
        <v>0</v>
      </c>
      <c r="G12" s="260">
        <v>77900</v>
      </c>
      <c r="H12" s="346">
        <f t="shared" si="2"/>
        <v>2.8934744536663368E-2</v>
      </c>
      <c r="J12">
        <f t="shared" si="3"/>
        <v>0</v>
      </c>
    </row>
    <row r="13" spans="1:10" x14ac:dyDescent="0.25">
      <c r="A13" s="260"/>
      <c r="B13" s="345" t="s">
        <v>1532</v>
      </c>
      <c r="C13" s="260" t="s">
        <v>1533</v>
      </c>
      <c r="D13" s="260">
        <v>62790</v>
      </c>
      <c r="E13" s="260">
        <f t="shared" si="0"/>
        <v>0</v>
      </c>
      <c r="F13" s="260">
        <f t="shared" si="4"/>
        <v>0</v>
      </c>
      <c r="G13" s="260">
        <v>62790</v>
      </c>
      <c r="H13" s="346">
        <f t="shared" si="2"/>
        <v>2.3322369826150099E-2</v>
      </c>
      <c r="J13">
        <f t="shared" si="3"/>
        <v>0</v>
      </c>
    </row>
    <row r="14" spans="1:10" x14ac:dyDescent="0.25">
      <c r="A14" s="260"/>
      <c r="B14" s="345" t="s">
        <v>1510</v>
      </c>
      <c r="C14" s="260" t="s">
        <v>1511</v>
      </c>
      <c r="D14" s="260">
        <v>47460</v>
      </c>
      <c r="E14" s="260">
        <f t="shared" si="0"/>
        <v>0</v>
      </c>
      <c r="F14" s="260">
        <f t="shared" si="4"/>
        <v>0</v>
      </c>
      <c r="G14" s="260">
        <v>47460</v>
      </c>
      <c r="H14" s="346">
        <f t="shared" si="2"/>
        <v>1.7628279534146897E-2</v>
      </c>
      <c r="J14">
        <f t="shared" si="3"/>
        <v>0</v>
      </c>
    </row>
    <row r="15" spans="1:10" x14ac:dyDescent="0.25">
      <c r="A15" s="260"/>
      <c r="B15" s="345" t="s">
        <v>1536</v>
      </c>
      <c r="C15" s="260" t="s">
        <v>1537</v>
      </c>
      <c r="D15" s="260">
        <v>40400</v>
      </c>
      <c r="E15" s="260">
        <f t="shared" si="0"/>
        <v>0</v>
      </c>
      <c r="F15" s="260">
        <f t="shared" si="4"/>
        <v>0</v>
      </c>
      <c r="G15" s="260">
        <v>40400</v>
      </c>
      <c r="H15" s="346">
        <f t="shared" si="2"/>
        <v>1.5005952237242619E-2</v>
      </c>
      <c r="J15">
        <f t="shared" si="3"/>
        <v>0</v>
      </c>
    </row>
    <row r="16" spans="1:10" x14ac:dyDescent="0.25">
      <c r="A16" s="260">
        <v>1</v>
      </c>
      <c r="B16" s="345" t="s">
        <v>1520</v>
      </c>
      <c r="C16" s="260" t="s">
        <v>1521</v>
      </c>
      <c r="D16" s="260">
        <v>38815</v>
      </c>
      <c r="E16" s="260">
        <f t="shared" si="0"/>
        <v>0</v>
      </c>
      <c r="F16" s="260">
        <f t="shared" si="4"/>
        <v>0</v>
      </c>
      <c r="G16" s="260">
        <v>38815</v>
      </c>
      <c r="H16" s="346">
        <f t="shared" si="2"/>
        <v>1.4417228616053769E-2</v>
      </c>
      <c r="J16">
        <f t="shared" si="3"/>
        <v>0</v>
      </c>
    </row>
    <row r="17" spans="1:10" x14ac:dyDescent="0.25">
      <c r="A17" s="260"/>
      <c r="B17" s="345" t="s">
        <v>1552</v>
      </c>
      <c r="C17" s="260" t="s">
        <v>1553</v>
      </c>
      <c r="D17" s="260">
        <v>35770</v>
      </c>
      <c r="E17" s="260">
        <f t="shared" si="0"/>
        <v>0</v>
      </c>
      <c r="F17" s="260">
        <f t="shared" si="4"/>
        <v>0</v>
      </c>
      <c r="G17" s="260">
        <v>35770</v>
      </c>
      <c r="H17" s="346">
        <f t="shared" si="2"/>
        <v>1.3286210681340805E-2</v>
      </c>
      <c r="J17">
        <f t="shared" si="3"/>
        <v>0</v>
      </c>
    </row>
    <row r="18" spans="1:10" x14ac:dyDescent="0.25">
      <c r="A18" s="260">
        <v>1</v>
      </c>
      <c r="B18" s="345" t="s">
        <v>1797</v>
      </c>
      <c r="C18" s="260" t="s">
        <v>1798</v>
      </c>
      <c r="D18" s="260">
        <v>35000</v>
      </c>
      <c r="E18" s="260">
        <f t="shared" si="0"/>
        <v>0</v>
      </c>
      <c r="F18" s="260">
        <f t="shared" si="4"/>
        <v>0</v>
      </c>
      <c r="G18" s="260">
        <v>35000</v>
      </c>
      <c r="H18" s="346">
        <f t="shared" si="2"/>
        <v>1.3000206146126032E-2</v>
      </c>
      <c r="J18">
        <f t="shared" si="3"/>
        <v>0</v>
      </c>
    </row>
    <row r="19" spans="1:10" x14ac:dyDescent="0.25">
      <c r="A19" s="260"/>
      <c r="B19" s="345" t="s">
        <v>1530</v>
      </c>
      <c r="C19" s="260" t="s">
        <v>1531</v>
      </c>
      <c r="D19" s="260">
        <v>33235</v>
      </c>
      <c r="E19" s="260">
        <f t="shared" si="0"/>
        <v>0</v>
      </c>
      <c r="F19" s="260">
        <f t="shared" si="4"/>
        <v>0</v>
      </c>
      <c r="G19" s="260">
        <v>33235</v>
      </c>
      <c r="H19" s="346">
        <f t="shared" si="2"/>
        <v>1.2344624321899962E-2</v>
      </c>
      <c r="J19">
        <f t="shared" si="3"/>
        <v>0</v>
      </c>
    </row>
    <row r="20" spans="1:10" x14ac:dyDescent="0.25">
      <c r="A20" s="260"/>
      <c r="B20" s="345" t="s">
        <v>1554</v>
      </c>
      <c r="C20" s="260" t="s">
        <v>1555</v>
      </c>
      <c r="D20" s="260">
        <v>29095</v>
      </c>
      <c r="E20" s="260">
        <f t="shared" si="0"/>
        <v>0</v>
      </c>
      <c r="F20" s="260">
        <f t="shared" si="4"/>
        <v>0</v>
      </c>
      <c r="G20" s="260">
        <v>29095</v>
      </c>
      <c r="H20" s="346">
        <f t="shared" si="2"/>
        <v>1.0806885652043911E-2</v>
      </c>
      <c r="J20">
        <f t="shared" si="3"/>
        <v>0</v>
      </c>
    </row>
    <row r="21" spans="1:10" x14ac:dyDescent="0.25">
      <c r="A21" s="260"/>
      <c r="B21" s="345" t="s">
        <v>1548</v>
      </c>
      <c r="C21" s="260" t="s">
        <v>1549</v>
      </c>
      <c r="D21" s="260">
        <v>28462</v>
      </c>
      <c r="E21" s="260">
        <f t="shared" si="0"/>
        <v>0</v>
      </c>
      <c r="F21" s="260">
        <f t="shared" si="4"/>
        <v>0</v>
      </c>
      <c r="G21" s="260">
        <v>28462</v>
      </c>
      <c r="H21" s="346">
        <f t="shared" si="2"/>
        <v>1.0571767638029689E-2</v>
      </c>
      <c r="J21">
        <f t="shared" si="3"/>
        <v>0</v>
      </c>
    </row>
    <row r="22" spans="1:10" x14ac:dyDescent="0.25">
      <c r="A22" s="260"/>
      <c r="B22" s="345" t="s">
        <v>1550</v>
      </c>
      <c r="C22" s="260" t="s">
        <v>1551</v>
      </c>
      <c r="D22" s="260">
        <v>25265</v>
      </c>
      <c r="E22" s="260">
        <f t="shared" si="0"/>
        <v>0</v>
      </c>
      <c r="F22" s="260">
        <f t="shared" si="4"/>
        <v>0</v>
      </c>
      <c r="G22" s="260">
        <v>25265</v>
      </c>
      <c r="H22" s="346">
        <f t="shared" si="2"/>
        <v>9.3842916651964061E-3</v>
      </c>
      <c r="J22">
        <f t="shared" si="3"/>
        <v>0</v>
      </c>
    </row>
    <row r="23" spans="1:10" x14ac:dyDescent="0.25">
      <c r="A23" s="260"/>
      <c r="B23" s="345" t="s">
        <v>1468</v>
      </c>
      <c r="C23" s="260" t="s">
        <v>1469</v>
      </c>
      <c r="D23" s="260">
        <v>19735</v>
      </c>
      <c r="E23" s="260">
        <f t="shared" si="0"/>
        <v>0</v>
      </c>
      <c r="F23" s="260">
        <f t="shared" si="4"/>
        <v>0</v>
      </c>
      <c r="G23" s="260">
        <v>19735</v>
      </c>
      <c r="H23" s="346">
        <f t="shared" si="2"/>
        <v>7.3302590941084923E-3</v>
      </c>
      <c r="J23">
        <f t="shared" si="3"/>
        <v>0</v>
      </c>
    </row>
    <row r="24" spans="1:10" x14ac:dyDescent="0.25">
      <c r="A24" s="260"/>
      <c r="B24" s="345" t="s">
        <v>1830</v>
      </c>
      <c r="C24" s="260" t="s">
        <v>1831</v>
      </c>
      <c r="D24" s="260">
        <v>17700</v>
      </c>
      <c r="E24" s="260">
        <f t="shared" si="0"/>
        <v>0</v>
      </c>
      <c r="F24" s="260">
        <f t="shared" si="4"/>
        <v>0</v>
      </c>
      <c r="G24" s="260">
        <v>17700</v>
      </c>
      <c r="H24" s="346">
        <f t="shared" si="2"/>
        <v>6.5743899653265929E-3</v>
      </c>
      <c r="J24">
        <f t="shared" si="3"/>
        <v>0</v>
      </c>
    </row>
    <row r="25" spans="1:10" x14ac:dyDescent="0.25">
      <c r="A25" s="260"/>
      <c r="B25" s="345" t="s">
        <v>1466</v>
      </c>
      <c r="C25" s="260" t="s">
        <v>1467</v>
      </c>
      <c r="D25" s="260">
        <v>13350</v>
      </c>
      <c r="E25" s="260">
        <f t="shared" si="0"/>
        <v>0</v>
      </c>
      <c r="F25" s="260">
        <f t="shared" si="4"/>
        <v>0</v>
      </c>
      <c r="G25" s="260">
        <v>13350</v>
      </c>
      <c r="H25" s="346">
        <f t="shared" si="2"/>
        <v>4.9586500585937863E-3</v>
      </c>
      <c r="J25">
        <f t="shared" si="3"/>
        <v>0</v>
      </c>
    </row>
    <row r="26" spans="1:10" x14ac:dyDescent="0.25">
      <c r="A26" s="260">
        <v>1</v>
      </c>
      <c r="B26" s="345" t="s">
        <v>1476</v>
      </c>
      <c r="C26" s="260" t="s">
        <v>1477</v>
      </c>
      <c r="D26" s="260">
        <v>13005</v>
      </c>
      <c r="E26" s="260">
        <f t="shared" si="0"/>
        <v>0</v>
      </c>
      <c r="F26" s="260">
        <f t="shared" si="4"/>
        <v>0</v>
      </c>
      <c r="G26" s="260">
        <v>13005</v>
      </c>
      <c r="H26" s="346">
        <f t="shared" si="2"/>
        <v>4.8305051694391152E-3</v>
      </c>
      <c r="J26">
        <f t="shared" si="3"/>
        <v>0</v>
      </c>
    </row>
    <row r="27" spans="1:10" x14ac:dyDescent="0.25">
      <c r="A27" s="260"/>
      <c r="B27" s="345" t="s">
        <v>1598</v>
      </c>
      <c r="C27" s="260" t="s">
        <v>1597</v>
      </c>
      <c r="D27" s="260">
        <v>12600</v>
      </c>
      <c r="E27" s="260">
        <f t="shared" si="0"/>
        <v>0</v>
      </c>
      <c r="F27" s="260">
        <f t="shared" si="4"/>
        <v>0</v>
      </c>
      <c r="G27" s="260">
        <v>12600</v>
      </c>
      <c r="H27" s="346">
        <f t="shared" si="2"/>
        <v>4.680074212605371E-3</v>
      </c>
      <c r="J27">
        <f t="shared" si="3"/>
        <v>0</v>
      </c>
    </row>
    <row r="28" spans="1:10" x14ac:dyDescent="0.25">
      <c r="A28" s="260"/>
      <c r="B28" s="345" t="s">
        <v>1470</v>
      </c>
      <c r="C28" s="260" t="s">
        <v>1471</v>
      </c>
      <c r="D28" s="260">
        <v>12200</v>
      </c>
      <c r="E28" s="260">
        <f t="shared" si="0"/>
        <v>0</v>
      </c>
      <c r="F28" s="260">
        <f t="shared" si="4"/>
        <v>0</v>
      </c>
      <c r="G28" s="260">
        <v>12200</v>
      </c>
      <c r="H28" s="346">
        <f t="shared" si="2"/>
        <v>4.5315004280782169E-3</v>
      </c>
      <c r="J28">
        <f t="shared" si="3"/>
        <v>0</v>
      </c>
    </row>
    <row r="29" spans="1:10" x14ac:dyDescent="0.25">
      <c r="A29" s="260"/>
      <c r="B29" s="345" t="s">
        <v>1464</v>
      </c>
      <c r="C29" s="260" t="s">
        <v>1465</v>
      </c>
      <c r="D29" s="260">
        <v>11855</v>
      </c>
      <c r="E29" s="260">
        <f t="shared" si="0"/>
        <v>0</v>
      </c>
      <c r="F29" s="260">
        <f t="shared" si="4"/>
        <v>0</v>
      </c>
      <c r="G29" s="260">
        <v>11855</v>
      </c>
      <c r="H29" s="346">
        <f t="shared" si="2"/>
        <v>4.4033555389235458E-3</v>
      </c>
      <c r="J29">
        <f t="shared" si="3"/>
        <v>0</v>
      </c>
    </row>
    <row r="30" spans="1:10" x14ac:dyDescent="0.25">
      <c r="A30" s="260"/>
      <c r="B30" s="345" t="s">
        <v>1460</v>
      </c>
      <c r="C30" s="260" t="s">
        <v>1461</v>
      </c>
      <c r="D30" s="260">
        <v>11150</v>
      </c>
      <c r="E30" s="260">
        <f t="shared" si="0"/>
        <v>0</v>
      </c>
      <c r="F30" s="260">
        <f t="shared" si="4"/>
        <v>0</v>
      </c>
      <c r="G30" s="260">
        <v>11150</v>
      </c>
      <c r="H30" s="346">
        <f t="shared" si="2"/>
        <v>4.1414942436944361E-3</v>
      </c>
      <c r="J30">
        <f t="shared" si="3"/>
        <v>0</v>
      </c>
    </row>
    <row r="31" spans="1:10" x14ac:dyDescent="0.25">
      <c r="A31" s="260"/>
      <c r="B31" s="345" t="s">
        <v>1896</v>
      </c>
      <c r="C31" s="260" t="s">
        <v>1897</v>
      </c>
      <c r="D31" s="260">
        <v>10750</v>
      </c>
      <c r="E31" s="260">
        <f t="shared" si="0"/>
        <v>0</v>
      </c>
      <c r="F31" s="260">
        <f t="shared" si="4"/>
        <v>0</v>
      </c>
      <c r="G31" s="260">
        <v>10750</v>
      </c>
      <c r="H31" s="346">
        <f t="shared" si="2"/>
        <v>3.9929204591672811E-3</v>
      </c>
      <c r="J31">
        <f t="shared" si="3"/>
        <v>0</v>
      </c>
    </row>
    <row r="32" spans="1:10" x14ac:dyDescent="0.25">
      <c r="A32" s="260"/>
      <c r="B32" s="345" t="s">
        <v>1472</v>
      </c>
      <c r="C32" s="260" t="s">
        <v>1473</v>
      </c>
      <c r="D32" s="260">
        <v>10700</v>
      </c>
      <c r="E32" s="260">
        <f t="shared" si="0"/>
        <v>0</v>
      </c>
      <c r="F32" s="260">
        <f t="shared" si="4"/>
        <v>0</v>
      </c>
      <c r="G32" s="260">
        <v>10700</v>
      </c>
      <c r="H32" s="346">
        <f t="shared" si="2"/>
        <v>3.9743487361013864E-3</v>
      </c>
      <c r="J32">
        <f t="shared" si="3"/>
        <v>0</v>
      </c>
    </row>
    <row r="33" spans="1:10" x14ac:dyDescent="0.25">
      <c r="A33" s="260"/>
      <c r="B33" s="345" t="s">
        <v>1535</v>
      </c>
      <c r="C33" s="260" t="s">
        <v>1475</v>
      </c>
      <c r="D33" s="260">
        <v>10500</v>
      </c>
      <c r="E33" s="260">
        <f t="shared" si="0"/>
        <v>0</v>
      </c>
      <c r="F33" s="260">
        <f t="shared" si="4"/>
        <v>0</v>
      </c>
      <c r="G33" s="260">
        <v>10500</v>
      </c>
      <c r="H33" s="346">
        <f t="shared" si="2"/>
        <v>3.9000618438378093E-3</v>
      </c>
      <c r="J33">
        <f t="shared" si="3"/>
        <v>0</v>
      </c>
    </row>
    <row r="34" spans="1:10" x14ac:dyDescent="0.25">
      <c r="A34" s="260"/>
      <c r="B34" s="345" t="s">
        <v>1791</v>
      </c>
      <c r="C34" s="260" t="s">
        <v>1792</v>
      </c>
      <c r="D34" s="260">
        <v>10000</v>
      </c>
      <c r="E34" s="260">
        <f t="shared" si="0"/>
        <v>0</v>
      </c>
      <c r="F34" s="260">
        <f t="shared" si="4"/>
        <v>0</v>
      </c>
      <c r="G34" s="260">
        <v>10000</v>
      </c>
      <c r="H34" s="346">
        <f t="shared" si="2"/>
        <v>3.7143446131788663E-3</v>
      </c>
      <c r="J34">
        <f t="shared" si="3"/>
        <v>0</v>
      </c>
    </row>
    <row r="35" spans="1:10" x14ac:dyDescent="0.25">
      <c r="A35" s="260"/>
      <c r="B35" s="345" t="s">
        <v>1795</v>
      </c>
      <c r="C35" s="260" t="s">
        <v>1796</v>
      </c>
      <c r="D35" s="260">
        <v>10000</v>
      </c>
      <c r="E35" s="260">
        <f t="shared" si="0"/>
        <v>0</v>
      </c>
      <c r="F35" s="260">
        <f t="shared" si="4"/>
        <v>0</v>
      </c>
      <c r="G35" s="260">
        <v>10000</v>
      </c>
      <c r="H35" s="346">
        <f t="shared" si="2"/>
        <v>3.7143446131788663E-3</v>
      </c>
      <c r="J35">
        <f t="shared" si="3"/>
        <v>0</v>
      </c>
    </row>
    <row r="36" spans="1:10" x14ac:dyDescent="0.25">
      <c r="A36" s="260"/>
      <c r="B36" s="345" t="s">
        <v>1824</v>
      </c>
      <c r="C36" s="260" t="s">
        <v>1825</v>
      </c>
      <c r="D36" s="260">
        <v>10000</v>
      </c>
      <c r="E36" s="260">
        <f t="shared" si="0"/>
        <v>0</v>
      </c>
      <c r="F36" s="260">
        <f t="shared" si="4"/>
        <v>0</v>
      </c>
      <c r="G36" s="260">
        <v>10000</v>
      </c>
      <c r="H36" s="346">
        <f t="shared" si="2"/>
        <v>3.7143446131788663E-3</v>
      </c>
      <c r="J36">
        <f t="shared" si="3"/>
        <v>0</v>
      </c>
    </row>
    <row r="37" spans="1:10" x14ac:dyDescent="0.25">
      <c r="A37" s="260"/>
      <c r="B37" s="345" t="s">
        <v>2113</v>
      </c>
      <c r="C37" s="260" t="s">
        <v>2114</v>
      </c>
      <c r="D37" s="260">
        <v>10000</v>
      </c>
      <c r="E37" s="260">
        <f t="shared" si="0"/>
        <v>0</v>
      </c>
      <c r="F37" s="260">
        <f t="shared" si="4"/>
        <v>0</v>
      </c>
      <c r="G37" s="260">
        <v>10000</v>
      </c>
      <c r="H37" s="346">
        <f t="shared" si="2"/>
        <v>3.7143446131788663E-3</v>
      </c>
      <c r="J37">
        <f t="shared" si="3"/>
        <v>0</v>
      </c>
    </row>
    <row r="38" spans="1:10" x14ac:dyDescent="0.25">
      <c r="A38" s="260"/>
      <c r="B38" s="345" t="s">
        <v>1462</v>
      </c>
      <c r="C38" s="260" t="s">
        <v>1463</v>
      </c>
      <c r="D38" s="260">
        <v>9200</v>
      </c>
      <c r="E38" s="260">
        <f t="shared" si="0"/>
        <v>0</v>
      </c>
      <c r="F38" s="260">
        <f t="shared" si="4"/>
        <v>0</v>
      </c>
      <c r="G38" s="260">
        <v>9200</v>
      </c>
      <c r="H38" s="346">
        <f t="shared" si="2"/>
        <v>3.4171970441245567E-3</v>
      </c>
      <c r="J38">
        <f t="shared" si="3"/>
        <v>0</v>
      </c>
    </row>
    <row r="39" spans="1:10" x14ac:dyDescent="0.25">
      <c r="A39" s="260"/>
      <c r="B39" s="345" t="s">
        <v>1458</v>
      </c>
      <c r="C39" s="260" t="s">
        <v>1459</v>
      </c>
      <c r="D39" s="260">
        <v>8828</v>
      </c>
      <c r="E39" s="260">
        <f t="shared" si="0"/>
        <v>0</v>
      </c>
      <c r="F39" s="260">
        <f t="shared" si="4"/>
        <v>0</v>
      </c>
      <c r="G39" s="260">
        <v>8828</v>
      </c>
      <c r="H39" s="346">
        <f t="shared" si="2"/>
        <v>3.2790234245143029E-3</v>
      </c>
      <c r="J39">
        <f t="shared" si="3"/>
        <v>0</v>
      </c>
    </row>
    <row r="40" spans="1:10" x14ac:dyDescent="0.25">
      <c r="A40" s="260"/>
      <c r="B40" s="345" t="s">
        <v>1820</v>
      </c>
      <c r="C40" s="260" t="s">
        <v>1821</v>
      </c>
      <c r="D40" s="260">
        <v>7705</v>
      </c>
      <c r="E40" s="260">
        <f t="shared" si="0"/>
        <v>0</v>
      </c>
      <c r="F40" s="260">
        <f t="shared" si="4"/>
        <v>0</v>
      </c>
      <c r="G40" s="260">
        <v>7705</v>
      </c>
      <c r="H40" s="346">
        <f t="shared" si="2"/>
        <v>2.8619025244543163E-3</v>
      </c>
      <c r="J40">
        <f t="shared" si="3"/>
        <v>0</v>
      </c>
    </row>
    <row r="41" spans="1:10" x14ac:dyDescent="0.25">
      <c r="A41" s="260"/>
      <c r="B41" s="345" t="s">
        <v>2248</v>
      </c>
      <c r="C41" s="260" t="s">
        <v>2249</v>
      </c>
      <c r="D41" s="260">
        <v>7705</v>
      </c>
      <c r="E41" s="260">
        <f t="shared" si="0"/>
        <v>0</v>
      </c>
      <c r="F41" s="260">
        <f t="shared" si="4"/>
        <v>0</v>
      </c>
      <c r="G41" s="260">
        <v>7705</v>
      </c>
      <c r="H41" s="346">
        <f t="shared" si="2"/>
        <v>2.8619025244543163E-3</v>
      </c>
      <c r="J41">
        <f t="shared" si="3"/>
        <v>0</v>
      </c>
    </row>
    <row r="42" spans="1:10" x14ac:dyDescent="0.25">
      <c r="A42" s="260"/>
      <c r="B42" s="345" t="s">
        <v>2083</v>
      </c>
      <c r="C42" s="260" t="s">
        <v>2084</v>
      </c>
      <c r="D42" s="260">
        <v>7500</v>
      </c>
      <c r="E42" s="260">
        <f t="shared" si="0"/>
        <v>0</v>
      </c>
      <c r="F42" s="260">
        <f t="shared" ref="F42:F73" si="5">D42-G42</f>
        <v>0</v>
      </c>
      <c r="G42" s="260">
        <v>7500</v>
      </c>
      <c r="H42" s="346">
        <f t="shared" si="2"/>
        <v>2.7857584598841496E-3</v>
      </c>
      <c r="J42">
        <f t="shared" si="3"/>
        <v>0</v>
      </c>
    </row>
    <row r="43" spans="1:10" x14ac:dyDescent="0.25">
      <c r="A43" s="260"/>
      <c r="B43" s="345" t="s">
        <v>1654</v>
      </c>
      <c r="C43" s="260" t="s">
        <v>1655</v>
      </c>
      <c r="D43" s="260">
        <v>6900</v>
      </c>
      <c r="E43" s="260">
        <f t="shared" si="0"/>
        <v>0</v>
      </c>
      <c r="F43" s="260">
        <f t="shared" si="5"/>
        <v>0</v>
      </c>
      <c r="G43" s="260">
        <v>6900</v>
      </c>
      <c r="H43" s="346">
        <f t="shared" si="2"/>
        <v>2.5628977830934175E-3</v>
      </c>
      <c r="J43">
        <f t="shared" si="3"/>
        <v>0</v>
      </c>
    </row>
    <row r="44" spans="1:10" x14ac:dyDescent="0.25">
      <c r="A44" s="260"/>
      <c r="B44" s="345" t="s">
        <v>1839</v>
      </c>
      <c r="C44" s="260" t="s">
        <v>1840</v>
      </c>
      <c r="D44" s="260">
        <v>6800</v>
      </c>
      <c r="E44" s="260">
        <f t="shared" si="0"/>
        <v>0</v>
      </c>
      <c r="F44" s="260">
        <f t="shared" si="5"/>
        <v>0</v>
      </c>
      <c r="G44" s="260">
        <v>6800</v>
      </c>
      <c r="H44" s="346">
        <f t="shared" si="2"/>
        <v>2.525754336961629E-3</v>
      </c>
      <c r="J44">
        <f t="shared" si="3"/>
        <v>0</v>
      </c>
    </row>
    <row r="45" spans="1:10" x14ac:dyDescent="0.25">
      <c r="A45" s="260"/>
      <c r="B45" s="345" t="s">
        <v>1841</v>
      </c>
      <c r="C45" s="260" t="s">
        <v>1835</v>
      </c>
      <c r="D45" s="260">
        <v>6700</v>
      </c>
      <c r="E45" s="260">
        <f t="shared" si="0"/>
        <v>0</v>
      </c>
      <c r="F45" s="260">
        <f t="shared" si="5"/>
        <v>0</v>
      </c>
      <c r="G45" s="260">
        <v>6700</v>
      </c>
      <c r="H45" s="346">
        <f t="shared" si="2"/>
        <v>2.4886108908298405E-3</v>
      </c>
      <c r="J45">
        <f t="shared" si="3"/>
        <v>0</v>
      </c>
    </row>
    <row r="46" spans="1:10" x14ac:dyDescent="0.25">
      <c r="A46" s="260"/>
      <c r="B46" s="345" t="s">
        <v>1917</v>
      </c>
      <c r="C46" s="260" t="s">
        <v>1918</v>
      </c>
      <c r="D46" s="260">
        <v>6700</v>
      </c>
      <c r="E46" s="260">
        <f t="shared" si="0"/>
        <v>0</v>
      </c>
      <c r="F46" s="260">
        <f t="shared" si="5"/>
        <v>0</v>
      </c>
      <c r="G46" s="260">
        <v>6700</v>
      </c>
      <c r="H46" s="346">
        <f t="shared" si="2"/>
        <v>2.4886108908298405E-3</v>
      </c>
      <c r="J46">
        <f t="shared" si="3"/>
        <v>0</v>
      </c>
    </row>
    <row r="47" spans="1:10" x14ac:dyDescent="0.25">
      <c r="A47" s="260"/>
      <c r="B47" s="345" t="s">
        <v>1785</v>
      </c>
      <c r="C47" s="260" t="s">
        <v>1786</v>
      </c>
      <c r="D47" s="260">
        <v>6000</v>
      </c>
      <c r="E47" s="260">
        <f t="shared" si="0"/>
        <v>0</v>
      </c>
      <c r="F47" s="260">
        <f t="shared" si="5"/>
        <v>0</v>
      </c>
      <c r="G47" s="260">
        <v>6000</v>
      </c>
      <c r="H47" s="346">
        <f t="shared" si="2"/>
        <v>2.2286067679073195E-3</v>
      </c>
      <c r="J47">
        <f t="shared" si="3"/>
        <v>0</v>
      </c>
    </row>
    <row r="48" spans="1:10" x14ac:dyDescent="0.25">
      <c r="A48" s="260"/>
      <c r="B48" s="345" t="s">
        <v>1837</v>
      </c>
      <c r="C48" s="260" t="s">
        <v>1838</v>
      </c>
      <c r="D48" s="260">
        <v>5750</v>
      </c>
      <c r="E48" s="260">
        <f t="shared" si="0"/>
        <v>0</v>
      </c>
      <c r="F48" s="260">
        <f t="shared" si="5"/>
        <v>0</v>
      </c>
      <c r="G48" s="260">
        <v>5750</v>
      </c>
      <c r="H48" s="346">
        <f t="shared" si="2"/>
        <v>2.1357481525778482E-3</v>
      </c>
      <c r="J48">
        <f t="shared" si="3"/>
        <v>0</v>
      </c>
    </row>
    <row r="49" spans="1:10" x14ac:dyDescent="0.25">
      <c r="A49" s="260"/>
      <c r="B49" s="345" t="s">
        <v>1637</v>
      </c>
      <c r="C49" s="260" t="s">
        <v>1638</v>
      </c>
      <c r="D49" s="260">
        <v>5000</v>
      </c>
      <c r="E49" s="260">
        <f t="shared" si="0"/>
        <v>0</v>
      </c>
      <c r="F49" s="260">
        <f t="shared" si="5"/>
        <v>0</v>
      </c>
      <c r="G49" s="260">
        <v>5000</v>
      </c>
      <c r="H49" s="346">
        <f t="shared" si="2"/>
        <v>1.8571723065894331E-3</v>
      </c>
      <c r="J49">
        <f t="shared" si="3"/>
        <v>0</v>
      </c>
    </row>
    <row r="50" spans="1:10" x14ac:dyDescent="0.25">
      <c r="A50" s="260"/>
      <c r="B50" s="345" t="s">
        <v>1799</v>
      </c>
      <c r="C50" s="260" t="s">
        <v>1800</v>
      </c>
      <c r="D50" s="260">
        <v>5000</v>
      </c>
      <c r="E50" s="260">
        <f t="shared" si="0"/>
        <v>0</v>
      </c>
      <c r="F50" s="260">
        <f t="shared" si="5"/>
        <v>0</v>
      </c>
      <c r="G50" s="260">
        <v>5000</v>
      </c>
      <c r="H50" s="346">
        <f t="shared" si="2"/>
        <v>1.8571723065894331E-3</v>
      </c>
      <c r="J50">
        <f t="shared" si="3"/>
        <v>0</v>
      </c>
    </row>
    <row r="51" spans="1:10" x14ac:dyDescent="0.25">
      <c r="A51" s="260"/>
      <c r="B51" s="345" t="s">
        <v>1518</v>
      </c>
      <c r="C51" s="260" t="s">
        <v>1519</v>
      </c>
      <c r="D51" s="260">
        <v>4500</v>
      </c>
      <c r="E51" s="260">
        <f t="shared" si="0"/>
        <v>0</v>
      </c>
      <c r="F51" s="260">
        <f t="shared" si="5"/>
        <v>0</v>
      </c>
      <c r="G51" s="260">
        <v>4500</v>
      </c>
      <c r="H51" s="346">
        <f t="shared" si="2"/>
        <v>1.6714550759304898E-3</v>
      </c>
      <c r="J51">
        <f t="shared" si="3"/>
        <v>0</v>
      </c>
    </row>
    <row r="52" spans="1:10" x14ac:dyDescent="0.25">
      <c r="A52" s="260"/>
      <c r="B52" s="345" t="s">
        <v>1694</v>
      </c>
      <c r="C52" s="260" t="s">
        <v>1695</v>
      </c>
      <c r="D52" s="260">
        <v>4200</v>
      </c>
      <c r="E52" s="260">
        <f t="shared" si="0"/>
        <v>0</v>
      </c>
      <c r="F52" s="260">
        <f t="shared" si="5"/>
        <v>0</v>
      </c>
      <c r="G52" s="260">
        <v>4200</v>
      </c>
      <c r="H52" s="346">
        <f t="shared" si="2"/>
        <v>1.5600247375351238E-3</v>
      </c>
      <c r="J52">
        <f t="shared" si="3"/>
        <v>0</v>
      </c>
    </row>
    <row r="53" spans="1:10" x14ac:dyDescent="0.25">
      <c r="A53" s="260"/>
      <c r="B53" s="345" t="s">
        <v>1736</v>
      </c>
      <c r="C53" s="260" t="s">
        <v>1737</v>
      </c>
      <c r="D53" s="260">
        <v>4200</v>
      </c>
      <c r="E53" s="260">
        <f t="shared" si="0"/>
        <v>0</v>
      </c>
      <c r="F53" s="260">
        <f t="shared" si="5"/>
        <v>0</v>
      </c>
      <c r="G53" s="260">
        <v>4200</v>
      </c>
      <c r="H53" s="346">
        <f t="shared" si="2"/>
        <v>1.5600247375351238E-3</v>
      </c>
      <c r="J53">
        <f t="shared" si="3"/>
        <v>0</v>
      </c>
    </row>
    <row r="54" spans="1:10" x14ac:dyDescent="0.25">
      <c r="A54" s="260"/>
      <c r="B54" s="345" t="s">
        <v>1844</v>
      </c>
      <c r="C54" s="260" t="s">
        <v>1845</v>
      </c>
      <c r="D54" s="260">
        <v>4200</v>
      </c>
      <c r="E54" s="260">
        <f t="shared" si="0"/>
        <v>0</v>
      </c>
      <c r="F54" s="260">
        <f t="shared" si="5"/>
        <v>0</v>
      </c>
      <c r="G54" s="260">
        <v>4200</v>
      </c>
      <c r="H54" s="346">
        <f t="shared" si="2"/>
        <v>1.5600247375351238E-3</v>
      </c>
      <c r="J54">
        <f t="shared" si="3"/>
        <v>0</v>
      </c>
    </row>
    <row r="55" spans="1:10" x14ac:dyDescent="0.25">
      <c r="A55" s="260"/>
      <c r="B55" s="345" t="s">
        <v>1584</v>
      </c>
      <c r="C55" s="260" t="s">
        <v>1585</v>
      </c>
      <c r="D55" s="260">
        <v>4200</v>
      </c>
      <c r="E55" s="260">
        <f t="shared" si="0"/>
        <v>0</v>
      </c>
      <c r="F55" s="260">
        <f t="shared" si="5"/>
        <v>0</v>
      </c>
      <c r="G55" s="260">
        <v>4200</v>
      </c>
      <c r="H55" s="346">
        <f t="shared" si="2"/>
        <v>1.5600247375351238E-3</v>
      </c>
      <c r="J55">
        <f t="shared" si="3"/>
        <v>0</v>
      </c>
    </row>
    <row r="56" spans="1:10" x14ac:dyDescent="0.25">
      <c r="A56" s="260"/>
      <c r="B56" s="345" t="s">
        <v>1929</v>
      </c>
      <c r="C56" s="260" t="s">
        <v>1930</v>
      </c>
      <c r="D56" s="260">
        <v>4200</v>
      </c>
      <c r="E56" s="260">
        <f t="shared" si="0"/>
        <v>0</v>
      </c>
      <c r="F56" s="260">
        <f t="shared" si="5"/>
        <v>0</v>
      </c>
      <c r="G56" s="260">
        <v>4200</v>
      </c>
      <c r="H56" s="346">
        <f t="shared" si="2"/>
        <v>1.5600247375351238E-3</v>
      </c>
      <c r="J56">
        <f t="shared" si="3"/>
        <v>0</v>
      </c>
    </row>
    <row r="57" spans="1:10" x14ac:dyDescent="0.25">
      <c r="A57" s="260"/>
      <c r="B57" s="345" t="s">
        <v>2005</v>
      </c>
      <c r="C57" s="260" t="s">
        <v>2006</v>
      </c>
      <c r="D57" s="260">
        <v>4200</v>
      </c>
      <c r="E57" s="260">
        <f t="shared" si="0"/>
        <v>0</v>
      </c>
      <c r="F57" s="260">
        <f t="shared" si="5"/>
        <v>0</v>
      </c>
      <c r="G57" s="260">
        <v>4200</v>
      </c>
      <c r="H57" s="346">
        <f t="shared" si="2"/>
        <v>1.5600247375351238E-3</v>
      </c>
      <c r="J57">
        <f t="shared" si="3"/>
        <v>0</v>
      </c>
    </row>
    <row r="58" spans="1:10" x14ac:dyDescent="0.25">
      <c r="A58" s="260"/>
      <c r="B58" s="345" t="s">
        <v>1758</v>
      </c>
      <c r="C58" s="260" t="s">
        <v>1759</v>
      </c>
      <c r="D58" s="260">
        <v>4200</v>
      </c>
      <c r="E58" s="260">
        <f t="shared" si="0"/>
        <v>0</v>
      </c>
      <c r="F58" s="260">
        <f t="shared" si="5"/>
        <v>0</v>
      </c>
      <c r="G58" s="260">
        <v>4200</v>
      </c>
      <c r="H58" s="346">
        <f t="shared" si="2"/>
        <v>1.5600247375351238E-3</v>
      </c>
      <c r="J58">
        <f t="shared" si="3"/>
        <v>0</v>
      </c>
    </row>
    <row r="59" spans="1:10" x14ac:dyDescent="0.25">
      <c r="A59" s="260"/>
      <c r="B59" s="345" t="s">
        <v>2194</v>
      </c>
      <c r="C59" s="260" t="s">
        <v>2195</v>
      </c>
      <c r="D59" s="260">
        <v>4200</v>
      </c>
      <c r="E59" s="260">
        <f t="shared" si="0"/>
        <v>0</v>
      </c>
      <c r="F59" s="260">
        <f t="shared" si="5"/>
        <v>0</v>
      </c>
      <c r="G59" s="260">
        <v>4200</v>
      </c>
      <c r="H59" s="346">
        <f t="shared" si="2"/>
        <v>1.5600247375351238E-3</v>
      </c>
      <c r="J59">
        <f t="shared" si="3"/>
        <v>0</v>
      </c>
    </row>
    <row r="60" spans="1:10" x14ac:dyDescent="0.25">
      <c r="A60" s="260"/>
      <c r="B60" s="345" t="s">
        <v>1756</v>
      </c>
      <c r="C60" s="260" t="s">
        <v>1757</v>
      </c>
      <c r="D60" s="260">
        <v>4200</v>
      </c>
      <c r="E60" s="260">
        <f t="shared" si="0"/>
        <v>0</v>
      </c>
      <c r="F60" s="260">
        <f t="shared" si="5"/>
        <v>0</v>
      </c>
      <c r="G60" s="260">
        <v>4200</v>
      </c>
      <c r="H60" s="346">
        <f t="shared" si="2"/>
        <v>1.5600247375351238E-3</v>
      </c>
      <c r="J60">
        <f t="shared" si="3"/>
        <v>0</v>
      </c>
    </row>
    <row r="61" spans="1:10" x14ac:dyDescent="0.25">
      <c r="A61" s="260"/>
      <c r="B61" s="345" t="s">
        <v>2170</v>
      </c>
      <c r="C61" s="260" t="s">
        <v>2171</v>
      </c>
      <c r="D61" s="260">
        <v>4200</v>
      </c>
      <c r="E61" s="260">
        <f t="shared" si="0"/>
        <v>0</v>
      </c>
      <c r="F61" s="260">
        <f t="shared" si="5"/>
        <v>0</v>
      </c>
      <c r="G61" s="260">
        <v>4200</v>
      </c>
      <c r="H61" s="346">
        <f t="shared" si="2"/>
        <v>1.5600247375351238E-3</v>
      </c>
      <c r="J61">
        <f t="shared" si="3"/>
        <v>0</v>
      </c>
    </row>
    <row r="62" spans="1:10" x14ac:dyDescent="0.25">
      <c r="A62" s="260"/>
      <c r="B62" s="345" t="s">
        <v>1931</v>
      </c>
      <c r="C62" s="260" t="s">
        <v>1932</v>
      </c>
      <c r="D62" s="260">
        <v>3795</v>
      </c>
      <c r="E62" s="260">
        <f t="shared" si="0"/>
        <v>0</v>
      </c>
      <c r="F62" s="260">
        <f t="shared" si="5"/>
        <v>0</v>
      </c>
      <c r="G62" s="260">
        <v>3795</v>
      </c>
      <c r="H62" s="346">
        <f t="shared" si="2"/>
        <v>1.4095937807013796E-3</v>
      </c>
      <c r="J62">
        <f t="shared" si="3"/>
        <v>0</v>
      </c>
    </row>
    <row r="63" spans="1:10" x14ac:dyDescent="0.25">
      <c r="A63" s="260">
        <v>1</v>
      </c>
      <c r="B63" s="345" t="s">
        <v>1526</v>
      </c>
      <c r="C63" s="260" t="s">
        <v>1527</v>
      </c>
      <c r="D63" s="260">
        <v>3600</v>
      </c>
      <c r="E63" s="260">
        <f t="shared" si="0"/>
        <v>0</v>
      </c>
      <c r="F63" s="260">
        <f t="shared" si="5"/>
        <v>0</v>
      </c>
      <c r="G63" s="260">
        <v>3600</v>
      </c>
      <c r="H63" s="346">
        <f t="shared" si="2"/>
        <v>1.3371640607443918E-3</v>
      </c>
      <c r="J63">
        <f t="shared" si="3"/>
        <v>0</v>
      </c>
    </row>
    <row r="64" spans="1:10" x14ac:dyDescent="0.25">
      <c r="A64" s="260"/>
      <c r="B64" s="345" t="s">
        <v>1522</v>
      </c>
      <c r="C64" s="260" t="s">
        <v>1523</v>
      </c>
      <c r="D64" s="260">
        <v>3300</v>
      </c>
      <c r="E64" s="260">
        <f t="shared" si="0"/>
        <v>0</v>
      </c>
      <c r="F64" s="260">
        <f t="shared" si="5"/>
        <v>0</v>
      </c>
      <c r="G64" s="260">
        <v>3300</v>
      </c>
      <c r="H64" s="346">
        <f t="shared" si="2"/>
        <v>1.2257337223490258E-3</v>
      </c>
      <c r="J64">
        <f t="shared" si="3"/>
        <v>0</v>
      </c>
    </row>
    <row r="65" spans="1:10" x14ac:dyDescent="0.25">
      <c r="A65" s="260"/>
      <c r="B65" s="345" t="s">
        <v>2236</v>
      </c>
      <c r="C65" s="260" t="s">
        <v>2237</v>
      </c>
      <c r="D65" s="260">
        <v>3300</v>
      </c>
      <c r="E65" s="260">
        <f t="shared" si="0"/>
        <v>0</v>
      </c>
      <c r="F65" s="260">
        <f t="shared" si="5"/>
        <v>0</v>
      </c>
      <c r="G65" s="260">
        <v>3300</v>
      </c>
      <c r="H65" s="346">
        <f t="shared" si="2"/>
        <v>1.2257337223490258E-3</v>
      </c>
      <c r="J65">
        <f t="shared" si="3"/>
        <v>0</v>
      </c>
    </row>
    <row r="66" spans="1:10" x14ac:dyDescent="0.25">
      <c r="A66" s="260"/>
      <c r="B66" s="345" t="s">
        <v>1810</v>
      </c>
      <c r="C66" s="260" t="s">
        <v>1811</v>
      </c>
      <c r="D66" s="260">
        <v>3300</v>
      </c>
      <c r="E66" s="260">
        <f t="shared" si="0"/>
        <v>0</v>
      </c>
      <c r="F66" s="260">
        <f t="shared" si="5"/>
        <v>0</v>
      </c>
      <c r="G66" s="260">
        <v>3300</v>
      </c>
      <c r="H66" s="346">
        <f t="shared" si="2"/>
        <v>1.2257337223490258E-3</v>
      </c>
      <c r="J66">
        <f t="shared" si="3"/>
        <v>0</v>
      </c>
    </row>
    <row r="67" spans="1:10" x14ac:dyDescent="0.25">
      <c r="A67" s="260"/>
      <c r="B67" s="345" t="s">
        <v>1848</v>
      </c>
      <c r="C67" s="260" t="s">
        <v>1849</v>
      </c>
      <c r="D67" s="260">
        <v>3300</v>
      </c>
      <c r="E67" s="260">
        <f t="shared" ref="E67:E130" si="6">G67-D67</f>
        <v>0</v>
      </c>
      <c r="F67" s="260">
        <f t="shared" si="5"/>
        <v>0</v>
      </c>
      <c r="G67" s="260">
        <v>3300</v>
      </c>
      <c r="H67" s="346">
        <f t="shared" ref="H67:H130" si="7">+G67/$G$417</f>
        <v>1.2257337223490258E-3</v>
      </c>
      <c r="J67">
        <f t="shared" ref="J67:J130" si="8">+SUM(E67:F67)</f>
        <v>0</v>
      </c>
    </row>
    <row r="68" spans="1:10" x14ac:dyDescent="0.25">
      <c r="A68" s="260"/>
      <c r="B68" s="345" t="s">
        <v>1556</v>
      </c>
      <c r="C68" s="260" t="s">
        <v>1557</v>
      </c>
      <c r="D68" s="260">
        <v>3300</v>
      </c>
      <c r="E68" s="260">
        <f t="shared" si="6"/>
        <v>0</v>
      </c>
      <c r="F68" s="260">
        <f t="shared" si="5"/>
        <v>0</v>
      </c>
      <c r="G68" s="260">
        <v>3300</v>
      </c>
      <c r="H68" s="346">
        <f t="shared" si="7"/>
        <v>1.2257337223490258E-3</v>
      </c>
      <c r="J68">
        <f t="shared" si="8"/>
        <v>0</v>
      </c>
    </row>
    <row r="69" spans="1:10" x14ac:dyDescent="0.25">
      <c r="A69" s="260"/>
      <c r="B69" s="345" t="s">
        <v>1499</v>
      </c>
      <c r="C69" s="260" t="s">
        <v>1500</v>
      </c>
      <c r="D69" s="260">
        <v>3300</v>
      </c>
      <c r="E69" s="260">
        <f t="shared" si="6"/>
        <v>0</v>
      </c>
      <c r="F69" s="260">
        <f t="shared" si="5"/>
        <v>0</v>
      </c>
      <c r="G69" s="260">
        <v>3300</v>
      </c>
      <c r="H69" s="346">
        <f t="shared" si="7"/>
        <v>1.2257337223490258E-3</v>
      </c>
      <c r="J69">
        <f t="shared" si="8"/>
        <v>0</v>
      </c>
    </row>
    <row r="70" spans="1:10" x14ac:dyDescent="0.25">
      <c r="A70" s="260"/>
      <c r="B70" s="345" t="s">
        <v>1514</v>
      </c>
      <c r="C70" s="260" t="s">
        <v>1515</v>
      </c>
      <c r="D70" s="260">
        <v>3300</v>
      </c>
      <c r="E70" s="260">
        <f t="shared" si="6"/>
        <v>0</v>
      </c>
      <c r="F70" s="260">
        <f t="shared" si="5"/>
        <v>0</v>
      </c>
      <c r="G70" s="260">
        <v>3300</v>
      </c>
      <c r="H70" s="346">
        <f t="shared" si="7"/>
        <v>1.2257337223490258E-3</v>
      </c>
      <c r="J70">
        <f t="shared" si="8"/>
        <v>0</v>
      </c>
    </row>
    <row r="71" spans="1:10" x14ac:dyDescent="0.25">
      <c r="A71" s="260"/>
      <c r="B71" s="345" t="s">
        <v>1512</v>
      </c>
      <c r="C71" s="260" t="s">
        <v>1513</v>
      </c>
      <c r="D71" s="260">
        <v>3300</v>
      </c>
      <c r="E71" s="260">
        <f t="shared" si="6"/>
        <v>0</v>
      </c>
      <c r="F71" s="260">
        <f t="shared" si="5"/>
        <v>0</v>
      </c>
      <c r="G71" s="260">
        <v>3300</v>
      </c>
      <c r="H71" s="346">
        <f t="shared" si="7"/>
        <v>1.2257337223490258E-3</v>
      </c>
      <c r="J71">
        <f t="shared" si="8"/>
        <v>0</v>
      </c>
    </row>
    <row r="72" spans="1:10" x14ac:dyDescent="0.25">
      <c r="A72" s="260"/>
      <c r="B72" s="345" t="s">
        <v>1497</v>
      </c>
      <c r="C72" s="260" t="s">
        <v>1498</v>
      </c>
      <c r="D72" s="260">
        <v>3090</v>
      </c>
      <c r="E72" s="260">
        <f t="shared" si="6"/>
        <v>0</v>
      </c>
      <c r="F72" s="260">
        <f t="shared" si="5"/>
        <v>0</v>
      </c>
      <c r="G72" s="260">
        <v>3090</v>
      </c>
      <c r="H72" s="346">
        <f t="shared" si="7"/>
        <v>1.1477324854722696E-3</v>
      </c>
      <c r="J72">
        <f t="shared" si="8"/>
        <v>0</v>
      </c>
    </row>
    <row r="73" spans="1:10" x14ac:dyDescent="0.25">
      <c r="A73" s="260"/>
      <c r="B73" s="345" t="s">
        <v>1505</v>
      </c>
      <c r="C73" s="260" t="s">
        <v>1506</v>
      </c>
      <c r="D73" s="260">
        <v>3025</v>
      </c>
      <c r="E73" s="260">
        <f t="shared" si="6"/>
        <v>0</v>
      </c>
      <c r="F73" s="260">
        <f t="shared" si="5"/>
        <v>0</v>
      </c>
      <c r="G73" s="260">
        <v>3025</v>
      </c>
      <c r="H73" s="346">
        <f t="shared" si="7"/>
        <v>1.1235892454866071E-3</v>
      </c>
      <c r="J73">
        <f t="shared" si="8"/>
        <v>0</v>
      </c>
    </row>
    <row r="74" spans="1:10" x14ac:dyDescent="0.25">
      <c r="A74" s="260"/>
      <c r="B74" s="345" t="s">
        <v>1596</v>
      </c>
      <c r="C74" s="260" t="s">
        <v>1597</v>
      </c>
      <c r="D74" s="260">
        <v>3000</v>
      </c>
      <c r="E74" s="260">
        <f t="shared" si="6"/>
        <v>0</v>
      </c>
      <c r="F74" s="260">
        <f t="shared" ref="F74:F105" si="9">D74-G74</f>
        <v>0</v>
      </c>
      <c r="G74" s="260">
        <v>3000</v>
      </c>
      <c r="H74" s="346">
        <f t="shared" si="7"/>
        <v>1.1143033839536597E-3</v>
      </c>
      <c r="J74">
        <f t="shared" si="8"/>
        <v>0</v>
      </c>
    </row>
    <row r="75" spans="1:10" x14ac:dyDescent="0.25">
      <c r="A75" s="260"/>
      <c r="B75" s="345" t="s">
        <v>1647</v>
      </c>
      <c r="C75" s="260" t="s">
        <v>1648</v>
      </c>
      <c r="D75" s="260">
        <v>3000</v>
      </c>
      <c r="E75" s="260">
        <f t="shared" si="6"/>
        <v>0</v>
      </c>
      <c r="F75" s="260">
        <f t="shared" si="9"/>
        <v>0</v>
      </c>
      <c r="G75" s="260">
        <v>3000</v>
      </c>
      <c r="H75" s="346">
        <f t="shared" si="7"/>
        <v>1.1143033839536597E-3</v>
      </c>
      <c r="J75">
        <f t="shared" si="8"/>
        <v>0</v>
      </c>
    </row>
    <row r="76" spans="1:10" x14ac:dyDescent="0.25">
      <c r="A76" s="260"/>
      <c r="B76" s="345" t="s">
        <v>1804</v>
      </c>
      <c r="C76" s="260" t="s">
        <v>1805</v>
      </c>
      <c r="D76" s="260">
        <v>3000</v>
      </c>
      <c r="E76" s="260">
        <f t="shared" si="6"/>
        <v>0</v>
      </c>
      <c r="F76" s="260">
        <f t="shared" si="9"/>
        <v>0</v>
      </c>
      <c r="G76" s="260">
        <v>3000</v>
      </c>
      <c r="H76" s="346">
        <f t="shared" si="7"/>
        <v>1.1143033839536597E-3</v>
      </c>
      <c r="J76">
        <f t="shared" si="8"/>
        <v>0</v>
      </c>
    </row>
    <row r="77" spans="1:10" x14ac:dyDescent="0.25">
      <c r="A77" s="260"/>
      <c r="B77" s="345" t="s">
        <v>1836</v>
      </c>
      <c r="C77" s="260" t="s">
        <v>1825</v>
      </c>
      <c r="D77" s="260">
        <v>3000</v>
      </c>
      <c r="E77" s="260">
        <f t="shared" si="6"/>
        <v>0</v>
      </c>
      <c r="F77" s="260">
        <f t="shared" si="9"/>
        <v>0</v>
      </c>
      <c r="G77" s="260">
        <v>3000</v>
      </c>
      <c r="H77" s="346">
        <f t="shared" si="7"/>
        <v>1.1143033839536597E-3</v>
      </c>
      <c r="J77">
        <f t="shared" si="8"/>
        <v>0</v>
      </c>
    </row>
    <row r="78" spans="1:10" x14ac:dyDescent="0.25">
      <c r="A78" s="260"/>
      <c r="B78" s="345" t="s">
        <v>2099</v>
      </c>
      <c r="C78" s="260" t="s">
        <v>2100</v>
      </c>
      <c r="D78" s="260">
        <v>2875</v>
      </c>
      <c r="E78" s="260">
        <f t="shared" si="6"/>
        <v>0</v>
      </c>
      <c r="F78" s="260">
        <f t="shared" si="9"/>
        <v>0</v>
      </c>
      <c r="G78" s="260">
        <v>2875</v>
      </c>
      <c r="H78" s="346">
        <f t="shared" si="7"/>
        <v>1.0678740762889241E-3</v>
      </c>
      <c r="J78">
        <f t="shared" si="8"/>
        <v>0</v>
      </c>
    </row>
    <row r="79" spans="1:10" x14ac:dyDescent="0.25">
      <c r="A79" s="260"/>
      <c r="B79" s="345" t="s">
        <v>1516</v>
      </c>
      <c r="C79" s="260" t="s">
        <v>1517</v>
      </c>
      <c r="D79" s="260">
        <v>2500</v>
      </c>
      <c r="E79" s="260">
        <f t="shared" si="6"/>
        <v>0</v>
      </c>
      <c r="F79" s="260">
        <f t="shared" si="9"/>
        <v>0</v>
      </c>
      <c r="G79" s="260">
        <v>2500</v>
      </c>
      <c r="H79" s="346">
        <f t="shared" si="7"/>
        <v>9.2858615329471656E-4</v>
      </c>
      <c r="J79">
        <f t="shared" si="8"/>
        <v>0</v>
      </c>
    </row>
    <row r="80" spans="1:10" x14ac:dyDescent="0.25">
      <c r="A80" s="260"/>
      <c r="B80" s="345" t="s">
        <v>1672</v>
      </c>
      <c r="C80" s="260" t="s">
        <v>1673</v>
      </c>
      <c r="D80" s="260">
        <v>2500</v>
      </c>
      <c r="E80" s="260">
        <f t="shared" si="6"/>
        <v>0</v>
      </c>
      <c r="F80" s="260">
        <f t="shared" si="9"/>
        <v>0</v>
      </c>
      <c r="G80" s="260">
        <v>2500</v>
      </c>
      <c r="H80" s="346">
        <f t="shared" si="7"/>
        <v>9.2858615329471656E-4</v>
      </c>
      <c r="J80">
        <f t="shared" si="8"/>
        <v>0</v>
      </c>
    </row>
    <row r="81" spans="1:10" x14ac:dyDescent="0.25">
      <c r="A81" s="260"/>
      <c r="B81" s="345" t="s">
        <v>1690</v>
      </c>
      <c r="C81" s="260" t="s">
        <v>1691</v>
      </c>
      <c r="D81" s="260">
        <v>2500</v>
      </c>
      <c r="E81" s="260">
        <f t="shared" si="6"/>
        <v>0</v>
      </c>
      <c r="F81" s="260">
        <f t="shared" si="9"/>
        <v>0</v>
      </c>
      <c r="G81" s="260">
        <v>2500</v>
      </c>
      <c r="H81" s="346">
        <f t="shared" si="7"/>
        <v>9.2858615329471656E-4</v>
      </c>
      <c r="J81">
        <f t="shared" si="8"/>
        <v>0</v>
      </c>
    </row>
    <row r="82" spans="1:10" x14ac:dyDescent="0.25">
      <c r="A82" s="260"/>
      <c r="B82" s="345" t="s">
        <v>1801</v>
      </c>
      <c r="C82" s="260" t="s">
        <v>1796</v>
      </c>
      <c r="D82" s="260">
        <v>2500</v>
      </c>
      <c r="E82" s="260">
        <f t="shared" si="6"/>
        <v>0</v>
      </c>
      <c r="F82" s="260">
        <f t="shared" si="9"/>
        <v>0</v>
      </c>
      <c r="G82" s="260">
        <v>2500</v>
      </c>
      <c r="H82" s="346">
        <f t="shared" si="7"/>
        <v>9.2858615329471656E-4</v>
      </c>
      <c r="J82">
        <f t="shared" si="8"/>
        <v>0</v>
      </c>
    </row>
    <row r="83" spans="1:10" x14ac:dyDescent="0.25">
      <c r="A83" s="260"/>
      <c r="B83" s="345" t="s">
        <v>1802</v>
      </c>
      <c r="C83" s="260" t="s">
        <v>1796</v>
      </c>
      <c r="D83" s="260">
        <v>2500</v>
      </c>
      <c r="E83" s="260">
        <f t="shared" si="6"/>
        <v>0</v>
      </c>
      <c r="F83" s="260">
        <f t="shared" si="9"/>
        <v>0</v>
      </c>
      <c r="G83" s="260">
        <v>2500</v>
      </c>
      <c r="H83" s="346">
        <f t="shared" si="7"/>
        <v>9.2858615329471656E-4</v>
      </c>
      <c r="J83">
        <f t="shared" si="8"/>
        <v>0</v>
      </c>
    </row>
    <row r="84" spans="1:10" x14ac:dyDescent="0.25">
      <c r="A84" s="260"/>
      <c r="B84" s="345" t="s">
        <v>1580</v>
      </c>
      <c r="C84" s="260" t="s">
        <v>1581</v>
      </c>
      <c r="D84" s="260">
        <v>2500</v>
      </c>
      <c r="E84" s="260">
        <f t="shared" si="6"/>
        <v>0</v>
      </c>
      <c r="F84" s="260">
        <f t="shared" si="9"/>
        <v>0</v>
      </c>
      <c r="G84" s="260">
        <v>2500</v>
      </c>
      <c r="H84" s="346">
        <f t="shared" si="7"/>
        <v>9.2858615329471656E-4</v>
      </c>
      <c r="J84">
        <f t="shared" si="8"/>
        <v>0</v>
      </c>
    </row>
    <row r="85" spans="1:10" x14ac:dyDescent="0.25">
      <c r="A85" s="260"/>
      <c r="B85" s="345" t="s">
        <v>1834</v>
      </c>
      <c r="C85" s="260" t="s">
        <v>1835</v>
      </c>
      <c r="D85" s="260">
        <v>2500</v>
      </c>
      <c r="E85" s="260">
        <f t="shared" si="6"/>
        <v>0</v>
      </c>
      <c r="F85" s="260">
        <f t="shared" si="9"/>
        <v>0</v>
      </c>
      <c r="G85" s="260">
        <v>2500</v>
      </c>
      <c r="H85" s="346">
        <f t="shared" si="7"/>
        <v>9.2858615329471656E-4</v>
      </c>
      <c r="J85">
        <f t="shared" si="8"/>
        <v>0</v>
      </c>
    </row>
    <row r="86" spans="1:10" x14ac:dyDescent="0.25">
      <c r="A86" s="260"/>
      <c r="B86" s="345" t="s">
        <v>1888</v>
      </c>
      <c r="C86" s="260" t="s">
        <v>1889</v>
      </c>
      <c r="D86" s="260">
        <v>2500</v>
      </c>
      <c r="E86" s="260">
        <f t="shared" si="6"/>
        <v>0</v>
      </c>
      <c r="F86" s="260">
        <f t="shared" si="9"/>
        <v>0</v>
      </c>
      <c r="G86" s="260">
        <v>2500</v>
      </c>
      <c r="H86" s="346">
        <f t="shared" si="7"/>
        <v>9.2858615329471656E-4</v>
      </c>
      <c r="J86">
        <f t="shared" si="8"/>
        <v>0</v>
      </c>
    </row>
    <row r="87" spans="1:10" x14ac:dyDescent="0.25">
      <c r="A87" s="260"/>
      <c r="B87" s="345" t="s">
        <v>1902</v>
      </c>
      <c r="C87" s="260" t="s">
        <v>1897</v>
      </c>
      <c r="D87" s="260">
        <v>2500</v>
      </c>
      <c r="E87" s="260">
        <f t="shared" si="6"/>
        <v>0</v>
      </c>
      <c r="F87" s="260">
        <f t="shared" si="9"/>
        <v>0</v>
      </c>
      <c r="G87" s="260">
        <v>2500</v>
      </c>
      <c r="H87" s="346">
        <f t="shared" si="7"/>
        <v>9.2858615329471656E-4</v>
      </c>
      <c r="J87">
        <f t="shared" si="8"/>
        <v>0</v>
      </c>
    </row>
    <row r="88" spans="1:10" x14ac:dyDescent="0.25">
      <c r="A88" s="260"/>
      <c r="B88" s="345" t="s">
        <v>1898</v>
      </c>
      <c r="C88" s="260" t="s">
        <v>1899</v>
      </c>
      <c r="D88" s="260">
        <v>2500</v>
      </c>
      <c r="E88" s="260">
        <f t="shared" si="6"/>
        <v>0</v>
      </c>
      <c r="F88" s="260">
        <f t="shared" si="9"/>
        <v>0</v>
      </c>
      <c r="G88" s="260">
        <v>2500</v>
      </c>
      <c r="H88" s="346">
        <f t="shared" si="7"/>
        <v>9.2858615329471656E-4</v>
      </c>
      <c r="J88">
        <f t="shared" si="8"/>
        <v>0</v>
      </c>
    </row>
    <row r="89" spans="1:10" x14ac:dyDescent="0.25">
      <c r="A89" s="260"/>
      <c r="B89" s="345" t="s">
        <v>1578</v>
      </c>
      <c r="C89" s="260" t="s">
        <v>1579</v>
      </c>
      <c r="D89" s="260">
        <v>2500</v>
      </c>
      <c r="E89" s="260">
        <f t="shared" si="6"/>
        <v>0</v>
      </c>
      <c r="F89" s="260">
        <f t="shared" si="9"/>
        <v>0</v>
      </c>
      <c r="G89" s="260">
        <v>2500</v>
      </c>
      <c r="H89" s="346">
        <f t="shared" si="7"/>
        <v>9.2858615329471656E-4</v>
      </c>
      <c r="J89">
        <f t="shared" si="8"/>
        <v>0</v>
      </c>
    </row>
    <row r="90" spans="1:10" x14ac:dyDescent="0.25">
      <c r="A90" s="260"/>
      <c r="B90" s="345" t="s">
        <v>1957</v>
      </c>
      <c r="C90" s="260" t="s">
        <v>1958</v>
      </c>
      <c r="D90" s="260">
        <v>2500</v>
      </c>
      <c r="E90" s="260">
        <f t="shared" si="6"/>
        <v>0</v>
      </c>
      <c r="F90" s="260">
        <f t="shared" si="9"/>
        <v>0</v>
      </c>
      <c r="G90" s="260">
        <v>2500</v>
      </c>
      <c r="H90" s="346">
        <f t="shared" si="7"/>
        <v>9.2858615329471656E-4</v>
      </c>
      <c r="J90">
        <f t="shared" si="8"/>
        <v>0</v>
      </c>
    </row>
    <row r="91" spans="1:10" x14ac:dyDescent="0.25">
      <c r="A91" s="260"/>
      <c r="B91" s="345" t="s">
        <v>1744</v>
      </c>
      <c r="C91" s="260" t="s">
        <v>1745</v>
      </c>
      <c r="D91" s="260">
        <v>2500</v>
      </c>
      <c r="E91" s="260">
        <f t="shared" si="6"/>
        <v>0</v>
      </c>
      <c r="F91" s="260">
        <f t="shared" si="9"/>
        <v>0</v>
      </c>
      <c r="G91" s="260">
        <v>2500</v>
      </c>
      <c r="H91" s="346">
        <f t="shared" si="7"/>
        <v>9.2858615329471656E-4</v>
      </c>
      <c r="J91">
        <f t="shared" si="8"/>
        <v>0</v>
      </c>
    </row>
    <row r="92" spans="1:10" x14ac:dyDescent="0.25">
      <c r="A92" s="260"/>
      <c r="B92" s="345" t="s">
        <v>1507</v>
      </c>
      <c r="C92" s="260" t="s">
        <v>1485</v>
      </c>
      <c r="D92" s="260">
        <v>2500</v>
      </c>
      <c r="E92" s="260">
        <f t="shared" si="6"/>
        <v>0</v>
      </c>
      <c r="F92" s="260">
        <f t="shared" si="9"/>
        <v>0</v>
      </c>
      <c r="G92" s="260">
        <v>2500</v>
      </c>
      <c r="H92" s="346">
        <f t="shared" si="7"/>
        <v>9.2858615329471656E-4</v>
      </c>
      <c r="J92">
        <f t="shared" si="8"/>
        <v>0</v>
      </c>
    </row>
    <row r="93" spans="1:10" x14ac:dyDescent="0.25">
      <c r="A93" s="260"/>
      <c r="B93" s="345" t="s">
        <v>2115</v>
      </c>
      <c r="C93" s="260" t="s">
        <v>2116</v>
      </c>
      <c r="D93" s="260">
        <v>2500</v>
      </c>
      <c r="E93" s="260">
        <f t="shared" si="6"/>
        <v>0</v>
      </c>
      <c r="F93" s="260">
        <f t="shared" si="9"/>
        <v>0</v>
      </c>
      <c r="G93" s="260">
        <v>2500</v>
      </c>
      <c r="H93" s="346">
        <f t="shared" si="7"/>
        <v>9.2858615329471656E-4</v>
      </c>
      <c r="J93">
        <f t="shared" si="8"/>
        <v>0</v>
      </c>
    </row>
    <row r="94" spans="1:10" x14ac:dyDescent="0.25">
      <c r="A94" s="260"/>
      <c r="B94" s="345" t="s">
        <v>2073</v>
      </c>
      <c r="C94" s="260" t="s">
        <v>2074</v>
      </c>
      <c r="D94" s="260">
        <v>2500</v>
      </c>
      <c r="E94" s="260">
        <f t="shared" si="6"/>
        <v>0</v>
      </c>
      <c r="F94" s="260">
        <f t="shared" si="9"/>
        <v>0</v>
      </c>
      <c r="G94" s="260">
        <v>2500</v>
      </c>
      <c r="H94" s="346">
        <f t="shared" si="7"/>
        <v>9.2858615329471656E-4</v>
      </c>
      <c r="J94">
        <f t="shared" si="8"/>
        <v>0</v>
      </c>
    </row>
    <row r="95" spans="1:10" x14ac:dyDescent="0.25">
      <c r="A95" s="260"/>
      <c r="B95" s="345" t="s">
        <v>2117</v>
      </c>
      <c r="C95" s="260" t="s">
        <v>2118</v>
      </c>
      <c r="D95" s="260">
        <v>2500</v>
      </c>
      <c r="E95" s="260">
        <f t="shared" si="6"/>
        <v>0</v>
      </c>
      <c r="F95" s="260">
        <f t="shared" si="9"/>
        <v>0</v>
      </c>
      <c r="G95" s="260">
        <v>2500</v>
      </c>
      <c r="H95" s="346">
        <f t="shared" si="7"/>
        <v>9.2858615329471656E-4</v>
      </c>
      <c r="J95">
        <f t="shared" si="8"/>
        <v>0</v>
      </c>
    </row>
    <row r="96" spans="1:10" x14ac:dyDescent="0.25">
      <c r="A96" s="260"/>
      <c r="B96" s="345" t="s">
        <v>2089</v>
      </c>
      <c r="C96" s="260" t="s">
        <v>2090</v>
      </c>
      <c r="D96" s="260">
        <v>2500</v>
      </c>
      <c r="E96" s="260">
        <f t="shared" si="6"/>
        <v>0</v>
      </c>
      <c r="F96" s="260">
        <f t="shared" si="9"/>
        <v>0</v>
      </c>
      <c r="G96" s="260">
        <v>2500</v>
      </c>
      <c r="H96" s="346">
        <f t="shared" si="7"/>
        <v>9.2858615329471656E-4</v>
      </c>
      <c r="J96">
        <f t="shared" si="8"/>
        <v>0</v>
      </c>
    </row>
    <row r="97" spans="1:10" x14ac:dyDescent="0.25">
      <c r="A97" s="260"/>
      <c r="B97" s="345" t="s">
        <v>2121</v>
      </c>
      <c r="C97" s="260" t="s">
        <v>2114</v>
      </c>
      <c r="D97" s="260">
        <v>2500</v>
      </c>
      <c r="E97" s="260">
        <f t="shared" si="6"/>
        <v>0</v>
      </c>
      <c r="F97" s="260">
        <f t="shared" si="9"/>
        <v>0</v>
      </c>
      <c r="G97" s="260">
        <v>2500</v>
      </c>
      <c r="H97" s="346">
        <f t="shared" si="7"/>
        <v>9.2858615329471656E-4</v>
      </c>
      <c r="J97">
        <f t="shared" si="8"/>
        <v>0</v>
      </c>
    </row>
    <row r="98" spans="1:10" x14ac:dyDescent="0.25">
      <c r="A98" s="260"/>
      <c r="B98" s="345" t="s">
        <v>2200</v>
      </c>
      <c r="C98" s="260" t="s">
        <v>2201</v>
      </c>
      <c r="D98" s="260">
        <v>2500</v>
      </c>
      <c r="E98" s="260">
        <f t="shared" si="6"/>
        <v>0</v>
      </c>
      <c r="F98" s="260">
        <f t="shared" si="9"/>
        <v>0</v>
      </c>
      <c r="G98" s="260">
        <v>2500</v>
      </c>
      <c r="H98" s="346">
        <f t="shared" si="7"/>
        <v>9.2858615329471656E-4</v>
      </c>
      <c r="J98">
        <f t="shared" si="8"/>
        <v>0</v>
      </c>
    </row>
    <row r="99" spans="1:10" x14ac:dyDescent="0.25">
      <c r="A99" s="260"/>
      <c r="B99" s="345" t="s">
        <v>2252</v>
      </c>
      <c r="C99" s="260" t="s">
        <v>2253</v>
      </c>
      <c r="D99" s="260">
        <v>2500</v>
      </c>
      <c r="E99" s="260">
        <f t="shared" si="6"/>
        <v>0</v>
      </c>
      <c r="F99" s="260">
        <f t="shared" si="9"/>
        <v>0</v>
      </c>
      <c r="G99" s="260">
        <v>2500</v>
      </c>
      <c r="H99" s="346">
        <f t="shared" si="7"/>
        <v>9.2858615329471656E-4</v>
      </c>
      <c r="J99">
        <f t="shared" si="8"/>
        <v>0</v>
      </c>
    </row>
    <row r="100" spans="1:10" x14ac:dyDescent="0.25">
      <c r="A100" s="260"/>
      <c r="B100" s="345" t="s">
        <v>1478</v>
      </c>
      <c r="C100" s="260" t="s">
        <v>1479</v>
      </c>
      <c r="D100" s="260">
        <v>2190</v>
      </c>
      <c r="E100" s="260">
        <f t="shared" si="6"/>
        <v>0</v>
      </c>
      <c r="F100" s="260">
        <f t="shared" si="9"/>
        <v>0</v>
      </c>
      <c r="G100" s="260">
        <v>2190</v>
      </c>
      <c r="H100" s="346">
        <f t="shared" si="7"/>
        <v>8.1344147028617169E-4</v>
      </c>
      <c r="J100">
        <f t="shared" si="8"/>
        <v>0</v>
      </c>
    </row>
    <row r="101" spans="1:10" x14ac:dyDescent="0.25">
      <c r="A101" s="260"/>
      <c r="B101" s="345" t="s">
        <v>2019</v>
      </c>
      <c r="C101" s="260" t="s">
        <v>2020</v>
      </c>
      <c r="D101" s="260">
        <v>2100</v>
      </c>
      <c r="E101" s="260">
        <f t="shared" si="6"/>
        <v>0</v>
      </c>
      <c r="F101" s="260">
        <f t="shared" si="9"/>
        <v>0</v>
      </c>
      <c r="G101" s="260">
        <v>2100</v>
      </c>
      <c r="H101" s="346">
        <f t="shared" si="7"/>
        <v>7.8001236876756191E-4</v>
      </c>
      <c r="J101">
        <f t="shared" si="8"/>
        <v>0</v>
      </c>
    </row>
    <row r="102" spans="1:10" x14ac:dyDescent="0.25">
      <c r="A102" s="260"/>
      <c r="B102" s="345" t="s">
        <v>2128</v>
      </c>
      <c r="C102" s="260" t="s">
        <v>2129</v>
      </c>
      <c r="D102" s="260">
        <v>2100</v>
      </c>
      <c r="E102" s="260">
        <f t="shared" si="6"/>
        <v>0</v>
      </c>
      <c r="F102" s="260">
        <f t="shared" si="9"/>
        <v>0</v>
      </c>
      <c r="G102" s="260">
        <v>2100</v>
      </c>
      <c r="H102" s="346">
        <f t="shared" si="7"/>
        <v>7.8001236876756191E-4</v>
      </c>
      <c r="J102">
        <f t="shared" si="8"/>
        <v>0</v>
      </c>
    </row>
    <row r="103" spans="1:10" x14ac:dyDescent="0.25">
      <c r="A103" s="260"/>
      <c r="B103" s="345" t="s">
        <v>1568</v>
      </c>
      <c r="C103" s="260" t="s">
        <v>1569</v>
      </c>
      <c r="D103" s="260">
        <v>2000</v>
      </c>
      <c r="E103" s="260">
        <f t="shared" si="6"/>
        <v>0</v>
      </c>
      <c r="F103" s="260">
        <f t="shared" si="9"/>
        <v>0</v>
      </c>
      <c r="G103" s="260">
        <v>2000</v>
      </c>
      <c r="H103" s="346">
        <f t="shared" si="7"/>
        <v>7.4286892263577327E-4</v>
      </c>
      <c r="J103">
        <f t="shared" si="8"/>
        <v>0</v>
      </c>
    </row>
    <row r="104" spans="1:10" x14ac:dyDescent="0.25">
      <c r="A104" s="260"/>
      <c r="B104" s="345" t="s">
        <v>1560</v>
      </c>
      <c r="C104" s="260" t="s">
        <v>1561</v>
      </c>
      <c r="D104" s="260">
        <v>1800</v>
      </c>
      <c r="E104" s="260">
        <f t="shared" si="6"/>
        <v>0</v>
      </c>
      <c r="F104" s="260">
        <f t="shared" si="9"/>
        <v>0</v>
      </c>
      <c r="G104" s="260">
        <v>1800</v>
      </c>
      <c r="H104" s="346">
        <f t="shared" si="7"/>
        <v>6.6858203037219589E-4</v>
      </c>
      <c r="J104">
        <f t="shared" si="8"/>
        <v>0</v>
      </c>
    </row>
    <row r="105" spans="1:10" x14ac:dyDescent="0.25">
      <c r="A105" s="260"/>
      <c r="B105" s="345" t="s">
        <v>1609</v>
      </c>
      <c r="C105" s="260" t="s">
        <v>1610</v>
      </c>
      <c r="D105" s="260">
        <v>1700</v>
      </c>
      <c r="E105" s="260">
        <f t="shared" si="6"/>
        <v>0</v>
      </c>
      <c r="F105" s="260">
        <f t="shared" si="9"/>
        <v>0</v>
      </c>
      <c r="G105" s="260">
        <v>1700</v>
      </c>
      <c r="H105" s="346">
        <f t="shared" si="7"/>
        <v>6.3143858424040725E-4</v>
      </c>
      <c r="J105">
        <f t="shared" si="8"/>
        <v>0</v>
      </c>
    </row>
    <row r="106" spans="1:10" x14ac:dyDescent="0.25">
      <c r="A106" s="260"/>
      <c r="B106" s="345" t="s">
        <v>1611</v>
      </c>
      <c r="C106" s="260" t="s">
        <v>1612</v>
      </c>
      <c r="D106" s="260">
        <v>1700</v>
      </c>
      <c r="E106" s="260">
        <f t="shared" si="6"/>
        <v>0</v>
      </c>
      <c r="F106" s="260">
        <f t="shared" ref="F106:F137" si="10">D106-G106</f>
        <v>0</v>
      </c>
      <c r="G106" s="260">
        <v>1700</v>
      </c>
      <c r="H106" s="346">
        <f t="shared" si="7"/>
        <v>6.3143858424040725E-4</v>
      </c>
      <c r="J106">
        <f t="shared" si="8"/>
        <v>0</v>
      </c>
    </row>
    <row r="107" spans="1:10" x14ac:dyDescent="0.25">
      <c r="A107" s="260"/>
      <c r="B107" s="345" t="s">
        <v>1621</v>
      </c>
      <c r="C107" s="260" t="s">
        <v>1622</v>
      </c>
      <c r="D107" s="260">
        <v>1700</v>
      </c>
      <c r="E107" s="260">
        <f t="shared" si="6"/>
        <v>0</v>
      </c>
      <c r="F107" s="260">
        <f t="shared" si="10"/>
        <v>0</v>
      </c>
      <c r="G107" s="260">
        <v>1700</v>
      </c>
      <c r="H107" s="346">
        <f t="shared" si="7"/>
        <v>6.3143858424040725E-4</v>
      </c>
      <c r="J107">
        <f t="shared" si="8"/>
        <v>0</v>
      </c>
    </row>
    <row r="108" spans="1:10" x14ac:dyDescent="0.25">
      <c r="A108" s="260"/>
      <c r="B108" s="345" t="s">
        <v>1633</v>
      </c>
      <c r="C108" s="260" t="s">
        <v>1634</v>
      </c>
      <c r="D108" s="260">
        <v>1700</v>
      </c>
      <c r="E108" s="260">
        <f t="shared" si="6"/>
        <v>0</v>
      </c>
      <c r="F108" s="260">
        <f t="shared" si="10"/>
        <v>0</v>
      </c>
      <c r="G108" s="260">
        <v>1700</v>
      </c>
      <c r="H108" s="346">
        <f t="shared" si="7"/>
        <v>6.3143858424040725E-4</v>
      </c>
      <c r="J108">
        <f t="shared" si="8"/>
        <v>0</v>
      </c>
    </row>
    <row r="109" spans="1:10" x14ac:dyDescent="0.25">
      <c r="A109" s="260"/>
      <c r="B109" s="345" t="s">
        <v>1658</v>
      </c>
      <c r="C109" s="260" t="s">
        <v>1659</v>
      </c>
      <c r="D109" s="260">
        <v>1700</v>
      </c>
      <c r="E109" s="260">
        <f t="shared" si="6"/>
        <v>0</v>
      </c>
      <c r="F109" s="260">
        <f t="shared" si="10"/>
        <v>0</v>
      </c>
      <c r="G109" s="260">
        <v>1700</v>
      </c>
      <c r="H109" s="346">
        <f t="shared" si="7"/>
        <v>6.3143858424040725E-4</v>
      </c>
      <c r="J109">
        <f t="shared" si="8"/>
        <v>0</v>
      </c>
    </row>
    <row r="110" spans="1:10" x14ac:dyDescent="0.25">
      <c r="A110" s="260"/>
      <c r="B110" s="345" t="s">
        <v>1682</v>
      </c>
      <c r="C110" s="260" t="s">
        <v>1683</v>
      </c>
      <c r="D110" s="260">
        <v>1700</v>
      </c>
      <c r="E110" s="260">
        <f t="shared" si="6"/>
        <v>0</v>
      </c>
      <c r="F110" s="260">
        <f t="shared" si="10"/>
        <v>0</v>
      </c>
      <c r="G110" s="260">
        <v>1700</v>
      </c>
      <c r="H110" s="346">
        <f t="shared" si="7"/>
        <v>6.3143858424040725E-4</v>
      </c>
      <c r="J110">
        <f t="shared" si="8"/>
        <v>0</v>
      </c>
    </row>
    <row r="111" spans="1:10" x14ac:dyDescent="0.25">
      <c r="A111" s="260"/>
      <c r="B111" s="345" t="s">
        <v>1720</v>
      </c>
      <c r="C111" s="260" t="s">
        <v>1721</v>
      </c>
      <c r="D111" s="260">
        <v>1700</v>
      </c>
      <c r="E111" s="260">
        <f t="shared" si="6"/>
        <v>0</v>
      </c>
      <c r="F111" s="260">
        <f t="shared" si="10"/>
        <v>0</v>
      </c>
      <c r="G111" s="260">
        <v>1700</v>
      </c>
      <c r="H111" s="346">
        <f t="shared" si="7"/>
        <v>6.3143858424040725E-4</v>
      </c>
      <c r="J111">
        <f t="shared" si="8"/>
        <v>0</v>
      </c>
    </row>
    <row r="112" spans="1:10" x14ac:dyDescent="0.25">
      <c r="A112" s="260"/>
      <c r="B112" s="345" t="s">
        <v>1852</v>
      </c>
      <c r="C112" s="260" t="s">
        <v>1853</v>
      </c>
      <c r="D112" s="260">
        <v>1700</v>
      </c>
      <c r="E112" s="260">
        <f t="shared" si="6"/>
        <v>0</v>
      </c>
      <c r="F112" s="260">
        <f t="shared" si="10"/>
        <v>0</v>
      </c>
      <c r="G112" s="260">
        <v>1700</v>
      </c>
      <c r="H112" s="346">
        <f t="shared" si="7"/>
        <v>6.3143858424040725E-4</v>
      </c>
      <c r="J112">
        <f t="shared" si="8"/>
        <v>0</v>
      </c>
    </row>
    <row r="113" spans="1:10" x14ac:dyDescent="0.25">
      <c r="A113" s="260"/>
      <c r="B113" s="345" t="s">
        <v>1862</v>
      </c>
      <c r="C113" s="260" t="s">
        <v>1863</v>
      </c>
      <c r="D113" s="260">
        <v>1700</v>
      </c>
      <c r="E113" s="260">
        <f t="shared" si="6"/>
        <v>0</v>
      </c>
      <c r="F113" s="260">
        <f t="shared" si="10"/>
        <v>0</v>
      </c>
      <c r="G113" s="260">
        <v>1700</v>
      </c>
      <c r="H113" s="346">
        <f t="shared" si="7"/>
        <v>6.3143858424040725E-4</v>
      </c>
      <c r="J113">
        <f t="shared" si="8"/>
        <v>0</v>
      </c>
    </row>
    <row r="114" spans="1:10" x14ac:dyDescent="0.25">
      <c r="A114" s="260"/>
      <c r="B114" s="345" t="s">
        <v>1880</v>
      </c>
      <c r="C114" s="260" t="s">
        <v>1881</v>
      </c>
      <c r="D114" s="260">
        <v>1700</v>
      </c>
      <c r="E114" s="260">
        <f t="shared" si="6"/>
        <v>0</v>
      </c>
      <c r="F114" s="260">
        <f t="shared" si="10"/>
        <v>0</v>
      </c>
      <c r="G114" s="260">
        <v>1700</v>
      </c>
      <c r="H114" s="346">
        <f t="shared" si="7"/>
        <v>6.3143858424040725E-4</v>
      </c>
      <c r="J114">
        <f t="shared" si="8"/>
        <v>0</v>
      </c>
    </row>
    <row r="115" spans="1:10" x14ac:dyDescent="0.25">
      <c r="A115" s="260"/>
      <c r="B115" s="345" t="s">
        <v>1935</v>
      </c>
      <c r="C115" s="260" t="s">
        <v>1936</v>
      </c>
      <c r="D115" s="260">
        <v>1700</v>
      </c>
      <c r="E115" s="260">
        <f t="shared" si="6"/>
        <v>0</v>
      </c>
      <c r="F115" s="260">
        <f t="shared" si="10"/>
        <v>0</v>
      </c>
      <c r="G115" s="260">
        <v>1700</v>
      </c>
      <c r="H115" s="346">
        <f t="shared" si="7"/>
        <v>6.3143858424040725E-4</v>
      </c>
      <c r="J115">
        <f t="shared" si="8"/>
        <v>0</v>
      </c>
    </row>
    <row r="116" spans="1:10" x14ac:dyDescent="0.25">
      <c r="A116" s="260"/>
      <c r="B116" s="345" t="s">
        <v>1951</v>
      </c>
      <c r="C116" s="260" t="s">
        <v>1952</v>
      </c>
      <c r="D116" s="260">
        <v>1700</v>
      </c>
      <c r="E116" s="260">
        <f t="shared" si="6"/>
        <v>0</v>
      </c>
      <c r="F116" s="260">
        <f t="shared" si="10"/>
        <v>0</v>
      </c>
      <c r="G116" s="260">
        <v>1700</v>
      </c>
      <c r="H116" s="346">
        <f t="shared" si="7"/>
        <v>6.3143858424040725E-4</v>
      </c>
      <c r="J116">
        <f t="shared" si="8"/>
        <v>0</v>
      </c>
    </row>
    <row r="117" spans="1:10" x14ac:dyDescent="0.25">
      <c r="A117" s="260"/>
      <c r="B117" s="345" t="s">
        <v>1963</v>
      </c>
      <c r="C117" s="260" t="s">
        <v>1964</v>
      </c>
      <c r="D117" s="260">
        <v>1700</v>
      </c>
      <c r="E117" s="260">
        <f t="shared" si="6"/>
        <v>0</v>
      </c>
      <c r="F117" s="260">
        <f t="shared" si="10"/>
        <v>0</v>
      </c>
      <c r="G117" s="260">
        <v>1700</v>
      </c>
      <c r="H117" s="346">
        <f t="shared" si="7"/>
        <v>6.3143858424040725E-4</v>
      </c>
      <c r="J117">
        <f t="shared" si="8"/>
        <v>0</v>
      </c>
    </row>
    <row r="118" spans="1:10" x14ac:dyDescent="0.25">
      <c r="A118" s="260"/>
      <c r="B118" s="345" t="s">
        <v>1971</v>
      </c>
      <c r="C118" s="260" t="s">
        <v>1972</v>
      </c>
      <c r="D118" s="260">
        <v>1700</v>
      </c>
      <c r="E118" s="260">
        <f t="shared" si="6"/>
        <v>0</v>
      </c>
      <c r="F118" s="260">
        <f t="shared" si="10"/>
        <v>0</v>
      </c>
      <c r="G118" s="260">
        <v>1700</v>
      </c>
      <c r="H118" s="346">
        <f t="shared" si="7"/>
        <v>6.3143858424040725E-4</v>
      </c>
      <c r="J118">
        <f t="shared" si="8"/>
        <v>0</v>
      </c>
    </row>
    <row r="119" spans="1:10" x14ac:dyDescent="0.25">
      <c r="A119" s="260"/>
      <c r="B119" s="345" t="s">
        <v>1746</v>
      </c>
      <c r="C119" s="260" t="s">
        <v>1747</v>
      </c>
      <c r="D119" s="260">
        <v>1700</v>
      </c>
      <c r="E119" s="260">
        <f t="shared" si="6"/>
        <v>0</v>
      </c>
      <c r="F119" s="260">
        <f t="shared" si="10"/>
        <v>0</v>
      </c>
      <c r="G119" s="260">
        <v>1700</v>
      </c>
      <c r="H119" s="346">
        <f t="shared" si="7"/>
        <v>6.3143858424040725E-4</v>
      </c>
      <c r="J119">
        <f t="shared" si="8"/>
        <v>0</v>
      </c>
    </row>
    <row r="120" spans="1:10" x14ac:dyDescent="0.25">
      <c r="A120" s="260"/>
      <c r="B120" s="345" t="s">
        <v>2065</v>
      </c>
      <c r="C120" s="260" t="s">
        <v>2066</v>
      </c>
      <c r="D120" s="260">
        <v>1700</v>
      </c>
      <c r="E120" s="260">
        <f t="shared" si="6"/>
        <v>0</v>
      </c>
      <c r="F120" s="260">
        <f t="shared" si="10"/>
        <v>0</v>
      </c>
      <c r="G120" s="260">
        <v>1700</v>
      </c>
      <c r="H120" s="346">
        <f t="shared" si="7"/>
        <v>6.3143858424040725E-4</v>
      </c>
      <c r="J120">
        <f t="shared" si="8"/>
        <v>0</v>
      </c>
    </row>
    <row r="121" spans="1:10" x14ac:dyDescent="0.25">
      <c r="A121" s="260"/>
      <c r="B121" s="345" t="s">
        <v>2067</v>
      </c>
      <c r="C121" s="260" t="s">
        <v>2068</v>
      </c>
      <c r="D121" s="260">
        <v>1700</v>
      </c>
      <c r="E121" s="260">
        <f t="shared" si="6"/>
        <v>0</v>
      </c>
      <c r="F121" s="260">
        <f t="shared" si="10"/>
        <v>0</v>
      </c>
      <c r="G121" s="260">
        <v>1700</v>
      </c>
      <c r="H121" s="346">
        <f t="shared" si="7"/>
        <v>6.3143858424040725E-4</v>
      </c>
      <c r="J121">
        <f t="shared" si="8"/>
        <v>0</v>
      </c>
    </row>
    <row r="122" spans="1:10" x14ac:dyDescent="0.25">
      <c r="A122" s="260"/>
      <c r="B122" s="345" t="s">
        <v>2158</v>
      </c>
      <c r="C122" s="260" t="s">
        <v>2159</v>
      </c>
      <c r="D122" s="260">
        <v>1700</v>
      </c>
      <c r="E122" s="260">
        <f t="shared" si="6"/>
        <v>0</v>
      </c>
      <c r="F122" s="260">
        <f t="shared" si="10"/>
        <v>0</v>
      </c>
      <c r="G122" s="260">
        <v>1700</v>
      </c>
      <c r="H122" s="346">
        <f t="shared" si="7"/>
        <v>6.3143858424040725E-4</v>
      </c>
      <c r="J122">
        <f t="shared" si="8"/>
        <v>0</v>
      </c>
    </row>
    <row r="123" spans="1:10" x14ac:dyDescent="0.25">
      <c r="A123" s="260"/>
      <c r="B123" s="345" t="s">
        <v>2176</v>
      </c>
      <c r="C123" s="260" t="s">
        <v>2177</v>
      </c>
      <c r="D123" s="260">
        <v>1700</v>
      </c>
      <c r="E123" s="260">
        <f t="shared" si="6"/>
        <v>0</v>
      </c>
      <c r="F123" s="260">
        <f t="shared" si="10"/>
        <v>0</v>
      </c>
      <c r="G123" s="260">
        <v>1700</v>
      </c>
      <c r="H123" s="346">
        <f t="shared" si="7"/>
        <v>6.3143858424040725E-4</v>
      </c>
      <c r="J123">
        <f t="shared" si="8"/>
        <v>0</v>
      </c>
    </row>
    <row r="124" spans="1:10" x14ac:dyDescent="0.25">
      <c r="A124" s="260"/>
      <c r="B124" s="345" t="s">
        <v>2182</v>
      </c>
      <c r="C124" s="260" t="s">
        <v>2183</v>
      </c>
      <c r="D124" s="260">
        <v>1700</v>
      </c>
      <c r="E124" s="260">
        <f t="shared" si="6"/>
        <v>0</v>
      </c>
      <c r="F124" s="260">
        <f t="shared" si="10"/>
        <v>0</v>
      </c>
      <c r="G124" s="260">
        <v>1700</v>
      </c>
      <c r="H124" s="346">
        <f t="shared" si="7"/>
        <v>6.3143858424040725E-4</v>
      </c>
      <c r="J124">
        <f t="shared" si="8"/>
        <v>0</v>
      </c>
    </row>
    <row r="125" spans="1:10" x14ac:dyDescent="0.25">
      <c r="A125" s="260"/>
      <c r="B125" s="345" t="s">
        <v>2188</v>
      </c>
      <c r="C125" s="260" t="s">
        <v>2189</v>
      </c>
      <c r="D125" s="260">
        <v>1700</v>
      </c>
      <c r="E125" s="260">
        <f t="shared" si="6"/>
        <v>0</v>
      </c>
      <c r="F125" s="260">
        <f t="shared" si="10"/>
        <v>0</v>
      </c>
      <c r="G125" s="260">
        <v>1700</v>
      </c>
      <c r="H125" s="346">
        <f t="shared" si="7"/>
        <v>6.3143858424040725E-4</v>
      </c>
      <c r="J125">
        <f t="shared" si="8"/>
        <v>0</v>
      </c>
    </row>
    <row r="126" spans="1:10" x14ac:dyDescent="0.25">
      <c r="A126" s="260"/>
      <c r="B126" s="345" t="s">
        <v>2216</v>
      </c>
      <c r="C126" s="260" t="s">
        <v>2217</v>
      </c>
      <c r="D126" s="260">
        <v>1700</v>
      </c>
      <c r="E126" s="260">
        <f t="shared" si="6"/>
        <v>0</v>
      </c>
      <c r="F126" s="260">
        <f t="shared" si="10"/>
        <v>0</v>
      </c>
      <c r="G126" s="260">
        <v>1700</v>
      </c>
      <c r="H126" s="346">
        <f t="shared" si="7"/>
        <v>6.3143858424040725E-4</v>
      </c>
      <c r="J126">
        <f t="shared" si="8"/>
        <v>0</v>
      </c>
    </row>
    <row r="127" spans="1:10" x14ac:dyDescent="0.25">
      <c r="A127" s="260"/>
      <c r="B127" s="345" t="s">
        <v>2250</v>
      </c>
      <c r="C127" s="260" t="s">
        <v>2251</v>
      </c>
      <c r="D127" s="260">
        <v>1700</v>
      </c>
      <c r="E127" s="260">
        <f t="shared" si="6"/>
        <v>0</v>
      </c>
      <c r="F127" s="260">
        <f t="shared" si="10"/>
        <v>0</v>
      </c>
      <c r="G127" s="260">
        <v>1700</v>
      </c>
      <c r="H127" s="346">
        <f t="shared" si="7"/>
        <v>6.3143858424040725E-4</v>
      </c>
      <c r="J127">
        <f t="shared" si="8"/>
        <v>0</v>
      </c>
    </row>
    <row r="128" spans="1:10" x14ac:dyDescent="0.25">
      <c r="A128" s="260"/>
      <c r="B128" s="345" t="s">
        <v>1766</v>
      </c>
      <c r="C128" s="260" t="s">
        <v>1767</v>
      </c>
      <c r="D128" s="260">
        <v>1600</v>
      </c>
      <c r="E128" s="260">
        <f t="shared" si="6"/>
        <v>0</v>
      </c>
      <c r="F128" s="260">
        <f t="shared" si="10"/>
        <v>0</v>
      </c>
      <c r="G128" s="260">
        <v>1600</v>
      </c>
      <c r="H128" s="346">
        <f t="shared" si="7"/>
        <v>5.9429513810861862E-4</v>
      </c>
      <c r="J128">
        <f t="shared" si="8"/>
        <v>0</v>
      </c>
    </row>
    <row r="129" spans="1:10" x14ac:dyDescent="0.25">
      <c r="A129" s="260"/>
      <c r="B129" s="345" t="s">
        <v>2015</v>
      </c>
      <c r="C129" s="260" t="s">
        <v>2016</v>
      </c>
      <c r="D129" s="260">
        <v>1600</v>
      </c>
      <c r="E129" s="260">
        <f t="shared" si="6"/>
        <v>0</v>
      </c>
      <c r="F129" s="260">
        <f t="shared" si="10"/>
        <v>0</v>
      </c>
      <c r="G129" s="260">
        <v>1600</v>
      </c>
      <c r="H129" s="346">
        <f t="shared" si="7"/>
        <v>5.9429513810861862E-4</v>
      </c>
      <c r="J129">
        <f t="shared" si="8"/>
        <v>0</v>
      </c>
    </row>
    <row r="130" spans="1:10" x14ac:dyDescent="0.25">
      <c r="A130" s="260"/>
      <c r="B130" s="345" t="s">
        <v>1474</v>
      </c>
      <c r="C130" s="260" t="s">
        <v>1475</v>
      </c>
      <c r="D130" s="260">
        <v>1575</v>
      </c>
      <c r="E130" s="260">
        <f t="shared" si="6"/>
        <v>0</v>
      </c>
      <c r="F130" s="260">
        <f t="shared" si="10"/>
        <v>0</v>
      </c>
      <c r="G130" s="260">
        <v>1575</v>
      </c>
      <c r="H130" s="346">
        <f t="shared" si="7"/>
        <v>5.8500927657567138E-4</v>
      </c>
      <c r="J130">
        <f t="shared" si="8"/>
        <v>0</v>
      </c>
    </row>
    <row r="131" spans="1:10" x14ac:dyDescent="0.25">
      <c r="A131" s="260"/>
      <c r="B131" s="345" t="s">
        <v>1939</v>
      </c>
      <c r="C131" s="260" t="s">
        <v>1940</v>
      </c>
      <c r="D131" s="260">
        <v>1500</v>
      </c>
      <c r="E131" s="260">
        <f t="shared" ref="E131:E194" si="11">G131-D131</f>
        <v>0</v>
      </c>
      <c r="F131" s="260">
        <f t="shared" si="10"/>
        <v>0</v>
      </c>
      <c r="G131" s="260">
        <v>1500</v>
      </c>
      <c r="H131" s="346">
        <f t="shared" ref="H131:H194" si="12">+G131/$G$417</f>
        <v>5.5715169197682987E-4</v>
      </c>
      <c r="J131">
        <f t="shared" ref="J131:J194" si="13">+SUM(E131:F131)</f>
        <v>0</v>
      </c>
    </row>
    <row r="132" spans="1:10" x14ac:dyDescent="0.25">
      <c r="A132" s="260"/>
      <c r="B132" s="345" t="s">
        <v>2007</v>
      </c>
      <c r="C132" s="260" t="s">
        <v>2008</v>
      </c>
      <c r="D132" s="260">
        <v>1500</v>
      </c>
      <c r="E132" s="260">
        <f t="shared" si="11"/>
        <v>0</v>
      </c>
      <c r="F132" s="260">
        <f t="shared" si="10"/>
        <v>0</v>
      </c>
      <c r="G132" s="260">
        <v>1500</v>
      </c>
      <c r="H132" s="346">
        <f t="shared" si="12"/>
        <v>5.5715169197682987E-4</v>
      </c>
      <c r="J132">
        <f t="shared" si="13"/>
        <v>0</v>
      </c>
    </row>
    <row r="133" spans="1:10" x14ac:dyDescent="0.25">
      <c r="A133" s="260"/>
      <c r="B133" s="345" t="s">
        <v>2079</v>
      </c>
      <c r="C133" s="260" t="s">
        <v>2080</v>
      </c>
      <c r="D133" s="260">
        <v>1500</v>
      </c>
      <c r="E133" s="260">
        <f t="shared" si="11"/>
        <v>0</v>
      </c>
      <c r="F133" s="260">
        <f t="shared" si="10"/>
        <v>0</v>
      </c>
      <c r="G133" s="260">
        <v>1500</v>
      </c>
      <c r="H133" s="346">
        <f t="shared" si="12"/>
        <v>5.5715169197682987E-4</v>
      </c>
      <c r="J133">
        <f t="shared" si="13"/>
        <v>0</v>
      </c>
    </row>
    <row r="134" spans="1:10" x14ac:dyDescent="0.25">
      <c r="A134" s="260"/>
      <c r="B134" s="345" t="s">
        <v>2091</v>
      </c>
      <c r="C134" s="260" t="s">
        <v>2092</v>
      </c>
      <c r="D134" s="260">
        <v>1500</v>
      </c>
      <c r="E134" s="260">
        <f t="shared" si="11"/>
        <v>0</v>
      </c>
      <c r="F134" s="260">
        <f t="shared" si="10"/>
        <v>0</v>
      </c>
      <c r="G134" s="260">
        <v>1500</v>
      </c>
      <c r="H134" s="346">
        <f t="shared" si="12"/>
        <v>5.5715169197682987E-4</v>
      </c>
      <c r="J134">
        <f t="shared" si="13"/>
        <v>0</v>
      </c>
    </row>
    <row r="135" spans="1:10" x14ac:dyDescent="0.25">
      <c r="A135" s="260"/>
      <c r="B135" s="345" t="s">
        <v>2093</v>
      </c>
      <c r="C135" s="260" t="s">
        <v>2094</v>
      </c>
      <c r="D135" s="260">
        <v>1500</v>
      </c>
      <c r="E135" s="260">
        <f t="shared" si="11"/>
        <v>0</v>
      </c>
      <c r="F135" s="260">
        <f t="shared" si="10"/>
        <v>0</v>
      </c>
      <c r="G135" s="260">
        <v>1500</v>
      </c>
      <c r="H135" s="346">
        <f t="shared" si="12"/>
        <v>5.5715169197682987E-4</v>
      </c>
      <c r="J135">
        <f t="shared" si="13"/>
        <v>0</v>
      </c>
    </row>
    <row r="136" spans="1:10" x14ac:dyDescent="0.25">
      <c r="A136" s="260"/>
      <c r="B136" s="345" t="s">
        <v>1538</v>
      </c>
      <c r="C136" s="260" t="s">
        <v>1539</v>
      </c>
      <c r="D136" s="260">
        <v>1400</v>
      </c>
      <c r="E136" s="260">
        <f t="shared" si="11"/>
        <v>0</v>
      </c>
      <c r="F136" s="260">
        <f t="shared" si="10"/>
        <v>0</v>
      </c>
      <c r="G136" s="260">
        <v>1400</v>
      </c>
      <c r="H136" s="346">
        <f t="shared" si="12"/>
        <v>5.2000824584504124E-4</v>
      </c>
      <c r="J136">
        <f t="shared" si="13"/>
        <v>0</v>
      </c>
    </row>
    <row r="137" spans="1:10" x14ac:dyDescent="0.25">
      <c r="A137" s="260"/>
      <c r="B137" s="345" t="s">
        <v>1698</v>
      </c>
      <c r="C137" s="260" t="s">
        <v>1699</v>
      </c>
      <c r="D137" s="260">
        <v>1150</v>
      </c>
      <c r="E137" s="260">
        <f t="shared" si="11"/>
        <v>0</v>
      </c>
      <c r="F137" s="260">
        <f t="shared" si="10"/>
        <v>0</v>
      </c>
      <c r="G137" s="260">
        <v>1150</v>
      </c>
      <c r="H137" s="346">
        <f t="shared" si="12"/>
        <v>4.2714963051556959E-4</v>
      </c>
      <c r="J137">
        <f t="shared" si="13"/>
        <v>0</v>
      </c>
    </row>
    <row r="138" spans="1:10" x14ac:dyDescent="0.25">
      <c r="A138" s="260"/>
      <c r="B138" s="345" t="s">
        <v>2069</v>
      </c>
      <c r="C138" s="260" t="s">
        <v>2070</v>
      </c>
      <c r="D138" s="260">
        <v>1150</v>
      </c>
      <c r="E138" s="260">
        <f t="shared" si="11"/>
        <v>0</v>
      </c>
      <c r="F138" s="260">
        <f t="shared" ref="F138:F158" si="14">D138-G138</f>
        <v>0</v>
      </c>
      <c r="G138" s="260">
        <v>1150</v>
      </c>
      <c r="H138" s="346">
        <f t="shared" si="12"/>
        <v>4.2714963051556959E-4</v>
      </c>
      <c r="J138">
        <f t="shared" si="13"/>
        <v>0</v>
      </c>
    </row>
    <row r="139" spans="1:10" x14ac:dyDescent="0.25">
      <c r="A139" s="260"/>
      <c r="B139" s="345" t="s">
        <v>1480</v>
      </c>
      <c r="C139" s="260" t="s">
        <v>1481</v>
      </c>
      <c r="D139" s="260">
        <v>1125</v>
      </c>
      <c r="E139" s="260">
        <f t="shared" si="11"/>
        <v>0</v>
      </c>
      <c r="F139" s="260">
        <f t="shared" si="14"/>
        <v>0</v>
      </c>
      <c r="G139" s="260">
        <v>1125</v>
      </c>
      <c r="H139" s="346">
        <f t="shared" si="12"/>
        <v>4.1786376898262246E-4</v>
      </c>
      <c r="J139">
        <f t="shared" si="13"/>
        <v>0</v>
      </c>
    </row>
    <row r="140" spans="1:10" x14ac:dyDescent="0.25">
      <c r="A140" s="260"/>
      <c r="B140" s="345" t="s">
        <v>1599</v>
      </c>
      <c r="C140" s="260" t="s">
        <v>1600</v>
      </c>
      <c r="D140" s="260">
        <v>1000</v>
      </c>
      <c r="E140" s="260">
        <f t="shared" si="11"/>
        <v>0</v>
      </c>
      <c r="F140" s="260">
        <f t="shared" si="14"/>
        <v>0</v>
      </c>
      <c r="G140" s="260">
        <v>1000</v>
      </c>
      <c r="H140" s="346">
        <f t="shared" si="12"/>
        <v>3.7143446131788664E-4</v>
      </c>
      <c r="J140">
        <f t="shared" si="13"/>
        <v>0</v>
      </c>
    </row>
    <row r="141" spans="1:10" x14ac:dyDescent="0.25">
      <c r="A141" s="260"/>
      <c r="B141" s="345" t="s">
        <v>1601</v>
      </c>
      <c r="C141" s="260" t="s">
        <v>1602</v>
      </c>
      <c r="D141" s="260">
        <v>1000</v>
      </c>
      <c r="E141" s="260">
        <f t="shared" si="11"/>
        <v>0</v>
      </c>
      <c r="F141" s="260">
        <f t="shared" si="14"/>
        <v>0</v>
      </c>
      <c r="G141" s="260">
        <v>1000</v>
      </c>
      <c r="H141" s="346">
        <f t="shared" si="12"/>
        <v>3.7143446131788664E-4</v>
      </c>
      <c r="J141">
        <f t="shared" si="13"/>
        <v>0</v>
      </c>
    </row>
    <row r="142" spans="1:10" x14ac:dyDescent="0.25">
      <c r="A142" s="260"/>
      <c r="B142" s="345" t="s">
        <v>1605</v>
      </c>
      <c r="C142" s="260" t="s">
        <v>1606</v>
      </c>
      <c r="D142" s="260">
        <v>1000</v>
      </c>
      <c r="E142" s="260">
        <f t="shared" si="11"/>
        <v>0</v>
      </c>
      <c r="F142" s="260">
        <f t="shared" si="14"/>
        <v>0</v>
      </c>
      <c r="G142" s="260">
        <v>1000</v>
      </c>
      <c r="H142" s="346">
        <f t="shared" si="12"/>
        <v>3.7143446131788664E-4</v>
      </c>
      <c r="J142">
        <f t="shared" si="13"/>
        <v>0</v>
      </c>
    </row>
    <row r="143" spans="1:10" x14ac:dyDescent="0.25">
      <c r="A143" s="260"/>
      <c r="B143" s="345" t="s">
        <v>1586</v>
      </c>
      <c r="C143" s="260" t="s">
        <v>1587</v>
      </c>
      <c r="D143" s="260">
        <v>1000</v>
      </c>
      <c r="E143" s="260">
        <f t="shared" si="11"/>
        <v>0</v>
      </c>
      <c r="F143" s="260">
        <f t="shared" si="14"/>
        <v>0</v>
      </c>
      <c r="G143" s="260">
        <v>1000</v>
      </c>
      <c r="H143" s="346">
        <f t="shared" si="12"/>
        <v>3.7143446131788664E-4</v>
      </c>
      <c r="J143">
        <f t="shared" si="13"/>
        <v>0</v>
      </c>
    </row>
    <row r="144" spans="1:10" x14ac:dyDescent="0.25">
      <c r="A144" s="260"/>
      <c r="B144" s="345" t="s">
        <v>1607</v>
      </c>
      <c r="C144" s="260" t="s">
        <v>1608</v>
      </c>
      <c r="D144" s="260">
        <v>1000</v>
      </c>
      <c r="E144" s="260">
        <f t="shared" si="11"/>
        <v>0</v>
      </c>
      <c r="F144" s="260">
        <f t="shared" si="14"/>
        <v>0</v>
      </c>
      <c r="G144" s="260">
        <v>1000</v>
      </c>
      <c r="H144" s="346">
        <f t="shared" si="12"/>
        <v>3.7143446131788664E-4</v>
      </c>
      <c r="J144">
        <f t="shared" si="13"/>
        <v>0</v>
      </c>
    </row>
    <row r="145" spans="1:10" x14ac:dyDescent="0.25">
      <c r="A145" s="260"/>
      <c r="B145" s="345" t="s">
        <v>1588</v>
      </c>
      <c r="C145" s="260" t="s">
        <v>1589</v>
      </c>
      <c r="D145" s="260">
        <v>1000</v>
      </c>
      <c r="E145" s="260">
        <f t="shared" si="11"/>
        <v>0</v>
      </c>
      <c r="F145" s="260">
        <f t="shared" si="14"/>
        <v>0</v>
      </c>
      <c r="G145" s="260">
        <v>1000</v>
      </c>
      <c r="H145" s="346">
        <f t="shared" si="12"/>
        <v>3.7143446131788664E-4</v>
      </c>
      <c r="J145">
        <f t="shared" si="13"/>
        <v>0</v>
      </c>
    </row>
    <row r="146" spans="1:10" x14ac:dyDescent="0.25">
      <c r="A146" s="260"/>
      <c r="B146" s="345" t="s">
        <v>1613</v>
      </c>
      <c r="C146" s="260" t="s">
        <v>1614</v>
      </c>
      <c r="D146" s="260">
        <v>1000</v>
      </c>
      <c r="E146" s="260">
        <f t="shared" si="11"/>
        <v>0</v>
      </c>
      <c r="F146" s="260">
        <f t="shared" si="14"/>
        <v>0</v>
      </c>
      <c r="G146" s="260">
        <v>1000</v>
      </c>
      <c r="H146" s="346">
        <f t="shared" si="12"/>
        <v>3.7143446131788664E-4</v>
      </c>
      <c r="J146">
        <f t="shared" si="13"/>
        <v>0</v>
      </c>
    </row>
    <row r="147" spans="1:10" x14ac:dyDescent="0.25">
      <c r="A147" s="260"/>
      <c r="B147" s="345" t="s">
        <v>1615</v>
      </c>
      <c r="C147" s="260" t="s">
        <v>1616</v>
      </c>
      <c r="D147" s="260">
        <v>1000</v>
      </c>
      <c r="E147" s="260">
        <f t="shared" si="11"/>
        <v>0</v>
      </c>
      <c r="F147" s="260">
        <f t="shared" si="14"/>
        <v>0</v>
      </c>
      <c r="G147" s="260">
        <v>1000</v>
      </c>
      <c r="H147" s="346">
        <f t="shared" si="12"/>
        <v>3.7143446131788664E-4</v>
      </c>
      <c r="J147">
        <f t="shared" si="13"/>
        <v>0</v>
      </c>
    </row>
    <row r="148" spans="1:10" x14ac:dyDescent="0.25">
      <c r="A148" s="260"/>
      <c r="B148" s="345" t="s">
        <v>1619</v>
      </c>
      <c r="C148" s="260" t="s">
        <v>1620</v>
      </c>
      <c r="D148" s="260">
        <v>1000</v>
      </c>
      <c r="E148" s="260">
        <f t="shared" si="11"/>
        <v>0</v>
      </c>
      <c r="F148" s="260">
        <f t="shared" si="14"/>
        <v>0</v>
      </c>
      <c r="G148" s="260">
        <v>1000</v>
      </c>
      <c r="H148" s="346">
        <f t="shared" si="12"/>
        <v>3.7143446131788664E-4</v>
      </c>
      <c r="J148">
        <f t="shared" si="13"/>
        <v>0</v>
      </c>
    </row>
    <row r="149" spans="1:10" x14ac:dyDescent="0.25">
      <c r="A149" s="260"/>
      <c r="B149" s="345" t="s">
        <v>1623</v>
      </c>
      <c r="C149" s="260" t="s">
        <v>1624</v>
      </c>
      <c r="D149" s="260">
        <v>1000</v>
      </c>
      <c r="E149" s="260">
        <f t="shared" si="11"/>
        <v>0</v>
      </c>
      <c r="F149" s="260">
        <f t="shared" si="14"/>
        <v>0</v>
      </c>
      <c r="G149" s="260">
        <v>1000</v>
      </c>
      <c r="H149" s="346">
        <f t="shared" si="12"/>
        <v>3.7143446131788664E-4</v>
      </c>
      <c r="J149">
        <f t="shared" si="13"/>
        <v>0</v>
      </c>
    </row>
    <row r="150" spans="1:10" x14ac:dyDescent="0.25">
      <c r="A150" s="260"/>
      <c r="B150" s="345" t="s">
        <v>1627</v>
      </c>
      <c r="C150" s="260" t="s">
        <v>1628</v>
      </c>
      <c r="D150" s="260">
        <v>1000</v>
      </c>
      <c r="E150" s="260">
        <f t="shared" si="11"/>
        <v>0</v>
      </c>
      <c r="F150" s="260">
        <f t="shared" si="14"/>
        <v>0</v>
      </c>
      <c r="G150" s="260">
        <v>1000</v>
      </c>
      <c r="H150" s="346">
        <f t="shared" si="12"/>
        <v>3.7143446131788664E-4</v>
      </c>
      <c r="J150">
        <f t="shared" si="13"/>
        <v>0</v>
      </c>
    </row>
    <row r="151" spans="1:10" x14ac:dyDescent="0.25">
      <c r="A151" s="260"/>
      <c r="B151" s="345" t="s">
        <v>1592</v>
      </c>
      <c r="C151" s="260" t="s">
        <v>1593</v>
      </c>
      <c r="D151" s="260">
        <v>1000</v>
      </c>
      <c r="E151" s="260">
        <f t="shared" si="11"/>
        <v>0</v>
      </c>
      <c r="F151" s="260">
        <f t="shared" si="14"/>
        <v>0</v>
      </c>
      <c r="G151" s="260">
        <v>1000</v>
      </c>
      <c r="H151" s="346">
        <f t="shared" si="12"/>
        <v>3.7143446131788664E-4</v>
      </c>
      <c r="J151">
        <f t="shared" si="13"/>
        <v>0</v>
      </c>
    </row>
    <row r="152" spans="1:10" x14ac:dyDescent="0.25">
      <c r="A152" s="260"/>
      <c r="B152" s="345" t="s">
        <v>1629</v>
      </c>
      <c r="C152" s="260" t="s">
        <v>1630</v>
      </c>
      <c r="D152" s="260">
        <v>1000</v>
      </c>
      <c r="E152" s="260">
        <f t="shared" si="11"/>
        <v>0</v>
      </c>
      <c r="F152" s="260">
        <f t="shared" si="14"/>
        <v>0</v>
      </c>
      <c r="G152" s="260">
        <v>1000</v>
      </c>
      <c r="H152" s="346">
        <f t="shared" si="12"/>
        <v>3.7143446131788664E-4</v>
      </c>
      <c r="J152">
        <f t="shared" si="13"/>
        <v>0</v>
      </c>
    </row>
    <row r="153" spans="1:10" x14ac:dyDescent="0.25">
      <c r="A153" s="260"/>
      <c r="B153" s="345" t="s">
        <v>1631</v>
      </c>
      <c r="C153" s="260" t="s">
        <v>1632</v>
      </c>
      <c r="D153" s="260">
        <v>1000</v>
      </c>
      <c r="E153" s="260">
        <f t="shared" si="11"/>
        <v>0</v>
      </c>
      <c r="F153" s="260">
        <f t="shared" si="14"/>
        <v>0</v>
      </c>
      <c r="G153" s="260">
        <v>1000</v>
      </c>
      <c r="H153" s="346">
        <f t="shared" si="12"/>
        <v>3.7143446131788664E-4</v>
      </c>
      <c r="J153">
        <f t="shared" si="13"/>
        <v>0</v>
      </c>
    </row>
    <row r="154" spans="1:10" x14ac:dyDescent="0.25">
      <c r="A154" s="260"/>
      <c r="B154" s="345" t="s">
        <v>1564</v>
      </c>
      <c r="C154" s="260" t="s">
        <v>1565</v>
      </c>
      <c r="D154" s="260">
        <v>1000</v>
      </c>
      <c r="E154" s="260">
        <f t="shared" si="11"/>
        <v>0</v>
      </c>
      <c r="F154" s="260">
        <f t="shared" si="14"/>
        <v>0</v>
      </c>
      <c r="G154" s="260">
        <v>1000</v>
      </c>
      <c r="H154" s="346">
        <f t="shared" si="12"/>
        <v>3.7143446131788664E-4</v>
      </c>
      <c r="J154">
        <f t="shared" si="13"/>
        <v>0</v>
      </c>
    </row>
    <row r="155" spans="1:10" x14ac:dyDescent="0.25">
      <c r="A155" s="260"/>
      <c r="B155" s="345" t="s">
        <v>1650</v>
      </c>
      <c r="C155" s="260" t="s">
        <v>1651</v>
      </c>
      <c r="D155" s="260">
        <v>1000</v>
      </c>
      <c r="E155" s="260">
        <f t="shared" si="11"/>
        <v>0</v>
      </c>
      <c r="F155" s="260">
        <f t="shared" si="14"/>
        <v>0</v>
      </c>
      <c r="G155" s="260">
        <v>1000</v>
      </c>
      <c r="H155" s="346">
        <f t="shared" si="12"/>
        <v>3.7143446131788664E-4</v>
      </c>
      <c r="J155">
        <f t="shared" si="13"/>
        <v>0</v>
      </c>
    </row>
    <row r="156" spans="1:10" x14ac:dyDescent="0.25">
      <c r="A156" s="260"/>
      <c r="B156" s="345" t="s">
        <v>1652</v>
      </c>
      <c r="C156" s="260" t="s">
        <v>1653</v>
      </c>
      <c r="D156" s="260">
        <v>1000</v>
      </c>
      <c r="E156" s="260">
        <f t="shared" si="11"/>
        <v>0</v>
      </c>
      <c r="F156" s="260">
        <f t="shared" si="14"/>
        <v>0</v>
      </c>
      <c r="G156" s="260">
        <v>1000</v>
      </c>
      <c r="H156" s="346">
        <f t="shared" si="12"/>
        <v>3.7143446131788664E-4</v>
      </c>
      <c r="J156">
        <f t="shared" si="13"/>
        <v>0</v>
      </c>
    </row>
    <row r="157" spans="1:10" x14ac:dyDescent="0.25">
      <c r="A157" s="260"/>
      <c r="B157" s="345" t="s">
        <v>1649</v>
      </c>
      <c r="C157" s="260" t="s">
        <v>1638</v>
      </c>
      <c r="D157" s="260">
        <v>1000</v>
      </c>
      <c r="E157" s="260">
        <f t="shared" si="11"/>
        <v>0</v>
      </c>
      <c r="F157" s="260">
        <f t="shared" si="14"/>
        <v>0</v>
      </c>
      <c r="G157" s="260">
        <v>1000</v>
      </c>
      <c r="H157" s="346">
        <f t="shared" si="12"/>
        <v>3.7143446131788664E-4</v>
      </c>
      <c r="J157">
        <f t="shared" si="13"/>
        <v>0</v>
      </c>
    </row>
    <row r="158" spans="1:10" x14ac:dyDescent="0.25">
      <c r="A158" s="260"/>
      <c r="B158" s="345" t="s">
        <v>1639</v>
      </c>
      <c r="C158" s="260" t="s">
        <v>1640</v>
      </c>
      <c r="D158" s="260">
        <v>1000</v>
      </c>
      <c r="E158" s="260">
        <f t="shared" si="11"/>
        <v>0</v>
      </c>
      <c r="F158" s="260">
        <f t="shared" si="14"/>
        <v>0</v>
      </c>
      <c r="G158" s="260">
        <v>1000</v>
      </c>
      <c r="H158" s="346">
        <f t="shared" si="12"/>
        <v>3.7143446131788664E-4</v>
      </c>
      <c r="J158">
        <f t="shared" si="13"/>
        <v>0</v>
      </c>
    </row>
    <row r="159" spans="1:10" x14ac:dyDescent="0.25">
      <c r="A159" s="350"/>
      <c r="B159" s="351" t="s">
        <v>1754</v>
      </c>
      <c r="C159" s="350" t="s">
        <v>1755</v>
      </c>
      <c r="D159" s="350">
        <v>0</v>
      </c>
      <c r="E159" s="350">
        <f t="shared" si="11"/>
        <v>1000</v>
      </c>
      <c r="F159" s="350">
        <v>0</v>
      </c>
      <c r="G159" s="350">
        <v>1000</v>
      </c>
      <c r="H159" s="346">
        <f t="shared" si="12"/>
        <v>3.7143446131788664E-4</v>
      </c>
      <c r="J159">
        <f t="shared" si="13"/>
        <v>1000</v>
      </c>
    </row>
    <row r="160" spans="1:10" x14ac:dyDescent="0.25">
      <c r="A160" s="260"/>
      <c r="B160" s="345" t="s">
        <v>1664</v>
      </c>
      <c r="C160" s="260" t="s">
        <v>1665</v>
      </c>
      <c r="D160" s="260">
        <v>1000</v>
      </c>
      <c r="E160" s="260">
        <f t="shared" si="11"/>
        <v>0</v>
      </c>
      <c r="F160" s="260">
        <f t="shared" ref="F160:F191" si="15">D160-G160</f>
        <v>0</v>
      </c>
      <c r="G160" s="260">
        <v>1000</v>
      </c>
      <c r="H160" s="346">
        <f t="shared" si="12"/>
        <v>3.7143446131788664E-4</v>
      </c>
      <c r="J160">
        <f t="shared" si="13"/>
        <v>0</v>
      </c>
    </row>
    <row r="161" spans="1:10" x14ac:dyDescent="0.25">
      <c r="A161" s="260"/>
      <c r="B161" s="345" t="s">
        <v>1662</v>
      </c>
      <c r="C161" s="260" t="s">
        <v>1663</v>
      </c>
      <c r="D161" s="260">
        <v>1000</v>
      </c>
      <c r="E161" s="260">
        <f t="shared" si="11"/>
        <v>0</v>
      </c>
      <c r="F161" s="260">
        <f t="shared" si="15"/>
        <v>0</v>
      </c>
      <c r="G161" s="260">
        <v>1000</v>
      </c>
      <c r="H161" s="346">
        <f t="shared" si="12"/>
        <v>3.7143446131788664E-4</v>
      </c>
      <c r="J161">
        <f t="shared" si="13"/>
        <v>0</v>
      </c>
    </row>
    <row r="162" spans="1:10" x14ac:dyDescent="0.25">
      <c r="A162" s="260"/>
      <c r="B162" s="345" t="s">
        <v>1668</v>
      </c>
      <c r="C162" s="260" t="s">
        <v>1669</v>
      </c>
      <c r="D162" s="260">
        <v>1000</v>
      </c>
      <c r="E162" s="260">
        <f t="shared" si="11"/>
        <v>0</v>
      </c>
      <c r="F162" s="260">
        <f t="shared" si="15"/>
        <v>0</v>
      </c>
      <c r="G162" s="260">
        <v>1000</v>
      </c>
      <c r="H162" s="346">
        <f t="shared" si="12"/>
        <v>3.7143446131788664E-4</v>
      </c>
      <c r="J162">
        <f t="shared" si="13"/>
        <v>0</v>
      </c>
    </row>
    <row r="163" spans="1:10" x14ac:dyDescent="0.25">
      <c r="A163" s="260"/>
      <c r="B163" s="345" t="s">
        <v>1645</v>
      </c>
      <c r="C163" s="260" t="s">
        <v>1646</v>
      </c>
      <c r="D163" s="260">
        <v>1000</v>
      </c>
      <c r="E163" s="260">
        <f t="shared" si="11"/>
        <v>0</v>
      </c>
      <c r="F163" s="260">
        <f t="shared" si="15"/>
        <v>0</v>
      </c>
      <c r="G163" s="260">
        <v>1000</v>
      </c>
      <c r="H163" s="346">
        <f t="shared" si="12"/>
        <v>3.7143446131788664E-4</v>
      </c>
      <c r="J163">
        <f t="shared" si="13"/>
        <v>0</v>
      </c>
    </row>
    <row r="164" spans="1:10" x14ac:dyDescent="0.25">
      <c r="A164" s="260"/>
      <c r="B164" s="345" t="s">
        <v>1678</v>
      </c>
      <c r="C164" s="260" t="s">
        <v>1679</v>
      </c>
      <c r="D164" s="260">
        <v>1000</v>
      </c>
      <c r="E164" s="260">
        <f t="shared" si="11"/>
        <v>0</v>
      </c>
      <c r="F164" s="260">
        <f t="shared" si="15"/>
        <v>0</v>
      </c>
      <c r="G164" s="260">
        <v>1000</v>
      </c>
      <c r="H164" s="346">
        <f t="shared" si="12"/>
        <v>3.7143446131788664E-4</v>
      </c>
      <c r="J164">
        <f t="shared" si="13"/>
        <v>0</v>
      </c>
    </row>
    <row r="165" spans="1:10" x14ac:dyDescent="0.25">
      <c r="A165" s="260"/>
      <c r="B165" s="345" t="s">
        <v>1684</v>
      </c>
      <c r="C165" s="260" t="s">
        <v>1685</v>
      </c>
      <c r="D165" s="260">
        <v>1000</v>
      </c>
      <c r="E165" s="260">
        <f t="shared" si="11"/>
        <v>0</v>
      </c>
      <c r="F165" s="260">
        <f t="shared" si="15"/>
        <v>0</v>
      </c>
      <c r="G165" s="260">
        <v>1000</v>
      </c>
      <c r="H165" s="346">
        <f t="shared" si="12"/>
        <v>3.7143446131788664E-4</v>
      </c>
      <c r="J165">
        <f t="shared" si="13"/>
        <v>0</v>
      </c>
    </row>
    <row r="166" spans="1:10" x14ac:dyDescent="0.25">
      <c r="A166" s="260"/>
      <c r="B166" s="345" t="s">
        <v>1686</v>
      </c>
      <c r="C166" s="260" t="s">
        <v>1687</v>
      </c>
      <c r="D166" s="260">
        <v>1000</v>
      </c>
      <c r="E166" s="260">
        <f t="shared" si="11"/>
        <v>0</v>
      </c>
      <c r="F166" s="260">
        <f t="shared" si="15"/>
        <v>0</v>
      </c>
      <c r="G166" s="260">
        <v>1000</v>
      </c>
      <c r="H166" s="346">
        <f t="shared" si="12"/>
        <v>3.7143446131788664E-4</v>
      </c>
      <c r="J166">
        <f t="shared" si="13"/>
        <v>0</v>
      </c>
    </row>
    <row r="167" spans="1:10" x14ac:dyDescent="0.25">
      <c r="A167" s="260"/>
      <c r="B167" s="345" t="s">
        <v>1700</v>
      </c>
      <c r="C167" s="260" t="s">
        <v>1701</v>
      </c>
      <c r="D167" s="260">
        <v>1000</v>
      </c>
      <c r="E167" s="260">
        <f t="shared" si="11"/>
        <v>0</v>
      </c>
      <c r="F167" s="260">
        <f t="shared" si="15"/>
        <v>0</v>
      </c>
      <c r="G167" s="260">
        <v>1000</v>
      </c>
      <c r="H167" s="346">
        <f t="shared" si="12"/>
        <v>3.7143446131788664E-4</v>
      </c>
      <c r="J167">
        <f t="shared" si="13"/>
        <v>0</v>
      </c>
    </row>
    <row r="168" spans="1:10" x14ac:dyDescent="0.25">
      <c r="A168" s="260"/>
      <c r="B168" s="345" t="s">
        <v>1704</v>
      </c>
      <c r="C168" s="260" t="s">
        <v>1705</v>
      </c>
      <c r="D168" s="260">
        <v>1000</v>
      </c>
      <c r="E168" s="260">
        <f t="shared" si="11"/>
        <v>0</v>
      </c>
      <c r="F168" s="260">
        <f t="shared" si="15"/>
        <v>0</v>
      </c>
      <c r="G168" s="260">
        <v>1000</v>
      </c>
      <c r="H168" s="346">
        <f t="shared" si="12"/>
        <v>3.7143446131788664E-4</v>
      </c>
      <c r="J168">
        <f t="shared" si="13"/>
        <v>0</v>
      </c>
    </row>
    <row r="169" spans="1:10" x14ac:dyDescent="0.25">
      <c r="A169" s="260"/>
      <c r="B169" s="345" t="s">
        <v>1762</v>
      </c>
      <c r="C169" s="260" t="s">
        <v>1763</v>
      </c>
      <c r="D169" s="260">
        <v>1000</v>
      </c>
      <c r="E169" s="260">
        <f t="shared" si="11"/>
        <v>0</v>
      </c>
      <c r="F169" s="260">
        <f t="shared" si="15"/>
        <v>0</v>
      </c>
      <c r="G169" s="260">
        <v>1000</v>
      </c>
      <c r="H169" s="346">
        <f t="shared" si="12"/>
        <v>3.7143446131788664E-4</v>
      </c>
      <c r="J169">
        <f t="shared" si="13"/>
        <v>0</v>
      </c>
    </row>
    <row r="170" spans="1:10" x14ac:dyDescent="0.25">
      <c r="A170" s="260"/>
      <c r="B170" s="345" t="s">
        <v>1716</v>
      </c>
      <c r="C170" s="260" t="s">
        <v>1717</v>
      </c>
      <c r="D170" s="260">
        <v>1000</v>
      </c>
      <c r="E170" s="260">
        <f t="shared" si="11"/>
        <v>0</v>
      </c>
      <c r="F170" s="260">
        <f t="shared" si="15"/>
        <v>0</v>
      </c>
      <c r="G170" s="260">
        <v>1000</v>
      </c>
      <c r="H170" s="346">
        <f t="shared" si="12"/>
        <v>3.7143446131788664E-4</v>
      </c>
      <c r="J170">
        <f t="shared" si="13"/>
        <v>0</v>
      </c>
    </row>
    <row r="171" spans="1:10" x14ac:dyDescent="0.25">
      <c r="A171" s="260"/>
      <c r="B171" s="345" t="s">
        <v>1710</v>
      </c>
      <c r="C171" s="260" t="s">
        <v>1711</v>
      </c>
      <c r="D171" s="260">
        <v>1000</v>
      </c>
      <c r="E171" s="260">
        <f t="shared" si="11"/>
        <v>0</v>
      </c>
      <c r="F171" s="260">
        <f t="shared" si="15"/>
        <v>0</v>
      </c>
      <c r="G171" s="260">
        <v>1000</v>
      </c>
      <c r="H171" s="346">
        <f t="shared" si="12"/>
        <v>3.7143446131788664E-4</v>
      </c>
      <c r="J171">
        <f t="shared" si="13"/>
        <v>0</v>
      </c>
    </row>
    <row r="172" spans="1:10" x14ac:dyDescent="0.25">
      <c r="A172" s="260"/>
      <c r="B172" s="345" t="s">
        <v>1718</v>
      </c>
      <c r="C172" s="260" t="s">
        <v>1719</v>
      </c>
      <c r="D172" s="260">
        <v>1000</v>
      </c>
      <c r="E172" s="260">
        <f t="shared" si="11"/>
        <v>0</v>
      </c>
      <c r="F172" s="260">
        <f t="shared" si="15"/>
        <v>0</v>
      </c>
      <c r="G172" s="260">
        <v>1000</v>
      </c>
      <c r="H172" s="346">
        <f t="shared" si="12"/>
        <v>3.7143446131788664E-4</v>
      </c>
      <c r="J172">
        <f t="shared" si="13"/>
        <v>0</v>
      </c>
    </row>
    <row r="173" spans="1:10" x14ac:dyDescent="0.25">
      <c r="A173" s="260"/>
      <c r="B173" s="345" t="s">
        <v>1730</v>
      </c>
      <c r="C173" s="260" t="s">
        <v>1731</v>
      </c>
      <c r="D173" s="260">
        <v>1000</v>
      </c>
      <c r="E173" s="260">
        <f t="shared" si="11"/>
        <v>0</v>
      </c>
      <c r="F173" s="260">
        <f t="shared" si="15"/>
        <v>0</v>
      </c>
      <c r="G173" s="260">
        <v>1000</v>
      </c>
      <c r="H173" s="346">
        <f t="shared" si="12"/>
        <v>3.7143446131788664E-4</v>
      </c>
      <c r="J173">
        <f t="shared" si="13"/>
        <v>0</v>
      </c>
    </row>
    <row r="174" spans="1:10" x14ac:dyDescent="0.25">
      <c r="A174" s="260"/>
      <c r="B174" s="345" t="s">
        <v>1728</v>
      </c>
      <c r="C174" s="260" t="s">
        <v>1729</v>
      </c>
      <c r="D174" s="260">
        <v>1000</v>
      </c>
      <c r="E174" s="260">
        <f t="shared" si="11"/>
        <v>0</v>
      </c>
      <c r="F174" s="260">
        <f t="shared" si="15"/>
        <v>0</v>
      </c>
      <c r="G174" s="260">
        <v>1000</v>
      </c>
      <c r="H174" s="346">
        <f t="shared" si="12"/>
        <v>3.7143446131788664E-4</v>
      </c>
      <c r="J174">
        <f t="shared" si="13"/>
        <v>0</v>
      </c>
    </row>
    <row r="175" spans="1:10" x14ac:dyDescent="0.25">
      <c r="A175" s="260"/>
      <c r="B175" s="345" t="s">
        <v>1732</v>
      </c>
      <c r="C175" s="260" t="s">
        <v>1733</v>
      </c>
      <c r="D175" s="260">
        <v>1000</v>
      </c>
      <c r="E175" s="260">
        <f t="shared" si="11"/>
        <v>0</v>
      </c>
      <c r="F175" s="260">
        <f t="shared" si="15"/>
        <v>0</v>
      </c>
      <c r="G175" s="260">
        <v>1000</v>
      </c>
      <c r="H175" s="346">
        <f t="shared" si="12"/>
        <v>3.7143446131788664E-4</v>
      </c>
      <c r="J175">
        <f t="shared" si="13"/>
        <v>0</v>
      </c>
    </row>
    <row r="176" spans="1:10" x14ac:dyDescent="0.25">
      <c r="A176" s="260"/>
      <c r="B176" s="345" t="s">
        <v>1738</v>
      </c>
      <c r="C176" s="260" t="s">
        <v>1739</v>
      </c>
      <c r="D176" s="260">
        <v>1000</v>
      </c>
      <c r="E176" s="260">
        <f t="shared" si="11"/>
        <v>0</v>
      </c>
      <c r="F176" s="260">
        <f t="shared" si="15"/>
        <v>0</v>
      </c>
      <c r="G176" s="260">
        <v>1000</v>
      </c>
      <c r="H176" s="346">
        <f t="shared" si="12"/>
        <v>3.7143446131788664E-4</v>
      </c>
      <c r="J176">
        <f t="shared" si="13"/>
        <v>0</v>
      </c>
    </row>
    <row r="177" spans="1:10" x14ac:dyDescent="0.25">
      <c r="A177" s="260"/>
      <c r="B177" s="345" t="s">
        <v>1742</v>
      </c>
      <c r="C177" s="260" t="s">
        <v>1743</v>
      </c>
      <c r="D177" s="260">
        <v>1000</v>
      </c>
      <c r="E177" s="260">
        <f t="shared" si="11"/>
        <v>0</v>
      </c>
      <c r="F177" s="260">
        <f t="shared" si="15"/>
        <v>0</v>
      </c>
      <c r="G177" s="260">
        <v>1000</v>
      </c>
      <c r="H177" s="346">
        <f t="shared" si="12"/>
        <v>3.7143446131788664E-4</v>
      </c>
      <c r="J177">
        <f t="shared" si="13"/>
        <v>0</v>
      </c>
    </row>
    <row r="178" spans="1:10" x14ac:dyDescent="0.25">
      <c r="A178" s="260"/>
      <c r="B178" s="345" t="s">
        <v>1806</v>
      </c>
      <c r="C178" s="260" t="s">
        <v>1807</v>
      </c>
      <c r="D178" s="260">
        <v>1000</v>
      </c>
      <c r="E178" s="260">
        <f t="shared" si="11"/>
        <v>0</v>
      </c>
      <c r="F178" s="260">
        <f t="shared" si="15"/>
        <v>0</v>
      </c>
      <c r="G178" s="260">
        <v>1000</v>
      </c>
      <c r="H178" s="346">
        <f t="shared" si="12"/>
        <v>3.7143446131788664E-4</v>
      </c>
      <c r="J178">
        <f t="shared" si="13"/>
        <v>0</v>
      </c>
    </row>
    <row r="179" spans="1:10" x14ac:dyDescent="0.25">
      <c r="A179" s="260">
        <v>1</v>
      </c>
      <c r="B179" s="345" t="s">
        <v>1808</v>
      </c>
      <c r="C179" s="260" t="s">
        <v>1809</v>
      </c>
      <c r="D179" s="260">
        <v>1000</v>
      </c>
      <c r="E179" s="260">
        <f t="shared" si="11"/>
        <v>0</v>
      </c>
      <c r="F179" s="260">
        <f t="shared" si="15"/>
        <v>0</v>
      </c>
      <c r="G179" s="260">
        <v>1000</v>
      </c>
      <c r="H179" s="346">
        <f t="shared" si="12"/>
        <v>3.7143446131788664E-4</v>
      </c>
      <c r="J179">
        <f t="shared" si="13"/>
        <v>0</v>
      </c>
    </row>
    <row r="180" spans="1:10" x14ac:dyDescent="0.25">
      <c r="A180" s="260"/>
      <c r="B180" s="345" t="s">
        <v>1812</v>
      </c>
      <c r="C180" s="260" t="s">
        <v>1813</v>
      </c>
      <c r="D180" s="260">
        <v>1000</v>
      </c>
      <c r="E180" s="260">
        <f t="shared" si="11"/>
        <v>0</v>
      </c>
      <c r="F180" s="260">
        <f t="shared" si="15"/>
        <v>0</v>
      </c>
      <c r="G180" s="260">
        <v>1000</v>
      </c>
      <c r="H180" s="346">
        <f t="shared" si="12"/>
        <v>3.7143446131788664E-4</v>
      </c>
      <c r="J180">
        <f t="shared" si="13"/>
        <v>0</v>
      </c>
    </row>
    <row r="181" spans="1:10" x14ac:dyDescent="0.25">
      <c r="A181" s="260"/>
      <c r="B181" s="345" t="s">
        <v>1814</v>
      </c>
      <c r="C181" s="260" t="s">
        <v>1815</v>
      </c>
      <c r="D181" s="260">
        <v>1000</v>
      </c>
      <c r="E181" s="260">
        <f t="shared" si="11"/>
        <v>0</v>
      </c>
      <c r="F181" s="260">
        <f t="shared" si="15"/>
        <v>0</v>
      </c>
      <c r="G181" s="260">
        <v>1000</v>
      </c>
      <c r="H181" s="346">
        <f t="shared" si="12"/>
        <v>3.7143446131788664E-4</v>
      </c>
      <c r="J181">
        <f t="shared" si="13"/>
        <v>0</v>
      </c>
    </row>
    <row r="182" spans="1:10" x14ac:dyDescent="0.25">
      <c r="A182" s="260"/>
      <c r="B182" s="345" t="s">
        <v>1803</v>
      </c>
      <c r="C182" s="260" t="s">
        <v>1798</v>
      </c>
      <c r="D182" s="260">
        <v>1000</v>
      </c>
      <c r="E182" s="260">
        <f t="shared" si="11"/>
        <v>0</v>
      </c>
      <c r="F182" s="260">
        <f t="shared" si="15"/>
        <v>0</v>
      </c>
      <c r="G182" s="260">
        <v>1000</v>
      </c>
      <c r="H182" s="346">
        <f t="shared" si="12"/>
        <v>3.7143446131788664E-4</v>
      </c>
      <c r="J182">
        <f t="shared" si="13"/>
        <v>0</v>
      </c>
    </row>
    <row r="183" spans="1:10" x14ac:dyDescent="0.25">
      <c r="A183" s="260"/>
      <c r="B183" s="345" t="s">
        <v>1818</v>
      </c>
      <c r="C183" s="260" t="s">
        <v>1819</v>
      </c>
      <c r="D183" s="260">
        <v>1000</v>
      </c>
      <c r="E183" s="260">
        <f t="shared" si="11"/>
        <v>0</v>
      </c>
      <c r="F183" s="260">
        <f t="shared" si="15"/>
        <v>0</v>
      </c>
      <c r="G183" s="260">
        <v>1000</v>
      </c>
      <c r="H183" s="346">
        <f t="shared" si="12"/>
        <v>3.7143446131788664E-4</v>
      </c>
      <c r="J183">
        <f t="shared" si="13"/>
        <v>0</v>
      </c>
    </row>
    <row r="184" spans="1:10" x14ac:dyDescent="0.25">
      <c r="A184" s="260"/>
      <c r="B184" s="345" t="s">
        <v>1752</v>
      </c>
      <c r="C184" s="260" t="s">
        <v>1753</v>
      </c>
      <c r="D184" s="260">
        <v>1000</v>
      </c>
      <c r="E184" s="260">
        <f t="shared" si="11"/>
        <v>0</v>
      </c>
      <c r="F184" s="260">
        <f t="shared" si="15"/>
        <v>0</v>
      </c>
      <c r="G184" s="260">
        <v>1000</v>
      </c>
      <c r="H184" s="346">
        <f t="shared" si="12"/>
        <v>3.7143446131788664E-4</v>
      </c>
      <c r="J184">
        <f t="shared" si="13"/>
        <v>0</v>
      </c>
    </row>
    <row r="185" spans="1:10" x14ac:dyDescent="0.25">
      <c r="A185" s="260"/>
      <c r="B185" s="345" t="s">
        <v>1822</v>
      </c>
      <c r="C185" s="260" t="s">
        <v>1823</v>
      </c>
      <c r="D185" s="260">
        <v>1000</v>
      </c>
      <c r="E185" s="260">
        <f t="shared" si="11"/>
        <v>0</v>
      </c>
      <c r="F185" s="260">
        <f t="shared" si="15"/>
        <v>0</v>
      </c>
      <c r="G185" s="260">
        <v>1000</v>
      </c>
      <c r="H185" s="346">
        <f t="shared" si="12"/>
        <v>3.7143446131788664E-4</v>
      </c>
      <c r="J185">
        <f t="shared" si="13"/>
        <v>0</v>
      </c>
    </row>
    <row r="186" spans="1:10" x14ac:dyDescent="0.25">
      <c r="A186" s="260"/>
      <c r="B186" s="345" t="s">
        <v>1842</v>
      </c>
      <c r="C186" s="260" t="s">
        <v>1843</v>
      </c>
      <c r="D186" s="260">
        <v>1000</v>
      </c>
      <c r="E186" s="260">
        <f t="shared" si="11"/>
        <v>0</v>
      </c>
      <c r="F186" s="260">
        <f t="shared" si="15"/>
        <v>0</v>
      </c>
      <c r="G186" s="260">
        <v>1000</v>
      </c>
      <c r="H186" s="346">
        <f t="shared" si="12"/>
        <v>3.7143446131788664E-4</v>
      </c>
      <c r="J186">
        <f t="shared" si="13"/>
        <v>0</v>
      </c>
    </row>
    <row r="187" spans="1:10" x14ac:dyDescent="0.25">
      <c r="A187" s="260"/>
      <c r="B187" s="345" t="s">
        <v>1850</v>
      </c>
      <c r="C187" s="260" t="s">
        <v>1851</v>
      </c>
      <c r="D187" s="260">
        <v>1000</v>
      </c>
      <c r="E187" s="260">
        <f t="shared" si="11"/>
        <v>0</v>
      </c>
      <c r="F187" s="260">
        <f t="shared" si="15"/>
        <v>0</v>
      </c>
      <c r="G187" s="260">
        <v>1000</v>
      </c>
      <c r="H187" s="346">
        <f t="shared" si="12"/>
        <v>3.7143446131788664E-4</v>
      </c>
      <c r="J187">
        <f t="shared" si="13"/>
        <v>0</v>
      </c>
    </row>
    <row r="188" spans="1:10" x14ac:dyDescent="0.25">
      <c r="A188" s="260"/>
      <c r="B188" s="345" t="s">
        <v>1856</v>
      </c>
      <c r="C188" s="260" t="s">
        <v>1857</v>
      </c>
      <c r="D188" s="260">
        <v>1000</v>
      </c>
      <c r="E188" s="260">
        <f t="shared" si="11"/>
        <v>0</v>
      </c>
      <c r="F188" s="260">
        <f t="shared" si="15"/>
        <v>0</v>
      </c>
      <c r="G188" s="260">
        <v>1000</v>
      </c>
      <c r="H188" s="346">
        <f t="shared" si="12"/>
        <v>3.7143446131788664E-4</v>
      </c>
      <c r="J188">
        <f t="shared" si="13"/>
        <v>0</v>
      </c>
    </row>
    <row r="189" spans="1:10" x14ac:dyDescent="0.25">
      <c r="A189" s="260"/>
      <c r="B189" s="345" t="s">
        <v>1864</v>
      </c>
      <c r="C189" s="260" t="s">
        <v>1865</v>
      </c>
      <c r="D189" s="260">
        <v>1000</v>
      </c>
      <c r="E189" s="260">
        <f t="shared" si="11"/>
        <v>0</v>
      </c>
      <c r="F189" s="260">
        <f t="shared" si="15"/>
        <v>0</v>
      </c>
      <c r="G189" s="260">
        <v>1000</v>
      </c>
      <c r="H189" s="346">
        <f t="shared" si="12"/>
        <v>3.7143446131788664E-4</v>
      </c>
      <c r="J189">
        <f t="shared" si="13"/>
        <v>0</v>
      </c>
    </row>
    <row r="190" spans="1:10" x14ac:dyDescent="0.25">
      <c r="A190" s="260"/>
      <c r="B190" s="345" t="s">
        <v>1450</v>
      </c>
      <c r="C190" s="260" t="s">
        <v>1451</v>
      </c>
      <c r="D190" s="260">
        <v>1000</v>
      </c>
      <c r="E190" s="260">
        <f t="shared" si="11"/>
        <v>0</v>
      </c>
      <c r="F190" s="260">
        <f t="shared" si="15"/>
        <v>0</v>
      </c>
      <c r="G190" s="260">
        <v>1000</v>
      </c>
      <c r="H190" s="346">
        <f t="shared" si="12"/>
        <v>3.7143446131788664E-4</v>
      </c>
      <c r="J190">
        <f t="shared" si="13"/>
        <v>0</v>
      </c>
    </row>
    <row r="191" spans="1:10" x14ac:dyDescent="0.25">
      <c r="A191" s="260"/>
      <c r="B191" s="345" t="s">
        <v>1866</v>
      </c>
      <c r="C191" s="260" t="s">
        <v>1867</v>
      </c>
      <c r="D191" s="260">
        <v>1000</v>
      </c>
      <c r="E191" s="260">
        <f t="shared" si="11"/>
        <v>0</v>
      </c>
      <c r="F191" s="260">
        <f t="shared" si="15"/>
        <v>0</v>
      </c>
      <c r="G191" s="260">
        <v>1000</v>
      </c>
      <c r="H191" s="346">
        <f t="shared" si="12"/>
        <v>3.7143446131788664E-4</v>
      </c>
      <c r="J191">
        <f t="shared" si="13"/>
        <v>0</v>
      </c>
    </row>
    <row r="192" spans="1:10" x14ac:dyDescent="0.25">
      <c r="A192" s="260"/>
      <c r="B192" s="345" t="s">
        <v>1832</v>
      </c>
      <c r="C192" s="260" t="s">
        <v>1833</v>
      </c>
      <c r="D192" s="260">
        <v>1000</v>
      </c>
      <c r="E192" s="260">
        <f t="shared" si="11"/>
        <v>0</v>
      </c>
      <c r="F192" s="260">
        <f t="shared" ref="F192:F223" si="16">D192-G192</f>
        <v>0</v>
      </c>
      <c r="G192" s="260">
        <v>1000</v>
      </c>
      <c r="H192" s="346">
        <f t="shared" si="12"/>
        <v>3.7143446131788664E-4</v>
      </c>
      <c r="J192">
        <f t="shared" si="13"/>
        <v>0</v>
      </c>
    </row>
    <row r="193" spans="1:10" x14ac:dyDescent="0.25">
      <c r="A193" s="260"/>
      <c r="B193" s="345" t="s">
        <v>1874</v>
      </c>
      <c r="C193" s="260" t="s">
        <v>1875</v>
      </c>
      <c r="D193" s="260">
        <v>1000</v>
      </c>
      <c r="E193" s="260">
        <f t="shared" si="11"/>
        <v>0</v>
      </c>
      <c r="F193" s="260">
        <f t="shared" si="16"/>
        <v>0</v>
      </c>
      <c r="G193" s="260">
        <v>1000</v>
      </c>
      <c r="H193" s="346">
        <f t="shared" si="12"/>
        <v>3.7143446131788664E-4</v>
      </c>
      <c r="J193">
        <f t="shared" si="13"/>
        <v>0</v>
      </c>
    </row>
    <row r="194" spans="1:10" x14ac:dyDescent="0.25">
      <c r="A194" s="260"/>
      <c r="B194" s="345" t="s">
        <v>1882</v>
      </c>
      <c r="C194" s="260" t="s">
        <v>1883</v>
      </c>
      <c r="D194" s="260">
        <v>1000</v>
      </c>
      <c r="E194" s="260">
        <f t="shared" si="11"/>
        <v>0</v>
      </c>
      <c r="F194" s="260">
        <f t="shared" si="16"/>
        <v>0</v>
      </c>
      <c r="G194" s="260">
        <v>1000</v>
      </c>
      <c r="H194" s="346">
        <f t="shared" si="12"/>
        <v>3.7143446131788664E-4</v>
      </c>
      <c r="J194">
        <f t="shared" si="13"/>
        <v>0</v>
      </c>
    </row>
    <row r="195" spans="1:10" x14ac:dyDescent="0.25">
      <c r="A195" s="260"/>
      <c r="B195" s="345" t="s">
        <v>1890</v>
      </c>
      <c r="C195" s="260" t="s">
        <v>1891</v>
      </c>
      <c r="D195" s="260">
        <v>1000</v>
      </c>
      <c r="E195" s="260">
        <f t="shared" ref="E195:E258" si="17">G195-D195</f>
        <v>0</v>
      </c>
      <c r="F195" s="260">
        <f t="shared" si="16"/>
        <v>0</v>
      </c>
      <c r="G195" s="260">
        <v>1000</v>
      </c>
      <c r="H195" s="346">
        <f t="shared" ref="H195:H258" si="18">+G195/$G$417</f>
        <v>3.7143446131788664E-4</v>
      </c>
      <c r="J195">
        <f t="shared" ref="J195:J258" si="19">+SUM(E195:F195)</f>
        <v>0</v>
      </c>
    </row>
    <row r="196" spans="1:10" x14ac:dyDescent="0.25">
      <c r="A196" s="260"/>
      <c r="B196" s="345" t="s">
        <v>1892</v>
      </c>
      <c r="C196" s="260" t="s">
        <v>1893</v>
      </c>
      <c r="D196" s="260">
        <v>1000</v>
      </c>
      <c r="E196" s="260">
        <f t="shared" si="17"/>
        <v>0</v>
      </c>
      <c r="F196" s="260">
        <f t="shared" si="16"/>
        <v>0</v>
      </c>
      <c r="G196" s="260">
        <v>1000</v>
      </c>
      <c r="H196" s="346">
        <f t="shared" si="18"/>
        <v>3.7143446131788664E-4</v>
      </c>
      <c r="J196">
        <f t="shared" si="19"/>
        <v>0</v>
      </c>
    </row>
    <row r="197" spans="1:10" x14ac:dyDescent="0.25">
      <c r="A197" s="260"/>
      <c r="B197" s="345" t="s">
        <v>1886</v>
      </c>
      <c r="C197" s="260" t="s">
        <v>1887</v>
      </c>
      <c r="D197" s="260">
        <v>1000</v>
      </c>
      <c r="E197" s="260">
        <f t="shared" si="17"/>
        <v>0</v>
      </c>
      <c r="F197" s="260">
        <f t="shared" si="16"/>
        <v>0</v>
      </c>
      <c r="G197" s="260">
        <v>1000</v>
      </c>
      <c r="H197" s="346">
        <f t="shared" si="18"/>
        <v>3.7143446131788664E-4</v>
      </c>
      <c r="J197">
        <f t="shared" si="19"/>
        <v>0</v>
      </c>
    </row>
    <row r="198" spans="1:10" x14ac:dyDescent="0.25">
      <c r="A198" s="260"/>
      <c r="B198" s="345" t="s">
        <v>1907</v>
      </c>
      <c r="C198" s="260" t="s">
        <v>1908</v>
      </c>
      <c r="D198" s="260">
        <v>1000</v>
      </c>
      <c r="E198" s="260">
        <f t="shared" si="17"/>
        <v>0</v>
      </c>
      <c r="F198" s="260">
        <f t="shared" si="16"/>
        <v>0</v>
      </c>
      <c r="G198" s="260">
        <v>1000</v>
      </c>
      <c r="H198" s="346">
        <f t="shared" si="18"/>
        <v>3.7143446131788664E-4</v>
      </c>
      <c r="J198">
        <f t="shared" si="19"/>
        <v>0</v>
      </c>
    </row>
    <row r="199" spans="1:10" x14ac:dyDescent="0.25">
      <c r="A199" s="260"/>
      <c r="B199" s="345" t="s">
        <v>1750</v>
      </c>
      <c r="C199" s="260" t="s">
        <v>1751</v>
      </c>
      <c r="D199" s="260">
        <v>1000</v>
      </c>
      <c r="E199" s="260">
        <f t="shared" si="17"/>
        <v>0</v>
      </c>
      <c r="F199" s="260">
        <f t="shared" si="16"/>
        <v>0</v>
      </c>
      <c r="G199" s="260">
        <v>1000</v>
      </c>
      <c r="H199" s="346">
        <f t="shared" si="18"/>
        <v>3.7143446131788664E-4</v>
      </c>
      <c r="J199">
        <f t="shared" si="19"/>
        <v>0</v>
      </c>
    </row>
    <row r="200" spans="1:10" x14ac:dyDescent="0.25">
      <c r="A200" s="260"/>
      <c r="B200" s="345" t="s">
        <v>1919</v>
      </c>
      <c r="C200" s="260" t="s">
        <v>1920</v>
      </c>
      <c r="D200" s="260">
        <v>1000</v>
      </c>
      <c r="E200" s="260">
        <f t="shared" si="17"/>
        <v>0</v>
      </c>
      <c r="F200" s="260">
        <f t="shared" si="16"/>
        <v>0</v>
      </c>
      <c r="G200" s="260">
        <v>1000</v>
      </c>
      <c r="H200" s="346">
        <f t="shared" si="18"/>
        <v>3.7143446131788664E-4</v>
      </c>
      <c r="J200">
        <f t="shared" si="19"/>
        <v>0</v>
      </c>
    </row>
    <row r="201" spans="1:10" x14ac:dyDescent="0.25">
      <c r="A201" s="260"/>
      <c r="B201" s="345" t="s">
        <v>1900</v>
      </c>
      <c r="C201" s="260" t="s">
        <v>1901</v>
      </c>
      <c r="D201" s="260">
        <v>1000</v>
      </c>
      <c r="E201" s="260">
        <f t="shared" si="17"/>
        <v>0</v>
      </c>
      <c r="F201" s="260">
        <f t="shared" si="16"/>
        <v>0</v>
      </c>
      <c r="G201" s="260">
        <v>1000</v>
      </c>
      <c r="H201" s="346">
        <f t="shared" si="18"/>
        <v>3.7143446131788664E-4</v>
      </c>
      <c r="J201">
        <f t="shared" si="19"/>
        <v>0</v>
      </c>
    </row>
    <row r="202" spans="1:10" x14ac:dyDescent="0.25">
      <c r="A202" s="260"/>
      <c r="B202" s="345" t="s">
        <v>1921</v>
      </c>
      <c r="C202" s="260" t="s">
        <v>1922</v>
      </c>
      <c r="D202" s="260">
        <v>1000</v>
      </c>
      <c r="E202" s="260">
        <f t="shared" si="17"/>
        <v>0</v>
      </c>
      <c r="F202" s="260">
        <f t="shared" si="16"/>
        <v>0</v>
      </c>
      <c r="G202" s="260">
        <v>1000</v>
      </c>
      <c r="H202" s="346">
        <f t="shared" si="18"/>
        <v>3.7143446131788664E-4</v>
      </c>
      <c r="J202">
        <f t="shared" si="19"/>
        <v>0</v>
      </c>
    </row>
    <row r="203" spans="1:10" x14ac:dyDescent="0.25">
      <c r="A203" s="260"/>
      <c r="B203" s="345" t="s">
        <v>1923</v>
      </c>
      <c r="C203" s="260" t="s">
        <v>1924</v>
      </c>
      <c r="D203" s="260">
        <v>1000</v>
      </c>
      <c r="E203" s="260">
        <f t="shared" si="17"/>
        <v>0</v>
      </c>
      <c r="F203" s="260">
        <f t="shared" si="16"/>
        <v>0</v>
      </c>
      <c r="G203" s="260">
        <v>1000</v>
      </c>
      <c r="H203" s="346">
        <f t="shared" si="18"/>
        <v>3.7143446131788664E-4</v>
      </c>
      <c r="J203">
        <f t="shared" si="19"/>
        <v>0</v>
      </c>
    </row>
    <row r="204" spans="1:10" x14ac:dyDescent="0.25">
      <c r="A204" s="260"/>
      <c r="B204" s="345" t="s">
        <v>1933</v>
      </c>
      <c r="C204" s="260" t="s">
        <v>1934</v>
      </c>
      <c r="D204" s="260">
        <v>1000</v>
      </c>
      <c r="E204" s="260">
        <f t="shared" si="17"/>
        <v>0</v>
      </c>
      <c r="F204" s="260">
        <f t="shared" si="16"/>
        <v>0</v>
      </c>
      <c r="G204" s="260">
        <v>1000</v>
      </c>
      <c r="H204" s="346">
        <f t="shared" si="18"/>
        <v>3.7143446131788664E-4</v>
      </c>
      <c r="J204">
        <f t="shared" si="19"/>
        <v>0</v>
      </c>
    </row>
    <row r="205" spans="1:10" x14ac:dyDescent="0.25">
      <c r="A205" s="260"/>
      <c r="B205" s="345" t="s">
        <v>1937</v>
      </c>
      <c r="C205" s="260" t="s">
        <v>1938</v>
      </c>
      <c r="D205" s="260">
        <v>1000</v>
      </c>
      <c r="E205" s="260">
        <f t="shared" si="17"/>
        <v>0</v>
      </c>
      <c r="F205" s="260">
        <f t="shared" si="16"/>
        <v>0</v>
      </c>
      <c r="G205" s="260">
        <v>1000</v>
      </c>
      <c r="H205" s="346">
        <f t="shared" si="18"/>
        <v>3.7143446131788664E-4</v>
      </c>
      <c r="J205">
        <f t="shared" si="19"/>
        <v>0</v>
      </c>
    </row>
    <row r="206" spans="1:10" x14ac:dyDescent="0.25">
      <c r="A206" s="260"/>
      <c r="B206" s="345" t="s">
        <v>1941</v>
      </c>
      <c r="C206" s="260" t="s">
        <v>1942</v>
      </c>
      <c r="D206" s="260">
        <v>1000</v>
      </c>
      <c r="E206" s="260">
        <f t="shared" si="17"/>
        <v>0</v>
      </c>
      <c r="F206" s="260">
        <f t="shared" si="16"/>
        <v>0</v>
      </c>
      <c r="G206" s="260">
        <v>1000</v>
      </c>
      <c r="H206" s="346">
        <f t="shared" si="18"/>
        <v>3.7143446131788664E-4</v>
      </c>
      <c r="J206">
        <f t="shared" si="19"/>
        <v>0</v>
      </c>
    </row>
    <row r="207" spans="1:10" x14ac:dyDescent="0.25">
      <c r="A207" s="260"/>
      <c r="B207" s="345" t="s">
        <v>1764</v>
      </c>
      <c r="C207" s="260" t="s">
        <v>1765</v>
      </c>
      <c r="D207" s="260">
        <v>1000</v>
      </c>
      <c r="E207" s="260">
        <f t="shared" si="17"/>
        <v>0</v>
      </c>
      <c r="F207" s="260">
        <f t="shared" si="16"/>
        <v>0</v>
      </c>
      <c r="G207" s="260">
        <v>1000</v>
      </c>
      <c r="H207" s="346">
        <f t="shared" si="18"/>
        <v>3.7143446131788664E-4</v>
      </c>
      <c r="J207">
        <f t="shared" si="19"/>
        <v>0</v>
      </c>
    </row>
    <row r="208" spans="1:10" x14ac:dyDescent="0.25">
      <c r="A208" s="260"/>
      <c r="B208" s="345" t="s">
        <v>1582</v>
      </c>
      <c r="C208" s="260" t="s">
        <v>1583</v>
      </c>
      <c r="D208" s="260">
        <v>1000</v>
      </c>
      <c r="E208" s="260">
        <f t="shared" si="17"/>
        <v>0</v>
      </c>
      <c r="F208" s="260">
        <f t="shared" si="16"/>
        <v>0</v>
      </c>
      <c r="G208" s="260">
        <v>1000</v>
      </c>
      <c r="H208" s="346">
        <f t="shared" si="18"/>
        <v>3.7143446131788664E-4</v>
      </c>
      <c r="J208">
        <f t="shared" si="19"/>
        <v>0</v>
      </c>
    </row>
    <row r="209" spans="1:10" x14ac:dyDescent="0.25">
      <c r="A209" s="260"/>
      <c r="B209" s="345" t="s">
        <v>1953</v>
      </c>
      <c r="C209" s="260" t="s">
        <v>1954</v>
      </c>
      <c r="D209" s="260">
        <v>1000</v>
      </c>
      <c r="E209" s="260">
        <f t="shared" si="17"/>
        <v>0</v>
      </c>
      <c r="F209" s="260">
        <f t="shared" si="16"/>
        <v>0</v>
      </c>
      <c r="G209" s="260">
        <v>1000</v>
      </c>
      <c r="H209" s="346">
        <f t="shared" si="18"/>
        <v>3.7143446131788664E-4</v>
      </c>
      <c r="J209">
        <f t="shared" si="19"/>
        <v>0</v>
      </c>
    </row>
    <row r="210" spans="1:10" x14ac:dyDescent="0.25">
      <c r="A210" s="260"/>
      <c r="B210" s="345" t="s">
        <v>1955</v>
      </c>
      <c r="C210" s="260" t="s">
        <v>1956</v>
      </c>
      <c r="D210" s="260">
        <v>1000</v>
      </c>
      <c r="E210" s="260">
        <f t="shared" si="17"/>
        <v>0</v>
      </c>
      <c r="F210" s="260">
        <f t="shared" si="16"/>
        <v>0</v>
      </c>
      <c r="G210" s="260">
        <v>1000</v>
      </c>
      <c r="H210" s="346">
        <f t="shared" si="18"/>
        <v>3.7143446131788664E-4</v>
      </c>
      <c r="J210">
        <f t="shared" si="19"/>
        <v>0</v>
      </c>
    </row>
    <row r="211" spans="1:10" x14ac:dyDescent="0.25">
      <c r="A211" s="260"/>
      <c r="B211" s="345" t="s">
        <v>1977</v>
      </c>
      <c r="C211" s="260" t="s">
        <v>1978</v>
      </c>
      <c r="D211" s="260">
        <v>1000</v>
      </c>
      <c r="E211" s="260">
        <f t="shared" si="17"/>
        <v>0</v>
      </c>
      <c r="F211" s="260">
        <f t="shared" si="16"/>
        <v>0</v>
      </c>
      <c r="G211" s="260">
        <v>1000</v>
      </c>
      <c r="H211" s="346">
        <f t="shared" si="18"/>
        <v>3.7143446131788664E-4</v>
      </c>
      <c r="J211">
        <f t="shared" si="19"/>
        <v>0</v>
      </c>
    </row>
    <row r="212" spans="1:10" x14ac:dyDescent="0.25">
      <c r="A212" s="260"/>
      <c r="B212" s="345" t="s">
        <v>1975</v>
      </c>
      <c r="C212" s="260" t="s">
        <v>1976</v>
      </c>
      <c r="D212" s="260">
        <v>1000</v>
      </c>
      <c r="E212" s="260">
        <f t="shared" si="17"/>
        <v>0</v>
      </c>
      <c r="F212" s="260">
        <f t="shared" si="16"/>
        <v>0</v>
      </c>
      <c r="G212" s="260">
        <v>1000</v>
      </c>
      <c r="H212" s="346">
        <f t="shared" si="18"/>
        <v>3.7143446131788664E-4</v>
      </c>
      <c r="J212">
        <f t="shared" si="19"/>
        <v>0</v>
      </c>
    </row>
    <row r="213" spans="1:10" x14ac:dyDescent="0.25">
      <c r="A213" s="260"/>
      <c r="B213" s="345" t="s">
        <v>1979</v>
      </c>
      <c r="C213" s="260" t="s">
        <v>1980</v>
      </c>
      <c r="D213" s="260">
        <v>1000</v>
      </c>
      <c r="E213" s="260">
        <f t="shared" si="17"/>
        <v>0</v>
      </c>
      <c r="F213" s="260">
        <f t="shared" si="16"/>
        <v>0</v>
      </c>
      <c r="G213" s="260">
        <v>1000</v>
      </c>
      <c r="H213" s="346">
        <f t="shared" si="18"/>
        <v>3.7143446131788664E-4</v>
      </c>
      <c r="J213">
        <f t="shared" si="19"/>
        <v>0</v>
      </c>
    </row>
    <row r="214" spans="1:10" x14ac:dyDescent="0.25">
      <c r="A214" s="260"/>
      <c r="B214" s="345" t="s">
        <v>1987</v>
      </c>
      <c r="C214" s="260" t="s">
        <v>1988</v>
      </c>
      <c r="D214" s="260">
        <v>1000</v>
      </c>
      <c r="E214" s="260">
        <f t="shared" si="17"/>
        <v>0</v>
      </c>
      <c r="F214" s="260">
        <f t="shared" si="16"/>
        <v>0</v>
      </c>
      <c r="G214" s="260">
        <v>1000</v>
      </c>
      <c r="H214" s="346">
        <f t="shared" si="18"/>
        <v>3.7143446131788664E-4</v>
      </c>
      <c r="J214">
        <f t="shared" si="19"/>
        <v>0</v>
      </c>
    </row>
    <row r="215" spans="1:10" x14ac:dyDescent="0.25">
      <c r="A215" s="260"/>
      <c r="B215" s="345" t="s">
        <v>1991</v>
      </c>
      <c r="C215" s="260" t="s">
        <v>1992</v>
      </c>
      <c r="D215" s="260">
        <v>1000</v>
      </c>
      <c r="E215" s="260">
        <f t="shared" si="17"/>
        <v>0</v>
      </c>
      <c r="F215" s="260">
        <f t="shared" si="16"/>
        <v>0</v>
      </c>
      <c r="G215" s="260">
        <v>1000</v>
      </c>
      <c r="H215" s="346">
        <f t="shared" si="18"/>
        <v>3.7143446131788664E-4</v>
      </c>
      <c r="J215">
        <f t="shared" si="19"/>
        <v>0</v>
      </c>
    </row>
    <row r="216" spans="1:10" x14ac:dyDescent="0.25">
      <c r="A216" s="260"/>
      <c r="B216" s="345" t="s">
        <v>1997</v>
      </c>
      <c r="C216" s="260" t="s">
        <v>1998</v>
      </c>
      <c r="D216" s="260">
        <v>1000</v>
      </c>
      <c r="E216" s="260">
        <f t="shared" si="17"/>
        <v>0</v>
      </c>
      <c r="F216" s="260">
        <f t="shared" si="16"/>
        <v>0</v>
      </c>
      <c r="G216" s="260">
        <v>1000</v>
      </c>
      <c r="H216" s="346">
        <f t="shared" si="18"/>
        <v>3.7143446131788664E-4</v>
      </c>
      <c r="J216">
        <f t="shared" si="19"/>
        <v>0</v>
      </c>
    </row>
    <row r="217" spans="1:10" x14ac:dyDescent="0.25">
      <c r="A217" s="260"/>
      <c r="B217" s="345" t="s">
        <v>1999</v>
      </c>
      <c r="C217" s="260" t="s">
        <v>2000</v>
      </c>
      <c r="D217" s="260">
        <v>1000</v>
      </c>
      <c r="E217" s="260">
        <f t="shared" si="17"/>
        <v>0</v>
      </c>
      <c r="F217" s="260">
        <f t="shared" si="16"/>
        <v>0</v>
      </c>
      <c r="G217" s="260">
        <v>1000</v>
      </c>
      <c r="H217" s="346">
        <f t="shared" si="18"/>
        <v>3.7143446131788664E-4</v>
      </c>
      <c r="J217">
        <f t="shared" si="19"/>
        <v>0</v>
      </c>
    </row>
    <row r="218" spans="1:10" x14ac:dyDescent="0.25">
      <c r="A218" s="260"/>
      <c r="B218" s="345" t="s">
        <v>1508</v>
      </c>
      <c r="C218" s="260" t="s">
        <v>1509</v>
      </c>
      <c r="D218" s="260">
        <v>1000</v>
      </c>
      <c r="E218" s="260">
        <f t="shared" si="17"/>
        <v>0</v>
      </c>
      <c r="F218" s="260">
        <f t="shared" si="16"/>
        <v>0</v>
      </c>
      <c r="G218" s="260">
        <v>1000</v>
      </c>
      <c r="H218" s="346">
        <f t="shared" si="18"/>
        <v>3.7143446131788664E-4</v>
      </c>
      <c r="J218">
        <f t="shared" si="19"/>
        <v>0</v>
      </c>
    </row>
    <row r="219" spans="1:10" x14ac:dyDescent="0.25">
      <c r="A219" s="260"/>
      <c r="B219" s="345" t="s">
        <v>1503</v>
      </c>
      <c r="C219" s="260" t="s">
        <v>1504</v>
      </c>
      <c r="D219" s="260">
        <v>1000</v>
      </c>
      <c r="E219" s="260">
        <f t="shared" si="17"/>
        <v>0</v>
      </c>
      <c r="F219" s="260">
        <f t="shared" si="16"/>
        <v>0</v>
      </c>
      <c r="G219" s="260">
        <v>1000</v>
      </c>
      <c r="H219" s="346">
        <f t="shared" si="18"/>
        <v>3.7143446131788664E-4</v>
      </c>
      <c r="J219">
        <f t="shared" si="19"/>
        <v>0</v>
      </c>
    </row>
    <row r="220" spans="1:10" x14ac:dyDescent="0.25">
      <c r="A220" s="260"/>
      <c r="B220" s="345" t="s">
        <v>2001</v>
      </c>
      <c r="C220" s="260" t="s">
        <v>2002</v>
      </c>
      <c r="D220" s="260">
        <v>1000</v>
      </c>
      <c r="E220" s="260">
        <f t="shared" si="17"/>
        <v>0</v>
      </c>
      <c r="F220" s="260">
        <f t="shared" si="16"/>
        <v>0</v>
      </c>
      <c r="G220" s="260">
        <v>1000</v>
      </c>
      <c r="H220" s="346">
        <f t="shared" si="18"/>
        <v>3.7143446131788664E-4</v>
      </c>
      <c r="J220">
        <f t="shared" si="19"/>
        <v>0</v>
      </c>
    </row>
    <row r="221" spans="1:10" x14ac:dyDescent="0.25">
      <c r="A221" s="260"/>
      <c r="B221" s="345" t="s">
        <v>2003</v>
      </c>
      <c r="C221" s="260" t="s">
        <v>2004</v>
      </c>
      <c r="D221" s="260">
        <v>1000</v>
      </c>
      <c r="E221" s="260">
        <f t="shared" si="17"/>
        <v>0</v>
      </c>
      <c r="F221" s="260">
        <f t="shared" si="16"/>
        <v>0</v>
      </c>
      <c r="G221" s="260">
        <v>1000</v>
      </c>
      <c r="H221" s="346">
        <f t="shared" si="18"/>
        <v>3.7143446131788664E-4</v>
      </c>
      <c r="J221">
        <f t="shared" si="19"/>
        <v>0</v>
      </c>
    </row>
    <row r="222" spans="1:10" x14ac:dyDescent="0.25">
      <c r="A222" s="260"/>
      <c r="B222" s="345" t="s">
        <v>2009</v>
      </c>
      <c r="C222" s="260" t="s">
        <v>2010</v>
      </c>
      <c r="D222" s="260">
        <v>1000</v>
      </c>
      <c r="E222" s="260">
        <f t="shared" si="17"/>
        <v>0</v>
      </c>
      <c r="F222" s="260">
        <f t="shared" si="16"/>
        <v>0</v>
      </c>
      <c r="G222" s="260">
        <v>1000</v>
      </c>
      <c r="H222" s="346">
        <f t="shared" si="18"/>
        <v>3.7143446131788664E-4</v>
      </c>
      <c r="J222">
        <f t="shared" si="19"/>
        <v>0</v>
      </c>
    </row>
    <row r="223" spans="1:10" x14ac:dyDescent="0.25">
      <c r="A223" s="260"/>
      <c r="B223" s="345" t="s">
        <v>2033</v>
      </c>
      <c r="C223" s="260" t="s">
        <v>2034</v>
      </c>
      <c r="D223" s="260">
        <v>1000</v>
      </c>
      <c r="E223" s="260">
        <f t="shared" si="17"/>
        <v>0</v>
      </c>
      <c r="F223" s="260">
        <f t="shared" si="16"/>
        <v>0</v>
      </c>
      <c r="G223" s="260">
        <v>1000</v>
      </c>
      <c r="H223" s="346">
        <f t="shared" si="18"/>
        <v>3.7143446131788664E-4</v>
      </c>
      <c r="J223">
        <f t="shared" si="19"/>
        <v>0</v>
      </c>
    </row>
    <row r="224" spans="1:10" x14ac:dyDescent="0.25">
      <c r="A224" s="260"/>
      <c r="B224" s="345" t="s">
        <v>2037</v>
      </c>
      <c r="C224" s="260" t="s">
        <v>2038</v>
      </c>
      <c r="D224" s="260">
        <v>1000</v>
      </c>
      <c r="E224" s="260">
        <f t="shared" si="17"/>
        <v>0</v>
      </c>
      <c r="F224" s="260">
        <f t="shared" ref="F224:F255" si="20">D224-G224</f>
        <v>0</v>
      </c>
      <c r="G224" s="260">
        <v>1000</v>
      </c>
      <c r="H224" s="346">
        <f t="shared" si="18"/>
        <v>3.7143446131788664E-4</v>
      </c>
      <c r="J224">
        <f t="shared" si="19"/>
        <v>0</v>
      </c>
    </row>
    <row r="225" spans="1:10" x14ac:dyDescent="0.25">
      <c r="A225" s="260"/>
      <c r="B225" s="345" t="s">
        <v>2035</v>
      </c>
      <c r="C225" s="260" t="s">
        <v>2036</v>
      </c>
      <c r="D225" s="260">
        <v>1000</v>
      </c>
      <c r="E225" s="260">
        <f t="shared" si="17"/>
        <v>0</v>
      </c>
      <c r="F225" s="260">
        <f t="shared" si="20"/>
        <v>0</v>
      </c>
      <c r="G225" s="260">
        <v>1000</v>
      </c>
      <c r="H225" s="346">
        <f t="shared" si="18"/>
        <v>3.7143446131788664E-4</v>
      </c>
      <c r="J225">
        <f t="shared" si="19"/>
        <v>0</v>
      </c>
    </row>
    <row r="226" spans="1:10" x14ac:dyDescent="0.25">
      <c r="A226" s="260"/>
      <c r="B226" s="345" t="s">
        <v>2039</v>
      </c>
      <c r="C226" s="260" t="s">
        <v>2040</v>
      </c>
      <c r="D226" s="260">
        <v>1000</v>
      </c>
      <c r="E226" s="260">
        <f t="shared" si="17"/>
        <v>0</v>
      </c>
      <c r="F226" s="260">
        <f t="shared" si="20"/>
        <v>0</v>
      </c>
      <c r="G226" s="260">
        <v>1000</v>
      </c>
      <c r="H226" s="346">
        <f t="shared" si="18"/>
        <v>3.7143446131788664E-4</v>
      </c>
      <c r="J226">
        <f t="shared" si="19"/>
        <v>0</v>
      </c>
    </row>
    <row r="227" spans="1:10" x14ac:dyDescent="0.25">
      <c r="A227" s="260"/>
      <c r="B227" s="345" t="s">
        <v>2041</v>
      </c>
      <c r="C227" s="260" t="s">
        <v>2042</v>
      </c>
      <c r="D227" s="260">
        <v>1000</v>
      </c>
      <c r="E227" s="260">
        <f t="shared" si="17"/>
        <v>0</v>
      </c>
      <c r="F227" s="260">
        <f t="shared" si="20"/>
        <v>0</v>
      </c>
      <c r="G227" s="260">
        <v>1000</v>
      </c>
      <c r="H227" s="346">
        <f t="shared" si="18"/>
        <v>3.7143446131788664E-4</v>
      </c>
      <c r="J227">
        <f t="shared" si="19"/>
        <v>0</v>
      </c>
    </row>
    <row r="228" spans="1:10" x14ac:dyDescent="0.25">
      <c r="A228" s="260"/>
      <c r="B228" s="345" t="s">
        <v>2057</v>
      </c>
      <c r="C228" s="260" t="s">
        <v>2058</v>
      </c>
      <c r="D228" s="260">
        <v>1000</v>
      </c>
      <c r="E228" s="260">
        <f t="shared" si="17"/>
        <v>0</v>
      </c>
      <c r="F228" s="260">
        <f t="shared" si="20"/>
        <v>0</v>
      </c>
      <c r="G228" s="260">
        <v>1000</v>
      </c>
      <c r="H228" s="346">
        <f t="shared" si="18"/>
        <v>3.7143446131788664E-4</v>
      </c>
      <c r="J228">
        <f t="shared" si="19"/>
        <v>0</v>
      </c>
    </row>
    <row r="229" spans="1:10" x14ac:dyDescent="0.25">
      <c r="A229" s="260"/>
      <c r="B229" s="345" t="s">
        <v>2055</v>
      </c>
      <c r="C229" s="260" t="s">
        <v>2056</v>
      </c>
      <c r="D229" s="260">
        <v>1000</v>
      </c>
      <c r="E229" s="260">
        <f t="shared" si="17"/>
        <v>0</v>
      </c>
      <c r="F229" s="260">
        <f t="shared" si="20"/>
        <v>0</v>
      </c>
      <c r="G229" s="260">
        <v>1000</v>
      </c>
      <c r="H229" s="346">
        <f t="shared" si="18"/>
        <v>3.7143446131788664E-4</v>
      </c>
      <c r="J229">
        <f t="shared" si="19"/>
        <v>0</v>
      </c>
    </row>
    <row r="230" spans="1:10" x14ac:dyDescent="0.25">
      <c r="A230" s="260"/>
      <c r="B230" s="345" t="s">
        <v>2063</v>
      </c>
      <c r="C230" s="260" t="s">
        <v>2064</v>
      </c>
      <c r="D230" s="260">
        <v>1000</v>
      </c>
      <c r="E230" s="260">
        <f t="shared" si="17"/>
        <v>0</v>
      </c>
      <c r="F230" s="260">
        <f t="shared" si="20"/>
        <v>0</v>
      </c>
      <c r="G230" s="260">
        <v>1000</v>
      </c>
      <c r="H230" s="346">
        <f t="shared" si="18"/>
        <v>3.7143446131788664E-4</v>
      </c>
      <c r="J230">
        <f t="shared" si="19"/>
        <v>0</v>
      </c>
    </row>
    <row r="231" spans="1:10" x14ac:dyDescent="0.25">
      <c r="A231" s="260"/>
      <c r="B231" s="345" t="s">
        <v>2023</v>
      </c>
      <c r="C231" s="260" t="s">
        <v>2024</v>
      </c>
      <c r="D231" s="260">
        <v>1000</v>
      </c>
      <c r="E231" s="260">
        <f t="shared" si="17"/>
        <v>0</v>
      </c>
      <c r="F231" s="260">
        <f t="shared" si="20"/>
        <v>0</v>
      </c>
      <c r="G231" s="260">
        <v>1000</v>
      </c>
      <c r="H231" s="346">
        <f t="shared" si="18"/>
        <v>3.7143446131788664E-4</v>
      </c>
      <c r="J231">
        <f t="shared" si="19"/>
        <v>0</v>
      </c>
    </row>
    <row r="232" spans="1:10" x14ac:dyDescent="0.25">
      <c r="A232" s="260"/>
      <c r="B232" s="345" t="s">
        <v>2027</v>
      </c>
      <c r="C232" s="260" t="s">
        <v>2028</v>
      </c>
      <c r="D232" s="260">
        <v>1000</v>
      </c>
      <c r="E232" s="260">
        <f t="shared" si="17"/>
        <v>0</v>
      </c>
      <c r="F232" s="260">
        <f t="shared" si="20"/>
        <v>0</v>
      </c>
      <c r="G232" s="260">
        <v>1000</v>
      </c>
      <c r="H232" s="346">
        <f t="shared" si="18"/>
        <v>3.7143446131788664E-4</v>
      </c>
      <c r="J232">
        <f t="shared" si="19"/>
        <v>0</v>
      </c>
    </row>
    <row r="233" spans="1:10" x14ac:dyDescent="0.25">
      <c r="A233" s="260"/>
      <c r="B233" s="345" t="s">
        <v>2029</v>
      </c>
      <c r="C233" s="260" t="s">
        <v>2030</v>
      </c>
      <c r="D233" s="260">
        <v>1000</v>
      </c>
      <c r="E233" s="260">
        <f t="shared" si="17"/>
        <v>0</v>
      </c>
      <c r="F233" s="260">
        <f t="shared" si="20"/>
        <v>0</v>
      </c>
      <c r="G233" s="260">
        <v>1000</v>
      </c>
      <c r="H233" s="346">
        <f t="shared" si="18"/>
        <v>3.7143446131788664E-4</v>
      </c>
      <c r="J233">
        <f t="shared" si="19"/>
        <v>0</v>
      </c>
    </row>
    <row r="234" spans="1:10" x14ac:dyDescent="0.25">
      <c r="A234" s="260"/>
      <c r="B234" s="345" t="s">
        <v>2071</v>
      </c>
      <c r="C234" s="260" t="s">
        <v>2072</v>
      </c>
      <c r="D234" s="260">
        <v>1000</v>
      </c>
      <c r="E234" s="260">
        <f t="shared" si="17"/>
        <v>0</v>
      </c>
      <c r="F234" s="260">
        <f t="shared" si="20"/>
        <v>0</v>
      </c>
      <c r="G234" s="260">
        <v>1000</v>
      </c>
      <c r="H234" s="346">
        <f t="shared" si="18"/>
        <v>3.7143446131788664E-4</v>
      </c>
      <c r="J234">
        <f t="shared" si="19"/>
        <v>0</v>
      </c>
    </row>
    <row r="235" spans="1:10" x14ac:dyDescent="0.25">
      <c r="A235" s="260"/>
      <c r="B235" s="345" t="s">
        <v>2077</v>
      </c>
      <c r="C235" s="260" t="s">
        <v>2078</v>
      </c>
      <c r="D235" s="260">
        <v>1000</v>
      </c>
      <c r="E235" s="260">
        <f t="shared" si="17"/>
        <v>0</v>
      </c>
      <c r="F235" s="260">
        <f t="shared" si="20"/>
        <v>0</v>
      </c>
      <c r="G235" s="260">
        <v>1000</v>
      </c>
      <c r="H235" s="346">
        <f t="shared" si="18"/>
        <v>3.7143446131788664E-4</v>
      </c>
      <c r="J235">
        <f t="shared" si="19"/>
        <v>0</v>
      </c>
    </row>
    <row r="236" spans="1:10" x14ac:dyDescent="0.25">
      <c r="A236" s="260"/>
      <c r="B236" s="345" t="s">
        <v>2126</v>
      </c>
      <c r="C236" s="260" t="s">
        <v>2127</v>
      </c>
      <c r="D236" s="260">
        <v>1000</v>
      </c>
      <c r="E236" s="260">
        <f t="shared" si="17"/>
        <v>0</v>
      </c>
      <c r="F236" s="260">
        <f t="shared" si="20"/>
        <v>0</v>
      </c>
      <c r="G236" s="260">
        <v>1000</v>
      </c>
      <c r="H236" s="346">
        <f t="shared" si="18"/>
        <v>3.7143446131788664E-4</v>
      </c>
      <c r="J236">
        <f t="shared" si="19"/>
        <v>0</v>
      </c>
    </row>
    <row r="237" spans="1:10" x14ac:dyDescent="0.25">
      <c r="A237" s="260"/>
      <c r="B237" s="345" t="s">
        <v>2138</v>
      </c>
      <c r="C237" s="260" t="s">
        <v>2139</v>
      </c>
      <c r="D237" s="260">
        <v>1000</v>
      </c>
      <c r="E237" s="260">
        <f t="shared" si="17"/>
        <v>0</v>
      </c>
      <c r="F237" s="260">
        <f t="shared" si="20"/>
        <v>0</v>
      </c>
      <c r="G237" s="260">
        <v>1000</v>
      </c>
      <c r="H237" s="346">
        <f t="shared" si="18"/>
        <v>3.7143446131788664E-4</v>
      </c>
      <c r="J237">
        <f t="shared" si="19"/>
        <v>0</v>
      </c>
    </row>
    <row r="238" spans="1:10" x14ac:dyDescent="0.25">
      <c r="A238" s="260"/>
      <c r="B238" s="345" t="s">
        <v>2140</v>
      </c>
      <c r="C238" s="260" t="s">
        <v>2141</v>
      </c>
      <c r="D238" s="260">
        <v>1000</v>
      </c>
      <c r="E238" s="260">
        <f t="shared" si="17"/>
        <v>0</v>
      </c>
      <c r="F238" s="260">
        <f t="shared" si="20"/>
        <v>0</v>
      </c>
      <c r="G238" s="260">
        <v>1000</v>
      </c>
      <c r="H238" s="346">
        <f t="shared" si="18"/>
        <v>3.7143446131788664E-4</v>
      </c>
      <c r="J238">
        <f t="shared" si="19"/>
        <v>0</v>
      </c>
    </row>
    <row r="239" spans="1:10" x14ac:dyDescent="0.25">
      <c r="A239" s="260"/>
      <c r="B239" s="345" t="s">
        <v>2142</v>
      </c>
      <c r="C239" s="260" t="s">
        <v>2143</v>
      </c>
      <c r="D239" s="260">
        <v>1000</v>
      </c>
      <c r="E239" s="260">
        <f t="shared" si="17"/>
        <v>0</v>
      </c>
      <c r="F239" s="260">
        <f t="shared" si="20"/>
        <v>0</v>
      </c>
      <c r="G239" s="260">
        <v>1000</v>
      </c>
      <c r="H239" s="346">
        <f t="shared" si="18"/>
        <v>3.7143446131788664E-4</v>
      </c>
      <c r="J239">
        <f t="shared" si="19"/>
        <v>0</v>
      </c>
    </row>
    <row r="240" spans="1:10" x14ac:dyDescent="0.25">
      <c r="A240" s="260"/>
      <c r="B240" s="345" t="s">
        <v>2081</v>
      </c>
      <c r="C240" s="260" t="s">
        <v>2082</v>
      </c>
      <c r="D240" s="260">
        <v>1000</v>
      </c>
      <c r="E240" s="260">
        <f t="shared" si="17"/>
        <v>0</v>
      </c>
      <c r="F240" s="260">
        <f t="shared" si="20"/>
        <v>0</v>
      </c>
      <c r="G240" s="260">
        <v>1000</v>
      </c>
      <c r="H240" s="346">
        <f t="shared" si="18"/>
        <v>3.7143446131788664E-4</v>
      </c>
      <c r="J240">
        <f t="shared" si="19"/>
        <v>0</v>
      </c>
    </row>
    <row r="241" spans="1:10" x14ac:dyDescent="0.25">
      <c r="A241" s="260"/>
      <c r="B241" s="345" t="s">
        <v>2144</v>
      </c>
      <c r="C241" s="260" t="s">
        <v>2145</v>
      </c>
      <c r="D241" s="260">
        <v>1000</v>
      </c>
      <c r="E241" s="260">
        <f t="shared" si="17"/>
        <v>0</v>
      </c>
      <c r="F241" s="260">
        <f t="shared" si="20"/>
        <v>0</v>
      </c>
      <c r="G241" s="260">
        <v>1000</v>
      </c>
      <c r="H241" s="346">
        <f t="shared" si="18"/>
        <v>3.7143446131788664E-4</v>
      </c>
      <c r="J241">
        <f t="shared" si="19"/>
        <v>0</v>
      </c>
    </row>
    <row r="242" spans="1:10" x14ac:dyDescent="0.25">
      <c r="A242" s="260"/>
      <c r="B242" s="345" t="s">
        <v>2087</v>
      </c>
      <c r="C242" s="260" t="s">
        <v>2088</v>
      </c>
      <c r="D242" s="260">
        <v>1000</v>
      </c>
      <c r="E242" s="260">
        <f t="shared" si="17"/>
        <v>0</v>
      </c>
      <c r="F242" s="260">
        <f t="shared" si="20"/>
        <v>0</v>
      </c>
      <c r="G242" s="260">
        <v>1000</v>
      </c>
      <c r="H242" s="346">
        <f t="shared" si="18"/>
        <v>3.7143446131788664E-4</v>
      </c>
      <c r="J242">
        <f t="shared" si="19"/>
        <v>0</v>
      </c>
    </row>
    <row r="243" spans="1:10" x14ac:dyDescent="0.25">
      <c r="A243" s="260"/>
      <c r="B243" s="345" t="s">
        <v>2152</v>
      </c>
      <c r="C243" s="260" t="s">
        <v>2153</v>
      </c>
      <c r="D243" s="260">
        <v>1000</v>
      </c>
      <c r="E243" s="260">
        <f t="shared" si="17"/>
        <v>0</v>
      </c>
      <c r="F243" s="260">
        <f t="shared" si="20"/>
        <v>0</v>
      </c>
      <c r="G243" s="260">
        <v>1000</v>
      </c>
      <c r="H243" s="346">
        <f t="shared" si="18"/>
        <v>3.7143446131788664E-4</v>
      </c>
      <c r="J243">
        <f t="shared" si="19"/>
        <v>0</v>
      </c>
    </row>
    <row r="244" spans="1:10" x14ac:dyDescent="0.25">
      <c r="A244" s="260"/>
      <c r="B244" s="345" t="s">
        <v>2164</v>
      </c>
      <c r="C244" s="260" t="s">
        <v>2165</v>
      </c>
      <c r="D244" s="260">
        <v>1000</v>
      </c>
      <c r="E244" s="260">
        <f t="shared" si="17"/>
        <v>0</v>
      </c>
      <c r="F244" s="260">
        <f t="shared" si="20"/>
        <v>0</v>
      </c>
      <c r="G244" s="260">
        <v>1000</v>
      </c>
      <c r="H244" s="346">
        <f t="shared" si="18"/>
        <v>3.7143446131788664E-4</v>
      </c>
      <c r="J244">
        <f t="shared" si="19"/>
        <v>0</v>
      </c>
    </row>
    <row r="245" spans="1:10" x14ac:dyDescent="0.25">
      <c r="A245" s="260"/>
      <c r="B245" s="345" t="s">
        <v>2166</v>
      </c>
      <c r="C245" s="260" t="s">
        <v>2167</v>
      </c>
      <c r="D245" s="260">
        <v>1000</v>
      </c>
      <c r="E245" s="260">
        <f t="shared" si="17"/>
        <v>0</v>
      </c>
      <c r="F245" s="260">
        <f t="shared" si="20"/>
        <v>0</v>
      </c>
      <c r="G245" s="260">
        <v>1000</v>
      </c>
      <c r="H245" s="346">
        <f t="shared" si="18"/>
        <v>3.7143446131788664E-4</v>
      </c>
      <c r="J245">
        <f t="shared" si="19"/>
        <v>0</v>
      </c>
    </row>
    <row r="246" spans="1:10" x14ac:dyDescent="0.25">
      <c r="A246" s="260"/>
      <c r="B246" s="345" t="s">
        <v>2168</v>
      </c>
      <c r="C246" s="260" t="s">
        <v>2169</v>
      </c>
      <c r="D246" s="260">
        <v>1000</v>
      </c>
      <c r="E246" s="260">
        <f t="shared" si="17"/>
        <v>0</v>
      </c>
      <c r="F246" s="260">
        <f t="shared" si="20"/>
        <v>0</v>
      </c>
      <c r="G246" s="260">
        <v>1000</v>
      </c>
      <c r="H246" s="346">
        <f t="shared" si="18"/>
        <v>3.7143446131788664E-4</v>
      </c>
      <c r="J246">
        <f t="shared" si="19"/>
        <v>0</v>
      </c>
    </row>
    <row r="247" spans="1:10" x14ac:dyDescent="0.25">
      <c r="A247" s="260"/>
      <c r="B247" s="345" t="s">
        <v>2174</v>
      </c>
      <c r="C247" s="260" t="s">
        <v>2175</v>
      </c>
      <c r="D247" s="260">
        <v>1000</v>
      </c>
      <c r="E247" s="260">
        <f t="shared" si="17"/>
        <v>0</v>
      </c>
      <c r="F247" s="260">
        <f t="shared" si="20"/>
        <v>0</v>
      </c>
      <c r="G247" s="260">
        <v>1000</v>
      </c>
      <c r="H247" s="346">
        <f t="shared" si="18"/>
        <v>3.7143446131788664E-4</v>
      </c>
      <c r="J247">
        <f t="shared" si="19"/>
        <v>0</v>
      </c>
    </row>
    <row r="248" spans="1:10" x14ac:dyDescent="0.25">
      <c r="A248" s="260"/>
      <c r="B248" s="345" t="s">
        <v>2097</v>
      </c>
      <c r="C248" s="260" t="s">
        <v>2098</v>
      </c>
      <c r="D248" s="260">
        <v>1000</v>
      </c>
      <c r="E248" s="260">
        <f t="shared" si="17"/>
        <v>0</v>
      </c>
      <c r="F248" s="260">
        <f t="shared" si="20"/>
        <v>0</v>
      </c>
      <c r="G248" s="260">
        <v>1000</v>
      </c>
      <c r="H248" s="346">
        <f t="shared" si="18"/>
        <v>3.7143446131788664E-4</v>
      </c>
      <c r="J248">
        <f t="shared" si="19"/>
        <v>0</v>
      </c>
    </row>
    <row r="249" spans="1:10" x14ac:dyDescent="0.25">
      <c r="A249" s="260"/>
      <c r="B249" s="345" t="s">
        <v>2178</v>
      </c>
      <c r="C249" s="260" t="s">
        <v>2179</v>
      </c>
      <c r="D249" s="260">
        <v>1000</v>
      </c>
      <c r="E249" s="260">
        <f t="shared" si="17"/>
        <v>0</v>
      </c>
      <c r="F249" s="260">
        <f t="shared" si="20"/>
        <v>0</v>
      </c>
      <c r="G249" s="260">
        <v>1000</v>
      </c>
      <c r="H249" s="346">
        <f t="shared" si="18"/>
        <v>3.7143446131788664E-4</v>
      </c>
      <c r="J249">
        <f t="shared" si="19"/>
        <v>0</v>
      </c>
    </row>
    <row r="250" spans="1:10" x14ac:dyDescent="0.25">
      <c r="A250" s="260"/>
      <c r="B250" s="345" t="s">
        <v>2101</v>
      </c>
      <c r="C250" s="260" t="s">
        <v>2102</v>
      </c>
      <c r="D250" s="260">
        <v>1000</v>
      </c>
      <c r="E250" s="260">
        <f t="shared" si="17"/>
        <v>0</v>
      </c>
      <c r="F250" s="260">
        <f t="shared" si="20"/>
        <v>0</v>
      </c>
      <c r="G250" s="260">
        <v>1000</v>
      </c>
      <c r="H250" s="346">
        <f t="shared" si="18"/>
        <v>3.7143446131788664E-4</v>
      </c>
      <c r="J250">
        <f t="shared" si="19"/>
        <v>0</v>
      </c>
    </row>
    <row r="251" spans="1:10" x14ac:dyDescent="0.25">
      <c r="A251" s="260"/>
      <c r="B251" s="345" t="s">
        <v>2103</v>
      </c>
      <c r="C251" s="260" t="s">
        <v>2104</v>
      </c>
      <c r="D251" s="260">
        <v>1000</v>
      </c>
      <c r="E251" s="260">
        <f t="shared" si="17"/>
        <v>0</v>
      </c>
      <c r="F251" s="260">
        <f t="shared" si="20"/>
        <v>0</v>
      </c>
      <c r="G251" s="260">
        <v>1000</v>
      </c>
      <c r="H251" s="346">
        <f t="shared" si="18"/>
        <v>3.7143446131788664E-4</v>
      </c>
      <c r="J251">
        <f t="shared" si="19"/>
        <v>0</v>
      </c>
    </row>
    <row r="252" spans="1:10" x14ac:dyDescent="0.25">
      <c r="A252" s="260"/>
      <c r="B252" s="345" t="s">
        <v>2107</v>
      </c>
      <c r="C252" s="260" t="s">
        <v>2108</v>
      </c>
      <c r="D252" s="260">
        <v>1000</v>
      </c>
      <c r="E252" s="260">
        <f t="shared" si="17"/>
        <v>0</v>
      </c>
      <c r="F252" s="260">
        <f t="shared" si="20"/>
        <v>0</v>
      </c>
      <c r="G252" s="260">
        <v>1000</v>
      </c>
      <c r="H252" s="346">
        <f t="shared" si="18"/>
        <v>3.7143446131788664E-4</v>
      </c>
      <c r="J252">
        <f t="shared" si="19"/>
        <v>0</v>
      </c>
    </row>
    <row r="253" spans="1:10" x14ac:dyDescent="0.25">
      <c r="A253" s="260"/>
      <c r="B253" s="345" t="s">
        <v>2184</v>
      </c>
      <c r="C253" s="260" t="s">
        <v>2185</v>
      </c>
      <c r="D253" s="260">
        <v>1000</v>
      </c>
      <c r="E253" s="260">
        <f t="shared" si="17"/>
        <v>0</v>
      </c>
      <c r="F253" s="260">
        <f t="shared" si="20"/>
        <v>0</v>
      </c>
      <c r="G253" s="260">
        <v>1000</v>
      </c>
      <c r="H253" s="346">
        <f t="shared" si="18"/>
        <v>3.7143446131788664E-4</v>
      </c>
      <c r="J253">
        <f t="shared" si="19"/>
        <v>0</v>
      </c>
    </row>
    <row r="254" spans="1:10" x14ac:dyDescent="0.25">
      <c r="A254" s="260"/>
      <c r="B254" s="345" t="s">
        <v>2186</v>
      </c>
      <c r="C254" s="260" t="s">
        <v>2187</v>
      </c>
      <c r="D254" s="260">
        <v>1000</v>
      </c>
      <c r="E254" s="260">
        <f t="shared" si="17"/>
        <v>0</v>
      </c>
      <c r="F254" s="260">
        <f t="shared" si="20"/>
        <v>0</v>
      </c>
      <c r="G254" s="260">
        <v>1000</v>
      </c>
      <c r="H254" s="346">
        <f t="shared" si="18"/>
        <v>3.7143446131788664E-4</v>
      </c>
      <c r="J254">
        <f t="shared" si="19"/>
        <v>0</v>
      </c>
    </row>
    <row r="255" spans="1:10" x14ac:dyDescent="0.25">
      <c r="A255" s="260"/>
      <c r="B255" s="345" t="s">
        <v>2109</v>
      </c>
      <c r="C255" s="260" t="s">
        <v>2110</v>
      </c>
      <c r="D255" s="260">
        <v>1000</v>
      </c>
      <c r="E255" s="260">
        <f t="shared" si="17"/>
        <v>0</v>
      </c>
      <c r="F255" s="260">
        <f t="shared" si="20"/>
        <v>0</v>
      </c>
      <c r="G255" s="260">
        <v>1000</v>
      </c>
      <c r="H255" s="346">
        <f t="shared" si="18"/>
        <v>3.7143446131788664E-4</v>
      </c>
      <c r="J255">
        <f t="shared" si="19"/>
        <v>0</v>
      </c>
    </row>
    <row r="256" spans="1:10" x14ac:dyDescent="0.25">
      <c r="A256" s="260"/>
      <c r="B256" s="345" t="s">
        <v>2192</v>
      </c>
      <c r="C256" s="260" t="s">
        <v>2193</v>
      </c>
      <c r="D256" s="260">
        <v>1000</v>
      </c>
      <c r="E256" s="260">
        <f t="shared" si="17"/>
        <v>0</v>
      </c>
      <c r="F256" s="260">
        <f t="shared" ref="F256:F287" si="21">D256-G256</f>
        <v>0</v>
      </c>
      <c r="G256" s="260">
        <v>1000</v>
      </c>
      <c r="H256" s="346">
        <f t="shared" si="18"/>
        <v>3.7143446131788664E-4</v>
      </c>
      <c r="J256">
        <f t="shared" si="19"/>
        <v>0</v>
      </c>
    </row>
    <row r="257" spans="1:10" x14ac:dyDescent="0.25">
      <c r="A257" s="260"/>
      <c r="B257" s="345" t="s">
        <v>2204</v>
      </c>
      <c r="C257" s="260" t="s">
        <v>2205</v>
      </c>
      <c r="D257" s="260">
        <v>1000</v>
      </c>
      <c r="E257" s="260">
        <f t="shared" si="17"/>
        <v>0</v>
      </c>
      <c r="F257" s="260">
        <f t="shared" si="21"/>
        <v>0</v>
      </c>
      <c r="G257" s="260">
        <v>1000</v>
      </c>
      <c r="H257" s="346">
        <f t="shared" si="18"/>
        <v>3.7143446131788664E-4</v>
      </c>
      <c r="J257">
        <f t="shared" si="19"/>
        <v>0</v>
      </c>
    </row>
    <row r="258" spans="1:10" x14ac:dyDescent="0.25">
      <c r="A258" s="260"/>
      <c r="B258" s="345" t="s">
        <v>2206</v>
      </c>
      <c r="C258" s="260" t="s">
        <v>2207</v>
      </c>
      <c r="D258" s="260">
        <v>1000</v>
      </c>
      <c r="E258" s="260">
        <f t="shared" si="17"/>
        <v>0</v>
      </c>
      <c r="F258" s="260">
        <f t="shared" si="21"/>
        <v>0</v>
      </c>
      <c r="G258" s="260">
        <v>1000</v>
      </c>
      <c r="H258" s="346">
        <f t="shared" si="18"/>
        <v>3.7143446131788664E-4</v>
      </c>
      <c r="J258">
        <f t="shared" si="19"/>
        <v>0</v>
      </c>
    </row>
    <row r="259" spans="1:10" x14ac:dyDescent="0.25">
      <c r="A259" s="260"/>
      <c r="B259" s="345" t="s">
        <v>2208</v>
      </c>
      <c r="C259" s="260" t="s">
        <v>2209</v>
      </c>
      <c r="D259" s="260">
        <v>1000</v>
      </c>
      <c r="E259" s="260">
        <f t="shared" ref="E259:E322" si="22">G259-D259</f>
        <v>0</v>
      </c>
      <c r="F259" s="260">
        <f t="shared" si="21"/>
        <v>0</v>
      </c>
      <c r="G259" s="260">
        <v>1000</v>
      </c>
      <c r="H259" s="346">
        <f t="shared" ref="H259:H322" si="23">+G259/$G$417</f>
        <v>3.7143446131788664E-4</v>
      </c>
      <c r="J259">
        <f t="shared" ref="J259:J322" si="24">+SUM(E259:F259)</f>
        <v>0</v>
      </c>
    </row>
    <row r="260" spans="1:10" x14ac:dyDescent="0.25">
      <c r="A260" s="260"/>
      <c r="B260" s="345" t="s">
        <v>2212</v>
      </c>
      <c r="C260" s="260" t="s">
        <v>2213</v>
      </c>
      <c r="D260" s="260">
        <v>1000</v>
      </c>
      <c r="E260" s="260">
        <f t="shared" si="22"/>
        <v>0</v>
      </c>
      <c r="F260" s="260">
        <f t="shared" si="21"/>
        <v>0</v>
      </c>
      <c r="G260" s="260">
        <v>1000</v>
      </c>
      <c r="H260" s="346">
        <f t="shared" si="23"/>
        <v>3.7143446131788664E-4</v>
      </c>
      <c r="J260">
        <f t="shared" si="24"/>
        <v>0</v>
      </c>
    </row>
    <row r="261" spans="1:10" x14ac:dyDescent="0.25">
      <c r="A261" s="260"/>
      <c r="B261" s="345" t="s">
        <v>1562</v>
      </c>
      <c r="C261" s="260" t="s">
        <v>1563</v>
      </c>
      <c r="D261" s="260">
        <v>1000</v>
      </c>
      <c r="E261" s="260">
        <f t="shared" si="22"/>
        <v>0</v>
      </c>
      <c r="F261" s="260">
        <f t="shared" si="21"/>
        <v>0</v>
      </c>
      <c r="G261" s="260">
        <v>1000</v>
      </c>
      <c r="H261" s="346">
        <f t="shared" si="23"/>
        <v>3.7143446131788664E-4</v>
      </c>
      <c r="J261">
        <f t="shared" si="24"/>
        <v>0</v>
      </c>
    </row>
    <row r="262" spans="1:10" x14ac:dyDescent="0.25">
      <c r="A262" s="260"/>
      <c r="B262" s="345" t="s">
        <v>2214</v>
      </c>
      <c r="C262" s="260" t="s">
        <v>2215</v>
      </c>
      <c r="D262" s="260">
        <v>1000</v>
      </c>
      <c r="E262" s="260">
        <f t="shared" si="22"/>
        <v>0</v>
      </c>
      <c r="F262" s="260">
        <f t="shared" si="21"/>
        <v>0</v>
      </c>
      <c r="G262" s="260">
        <v>1000</v>
      </c>
      <c r="H262" s="346">
        <f t="shared" si="23"/>
        <v>3.7143446131788664E-4</v>
      </c>
      <c r="J262">
        <f t="shared" si="24"/>
        <v>0</v>
      </c>
    </row>
    <row r="263" spans="1:10" x14ac:dyDescent="0.25">
      <c r="A263" s="260"/>
      <c r="B263" s="345" t="s">
        <v>2220</v>
      </c>
      <c r="C263" s="260" t="s">
        <v>2221</v>
      </c>
      <c r="D263" s="260">
        <v>1000</v>
      </c>
      <c r="E263" s="260">
        <f t="shared" si="22"/>
        <v>0</v>
      </c>
      <c r="F263" s="260">
        <f t="shared" si="21"/>
        <v>0</v>
      </c>
      <c r="G263" s="260">
        <v>1000</v>
      </c>
      <c r="H263" s="346">
        <f t="shared" si="23"/>
        <v>3.7143446131788664E-4</v>
      </c>
      <c r="J263">
        <f t="shared" si="24"/>
        <v>0</v>
      </c>
    </row>
    <row r="264" spans="1:10" x14ac:dyDescent="0.25">
      <c r="A264" s="260"/>
      <c r="B264" s="345" t="s">
        <v>2222</v>
      </c>
      <c r="C264" s="260" t="s">
        <v>2223</v>
      </c>
      <c r="D264" s="260">
        <v>1000</v>
      </c>
      <c r="E264" s="260">
        <f t="shared" si="22"/>
        <v>0</v>
      </c>
      <c r="F264" s="260">
        <f t="shared" si="21"/>
        <v>0</v>
      </c>
      <c r="G264" s="260">
        <v>1000</v>
      </c>
      <c r="H264" s="346">
        <f t="shared" si="23"/>
        <v>3.7143446131788664E-4</v>
      </c>
      <c r="J264">
        <f t="shared" si="24"/>
        <v>0</v>
      </c>
    </row>
    <row r="265" spans="1:10" x14ac:dyDescent="0.25">
      <c r="A265" s="260"/>
      <c r="B265" s="345" t="s">
        <v>2224</v>
      </c>
      <c r="C265" s="260" t="s">
        <v>2225</v>
      </c>
      <c r="D265" s="260">
        <v>1000</v>
      </c>
      <c r="E265" s="260">
        <f t="shared" si="22"/>
        <v>0</v>
      </c>
      <c r="F265" s="260">
        <f t="shared" si="21"/>
        <v>0</v>
      </c>
      <c r="G265" s="260">
        <v>1000</v>
      </c>
      <c r="H265" s="346">
        <f t="shared" si="23"/>
        <v>3.7143446131788664E-4</v>
      </c>
      <c r="J265">
        <f t="shared" si="24"/>
        <v>0</v>
      </c>
    </row>
    <row r="266" spans="1:10" x14ac:dyDescent="0.25">
      <c r="A266" s="260"/>
      <c r="B266" s="345" t="s">
        <v>2232</v>
      </c>
      <c r="C266" s="260" t="s">
        <v>2233</v>
      </c>
      <c r="D266" s="260">
        <v>1000</v>
      </c>
      <c r="E266" s="260">
        <f t="shared" si="22"/>
        <v>0</v>
      </c>
      <c r="F266" s="260">
        <f t="shared" si="21"/>
        <v>0</v>
      </c>
      <c r="G266" s="260">
        <v>1000</v>
      </c>
      <c r="H266" s="346">
        <f t="shared" si="23"/>
        <v>3.7143446131788664E-4</v>
      </c>
      <c r="J266">
        <f t="shared" si="24"/>
        <v>0</v>
      </c>
    </row>
    <row r="267" spans="1:10" x14ac:dyDescent="0.25">
      <c r="A267" s="260"/>
      <c r="B267" s="345" t="s">
        <v>2202</v>
      </c>
      <c r="C267" s="260" t="s">
        <v>2203</v>
      </c>
      <c r="D267" s="260">
        <v>1000</v>
      </c>
      <c r="E267" s="260">
        <f t="shared" si="22"/>
        <v>0</v>
      </c>
      <c r="F267" s="260">
        <f t="shared" si="21"/>
        <v>0</v>
      </c>
      <c r="G267" s="260">
        <v>1000</v>
      </c>
      <c r="H267" s="346">
        <f t="shared" si="23"/>
        <v>3.7143446131788664E-4</v>
      </c>
      <c r="J267">
        <f t="shared" si="24"/>
        <v>0</v>
      </c>
    </row>
    <row r="268" spans="1:10" x14ac:dyDescent="0.25">
      <c r="A268" s="260"/>
      <c r="B268" s="345" t="s">
        <v>1789</v>
      </c>
      <c r="C268" s="260" t="s">
        <v>1790</v>
      </c>
      <c r="D268" s="260">
        <v>1000</v>
      </c>
      <c r="E268" s="260">
        <f t="shared" si="22"/>
        <v>0</v>
      </c>
      <c r="F268" s="260">
        <f t="shared" si="21"/>
        <v>0</v>
      </c>
      <c r="G268" s="260">
        <v>1000</v>
      </c>
      <c r="H268" s="346">
        <f t="shared" si="23"/>
        <v>3.7143446131788664E-4</v>
      </c>
      <c r="J268">
        <f t="shared" si="24"/>
        <v>0</v>
      </c>
    </row>
    <row r="269" spans="1:10" x14ac:dyDescent="0.25">
      <c r="A269" s="260"/>
      <c r="B269" s="345" t="s">
        <v>2246</v>
      </c>
      <c r="C269" s="260" t="s">
        <v>2247</v>
      </c>
      <c r="D269" s="260">
        <v>1000</v>
      </c>
      <c r="E269" s="260">
        <f t="shared" si="22"/>
        <v>0</v>
      </c>
      <c r="F269" s="260">
        <f t="shared" si="21"/>
        <v>0</v>
      </c>
      <c r="G269" s="260">
        <v>1000</v>
      </c>
      <c r="H269" s="346">
        <f t="shared" si="23"/>
        <v>3.7143446131788664E-4</v>
      </c>
      <c r="J269">
        <f t="shared" si="24"/>
        <v>0</v>
      </c>
    </row>
    <row r="270" spans="1:10" x14ac:dyDescent="0.25">
      <c r="A270" s="260"/>
      <c r="B270" s="345" t="s">
        <v>1769</v>
      </c>
      <c r="C270" s="260" t="s">
        <v>1770</v>
      </c>
      <c r="D270" s="260">
        <v>1000</v>
      </c>
      <c r="E270" s="260">
        <f t="shared" si="22"/>
        <v>0</v>
      </c>
      <c r="F270" s="260">
        <f t="shared" si="21"/>
        <v>0</v>
      </c>
      <c r="G270" s="260">
        <v>1000</v>
      </c>
      <c r="H270" s="346">
        <f t="shared" si="23"/>
        <v>3.7143446131788664E-4</v>
      </c>
      <c r="J270">
        <f t="shared" si="24"/>
        <v>0</v>
      </c>
    </row>
    <row r="271" spans="1:10" x14ac:dyDescent="0.25">
      <c r="A271" s="260"/>
      <c r="B271" s="345" t="s">
        <v>2256</v>
      </c>
      <c r="C271" s="260" t="s">
        <v>2257</v>
      </c>
      <c r="D271" s="260">
        <v>1000</v>
      </c>
      <c r="E271" s="260">
        <f t="shared" si="22"/>
        <v>0</v>
      </c>
      <c r="F271" s="260">
        <f t="shared" si="21"/>
        <v>0</v>
      </c>
      <c r="G271" s="260">
        <v>1000</v>
      </c>
      <c r="H271" s="346">
        <f t="shared" si="23"/>
        <v>3.7143446131788664E-4</v>
      </c>
      <c r="J271">
        <f t="shared" si="24"/>
        <v>0</v>
      </c>
    </row>
    <row r="272" spans="1:10" x14ac:dyDescent="0.25">
      <c r="A272" s="260"/>
      <c r="B272" s="345" t="s">
        <v>2260</v>
      </c>
      <c r="C272" s="260" t="s">
        <v>2261</v>
      </c>
      <c r="D272" s="260">
        <v>1000</v>
      </c>
      <c r="E272" s="260">
        <f t="shared" si="22"/>
        <v>0</v>
      </c>
      <c r="F272" s="260">
        <f t="shared" si="21"/>
        <v>0</v>
      </c>
      <c r="G272" s="260">
        <v>1000</v>
      </c>
      <c r="H272" s="346">
        <f t="shared" si="23"/>
        <v>3.7143446131788664E-4</v>
      </c>
      <c r="J272">
        <f t="shared" si="24"/>
        <v>0</v>
      </c>
    </row>
    <row r="273" spans="1:10" x14ac:dyDescent="0.25">
      <c r="A273" s="260"/>
      <c r="B273" s="345" t="s">
        <v>2262</v>
      </c>
      <c r="C273" s="260" t="s">
        <v>2263</v>
      </c>
      <c r="D273" s="260">
        <v>1000</v>
      </c>
      <c r="E273" s="260">
        <f t="shared" si="22"/>
        <v>0</v>
      </c>
      <c r="F273" s="260">
        <f t="shared" si="21"/>
        <v>0</v>
      </c>
      <c r="G273" s="260">
        <v>1000</v>
      </c>
      <c r="H273" s="346">
        <f t="shared" si="23"/>
        <v>3.7143446131788664E-4</v>
      </c>
      <c r="J273">
        <f t="shared" si="24"/>
        <v>0</v>
      </c>
    </row>
    <row r="274" spans="1:10" x14ac:dyDescent="0.25">
      <c r="A274" s="260"/>
      <c r="B274" s="345" t="s">
        <v>2230</v>
      </c>
      <c r="C274" s="260" t="s">
        <v>2231</v>
      </c>
      <c r="D274" s="260">
        <v>900</v>
      </c>
      <c r="E274" s="260">
        <f t="shared" si="22"/>
        <v>0</v>
      </c>
      <c r="F274" s="260">
        <f t="shared" si="21"/>
        <v>0</v>
      </c>
      <c r="G274" s="260">
        <v>900</v>
      </c>
      <c r="H274" s="346">
        <f t="shared" si="23"/>
        <v>3.3429101518609795E-4</v>
      </c>
      <c r="J274">
        <f t="shared" si="24"/>
        <v>0</v>
      </c>
    </row>
    <row r="275" spans="1:10" x14ac:dyDescent="0.25">
      <c r="A275" s="260"/>
      <c r="B275" s="345" t="s">
        <v>1783</v>
      </c>
      <c r="C275" s="260" t="s">
        <v>1784</v>
      </c>
      <c r="D275" s="260">
        <v>800</v>
      </c>
      <c r="E275" s="260">
        <f t="shared" si="22"/>
        <v>0</v>
      </c>
      <c r="F275" s="260">
        <f t="shared" si="21"/>
        <v>0</v>
      </c>
      <c r="G275" s="260">
        <v>800</v>
      </c>
      <c r="H275" s="346">
        <f t="shared" si="23"/>
        <v>2.9714756905430931E-4</v>
      </c>
      <c r="J275">
        <f t="shared" si="24"/>
        <v>0</v>
      </c>
    </row>
    <row r="276" spans="1:10" x14ac:dyDescent="0.25">
      <c r="A276" s="260"/>
      <c r="B276" s="345" t="s">
        <v>1566</v>
      </c>
      <c r="C276" s="260" t="s">
        <v>1567</v>
      </c>
      <c r="D276" s="260">
        <v>800</v>
      </c>
      <c r="E276" s="260">
        <f t="shared" si="22"/>
        <v>0</v>
      </c>
      <c r="F276" s="260">
        <f t="shared" si="21"/>
        <v>0</v>
      </c>
      <c r="G276" s="260">
        <v>800</v>
      </c>
      <c r="H276" s="346">
        <f t="shared" si="23"/>
        <v>2.9714756905430931E-4</v>
      </c>
      <c r="J276">
        <f t="shared" si="24"/>
        <v>0</v>
      </c>
    </row>
    <row r="277" spans="1:10" x14ac:dyDescent="0.25">
      <c r="A277" s="260"/>
      <c r="B277" s="345" t="s">
        <v>2059</v>
      </c>
      <c r="C277" s="260" t="s">
        <v>2060</v>
      </c>
      <c r="D277" s="260">
        <v>800</v>
      </c>
      <c r="E277" s="260">
        <f t="shared" si="22"/>
        <v>0</v>
      </c>
      <c r="F277" s="260">
        <f t="shared" si="21"/>
        <v>0</v>
      </c>
      <c r="G277" s="260">
        <v>800</v>
      </c>
      <c r="H277" s="346">
        <f t="shared" si="23"/>
        <v>2.9714756905430931E-4</v>
      </c>
      <c r="J277">
        <f t="shared" si="24"/>
        <v>0</v>
      </c>
    </row>
    <row r="278" spans="1:10" x14ac:dyDescent="0.25">
      <c r="A278" s="260"/>
      <c r="B278" s="345" t="s">
        <v>2122</v>
      </c>
      <c r="C278" s="260" t="s">
        <v>2123</v>
      </c>
      <c r="D278" s="260">
        <v>800</v>
      </c>
      <c r="E278" s="260">
        <f t="shared" si="22"/>
        <v>0</v>
      </c>
      <c r="F278" s="260">
        <f t="shared" si="21"/>
        <v>0</v>
      </c>
      <c r="G278" s="260">
        <v>800</v>
      </c>
      <c r="H278" s="346">
        <f t="shared" si="23"/>
        <v>2.9714756905430931E-4</v>
      </c>
      <c r="J278">
        <f t="shared" si="24"/>
        <v>0</v>
      </c>
    </row>
    <row r="279" spans="1:10" x14ac:dyDescent="0.25">
      <c r="A279" s="260"/>
      <c r="B279" s="345" t="s">
        <v>2146</v>
      </c>
      <c r="C279" s="260" t="s">
        <v>2147</v>
      </c>
      <c r="D279" s="260">
        <v>800</v>
      </c>
      <c r="E279" s="260">
        <f t="shared" si="22"/>
        <v>0</v>
      </c>
      <c r="F279" s="260">
        <f t="shared" si="21"/>
        <v>0</v>
      </c>
      <c r="G279" s="260">
        <v>800</v>
      </c>
      <c r="H279" s="346">
        <f t="shared" si="23"/>
        <v>2.9714756905430931E-4</v>
      </c>
      <c r="J279">
        <f t="shared" si="24"/>
        <v>0</v>
      </c>
    </row>
    <row r="280" spans="1:10" x14ac:dyDescent="0.25">
      <c r="A280" s="260"/>
      <c r="B280" s="345" t="s">
        <v>2148</v>
      </c>
      <c r="C280" s="260" t="s">
        <v>2149</v>
      </c>
      <c r="D280" s="260">
        <v>800</v>
      </c>
      <c r="E280" s="260">
        <f t="shared" si="22"/>
        <v>0</v>
      </c>
      <c r="F280" s="260">
        <f t="shared" si="21"/>
        <v>0</v>
      </c>
      <c r="G280" s="260">
        <v>800</v>
      </c>
      <c r="H280" s="346">
        <f t="shared" si="23"/>
        <v>2.9714756905430931E-4</v>
      </c>
      <c r="J280">
        <f t="shared" si="24"/>
        <v>0</v>
      </c>
    </row>
    <row r="281" spans="1:10" x14ac:dyDescent="0.25">
      <c r="A281" s="260"/>
      <c r="B281" s="345" t="s">
        <v>2234</v>
      </c>
      <c r="C281" s="260" t="s">
        <v>2235</v>
      </c>
      <c r="D281" s="260">
        <v>800</v>
      </c>
      <c r="E281" s="260">
        <f t="shared" si="22"/>
        <v>0</v>
      </c>
      <c r="F281" s="260">
        <f t="shared" si="21"/>
        <v>0</v>
      </c>
      <c r="G281" s="260">
        <v>800</v>
      </c>
      <c r="H281" s="346">
        <f t="shared" si="23"/>
        <v>2.9714756905430931E-4</v>
      </c>
      <c r="J281">
        <f t="shared" si="24"/>
        <v>0</v>
      </c>
    </row>
    <row r="282" spans="1:10" x14ac:dyDescent="0.25">
      <c r="A282" s="260"/>
      <c r="B282" s="345" t="s">
        <v>1456</v>
      </c>
      <c r="C282" s="260" t="s">
        <v>1457</v>
      </c>
      <c r="D282" s="260">
        <v>705</v>
      </c>
      <c r="E282" s="260">
        <f t="shared" si="22"/>
        <v>0</v>
      </c>
      <c r="F282" s="260">
        <f t="shared" si="21"/>
        <v>0</v>
      </c>
      <c r="G282" s="260">
        <v>705</v>
      </c>
      <c r="H282" s="346">
        <f t="shared" si="23"/>
        <v>2.6186129522911004E-4</v>
      </c>
      <c r="J282">
        <f t="shared" si="24"/>
        <v>0</v>
      </c>
    </row>
    <row r="283" spans="1:10" x14ac:dyDescent="0.25">
      <c r="A283" s="260"/>
      <c r="B283" s="345" t="s">
        <v>1748</v>
      </c>
      <c r="C283" s="260" t="s">
        <v>1749</v>
      </c>
      <c r="D283" s="260">
        <v>700</v>
      </c>
      <c r="E283" s="260">
        <f t="shared" si="22"/>
        <v>0</v>
      </c>
      <c r="F283" s="260">
        <f t="shared" si="21"/>
        <v>0</v>
      </c>
      <c r="G283" s="260">
        <v>700</v>
      </c>
      <c r="H283" s="346">
        <f t="shared" si="23"/>
        <v>2.6000412292252062E-4</v>
      </c>
      <c r="J283">
        <f t="shared" si="24"/>
        <v>0</v>
      </c>
    </row>
    <row r="284" spans="1:10" x14ac:dyDescent="0.25">
      <c r="A284" s="260"/>
      <c r="B284" s="345" t="s">
        <v>1656</v>
      </c>
      <c r="C284" s="260" t="s">
        <v>1657</v>
      </c>
      <c r="D284" s="260">
        <v>600</v>
      </c>
      <c r="E284" s="260">
        <f t="shared" si="22"/>
        <v>0</v>
      </c>
      <c r="F284" s="260">
        <f t="shared" si="21"/>
        <v>0</v>
      </c>
      <c r="G284" s="260">
        <v>600</v>
      </c>
      <c r="H284" s="346">
        <f t="shared" si="23"/>
        <v>2.2286067679073195E-4</v>
      </c>
      <c r="J284">
        <f t="shared" si="24"/>
        <v>0</v>
      </c>
    </row>
    <row r="285" spans="1:10" x14ac:dyDescent="0.25">
      <c r="A285" s="260"/>
      <c r="B285" s="345" t="s">
        <v>1722</v>
      </c>
      <c r="C285" s="260" t="s">
        <v>1723</v>
      </c>
      <c r="D285" s="260">
        <v>600</v>
      </c>
      <c r="E285" s="260">
        <f t="shared" si="22"/>
        <v>0</v>
      </c>
      <c r="F285" s="260">
        <f t="shared" si="21"/>
        <v>0</v>
      </c>
      <c r="G285" s="260">
        <v>600</v>
      </c>
      <c r="H285" s="346">
        <f t="shared" si="23"/>
        <v>2.2286067679073195E-4</v>
      </c>
      <c r="J285">
        <f t="shared" si="24"/>
        <v>0</v>
      </c>
    </row>
    <row r="286" spans="1:10" x14ac:dyDescent="0.25">
      <c r="A286" s="260"/>
      <c r="B286" s="345" t="s">
        <v>1714</v>
      </c>
      <c r="C286" s="260" t="s">
        <v>1715</v>
      </c>
      <c r="D286" s="260">
        <v>600</v>
      </c>
      <c r="E286" s="260">
        <f t="shared" si="22"/>
        <v>0</v>
      </c>
      <c r="F286" s="260">
        <f t="shared" si="21"/>
        <v>0</v>
      </c>
      <c r="G286" s="260">
        <v>600</v>
      </c>
      <c r="H286" s="346">
        <f t="shared" si="23"/>
        <v>2.2286067679073195E-4</v>
      </c>
      <c r="J286">
        <f t="shared" si="24"/>
        <v>0</v>
      </c>
    </row>
    <row r="287" spans="1:10" x14ac:dyDescent="0.25">
      <c r="A287" s="260"/>
      <c r="B287" s="345" t="s">
        <v>1860</v>
      </c>
      <c r="C287" s="260" t="s">
        <v>1861</v>
      </c>
      <c r="D287" s="260">
        <v>600</v>
      </c>
      <c r="E287" s="260">
        <f t="shared" si="22"/>
        <v>0</v>
      </c>
      <c r="F287" s="260">
        <f t="shared" si="21"/>
        <v>0</v>
      </c>
      <c r="G287" s="260">
        <v>600</v>
      </c>
      <c r="H287" s="346">
        <f t="shared" si="23"/>
        <v>2.2286067679073195E-4</v>
      </c>
      <c r="J287">
        <f t="shared" si="24"/>
        <v>0</v>
      </c>
    </row>
    <row r="288" spans="1:10" x14ac:dyDescent="0.25">
      <c r="A288" s="260"/>
      <c r="B288" s="345" t="s">
        <v>1858</v>
      </c>
      <c r="C288" s="260" t="s">
        <v>1859</v>
      </c>
      <c r="D288" s="260">
        <v>600</v>
      </c>
      <c r="E288" s="260">
        <f t="shared" si="22"/>
        <v>0</v>
      </c>
      <c r="F288" s="260">
        <f t="shared" ref="F288:F296" si="25">D288-G288</f>
        <v>0</v>
      </c>
      <c r="G288" s="260">
        <v>600</v>
      </c>
      <c r="H288" s="346">
        <f t="shared" si="23"/>
        <v>2.2286067679073195E-4</v>
      </c>
      <c r="J288">
        <f t="shared" si="24"/>
        <v>0</v>
      </c>
    </row>
    <row r="289" spans="1:10" x14ac:dyDescent="0.25">
      <c r="A289" s="260"/>
      <c r="B289" s="345" t="s">
        <v>1787</v>
      </c>
      <c r="C289" s="260" t="s">
        <v>1788</v>
      </c>
      <c r="D289" s="260">
        <v>600</v>
      </c>
      <c r="E289" s="260">
        <f t="shared" si="22"/>
        <v>0</v>
      </c>
      <c r="F289" s="260">
        <f t="shared" si="25"/>
        <v>0</v>
      </c>
      <c r="G289" s="260">
        <v>600</v>
      </c>
      <c r="H289" s="346">
        <f t="shared" si="23"/>
        <v>2.2286067679073195E-4</v>
      </c>
      <c r="J289">
        <f t="shared" si="24"/>
        <v>0</v>
      </c>
    </row>
    <row r="290" spans="1:10" x14ac:dyDescent="0.25">
      <c r="A290" s="260"/>
      <c r="B290" s="345" t="s">
        <v>1572</v>
      </c>
      <c r="C290" s="260" t="s">
        <v>1573</v>
      </c>
      <c r="D290" s="260">
        <v>600</v>
      </c>
      <c r="E290" s="260">
        <f t="shared" si="22"/>
        <v>0</v>
      </c>
      <c r="F290" s="260">
        <f t="shared" si="25"/>
        <v>0</v>
      </c>
      <c r="G290" s="260">
        <v>600</v>
      </c>
      <c r="H290" s="346">
        <f t="shared" si="23"/>
        <v>2.2286067679073195E-4</v>
      </c>
      <c r="J290">
        <f t="shared" si="24"/>
        <v>0</v>
      </c>
    </row>
    <row r="291" spans="1:10" x14ac:dyDescent="0.25">
      <c r="A291" s="260"/>
      <c r="B291" s="345" t="s">
        <v>1985</v>
      </c>
      <c r="C291" s="260" t="s">
        <v>1986</v>
      </c>
      <c r="D291" s="260">
        <v>600</v>
      </c>
      <c r="E291" s="260">
        <f t="shared" si="22"/>
        <v>0</v>
      </c>
      <c r="F291" s="260">
        <f t="shared" si="25"/>
        <v>0</v>
      </c>
      <c r="G291" s="260">
        <v>600</v>
      </c>
      <c r="H291" s="346">
        <f t="shared" si="23"/>
        <v>2.2286067679073195E-4</v>
      </c>
      <c r="J291">
        <f t="shared" si="24"/>
        <v>0</v>
      </c>
    </row>
    <row r="292" spans="1:10" x14ac:dyDescent="0.25">
      <c r="A292" s="260"/>
      <c r="B292" s="345" t="s">
        <v>1989</v>
      </c>
      <c r="C292" s="260" t="s">
        <v>1990</v>
      </c>
      <c r="D292" s="260">
        <v>600</v>
      </c>
      <c r="E292" s="260">
        <f t="shared" si="22"/>
        <v>0</v>
      </c>
      <c r="F292" s="260">
        <f t="shared" si="25"/>
        <v>0</v>
      </c>
      <c r="G292" s="260">
        <v>600</v>
      </c>
      <c r="H292" s="346">
        <f t="shared" si="23"/>
        <v>2.2286067679073195E-4</v>
      </c>
      <c r="J292">
        <f t="shared" si="24"/>
        <v>0</v>
      </c>
    </row>
    <row r="293" spans="1:10" x14ac:dyDescent="0.25">
      <c r="A293" s="260"/>
      <c r="B293" s="345" t="s">
        <v>2047</v>
      </c>
      <c r="C293" s="260" t="s">
        <v>2048</v>
      </c>
      <c r="D293" s="260">
        <v>600</v>
      </c>
      <c r="E293" s="260">
        <f t="shared" si="22"/>
        <v>0</v>
      </c>
      <c r="F293" s="260">
        <f t="shared" si="25"/>
        <v>0</v>
      </c>
      <c r="G293" s="260">
        <v>600</v>
      </c>
      <c r="H293" s="346">
        <f t="shared" si="23"/>
        <v>2.2286067679073195E-4</v>
      </c>
      <c r="J293">
        <f t="shared" si="24"/>
        <v>0</v>
      </c>
    </row>
    <row r="294" spans="1:10" x14ac:dyDescent="0.25">
      <c r="A294" s="260"/>
      <c r="B294" s="345" t="s">
        <v>2154</v>
      </c>
      <c r="C294" s="260" t="s">
        <v>2155</v>
      </c>
      <c r="D294" s="260">
        <v>600</v>
      </c>
      <c r="E294" s="260">
        <f t="shared" si="22"/>
        <v>0</v>
      </c>
      <c r="F294" s="260">
        <f t="shared" si="25"/>
        <v>0</v>
      </c>
      <c r="G294" s="260">
        <v>600</v>
      </c>
      <c r="H294" s="346">
        <f t="shared" si="23"/>
        <v>2.2286067679073195E-4</v>
      </c>
      <c r="J294">
        <f t="shared" si="24"/>
        <v>0</v>
      </c>
    </row>
    <row r="295" spans="1:10" x14ac:dyDescent="0.25">
      <c r="A295" s="260"/>
      <c r="B295" s="345" t="s">
        <v>2180</v>
      </c>
      <c r="C295" s="260" t="s">
        <v>2181</v>
      </c>
      <c r="D295" s="260">
        <v>600</v>
      </c>
      <c r="E295" s="260">
        <f t="shared" si="22"/>
        <v>0</v>
      </c>
      <c r="F295" s="260">
        <f t="shared" si="25"/>
        <v>0</v>
      </c>
      <c r="G295" s="260">
        <v>600</v>
      </c>
      <c r="H295" s="346">
        <f t="shared" si="23"/>
        <v>2.2286067679073195E-4</v>
      </c>
      <c r="J295">
        <f t="shared" si="24"/>
        <v>0</v>
      </c>
    </row>
    <row r="296" spans="1:10" x14ac:dyDescent="0.25">
      <c r="A296" s="260"/>
      <c r="B296" s="345" t="s">
        <v>2240</v>
      </c>
      <c r="C296" s="260" t="s">
        <v>2241</v>
      </c>
      <c r="D296" s="260">
        <v>600</v>
      </c>
      <c r="E296" s="260">
        <f t="shared" si="22"/>
        <v>0</v>
      </c>
      <c r="F296" s="260">
        <f t="shared" si="25"/>
        <v>0</v>
      </c>
      <c r="G296" s="260">
        <v>600</v>
      </c>
      <c r="H296" s="346">
        <f t="shared" si="23"/>
        <v>2.2286067679073195E-4</v>
      </c>
      <c r="J296">
        <f t="shared" si="24"/>
        <v>0</v>
      </c>
    </row>
    <row r="297" spans="1:10" x14ac:dyDescent="0.25">
      <c r="A297" s="352"/>
      <c r="B297" s="353" t="s">
        <v>1558</v>
      </c>
      <c r="C297" s="352" t="s">
        <v>1559</v>
      </c>
      <c r="D297" s="352">
        <v>0</v>
      </c>
      <c r="E297" s="352">
        <f t="shared" si="22"/>
        <v>575</v>
      </c>
      <c r="F297" s="352">
        <v>0</v>
      </c>
      <c r="G297" s="352">
        <v>575</v>
      </c>
      <c r="H297" s="346">
        <f t="shared" si="23"/>
        <v>2.135748152577848E-4</v>
      </c>
      <c r="J297">
        <f t="shared" si="24"/>
        <v>575</v>
      </c>
    </row>
    <row r="298" spans="1:10" x14ac:dyDescent="0.25">
      <c r="A298" s="260"/>
      <c r="B298" s="345" t="s">
        <v>1828</v>
      </c>
      <c r="C298" s="260" t="s">
        <v>1829</v>
      </c>
      <c r="D298" s="260">
        <v>575</v>
      </c>
      <c r="E298" s="260">
        <f t="shared" si="22"/>
        <v>0</v>
      </c>
      <c r="F298" s="260">
        <f t="shared" ref="F298:F329" si="26">D298-G298</f>
        <v>0</v>
      </c>
      <c r="G298" s="260">
        <v>575</v>
      </c>
      <c r="H298" s="346">
        <f t="shared" si="23"/>
        <v>2.135748152577848E-4</v>
      </c>
      <c r="J298">
        <f t="shared" si="24"/>
        <v>0</v>
      </c>
    </row>
    <row r="299" spans="1:10" x14ac:dyDescent="0.25">
      <c r="A299" s="260"/>
      <c r="B299" s="345" t="s">
        <v>1452</v>
      </c>
      <c r="C299" s="260" t="s">
        <v>1453</v>
      </c>
      <c r="D299" s="260">
        <v>575</v>
      </c>
      <c r="E299" s="260">
        <f t="shared" si="22"/>
        <v>0</v>
      </c>
      <c r="F299" s="260">
        <f t="shared" si="26"/>
        <v>0</v>
      </c>
      <c r="G299" s="260">
        <v>575</v>
      </c>
      <c r="H299" s="346">
        <f t="shared" si="23"/>
        <v>2.135748152577848E-4</v>
      </c>
      <c r="J299">
        <f t="shared" si="24"/>
        <v>0</v>
      </c>
    </row>
    <row r="300" spans="1:10" x14ac:dyDescent="0.25">
      <c r="A300" s="260"/>
      <c r="B300" s="345" t="s">
        <v>1454</v>
      </c>
      <c r="C300" s="260" t="s">
        <v>1455</v>
      </c>
      <c r="D300" s="260">
        <v>575</v>
      </c>
      <c r="E300" s="260">
        <f t="shared" si="22"/>
        <v>0</v>
      </c>
      <c r="F300" s="260">
        <f t="shared" si="26"/>
        <v>0</v>
      </c>
      <c r="G300" s="260">
        <v>575</v>
      </c>
      <c r="H300" s="346">
        <f t="shared" si="23"/>
        <v>2.135748152577848E-4</v>
      </c>
      <c r="J300">
        <f t="shared" si="24"/>
        <v>0</v>
      </c>
    </row>
    <row r="301" spans="1:10" x14ac:dyDescent="0.25">
      <c r="A301" s="260"/>
      <c r="B301" s="345" t="s">
        <v>2043</v>
      </c>
      <c r="C301" s="260" t="s">
        <v>2044</v>
      </c>
      <c r="D301" s="260">
        <v>575</v>
      </c>
      <c r="E301" s="260">
        <f t="shared" si="22"/>
        <v>0</v>
      </c>
      <c r="F301" s="260">
        <f t="shared" si="26"/>
        <v>0</v>
      </c>
      <c r="G301" s="260">
        <v>575</v>
      </c>
      <c r="H301" s="346">
        <f t="shared" si="23"/>
        <v>2.135748152577848E-4</v>
      </c>
      <c r="J301">
        <f t="shared" si="24"/>
        <v>0</v>
      </c>
    </row>
    <row r="302" spans="1:10" x14ac:dyDescent="0.25">
      <c r="A302" s="260"/>
      <c r="B302" s="345" t="s">
        <v>2150</v>
      </c>
      <c r="C302" s="260" t="s">
        <v>2151</v>
      </c>
      <c r="D302" s="260">
        <v>575</v>
      </c>
      <c r="E302" s="260">
        <f t="shared" si="22"/>
        <v>0</v>
      </c>
      <c r="F302" s="260">
        <f t="shared" si="26"/>
        <v>0</v>
      </c>
      <c r="G302" s="260">
        <v>575</v>
      </c>
      <c r="H302" s="346">
        <f t="shared" si="23"/>
        <v>2.135748152577848E-4</v>
      </c>
      <c r="J302">
        <f t="shared" si="24"/>
        <v>0</v>
      </c>
    </row>
    <row r="303" spans="1:10" x14ac:dyDescent="0.25">
      <c r="A303" s="260"/>
      <c r="B303" s="345" t="s">
        <v>2156</v>
      </c>
      <c r="C303" s="260" t="s">
        <v>2157</v>
      </c>
      <c r="D303" s="260">
        <v>575</v>
      </c>
      <c r="E303" s="260">
        <f t="shared" si="22"/>
        <v>0</v>
      </c>
      <c r="F303" s="260">
        <f t="shared" si="26"/>
        <v>0</v>
      </c>
      <c r="G303" s="260">
        <v>575</v>
      </c>
      <c r="H303" s="346">
        <f t="shared" si="23"/>
        <v>2.135748152577848E-4</v>
      </c>
      <c r="J303">
        <f t="shared" si="24"/>
        <v>0</v>
      </c>
    </row>
    <row r="304" spans="1:10" x14ac:dyDescent="0.25">
      <c r="A304" s="260"/>
      <c r="B304" s="345" t="s">
        <v>1603</v>
      </c>
      <c r="C304" s="260" t="s">
        <v>1604</v>
      </c>
      <c r="D304" s="260">
        <v>500</v>
      </c>
      <c r="E304" s="260">
        <f t="shared" si="22"/>
        <v>0</v>
      </c>
      <c r="F304" s="260">
        <f t="shared" si="26"/>
        <v>0</v>
      </c>
      <c r="G304" s="260">
        <v>500</v>
      </c>
      <c r="H304" s="346">
        <f t="shared" si="23"/>
        <v>1.8571723065894332E-4</v>
      </c>
      <c r="J304">
        <f t="shared" si="24"/>
        <v>0</v>
      </c>
    </row>
    <row r="305" spans="1:10" x14ac:dyDescent="0.25">
      <c r="A305" s="260"/>
      <c r="B305" s="345" t="s">
        <v>1590</v>
      </c>
      <c r="C305" s="260" t="s">
        <v>1591</v>
      </c>
      <c r="D305" s="260">
        <v>500</v>
      </c>
      <c r="E305" s="260">
        <f t="shared" si="22"/>
        <v>0</v>
      </c>
      <c r="F305" s="260">
        <f t="shared" si="26"/>
        <v>0</v>
      </c>
      <c r="G305" s="260">
        <v>500</v>
      </c>
      <c r="H305" s="346">
        <f t="shared" si="23"/>
        <v>1.8571723065894332E-4</v>
      </c>
      <c r="J305">
        <f t="shared" si="24"/>
        <v>0</v>
      </c>
    </row>
    <row r="306" spans="1:10" x14ac:dyDescent="0.25">
      <c r="A306" s="260"/>
      <c r="B306" s="345" t="s">
        <v>1617</v>
      </c>
      <c r="C306" s="260" t="s">
        <v>1618</v>
      </c>
      <c r="D306" s="260">
        <v>500</v>
      </c>
      <c r="E306" s="260">
        <f t="shared" si="22"/>
        <v>0</v>
      </c>
      <c r="F306" s="260">
        <f t="shared" si="26"/>
        <v>0</v>
      </c>
      <c r="G306" s="260">
        <v>500</v>
      </c>
      <c r="H306" s="346">
        <f t="shared" si="23"/>
        <v>1.8571723065894332E-4</v>
      </c>
      <c r="J306">
        <f t="shared" si="24"/>
        <v>0</v>
      </c>
    </row>
    <row r="307" spans="1:10" x14ac:dyDescent="0.25">
      <c r="A307" s="260"/>
      <c r="B307" s="345" t="s">
        <v>1625</v>
      </c>
      <c r="C307" s="260" t="s">
        <v>1626</v>
      </c>
      <c r="D307" s="260">
        <v>500</v>
      </c>
      <c r="E307" s="260">
        <f t="shared" si="22"/>
        <v>0</v>
      </c>
      <c r="F307" s="260">
        <f t="shared" si="26"/>
        <v>0</v>
      </c>
      <c r="G307" s="260">
        <v>500</v>
      </c>
      <c r="H307" s="346">
        <f t="shared" si="23"/>
        <v>1.8571723065894332E-4</v>
      </c>
      <c r="J307">
        <f t="shared" si="24"/>
        <v>0</v>
      </c>
    </row>
    <row r="308" spans="1:10" x14ac:dyDescent="0.25">
      <c r="A308" s="260"/>
      <c r="B308" s="345" t="s">
        <v>1594</v>
      </c>
      <c r="C308" s="260" t="s">
        <v>1595</v>
      </c>
      <c r="D308" s="260">
        <v>500</v>
      </c>
      <c r="E308" s="260">
        <f t="shared" si="22"/>
        <v>0</v>
      </c>
      <c r="F308" s="260">
        <f t="shared" si="26"/>
        <v>0</v>
      </c>
      <c r="G308" s="260">
        <v>500</v>
      </c>
      <c r="H308" s="346">
        <f t="shared" si="23"/>
        <v>1.8571723065894332E-4</v>
      </c>
      <c r="J308">
        <f t="shared" si="24"/>
        <v>0</v>
      </c>
    </row>
    <row r="309" spans="1:10" x14ac:dyDescent="0.25">
      <c r="A309" s="260"/>
      <c r="B309" s="345" t="s">
        <v>1641</v>
      </c>
      <c r="C309" s="260" t="s">
        <v>1642</v>
      </c>
      <c r="D309" s="260">
        <v>500</v>
      </c>
      <c r="E309" s="260">
        <f t="shared" si="22"/>
        <v>0</v>
      </c>
      <c r="F309" s="260">
        <f t="shared" si="26"/>
        <v>0</v>
      </c>
      <c r="G309" s="260">
        <v>500</v>
      </c>
      <c r="H309" s="346">
        <f t="shared" si="23"/>
        <v>1.8571723065894332E-4</v>
      </c>
      <c r="J309">
        <f t="shared" si="24"/>
        <v>0</v>
      </c>
    </row>
    <row r="310" spans="1:10" x14ac:dyDescent="0.25">
      <c r="A310" s="260"/>
      <c r="B310" s="345" t="s">
        <v>1643</v>
      </c>
      <c r="C310" s="260" t="s">
        <v>1644</v>
      </c>
      <c r="D310" s="260">
        <v>500</v>
      </c>
      <c r="E310" s="260">
        <f t="shared" si="22"/>
        <v>0</v>
      </c>
      <c r="F310" s="260">
        <f t="shared" si="26"/>
        <v>0</v>
      </c>
      <c r="G310" s="260">
        <v>500</v>
      </c>
      <c r="H310" s="346">
        <f t="shared" si="23"/>
        <v>1.8571723065894332E-4</v>
      </c>
      <c r="J310">
        <f t="shared" si="24"/>
        <v>0</v>
      </c>
    </row>
    <row r="311" spans="1:10" x14ac:dyDescent="0.25">
      <c r="A311" s="260"/>
      <c r="B311" s="345" t="s">
        <v>1660</v>
      </c>
      <c r="C311" s="260" t="s">
        <v>1661</v>
      </c>
      <c r="D311" s="260">
        <v>500</v>
      </c>
      <c r="E311" s="260">
        <f t="shared" si="22"/>
        <v>0</v>
      </c>
      <c r="F311" s="260">
        <f t="shared" si="26"/>
        <v>0</v>
      </c>
      <c r="G311" s="260">
        <v>500</v>
      </c>
      <c r="H311" s="346">
        <f t="shared" si="23"/>
        <v>1.8571723065894332E-4</v>
      </c>
      <c r="J311">
        <f t="shared" si="24"/>
        <v>0</v>
      </c>
    </row>
    <row r="312" spans="1:10" x14ac:dyDescent="0.25">
      <c r="A312" s="260"/>
      <c r="B312" s="345" t="s">
        <v>1666</v>
      </c>
      <c r="C312" s="260" t="s">
        <v>1667</v>
      </c>
      <c r="D312" s="260">
        <v>500</v>
      </c>
      <c r="E312" s="260">
        <f t="shared" si="22"/>
        <v>0</v>
      </c>
      <c r="F312" s="260">
        <f t="shared" si="26"/>
        <v>0</v>
      </c>
      <c r="G312" s="260">
        <v>500</v>
      </c>
      <c r="H312" s="346">
        <f t="shared" si="23"/>
        <v>1.8571723065894332E-4</v>
      </c>
      <c r="J312">
        <f t="shared" si="24"/>
        <v>0</v>
      </c>
    </row>
    <row r="313" spans="1:10" x14ac:dyDescent="0.25">
      <c r="A313" s="260"/>
      <c r="B313" s="345" t="s">
        <v>1674</v>
      </c>
      <c r="C313" s="260" t="s">
        <v>1675</v>
      </c>
      <c r="D313" s="260">
        <v>500</v>
      </c>
      <c r="E313" s="260">
        <f t="shared" si="22"/>
        <v>0</v>
      </c>
      <c r="F313" s="260">
        <f t="shared" si="26"/>
        <v>0</v>
      </c>
      <c r="G313" s="260">
        <v>500</v>
      </c>
      <c r="H313" s="346">
        <f t="shared" si="23"/>
        <v>1.8571723065894332E-4</v>
      </c>
      <c r="J313">
        <f t="shared" si="24"/>
        <v>0</v>
      </c>
    </row>
    <row r="314" spans="1:10" x14ac:dyDescent="0.25">
      <c r="A314" s="260"/>
      <c r="B314" s="345" t="s">
        <v>1676</v>
      </c>
      <c r="C314" s="260" t="s">
        <v>1677</v>
      </c>
      <c r="D314" s="260">
        <v>500</v>
      </c>
      <c r="E314" s="260">
        <f t="shared" si="22"/>
        <v>0</v>
      </c>
      <c r="F314" s="260">
        <f t="shared" si="26"/>
        <v>0</v>
      </c>
      <c r="G314" s="260">
        <v>500</v>
      </c>
      <c r="H314" s="346">
        <f t="shared" si="23"/>
        <v>1.8571723065894332E-4</v>
      </c>
      <c r="J314">
        <f t="shared" si="24"/>
        <v>0</v>
      </c>
    </row>
    <row r="315" spans="1:10" x14ac:dyDescent="0.25">
      <c r="A315" s="260"/>
      <c r="B315" s="345" t="s">
        <v>1680</v>
      </c>
      <c r="C315" s="260" t="s">
        <v>1681</v>
      </c>
      <c r="D315" s="260">
        <v>500</v>
      </c>
      <c r="E315" s="260">
        <f t="shared" si="22"/>
        <v>0</v>
      </c>
      <c r="F315" s="260">
        <f t="shared" si="26"/>
        <v>0</v>
      </c>
      <c r="G315" s="260">
        <v>500</v>
      </c>
      <c r="H315" s="346">
        <f t="shared" si="23"/>
        <v>1.8571723065894332E-4</v>
      </c>
      <c r="J315">
        <f t="shared" si="24"/>
        <v>0</v>
      </c>
    </row>
    <row r="316" spans="1:10" x14ac:dyDescent="0.25">
      <c r="A316" s="260"/>
      <c r="B316" s="345" t="s">
        <v>1688</v>
      </c>
      <c r="C316" s="260" t="s">
        <v>1689</v>
      </c>
      <c r="D316" s="260">
        <v>500</v>
      </c>
      <c r="E316" s="260">
        <f t="shared" si="22"/>
        <v>0</v>
      </c>
      <c r="F316" s="260">
        <f t="shared" si="26"/>
        <v>0</v>
      </c>
      <c r="G316" s="260">
        <v>500</v>
      </c>
      <c r="H316" s="346">
        <f t="shared" si="23"/>
        <v>1.8571723065894332E-4</v>
      </c>
      <c r="J316">
        <f t="shared" si="24"/>
        <v>0</v>
      </c>
    </row>
    <row r="317" spans="1:10" x14ac:dyDescent="0.25">
      <c r="A317" s="260"/>
      <c r="B317" s="345" t="s">
        <v>1692</v>
      </c>
      <c r="C317" s="260" t="s">
        <v>1693</v>
      </c>
      <c r="D317" s="260">
        <v>500</v>
      </c>
      <c r="E317" s="260">
        <f t="shared" si="22"/>
        <v>0</v>
      </c>
      <c r="F317" s="260">
        <f t="shared" si="26"/>
        <v>0</v>
      </c>
      <c r="G317" s="260">
        <v>500</v>
      </c>
      <c r="H317" s="346">
        <f t="shared" si="23"/>
        <v>1.8571723065894332E-4</v>
      </c>
      <c r="J317">
        <f t="shared" si="24"/>
        <v>0</v>
      </c>
    </row>
    <row r="318" spans="1:10" x14ac:dyDescent="0.25">
      <c r="A318" s="260"/>
      <c r="B318" s="345" t="s">
        <v>1574</v>
      </c>
      <c r="C318" s="260" t="s">
        <v>1575</v>
      </c>
      <c r="D318" s="260">
        <v>500</v>
      </c>
      <c r="E318" s="260">
        <f t="shared" si="22"/>
        <v>0</v>
      </c>
      <c r="F318" s="260">
        <f t="shared" si="26"/>
        <v>0</v>
      </c>
      <c r="G318" s="260">
        <v>500</v>
      </c>
      <c r="H318" s="346">
        <f t="shared" si="23"/>
        <v>1.8571723065894332E-4</v>
      </c>
      <c r="J318">
        <f t="shared" si="24"/>
        <v>0</v>
      </c>
    </row>
    <row r="319" spans="1:10" x14ac:dyDescent="0.25">
      <c r="A319" s="260"/>
      <c r="B319" s="345" t="s">
        <v>1702</v>
      </c>
      <c r="C319" s="260" t="s">
        <v>1703</v>
      </c>
      <c r="D319" s="260">
        <v>500</v>
      </c>
      <c r="E319" s="260">
        <f t="shared" si="22"/>
        <v>0</v>
      </c>
      <c r="F319" s="260">
        <f t="shared" si="26"/>
        <v>0</v>
      </c>
      <c r="G319" s="260">
        <v>500</v>
      </c>
      <c r="H319" s="346">
        <f t="shared" si="23"/>
        <v>1.8571723065894332E-4</v>
      </c>
      <c r="J319">
        <f t="shared" si="24"/>
        <v>0</v>
      </c>
    </row>
    <row r="320" spans="1:10" x14ac:dyDescent="0.25">
      <c r="A320" s="260"/>
      <c r="B320" s="345" t="s">
        <v>1706</v>
      </c>
      <c r="C320" s="260" t="s">
        <v>1707</v>
      </c>
      <c r="D320" s="260">
        <v>500</v>
      </c>
      <c r="E320" s="260">
        <f t="shared" si="22"/>
        <v>0</v>
      </c>
      <c r="F320" s="260">
        <f t="shared" si="26"/>
        <v>0</v>
      </c>
      <c r="G320" s="260">
        <v>500</v>
      </c>
      <c r="H320" s="346">
        <f t="shared" si="23"/>
        <v>1.8571723065894332E-4</v>
      </c>
      <c r="J320">
        <f t="shared" si="24"/>
        <v>0</v>
      </c>
    </row>
    <row r="321" spans="1:10" x14ac:dyDescent="0.25">
      <c r="A321" s="260"/>
      <c r="B321" s="345" t="s">
        <v>1712</v>
      </c>
      <c r="C321" s="260" t="s">
        <v>1713</v>
      </c>
      <c r="D321" s="260">
        <v>500</v>
      </c>
      <c r="E321" s="260">
        <f t="shared" si="22"/>
        <v>0</v>
      </c>
      <c r="F321" s="260">
        <f t="shared" si="26"/>
        <v>0</v>
      </c>
      <c r="G321" s="260">
        <v>500</v>
      </c>
      <c r="H321" s="346">
        <f t="shared" si="23"/>
        <v>1.8571723065894332E-4</v>
      </c>
      <c r="J321">
        <f t="shared" si="24"/>
        <v>0</v>
      </c>
    </row>
    <row r="322" spans="1:10" x14ac:dyDescent="0.25">
      <c r="A322" s="260"/>
      <c r="B322" s="345" t="s">
        <v>1708</v>
      </c>
      <c r="C322" s="260" t="s">
        <v>1709</v>
      </c>
      <c r="D322" s="260">
        <v>500</v>
      </c>
      <c r="E322" s="260">
        <f t="shared" si="22"/>
        <v>0</v>
      </c>
      <c r="F322" s="260">
        <f t="shared" si="26"/>
        <v>0</v>
      </c>
      <c r="G322" s="260">
        <v>500</v>
      </c>
      <c r="H322" s="346">
        <f t="shared" si="23"/>
        <v>1.8571723065894332E-4</v>
      </c>
      <c r="J322">
        <f t="shared" si="24"/>
        <v>0</v>
      </c>
    </row>
    <row r="323" spans="1:10" x14ac:dyDescent="0.25">
      <c r="A323" s="260"/>
      <c r="B323" s="345" t="s">
        <v>1771</v>
      </c>
      <c r="C323" s="260" t="s">
        <v>1772</v>
      </c>
      <c r="D323" s="260">
        <v>500</v>
      </c>
      <c r="E323" s="260">
        <f t="shared" ref="E323:E386" si="27">G323-D323</f>
        <v>0</v>
      </c>
      <c r="F323" s="260">
        <f t="shared" si="26"/>
        <v>0</v>
      </c>
      <c r="G323" s="260">
        <v>500</v>
      </c>
      <c r="H323" s="346">
        <f t="shared" ref="H323:H386" si="28">+G323/$G$417</f>
        <v>1.8571723065894332E-4</v>
      </c>
      <c r="J323">
        <f t="shared" ref="J323:J386" si="29">+SUM(E323:F323)</f>
        <v>0</v>
      </c>
    </row>
    <row r="324" spans="1:10" x14ac:dyDescent="0.25">
      <c r="A324" s="260"/>
      <c r="B324" s="345" t="s">
        <v>1726</v>
      </c>
      <c r="C324" s="260" t="s">
        <v>1727</v>
      </c>
      <c r="D324" s="260">
        <v>500</v>
      </c>
      <c r="E324" s="260">
        <f t="shared" si="27"/>
        <v>0</v>
      </c>
      <c r="F324" s="260">
        <f t="shared" si="26"/>
        <v>0</v>
      </c>
      <c r="G324" s="260">
        <v>500</v>
      </c>
      <c r="H324" s="346">
        <f t="shared" si="28"/>
        <v>1.8571723065894332E-4</v>
      </c>
      <c r="J324">
        <f t="shared" si="29"/>
        <v>0</v>
      </c>
    </row>
    <row r="325" spans="1:10" x14ac:dyDescent="0.25">
      <c r="A325" s="260"/>
      <c r="B325" s="345" t="s">
        <v>1724</v>
      </c>
      <c r="C325" s="260" t="s">
        <v>1725</v>
      </c>
      <c r="D325" s="260">
        <v>500</v>
      </c>
      <c r="E325" s="260">
        <f t="shared" si="27"/>
        <v>0</v>
      </c>
      <c r="F325" s="260">
        <f t="shared" si="26"/>
        <v>0</v>
      </c>
      <c r="G325" s="260">
        <v>500</v>
      </c>
      <c r="H325" s="346">
        <f t="shared" si="28"/>
        <v>1.8571723065894332E-4</v>
      </c>
      <c r="J325">
        <f t="shared" si="29"/>
        <v>0</v>
      </c>
    </row>
    <row r="326" spans="1:10" x14ac:dyDescent="0.25">
      <c r="A326" s="260"/>
      <c r="B326" s="345" t="s">
        <v>1734</v>
      </c>
      <c r="C326" s="260" t="s">
        <v>1735</v>
      </c>
      <c r="D326" s="260">
        <v>500</v>
      </c>
      <c r="E326" s="260">
        <f t="shared" si="27"/>
        <v>0</v>
      </c>
      <c r="F326" s="260">
        <f t="shared" si="26"/>
        <v>0</v>
      </c>
      <c r="G326" s="260">
        <v>500</v>
      </c>
      <c r="H326" s="346">
        <f t="shared" si="28"/>
        <v>1.8571723065894332E-4</v>
      </c>
      <c r="J326">
        <f t="shared" si="29"/>
        <v>0</v>
      </c>
    </row>
    <row r="327" spans="1:10" x14ac:dyDescent="0.25">
      <c r="A327" s="260"/>
      <c r="B327" s="345" t="s">
        <v>1740</v>
      </c>
      <c r="C327" s="260" t="s">
        <v>1741</v>
      </c>
      <c r="D327" s="260">
        <v>500</v>
      </c>
      <c r="E327" s="260">
        <f t="shared" si="27"/>
        <v>0</v>
      </c>
      <c r="F327" s="260">
        <f t="shared" si="26"/>
        <v>0</v>
      </c>
      <c r="G327" s="260">
        <v>500</v>
      </c>
      <c r="H327" s="346">
        <f t="shared" si="28"/>
        <v>1.8571723065894332E-4</v>
      </c>
      <c r="J327">
        <f t="shared" si="29"/>
        <v>0</v>
      </c>
    </row>
    <row r="328" spans="1:10" x14ac:dyDescent="0.25">
      <c r="A328" s="260"/>
      <c r="B328" s="345" t="s">
        <v>1816</v>
      </c>
      <c r="C328" s="260" t="s">
        <v>1817</v>
      </c>
      <c r="D328" s="260">
        <v>500</v>
      </c>
      <c r="E328" s="260">
        <f t="shared" si="27"/>
        <v>0</v>
      </c>
      <c r="F328" s="260">
        <f t="shared" si="26"/>
        <v>0</v>
      </c>
      <c r="G328" s="260">
        <v>500</v>
      </c>
      <c r="H328" s="346">
        <f t="shared" si="28"/>
        <v>1.8571723065894332E-4</v>
      </c>
      <c r="J328">
        <f t="shared" si="29"/>
        <v>0</v>
      </c>
    </row>
    <row r="329" spans="1:10" x14ac:dyDescent="0.25">
      <c r="A329" s="260"/>
      <c r="B329" s="345" t="s">
        <v>1846</v>
      </c>
      <c r="C329" s="260" t="s">
        <v>1847</v>
      </c>
      <c r="D329" s="260">
        <v>500</v>
      </c>
      <c r="E329" s="260">
        <f t="shared" si="27"/>
        <v>0</v>
      </c>
      <c r="F329" s="260">
        <f t="shared" si="26"/>
        <v>0</v>
      </c>
      <c r="G329" s="260">
        <v>500</v>
      </c>
      <c r="H329" s="346">
        <f t="shared" si="28"/>
        <v>1.8571723065894332E-4</v>
      </c>
      <c r="J329">
        <f t="shared" si="29"/>
        <v>0</v>
      </c>
    </row>
    <row r="330" spans="1:10" x14ac:dyDescent="0.25">
      <c r="A330" s="260"/>
      <c r="B330" s="345" t="s">
        <v>1826</v>
      </c>
      <c r="C330" s="260" t="s">
        <v>1827</v>
      </c>
      <c r="D330" s="260">
        <v>500</v>
      </c>
      <c r="E330" s="260">
        <f t="shared" si="27"/>
        <v>0</v>
      </c>
      <c r="F330" s="260">
        <f t="shared" ref="F330:F361" si="30">D330-G330</f>
        <v>0</v>
      </c>
      <c r="G330" s="260">
        <v>500</v>
      </c>
      <c r="H330" s="346">
        <f t="shared" si="28"/>
        <v>1.8571723065894332E-4</v>
      </c>
      <c r="J330">
        <f t="shared" si="29"/>
        <v>0</v>
      </c>
    </row>
    <row r="331" spans="1:10" x14ac:dyDescent="0.25">
      <c r="A331" s="260"/>
      <c r="B331" s="345" t="s">
        <v>1854</v>
      </c>
      <c r="C331" s="260" t="s">
        <v>1855</v>
      </c>
      <c r="D331" s="260">
        <v>500</v>
      </c>
      <c r="E331" s="260">
        <f t="shared" si="27"/>
        <v>0</v>
      </c>
      <c r="F331" s="260">
        <f t="shared" si="30"/>
        <v>0</v>
      </c>
      <c r="G331" s="260">
        <v>500</v>
      </c>
      <c r="H331" s="346">
        <f t="shared" si="28"/>
        <v>1.8571723065894332E-4</v>
      </c>
      <c r="J331">
        <f t="shared" si="29"/>
        <v>0</v>
      </c>
    </row>
    <row r="332" spans="1:10" x14ac:dyDescent="0.25">
      <c r="A332" s="260"/>
      <c r="B332" s="345" t="s">
        <v>1868</v>
      </c>
      <c r="C332" s="260" t="s">
        <v>1869</v>
      </c>
      <c r="D332" s="260">
        <v>500</v>
      </c>
      <c r="E332" s="260">
        <f t="shared" si="27"/>
        <v>0</v>
      </c>
      <c r="F332" s="260">
        <f t="shared" si="30"/>
        <v>0</v>
      </c>
      <c r="G332" s="260">
        <v>500</v>
      </c>
      <c r="H332" s="346">
        <f t="shared" si="28"/>
        <v>1.8571723065894332E-4</v>
      </c>
      <c r="J332">
        <f t="shared" si="29"/>
        <v>0</v>
      </c>
    </row>
    <row r="333" spans="1:10" x14ac:dyDescent="0.25">
      <c r="A333" s="260"/>
      <c r="B333" s="345" t="s">
        <v>1870</v>
      </c>
      <c r="C333" s="260" t="s">
        <v>1871</v>
      </c>
      <c r="D333" s="260">
        <v>500</v>
      </c>
      <c r="E333" s="260">
        <f t="shared" si="27"/>
        <v>0</v>
      </c>
      <c r="F333" s="260">
        <f t="shared" si="30"/>
        <v>0</v>
      </c>
      <c r="G333" s="260">
        <v>500</v>
      </c>
      <c r="H333" s="346">
        <f t="shared" si="28"/>
        <v>1.8571723065894332E-4</v>
      </c>
      <c r="J333">
        <f t="shared" si="29"/>
        <v>0</v>
      </c>
    </row>
    <row r="334" spans="1:10" x14ac:dyDescent="0.25">
      <c r="A334" s="260"/>
      <c r="B334" s="345" t="s">
        <v>1872</v>
      </c>
      <c r="C334" s="260" t="s">
        <v>1873</v>
      </c>
      <c r="D334" s="260">
        <v>500</v>
      </c>
      <c r="E334" s="260">
        <f t="shared" si="27"/>
        <v>0</v>
      </c>
      <c r="F334" s="260">
        <f t="shared" si="30"/>
        <v>0</v>
      </c>
      <c r="G334" s="260">
        <v>500</v>
      </c>
      <c r="H334" s="346">
        <f t="shared" si="28"/>
        <v>1.8571723065894332E-4</v>
      </c>
      <c r="J334">
        <f t="shared" si="29"/>
        <v>0</v>
      </c>
    </row>
    <row r="335" spans="1:10" x14ac:dyDescent="0.25">
      <c r="A335" s="260"/>
      <c r="B335" s="345" t="s">
        <v>1876</v>
      </c>
      <c r="C335" s="260" t="s">
        <v>1877</v>
      </c>
      <c r="D335" s="260">
        <v>500</v>
      </c>
      <c r="E335" s="260">
        <f t="shared" si="27"/>
        <v>0</v>
      </c>
      <c r="F335" s="260">
        <f t="shared" si="30"/>
        <v>0</v>
      </c>
      <c r="G335" s="260">
        <v>500</v>
      </c>
      <c r="H335" s="346">
        <f t="shared" si="28"/>
        <v>1.8571723065894332E-4</v>
      </c>
      <c r="J335">
        <f t="shared" si="29"/>
        <v>0</v>
      </c>
    </row>
    <row r="336" spans="1:10" x14ac:dyDescent="0.25">
      <c r="A336" s="260"/>
      <c r="B336" s="345" t="s">
        <v>1878</v>
      </c>
      <c r="C336" s="260" t="s">
        <v>1879</v>
      </c>
      <c r="D336" s="260">
        <v>500</v>
      </c>
      <c r="E336" s="260">
        <f t="shared" si="27"/>
        <v>0</v>
      </c>
      <c r="F336" s="260">
        <f t="shared" si="30"/>
        <v>0</v>
      </c>
      <c r="G336" s="260">
        <v>500</v>
      </c>
      <c r="H336" s="346">
        <f t="shared" si="28"/>
        <v>1.8571723065894332E-4</v>
      </c>
      <c r="J336">
        <f t="shared" si="29"/>
        <v>0</v>
      </c>
    </row>
    <row r="337" spans="1:10" x14ac:dyDescent="0.25">
      <c r="A337" s="260"/>
      <c r="B337" s="345" t="s">
        <v>1905</v>
      </c>
      <c r="C337" s="260" t="s">
        <v>1906</v>
      </c>
      <c r="D337" s="260">
        <v>500</v>
      </c>
      <c r="E337" s="260">
        <f t="shared" si="27"/>
        <v>0</v>
      </c>
      <c r="F337" s="260">
        <f t="shared" si="30"/>
        <v>0</v>
      </c>
      <c r="G337" s="260">
        <v>500</v>
      </c>
      <c r="H337" s="346">
        <f t="shared" si="28"/>
        <v>1.8571723065894332E-4</v>
      </c>
      <c r="J337">
        <f t="shared" si="29"/>
        <v>0</v>
      </c>
    </row>
    <row r="338" spans="1:10" x14ac:dyDescent="0.25">
      <c r="A338" s="260"/>
      <c r="B338" s="345" t="s">
        <v>1909</v>
      </c>
      <c r="C338" s="260" t="s">
        <v>1910</v>
      </c>
      <c r="D338" s="260">
        <v>500</v>
      </c>
      <c r="E338" s="260">
        <f t="shared" si="27"/>
        <v>0</v>
      </c>
      <c r="F338" s="260">
        <f t="shared" si="30"/>
        <v>0</v>
      </c>
      <c r="G338" s="260">
        <v>500</v>
      </c>
      <c r="H338" s="346">
        <f t="shared" si="28"/>
        <v>1.8571723065894332E-4</v>
      </c>
      <c r="J338">
        <f t="shared" si="29"/>
        <v>0</v>
      </c>
    </row>
    <row r="339" spans="1:10" x14ac:dyDescent="0.25">
      <c r="A339" s="260"/>
      <c r="B339" s="345" t="s">
        <v>1894</v>
      </c>
      <c r="C339" s="260" t="s">
        <v>1895</v>
      </c>
      <c r="D339" s="260">
        <v>500</v>
      </c>
      <c r="E339" s="260">
        <f t="shared" si="27"/>
        <v>0</v>
      </c>
      <c r="F339" s="260">
        <f t="shared" si="30"/>
        <v>0</v>
      </c>
      <c r="G339" s="260">
        <v>500</v>
      </c>
      <c r="H339" s="346">
        <f t="shared" si="28"/>
        <v>1.8571723065894332E-4</v>
      </c>
      <c r="J339">
        <f t="shared" si="29"/>
        <v>0</v>
      </c>
    </row>
    <row r="340" spans="1:10" x14ac:dyDescent="0.25">
      <c r="A340" s="260"/>
      <c r="B340" s="345" t="s">
        <v>1903</v>
      </c>
      <c r="C340" s="260" t="s">
        <v>1904</v>
      </c>
      <c r="D340" s="260">
        <v>500</v>
      </c>
      <c r="E340" s="260">
        <f t="shared" si="27"/>
        <v>0</v>
      </c>
      <c r="F340" s="260">
        <f t="shared" si="30"/>
        <v>0</v>
      </c>
      <c r="G340" s="260">
        <v>500</v>
      </c>
      <c r="H340" s="346">
        <f t="shared" si="28"/>
        <v>1.8571723065894332E-4</v>
      </c>
      <c r="J340">
        <f t="shared" si="29"/>
        <v>0</v>
      </c>
    </row>
    <row r="341" spans="1:10" x14ac:dyDescent="0.25">
      <c r="A341" s="260"/>
      <c r="B341" s="345" t="s">
        <v>1911</v>
      </c>
      <c r="C341" s="260" t="s">
        <v>1912</v>
      </c>
      <c r="D341" s="260">
        <v>500</v>
      </c>
      <c r="E341" s="260">
        <f t="shared" si="27"/>
        <v>0</v>
      </c>
      <c r="F341" s="260">
        <f t="shared" si="30"/>
        <v>0</v>
      </c>
      <c r="G341" s="260">
        <v>500</v>
      </c>
      <c r="H341" s="346">
        <f t="shared" si="28"/>
        <v>1.8571723065894332E-4</v>
      </c>
      <c r="J341">
        <f t="shared" si="29"/>
        <v>0</v>
      </c>
    </row>
    <row r="342" spans="1:10" x14ac:dyDescent="0.25">
      <c r="A342" s="260"/>
      <c r="B342" s="345" t="s">
        <v>1915</v>
      </c>
      <c r="C342" s="260" t="s">
        <v>1916</v>
      </c>
      <c r="D342" s="260">
        <v>500</v>
      </c>
      <c r="E342" s="260">
        <f t="shared" si="27"/>
        <v>0</v>
      </c>
      <c r="F342" s="260">
        <f t="shared" si="30"/>
        <v>0</v>
      </c>
      <c r="G342" s="260">
        <v>500</v>
      </c>
      <c r="H342" s="346">
        <f t="shared" si="28"/>
        <v>1.8571723065894332E-4</v>
      </c>
      <c r="J342">
        <f t="shared" si="29"/>
        <v>0</v>
      </c>
    </row>
    <row r="343" spans="1:10" x14ac:dyDescent="0.25">
      <c r="A343" s="260"/>
      <c r="B343" s="345" t="s">
        <v>1793</v>
      </c>
      <c r="C343" s="260" t="s">
        <v>1794</v>
      </c>
      <c r="D343" s="260">
        <v>500</v>
      </c>
      <c r="E343" s="260">
        <f t="shared" si="27"/>
        <v>0</v>
      </c>
      <c r="F343" s="260">
        <f t="shared" si="30"/>
        <v>0</v>
      </c>
      <c r="G343" s="260">
        <v>500</v>
      </c>
      <c r="H343" s="346">
        <f t="shared" si="28"/>
        <v>1.8571723065894332E-4</v>
      </c>
      <c r="J343">
        <f t="shared" si="29"/>
        <v>0</v>
      </c>
    </row>
    <row r="344" spans="1:10" x14ac:dyDescent="0.25">
      <c r="A344" s="260"/>
      <c r="B344" s="345" t="s">
        <v>1925</v>
      </c>
      <c r="C344" s="260" t="s">
        <v>1926</v>
      </c>
      <c r="D344" s="260">
        <v>500</v>
      </c>
      <c r="E344" s="260">
        <f t="shared" si="27"/>
        <v>0</v>
      </c>
      <c r="F344" s="260">
        <f t="shared" si="30"/>
        <v>0</v>
      </c>
      <c r="G344" s="260">
        <v>500</v>
      </c>
      <c r="H344" s="346">
        <f t="shared" si="28"/>
        <v>1.8571723065894332E-4</v>
      </c>
      <c r="J344">
        <f t="shared" si="29"/>
        <v>0</v>
      </c>
    </row>
    <row r="345" spans="1:10" x14ac:dyDescent="0.25">
      <c r="A345" s="260"/>
      <c r="B345" s="345" t="s">
        <v>1927</v>
      </c>
      <c r="C345" s="260" t="s">
        <v>1928</v>
      </c>
      <c r="D345" s="260">
        <v>500</v>
      </c>
      <c r="E345" s="260">
        <f t="shared" si="27"/>
        <v>0</v>
      </c>
      <c r="F345" s="260">
        <f t="shared" si="30"/>
        <v>0</v>
      </c>
      <c r="G345" s="260">
        <v>500</v>
      </c>
      <c r="H345" s="346">
        <f t="shared" si="28"/>
        <v>1.8571723065894332E-4</v>
      </c>
      <c r="J345">
        <f t="shared" si="29"/>
        <v>0</v>
      </c>
    </row>
    <row r="346" spans="1:10" x14ac:dyDescent="0.25">
      <c r="A346" s="260"/>
      <c r="B346" s="345" t="s">
        <v>1949</v>
      </c>
      <c r="C346" s="260" t="s">
        <v>1950</v>
      </c>
      <c r="D346" s="260">
        <v>500</v>
      </c>
      <c r="E346" s="260">
        <f t="shared" si="27"/>
        <v>0</v>
      </c>
      <c r="F346" s="260">
        <f t="shared" si="30"/>
        <v>0</v>
      </c>
      <c r="G346" s="260">
        <v>500</v>
      </c>
      <c r="H346" s="346">
        <f t="shared" si="28"/>
        <v>1.8571723065894332E-4</v>
      </c>
      <c r="J346">
        <f t="shared" si="29"/>
        <v>0</v>
      </c>
    </row>
    <row r="347" spans="1:10" x14ac:dyDescent="0.25">
      <c r="A347" s="260"/>
      <c r="B347" s="345" t="s">
        <v>1943</v>
      </c>
      <c r="C347" s="260" t="s">
        <v>1944</v>
      </c>
      <c r="D347" s="260">
        <v>500</v>
      </c>
      <c r="E347" s="260">
        <f t="shared" si="27"/>
        <v>0</v>
      </c>
      <c r="F347" s="260">
        <f t="shared" si="30"/>
        <v>0</v>
      </c>
      <c r="G347" s="260">
        <v>500</v>
      </c>
      <c r="H347" s="346">
        <f t="shared" si="28"/>
        <v>1.8571723065894332E-4</v>
      </c>
      <c r="J347">
        <f t="shared" si="29"/>
        <v>0</v>
      </c>
    </row>
    <row r="348" spans="1:10" x14ac:dyDescent="0.25">
      <c r="A348" s="260"/>
      <c r="B348" s="345" t="s">
        <v>1959</v>
      </c>
      <c r="C348" s="260" t="s">
        <v>1960</v>
      </c>
      <c r="D348" s="260">
        <v>500</v>
      </c>
      <c r="E348" s="260">
        <f t="shared" si="27"/>
        <v>0</v>
      </c>
      <c r="F348" s="260">
        <f t="shared" si="30"/>
        <v>0</v>
      </c>
      <c r="G348" s="260">
        <v>500</v>
      </c>
      <c r="H348" s="346">
        <f t="shared" si="28"/>
        <v>1.8571723065894332E-4</v>
      </c>
      <c r="J348">
        <f t="shared" si="29"/>
        <v>0</v>
      </c>
    </row>
    <row r="349" spans="1:10" x14ac:dyDescent="0.25">
      <c r="A349" s="260"/>
      <c r="B349" s="345" t="s">
        <v>1947</v>
      </c>
      <c r="C349" s="260" t="s">
        <v>1948</v>
      </c>
      <c r="D349" s="260">
        <v>500</v>
      </c>
      <c r="E349" s="260">
        <f t="shared" si="27"/>
        <v>0</v>
      </c>
      <c r="F349" s="260">
        <f t="shared" si="30"/>
        <v>0</v>
      </c>
      <c r="G349" s="260">
        <v>500</v>
      </c>
      <c r="H349" s="346">
        <f t="shared" si="28"/>
        <v>1.8571723065894332E-4</v>
      </c>
      <c r="J349">
        <f t="shared" si="29"/>
        <v>0</v>
      </c>
    </row>
    <row r="350" spans="1:10" x14ac:dyDescent="0.25">
      <c r="A350" s="260"/>
      <c r="B350" s="345" t="s">
        <v>1961</v>
      </c>
      <c r="C350" s="260" t="s">
        <v>1962</v>
      </c>
      <c r="D350" s="260">
        <v>500</v>
      </c>
      <c r="E350" s="260">
        <f t="shared" si="27"/>
        <v>0</v>
      </c>
      <c r="F350" s="260">
        <f t="shared" si="30"/>
        <v>0</v>
      </c>
      <c r="G350" s="260">
        <v>500</v>
      </c>
      <c r="H350" s="346">
        <f t="shared" si="28"/>
        <v>1.8571723065894332E-4</v>
      </c>
      <c r="J350">
        <f t="shared" si="29"/>
        <v>0</v>
      </c>
    </row>
    <row r="351" spans="1:10" x14ac:dyDescent="0.25">
      <c r="A351" s="260"/>
      <c r="B351" s="345" t="s">
        <v>1969</v>
      </c>
      <c r="C351" s="260" t="s">
        <v>1970</v>
      </c>
      <c r="D351" s="260">
        <v>500</v>
      </c>
      <c r="E351" s="260">
        <f t="shared" si="27"/>
        <v>0</v>
      </c>
      <c r="F351" s="260">
        <f t="shared" si="30"/>
        <v>0</v>
      </c>
      <c r="G351" s="260">
        <v>500</v>
      </c>
      <c r="H351" s="346">
        <f t="shared" si="28"/>
        <v>1.8571723065894332E-4</v>
      </c>
      <c r="J351">
        <f t="shared" si="29"/>
        <v>0</v>
      </c>
    </row>
    <row r="352" spans="1:10" x14ac:dyDescent="0.25">
      <c r="A352" s="260"/>
      <c r="B352" s="345" t="s">
        <v>1973</v>
      </c>
      <c r="C352" s="260" t="s">
        <v>1974</v>
      </c>
      <c r="D352" s="260">
        <v>500</v>
      </c>
      <c r="E352" s="260">
        <f t="shared" si="27"/>
        <v>0</v>
      </c>
      <c r="F352" s="260">
        <f t="shared" si="30"/>
        <v>0</v>
      </c>
      <c r="G352" s="260">
        <v>500</v>
      </c>
      <c r="H352" s="346">
        <f t="shared" si="28"/>
        <v>1.8571723065894332E-4</v>
      </c>
      <c r="J352">
        <f t="shared" si="29"/>
        <v>0</v>
      </c>
    </row>
    <row r="353" spans="1:10" x14ac:dyDescent="0.25">
      <c r="A353" s="260"/>
      <c r="B353" s="345" t="s">
        <v>1965</v>
      </c>
      <c r="C353" s="260" t="s">
        <v>1966</v>
      </c>
      <c r="D353" s="260">
        <v>500</v>
      </c>
      <c r="E353" s="260">
        <f t="shared" si="27"/>
        <v>0</v>
      </c>
      <c r="F353" s="260">
        <f t="shared" si="30"/>
        <v>0</v>
      </c>
      <c r="G353" s="260">
        <v>500</v>
      </c>
      <c r="H353" s="346">
        <f t="shared" si="28"/>
        <v>1.8571723065894332E-4</v>
      </c>
      <c r="J353">
        <f t="shared" si="29"/>
        <v>0</v>
      </c>
    </row>
    <row r="354" spans="1:10" x14ac:dyDescent="0.25">
      <c r="A354" s="260"/>
      <c r="B354" s="345" t="s">
        <v>1983</v>
      </c>
      <c r="C354" s="260" t="s">
        <v>1984</v>
      </c>
      <c r="D354" s="260">
        <v>500</v>
      </c>
      <c r="E354" s="260">
        <f t="shared" si="27"/>
        <v>0</v>
      </c>
      <c r="F354" s="260">
        <f t="shared" si="30"/>
        <v>0</v>
      </c>
      <c r="G354" s="260">
        <v>500</v>
      </c>
      <c r="H354" s="346">
        <f t="shared" si="28"/>
        <v>1.8571723065894332E-4</v>
      </c>
      <c r="J354">
        <f t="shared" si="29"/>
        <v>0</v>
      </c>
    </row>
    <row r="355" spans="1:10" x14ac:dyDescent="0.25">
      <c r="A355" s="260"/>
      <c r="B355" s="345" t="s">
        <v>1981</v>
      </c>
      <c r="C355" s="260" t="s">
        <v>1982</v>
      </c>
      <c r="D355" s="260">
        <v>500</v>
      </c>
      <c r="E355" s="260">
        <f t="shared" si="27"/>
        <v>0</v>
      </c>
      <c r="F355" s="260">
        <f t="shared" si="30"/>
        <v>0</v>
      </c>
      <c r="G355" s="260">
        <v>500</v>
      </c>
      <c r="H355" s="346">
        <f t="shared" si="28"/>
        <v>1.8571723065894332E-4</v>
      </c>
      <c r="J355">
        <f t="shared" si="29"/>
        <v>0</v>
      </c>
    </row>
    <row r="356" spans="1:10" x14ac:dyDescent="0.25">
      <c r="A356" s="260"/>
      <c r="B356" s="345" t="s">
        <v>1576</v>
      </c>
      <c r="C356" s="260" t="s">
        <v>1577</v>
      </c>
      <c r="D356" s="260">
        <v>500</v>
      </c>
      <c r="E356" s="260">
        <f t="shared" si="27"/>
        <v>0</v>
      </c>
      <c r="F356" s="260">
        <f t="shared" si="30"/>
        <v>0</v>
      </c>
      <c r="G356" s="260">
        <v>500</v>
      </c>
      <c r="H356" s="346">
        <f t="shared" si="28"/>
        <v>1.8571723065894332E-4</v>
      </c>
      <c r="J356">
        <f t="shared" si="29"/>
        <v>0</v>
      </c>
    </row>
    <row r="357" spans="1:10" x14ac:dyDescent="0.25">
      <c r="A357" s="260"/>
      <c r="B357" s="345" t="s">
        <v>1993</v>
      </c>
      <c r="C357" s="260" t="s">
        <v>1994</v>
      </c>
      <c r="D357" s="260">
        <v>500</v>
      </c>
      <c r="E357" s="260">
        <f t="shared" si="27"/>
        <v>0</v>
      </c>
      <c r="F357" s="260">
        <f t="shared" si="30"/>
        <v>0</v>
      </c>
      <c r="G357" s="260">
        <v>500</v>
      </c>
      <c r="H357" s="346">
        <f t="shared" si="28"/>
        <v>1.8571723065894332E-4</v>
      </c>
      <c r="J357">
        <f t="shared" si="29"/>
        <v>0</v>
      </c>
    </row>
    <row r="358" spans="1:10" x14ac:dyDescent="0.25">
      <c r="A358" s="260"/>
      <c r="B358" s="345" t="s">
        <v>1967</v>
      </c>
      <c r="C358" s="260" t="s">
        <v>1968</v>
      </c>
      <c r="D358" s="260">
        <v>500</v>
      </c>
      <c r="E358" s="260">
        <f t="shared" si="27"/>
        <v>0</v>
      </c>
      <c r="F358" s="260">
        <f t="shared" si="30"/>
        <v>0</v>
      </c>
      <c r="G358" s="260">
        <v>500</v>
      </c>
      <c r="H358" s="346">
        <f t="shared" si="28"/>
        <v>1.8571723065894332E-4</v>
      </c>
      <c r="J358">
        <f t="shared" si="29"/>
        <v>0</v>
      </c>
    </row>
    <row r="359" spans="1:10" x14ac:dyDescent="0.25">
      <c r="A359" s="260"/>
      <c r="B359" s="345" t="s">
        <v>1540</v>
      </c>
      <c r="C359" s="260" t="s">
        <v>1541</v>
      </c>
      <c r="D359" s="260">
        <v>500</v>
      </c>
      <c r="E359" s="260">
        <f t="shared" si="27"/>
        <v>0</v>
      </c>
      <c r="F359" s="260">
        <f t="shared" si="30"/>
        <v>0</v>
      </c>
      <c r="G359" s="260">
        <v>500</v>
      </c>
      <c r="H359" s="346">
        <f t="shared" si="28"/>
        <v>1.8571723065894332E-4</v>
      </c>
      <c r="J359">
        <f t="shared" si="29"/>
        <v>0</v>
      </c>
    </row>
    <row r="360" spans="1:10" x14ac:dyDescent="0.25">
      <c r="A360" s="260"/>
      <c r="B360" s="345" t="s">
        <v>2045</v>
      </c>
      <c r="C360" s="260" t="s">
        <v>2046</v>
      </c>
      <c r="D360" s="260">
        <v>500</v>
      </c>
      <c r="E360" s="260">
        <f t="shared" si="27"/>
        <v>0</v>
      </c>
      <c r="F360" s="260">
        <f t="shared" si="30"/>
        <v>0</v>
      </c>
      <c r="G360" s="260">
        <v>500</v>
      </c>
      <c r="H360" s="346">
        <f t="shared" si="28"/>
        <v>1.8571723065894332E-4</v>
      </c>
      <c r="J360">
        <f t="shared" si="29"/>
        <v>0</v>
      </c>
    </row>
    <row r="361" spans="1:10" x14ac:dyDescent="0.25">
      <c r="A361" s="260"/>
      <c r="B361" s="345" t="s">
        <v>2013</v>
      </c>
      <c r="C361" s="260" t="s">
        <v>2014</v>
      </c>
      <c r="D361" s="260">
        <v>500</v>
      </c>
      <c r="E361" s="260">
        <f t="shared" si="27"/>
        <v>0</v>
      </c>
      <c r="F361" s="260">
        <f t="shared" si="30"/>
        <v>0</v>
      </c>
      <c r="G361" s="260">
        <v>500</v>
      </c>
      <c r="H361" s="346">
        <f t="shared" si="28"/>
        <v>1.8571723065894332E-4</v>
      </c>
      <c r="J361">
        <f t="shared" si="29"/>
        <v>0</v>
      </c>
    </row>
    <row r="362" spans="1:10" x14ac:dyDescent="0.25">
      <c r="A362" s="260"/>
      <c r="B362" s="345" t="s">
        <v>2049</v>
      </c>
      <c r="C362" s="260" t="s">
        <v>2050</v>
      </c>
      <c r="D362" s="260">
        <v>500</v>
      </c>
      <c r="E362" s="260">
        <f t="shared" si="27"/>
        <v>0</v>
      </c>
      <c r="F362" s="260">
        <f t="shared" ref="F362:F393" si="31">D362-G362</f>
        <v>0</v>
      </c>
      <c r="G362" s="260">
        <v>500</v>
      </c>
      <c r="H362" s="346">
        <f t="shared" si="28"/>
        <v>1.8571723065894332E-4</v>
      </c>
      <c r="J362">
        <f t="shared" si="29"/>
        <v>0</v>
      </c>
    </row>
    <row r="363" spans="1:10" x14ac:dyDescent="0.25">
      <c r="A363" s="260"/>
      <c r="B363" s="345" t="s">
        <v>2051</v>
      </c>
      <c r="C363" s="260" t="s">
        <v>2052</v>
      </c>
      <c r="D363" s="260">
        <v>500</v>
      </c>
      <c r="E363" s="260">
        <f t="shared" si="27"/>
        <v>0</v>
      </c>
      <c r="F363" s="260">
        <f t="shared" si="31"/>
        <v>0</v>
      </c>
      <c r="G363" s="260">
        <v>500</v>
      </c>
      <c r="H363" s="346">
        <f t="shared" si="28"/>
        <v>1.8571723065894332E-4</v>
      </c>
      <c r="J363">
        <f t="shared" si="29"/>
        <v>0</v>
      </c>
    </row>
    <row r="364" spans="1:10" x14ac:dyDescent="0.25">
      <c r="A364" s="260"/>
      <c r="B364" s="345" t="s">
        <v>2053</v>
      </c>
      <c r="C364" s="260" t="s">
        <v>2054</v>
      </c>
      <c r="D364" s="260">
        <v>500</v>
      </c>
      <c r="E364" s="260">
        <f t="shared" si="27"/>
        <v>0</v>
      </c>
      <c r="F364" s="260">
        <f t="shared" si="31"/>
        <v>0</v>
      </c>
      <c r="G364" s="260">
        <v>500</v>
      </c>
      <c r="H364" s="346">
        <f t="shared" si="28"/>
        <v>1.8571723065894332E-4</v>
      </c>
      <c r="J364">
        <f t="shared" si="29"/>
        <v>0</v>
      </c>
    </row>
    <row r="365" spans="1:10" x14ac:dyDescent="0.25">
      <c r="A365" s="260"/>
      <c r="B365" s="345" t="s">
        <v>2017</v>
      </c>
      <c r="C365" s="260" t="s">
        <v>2018</v>
      </c>
      <c r="D365" s="260">
        <v>500</v>
      </c>
      <c r="E365" s="260">
        <f t="shared" si="27"/>
        <v>0</v>
      </c>
      <c r="F365" s="260">
        <f t="shared" si="31"/>
        <v>0</v>
      </c>
      <c r="G365" s="260">
        <v>500</v>
      </c>
      <c r="H365" s="346">
        <f t="shared" si="28"/>
        <v>1.8571723065894332E-4</v>
      </c>
      <c r="J365">
        <f t="shared" si="29"/>
        <v>0</v>
      </c>
    </row>
    <row r="366" spans="1:10" x14ac:dyDescent="0.25">
      <c r="A366" s="260"/>
      <c r="B366" s="345" t="s">
        <v>2061</v>
      </c>
      <c r="C366" s="260" t="s">
        <v>2062</v>
      </c>
      <c r="D366" s="260">
        <v>500</v>
      </c>
      <c r="E366" s="260">
        <f t="shared" si="27"/>
        <v>0</v>
      </c>
      <c r="F366" s="260">
        <f t="shared" si="31"/>
        <v>0</v>
      </c>
      <c r="G366" s="260">
        <v>500</v>
      </c>
      <c r="H366" s="346">
        <f t="shared" si="28"/>
        <v>1.8571723065894332E-4</v>
      </c>
      <c r="J366">
        <f t="shared" si="29"/>
        <v>0</v>
      </c>
    </row>
    <row r="367" spans="1:10" x14ac:dyDescent="0.25">
      <c r="A367" s="260"/>
      <c r="B367" s="345" t="s">
        <v>2021</v>
      </c>
      <c r="C367" s="260" t="s">
        <v>2022</v>
      </c>
      <c r="D367" s="260">
        <v>500</v>
      </c>
      <c r="E367" s="260">
        <f t="shared" si="27"/>
        <v>0</v>
      </c>
      <c r="F367" s="260">
        <f t="shared" si="31"/>
        <v>0</v>
      </c>
      <c r="G367" s="260">
        <v>500</v>
      </c>
      <c r="H367" s="346">
        <f t="shared" si="28"/>
        <v>1.8571723065894332E-4</v>
      </c>
      <c r="J367">
        <f t="shared" si="29"/>
        <v>0</v>
      </c>
    </row>
    <row r="368" spans="1:10" x14ac:dyDescent="0.25">
      <c r="A368" s="260"/>
      <c r="B368" s="345" t="s">
        <v>2025</v>
      </c>
      <c r="C368" s="260" t="s">
        <v>2026</v>
      </c>
      <c r="D368" s="260">
        <v>500</v>
      </c>
      <c r="E368" s="260">
        <f t="shared" si="27"/>
        <v>0</v>
      </c>
      <c r="F368" s="260">
        <f t="shared" si="31"/>
        <v>0</v>
      </c>
      <c r="G368" s="260">
        <v>500</v>
      </c>
      <c r="H368" s="346">
        <f t="shared" si="28"/>
        <v>1.8571723065894332E-4</v>
      </c>
      <c r="J368">
        <f t="shared" si="29"/>
        <v>0</v>
      </c>
    </row>
    <row r="369" spans="1:10" x14ac:dyDescent="0.25">
      <c r="A369" s="260"/>
      <c r="B369" s="345" t="s">
        <v>2031</v>
      </c>
      <c r="C369" s="260" t="s">
        <v>2032</v>
      </c>
      <c r="D369" s="260">
        <v>500</v>
      </c>
      <c r="E369" s="260">
        <f t="shared" si="27"/>
        <v>0</v>
      </c>
      <c r="F369" s="260">
        <f t="shared" si="31"/>
        <v>0</v>
      </c>
      <c r="G369" s="260">
        <v>500</v>
      </c>
      <c r="H369" s="346">
        <f t="shared" si="28"/>
        <v>1.8571723065894332E-4</v>
      </c>
      <c r="J369">
        <f t="shared" si="29"/>
        <v>0</v>
      </c>
    </row>
    <row r="370" spans="1:10" x14ac:dyDescent="0.25">
      <c r="A370" s="260"/>
      <c r="B370" s="345" t="s">
        <v>2075</v>
      </c>
      <c r="C370" s="260" t="s">
        <v>2076</v>
      </c>
      <c r="D370" s="260">
        <v>500</v>
      </c>
      <c r="E370" s="260">
        <f t="shared" si="27"/>
        <v>0</v>
      </c>
      <c r="F370" s="260">
        <f t="shared" si="31"/>
        <v>0</v>
      </c>
      <c r="G370" s="260">
        <v>500</v>
      </c>
      <c r="H370" s="346">
        <f t="shared" si="28"/>
        <v>1.8571723065894332E-4</v>
      </c>
      <c r="J370">
        <f t="shared" si="29"/>
        <v>0</v>
      </c>
    </row>
    <row r="371" spans="1:10" x14ac:dyDescent="0.25">
      <c r="A371" s="260"/>
      <c r="B371" s="345" t="s">
        <v>2124</v>
      </c>
      <c r="C371" s="260" t="s">
        <v>2125</v>
      </c>
      <c r="D371" s="260">
        <v>500</v>
      </c>
      <c r="E371" s="260">
        <f t="shared" si="27"/>
        <v>0</v>
      </c>
      <c r="F371" s="260">
        <f t="shared" si="31"/>
        <v>0</v>
      </c>
      <c r="G371" s="260">
        <v>500</v>
      </c>
      <c r="H371" s="346">
        <f t="shared" si="28"/>
        <v>1.8571723065894332E-4</v>
      </c>
      <c r="J371">
        <f t="shared" si="29"/>
        <v>0</v>
      </c>
    </row>
    <row r="372" spans="1:10" x14ac:dyDescent="0.25">
      <c r="A372" s="260"/>
      <c r="B372" s="345" t="s">
        <v>2132</v>
      </c>
      <c r="C372" s="260" t="s">
        <v>2133</v>
      </c>
      <c r="D372" s="260">
        <v>500</v>
      </c>
      <c r="E372" s="260">
        <f t="shared" si="27"/>
        <v>0</v>
      </c>
      <c r="F372" s="260">
        <f t="shared" si="31"/>
        <v>0</v>
      </c>
      <c r="G372" s="260">
        <v>500</v>
      </c>
      <c r="H372" s="346">
        <f t="shared" si="28"/>
        <v>1.8571723065894332E-4</v>
      </c>
      <c r="J372">
        <f t="shared" si="29"/>
        <v>0</v>
      </c>
    </row>
    <row r="373" spans="1:10" x14ac:dyDescent="0.25">
      <c r="A373" s="260"/>
      <c r="B373" s="345" t="s">
        <v>2130</v>
      </c>
      <c r="C373" s="260" t="s">
        <v>2131</v>
      </c>
      <c r="D373" s="260">
        <v>500</v>
      </c>
      <c r="E373" s="260">
        <f t="shared" si="27"/>
        <v>0</v>
      </c>
      <c r="F373" s="260">
        <f t="shared" si="31"/>
        <v>0</v>
      </c>
      <c r="G373" s="260">
        <v>500</v>
      </c>
      <c r="H373" s="346">
        <f t="shared" si="28"/>
        <v>1.8571723065894332E-4</v>
      </c>
      <c r="J373">
        <f t="shared" si="29"/>
        <v>0</v>
      </c>
    </row>
    <row r="374" spans="1:10" x14ac:dyDescent="0.25">
      <c r="A374" s="260"/>
      <c r="B374" s="345" t="s">
        <v>2134</v>
      </c>
      <c r="C374" s="260" t="s">
        <v>2135</v>
      </c>
      <c r="D374" s="260">
        <v>500</v>
      </c>
      <c r="E374" s="260">
        <f t="shared" si="27"/>
        <v>0</v>
      </c>
      <c r="F374" s="260">
        <f t="shared" si="31"/>
        <v>0</v>
      </c>
      <c r="G374" s="260">
        <v>500</v>
      </c>
      <c r="H374" s="346">
        <f t="shared" si="28"/>
        <v>1.8571723065894332E-4</v>
      </c>
      <c r="J374">
        <f t="shared" si="29"/>
        <v>0</v>
      </c>
    </row>
    <row r="375" spans="1:10" x14ac:dyDescent="0.25">
      <c r="A375" s="260"/>
      <c r="B375" s="345" t="s">
        <v>2136</v>
      </c>
      <c r="C375" s="260" t="s">
        <v>2137</v>
      </c>
      <c r="D375" s="260">
        <v>500</v>
      </c>
      <c r="E375" s="260">
        <f t="shared" si="27"/>
        <v>0</v>
      </c>
      <c r="F375" s="260">
        <f t="shared" si="31"/>
        <v>0</v>
      </c>
      <c r="G375" s="260">
        <v>500</v>
      </c>
      <c r="H375" s="346">
        <f t="shared" si="28"/>
        <v>1.8571723065894332E-4</v>
      </c>
      <c r="J375">
        <f t="shared" si="29"/>
        <v>0</v>
      </c>
    </row>
    <row r="376" spans="1:10" x14ac:dyDescent="0.25">
      <c r="A376" s="260"/>
      <c r="B376" s="345" t="s">
        <v>2085</v>
      </c>
      <c r="C376" s="260" t="s">
        <v>2086</v>
      </c>
      <c r="D376" s="260">
        <v>500</v>
      </c>
      <c r="E376" s="260">
        <f t="shared" si="27"/>
        <v>0</v>
      </c>
      <c r="F376" s="260">
        <f t="shared" si="31"/>
        <v>0</v>
      </c>
      <c r="G376" s="260">
        <v>500</v>
      </c>
      <c r="H376" s="346">
        <f t="shared" si="28"/>
        <v>1.8571723065894332E-4</v>
      </c>
      <c r="J376">
        <f t="shared" si="29"/>
        <v>0</v>
      </c>
    </row>
    <row r="377" spans="1:10" x14ac:dyDescent="0.25">
      <c r="A377" s="260"/>
      <c r="B377" s="345" t="s">
        <v>2160</v>
      </c>
      <c r="C377" s="260" t="s">
        <v>2161</v>
      </c>
      <c r="D377" s="260">
        <v>500</v>
      </c>
      <c r="E377" s="260">
        <f t="shared" si="27"/>
        <v>0</v>
      </c>
      <c r="F377" s="260">
        <f t="shared" si="31"/>
        <v>0</v>
      </c>
      <c r="G377" s="260">
        <v>500</v>
      </c>
      <c r="H377" s="346">
        <f t="shared" si="28"/>
        <v>1.8571723065894332E-4</v>
      </c>
      <c r="J377">
        <f t="shared" si="29"/>
        <v>0</v>
      </c>
    </row>
    <row r="378" spans="1:10" x14ac:dyDescent="0.25">
      <c r="A378" s="260"/>
      <c r="B378" s="345" t="s">
        <v>2162</v>
      </c>
      <c r="C378" s="260" t="s">
        <v>2163</v>
      </c>
      <c r="D378" s="260">
        <v>500</v>
      </c>
      <c r="E378" s="260">
        <f t="shared" si="27"/>
        <v>0</v>
      </c>
      <c r="F378" s="260">
        <f t="shared" si="31"/>
        <v>0</v>
      </c>
      <c r="G378" s="260">
        <v>500</v>
      </c>
      <c r="H378" s="346">
        <f t="shared" si="28"/>
        <v>1.8571723065894332E-4</v>
      </c>
      <c r="J378">
        <f t="shared" si="29"/>
        <v>0</v>
      </c>
    </row>
    <row r="379" spans="1:10" x14ac:dyDescent="0.25">
      <c r="A379" s="260"/>
      <c r="B379" s="345" t="s">
        <v>2172</v>
      </c>
      <c r="C379" s="260" t="s">
        <v>2173</v>
      </c>
      <c r="D379" s="260">
        <v>500</v>
      </c>
      <c r="E379" s="260">
        <f t="shared" si="27"/>
        <v>0</v>
      </c>
      <c r="F379" s="260">
        <f t="shared" si="31"/>
        <v>0</v>
      </c>
      <c r="G379" s="260">
        <v>500</v>
      </c>
      <c r="H379" s="346">
        <f t="shared" si="28"/>
        <v>1.8571723065894332E-4</v>
      </c>
      <c r="J379">
        <f t="shared" si="29"/>
        <v>0</v>
      </c>
    </row>
    <row r="380" spans="1:10" x14ac:dyDescent="0.25">
      <c r="A380" s="260"/>
      <c r="B380" s="345" t="s">
        <v>2095</v>
      </c>
      <c r="C380" s="260" t="s">
        <v>2096</v>
      </c>
      <c r="D380" s="260">
        <v>500</v>
      </c>
      <c r="E380" s="260">
        <f t="shared" si="27"/>
        <v>0</v>
      </c>
      <c r="F380" s="260">
        <f t="shared" si="31"/>
        <v>0</v>
      </c>
      <c r="G380" s="260">
        <v>500</v>
      </c>
      <c r="H380" s="346">
        <f t="shared" si="28"/>
        <v>1.8571723065894332E-4</v>
      </c>
      <c r="J380">
        <f t="shared" si="29"/>
        <v>0</v>
      </c>
    </row>
    <row r="381" spans="1:10" x14ac:dyDescent="0.25">
      <c r="A381" s="260"/>
      <c r="B381" s="345" t="s">
        <v>2105</v>
      </c>
      <c r="C381" s="260" t="s">
        <v>2106</v>
      </c>
      <c r="D381" s="260">
        <v>500</v>
      </c>
      <c r="E381" s="260">
        <f t="shared" si="27"/>
        <v>0</v>
      </c>
      <c r="F381" s="260">
        <f t="shared" si="31"/>
        <v>0</v>
      </c>
      <c r="G381" s="260">
        <v>500</v>
      </c>
      <c r="H381" s="346">
        <f t="shared" si="28"/>
        <v>1.8571723065894332E-4</v>
      </c>
      <c r="J381">
        <f t="shared" si="29"/>
        <v>0</v>
      </c>
    </row>
    <row r="382" spans="1:10" x14ac:dyDescent="0.25">
      <c r="A382" s="260"/>
      <c r="B382" s="345" t="s">
        <v>2190</v>
      </c>
      <c r="C382" s="260" t="s">
        <v>2191</v>
      </c>
      <c r="D382" s="260">
        <v>500</v>
      </c>
      <c r="E382" s="260">
        <f t="shared" si="27"/>
        <v>0</v>
      </c>
      <c r="F382" s="260">
        <f t="shared" si="31"/>
        <v>0</v>
      </c>
      <c r="G382" s="260">
        <v>500</v>
      </c>
      <c r="H382" s="346">
        <f t="shared" si="28"/>
        <v>1.8571723065894332E-4</v>
      </c>
      <c r="J382">
        <f t="shared" si="29"/>
        <v>0</v>
      </c>
    </row>
    <row r="383" spans="1:10" x14ac:dyDescent="0.25">
      <c r="A383" s="260"/>
      <c r="B383" s="345" t="s">
        <v>2111</v>
      </c>
      <c r="C383" s="260" t="s">
        <v>2112</v>
      </c>
      <c r="D383" s="260">
        <v>500</v>
      </c>
      <c r="E383" s="260">
        <f t="shared" si="27"/>
        <v>0</v>
      </c>
      <c r="F383" s="260">
        <f t="shared" si="31"/>
        <v>0</v>
      </c>
      <c r="G383" s="260">
        <v>500</v>
      </c>
      <c r="H383" s="346">
        <f t="shared" si="28"/>
        <v>1.8571723065894332E-4</v>
      </c>
      <c r="J383">
        <f t="shared" si="29"/>
        <v>0</v>
      </c>
    </row>
    <row r="384" spans="1:10" x14ac:dyDescent="0.25">
      <c r="A384" s="260"/>
      <c r="B384" s="345" t="s">
        <v>1773</v>
      </c>
      <c r="C384" s="260" t="s">
        <v>1774</v>
      </c>
      <c r="D384" s="260">
        <v>500</v>
      </c>
      <c r="E384" s="260">
        <f t="shared" si="27"/>
        <v>0</v>
      </c>
      <c r="F384" s="260">
        <f t="shared" si="31"/>
        <v>0</v>
      </c>
      <c r="G384" s="260">
        <v>500</v>
      </c>
      <c r="H384" s="346">
        <f t="shared" si="28"/>
        <v>1.8571723065894332E-4</v>
      </c>
      <c r="J384">
        <f t="shared" si="29"/>
        <v>0</v>
      </c>
    </row>
    <row r="385" spans="1:10" x14ac:dyDescent="0.25">
      <c r="A385" s="260"/>
      <c r="B385" s="345" t="s">
        <v>2196</v>
      </c>
      <c r="C385" s="260" t="s">
        <v>2197</v>
      </c>
      <c r="D385" s="260">
        <v>500</v>
      </c>
      <c r="E385" s="260">
        <f t="shared" si="27"/>
        <v>0</v>
      </c>
      <c r="F385" s="260">
        <f t="shared" si="31"/>
        <v>0</v>
      </c>
      <c r="G385" s="260">
        <v>500</v>
      </c>
      <c r="H385" s="346">
        <f t="shared" si="28"/>
        <v>1.8571723065894332E-4</v>
      </c>
      <c r="J385">
        <f t="shared" si="29"/>
        <v>0</v>
      </c>
    </row>
    <row r="386" spans="1:10" x14ac:dyDescent="0.25">
      <c r="A386" s="260"/>
      <c r="B386" s="345" t="s">
        <v>2198</v>
      </c>
      <c r="C386" s="260" t="s">
        <v>2199</v>
      </c>
      <c r="D386" s="260">
        <v>500</v>
      </c>
      <c r="E386" s="260">
        <f t="shared" si="27"/>
        <v>0</v>
      </c>
      <c r="F386" s="260">
        <f t="shared" si="31"/>
        <v>0</v>
      </c>
      <c r="G386" s="260">
        <v>500</v>
      </c>
      <c r="H386" s="346">
        <f t="shared" si="28"/>
        <v>1.8571723065894332E-4</v>
      </c>
      <c r="J386">
        <f t="shared" si="29"/>
        <v>0</v>
      </c>
    </row>
    <row r="387" spans="1:10" x14ac:dyDescent="0.25">
      <c r="A387" s="260"/>
      <c r="B387" s="345" t="s">
        <v>2210</v>
      </c>
      <c r="C387" s="260" t="s">
        <v>2211</v>
      </c>
      <c r="D387" s="260">
        <v>500</v>
      </c>
      <c r="E387" s="260">
        <f t="shared" ref="E387:E413" si="32">G387-D387</f>
        <v>0</v>
      </c>
      <c r="F387" s="260">
        <f t="shared" si="31"/>
        <v>0</v>
      </c>
      <c r="G387" s="260">
        <v>500</v>
      </c>
      <c r="H387" s="346">
        <f t="shared" ref="H387:H416" si="33">+G387/$G$417</f>
        <v>1.8571723065894332E-4</v>
      </c>
      <c r="J387">
        <f t="shared" ref="J387:J416" si="34">+SUM(E387:F387)</f>
        <v>0</v>
      </c>
    </row>
    <row r="388" spans="1:10" x14ac:dyDescent="0.25">
      <c r="A388" s="260"/>
      <c r="B388" s="345" t="s">
        <v>2218</v>
      </c>
      <c r="C388" s="260" t="s">
        <v>2219</v>
      </c>
      <c r="D388" s="260">
        <v>500</v>
      </c>
      <c r="E388" s="260">
        <f t="shared" si="32"/>
        <v>0</v>
      </c>
      <c r="F388" s="260">
        <f t="shared" si="31"/>
        <v>0</v>
      </c>
      <c r="G388" s="260">
        <v>500</v>
      </c>
      <c r="H388" s="346">
        <f t="shared" si="33"/>
        <v>1.8571723065894332E-4</v>
      </c>
      <c r="J388">
        <f t="shared" si="34"/>
        <v>0</v>
      </c>
    </row>
    <row r="389" spans="1:10" x14ac:dyDescent="0.25">
      <c r="A389" s="260"/>
      <c r="B389" s="345" t="s">
        <v>2226</v>
      </c>
      <c r="C389" s="260" t="s">
        <v>2227</v>
      </c>
      <c r="D389" s="260">
        <v>500</v>
      </c>
      <c r="E389" s="260">
        <f t="shared" si="32"/>
        <v>0</v>
      </c>
      <c r="F389" s="260">
        <f t="shared" si="31"/>
        <v>0</v>
      </c>
      <c r="G389" s="260">
        <v>500</v>
      </c>
      <c r="H389" s="346">
        <f t="shared" si="33"/>
        <v>1.8571723065894332E-4</v>
      </c>
      <c r="J389">
        <f t="shared" si="34"/>
        <v>0</v>
      </c>
    </row>
    <row r="390" spans="1:10" x14ac:dyDescent="0.25">
      <c r="A390" s="260"/>
      <c r="B390" s="345" t="s">
        <v>2228</v>
      </c>
      <c r="C390" s="260" t="s">
        <v>2229</v>
      </c>
      <c r="D390" s="260">
        <v>500</v>
      </c>
      <c r="E390" s="260">
        <f t="shared" si="32"/>
        <v>0</v>
      </c>
      <c r="F390" s="260">
        <f t="shared" si="31"/>
        <v>0</v>
      </c>
      <c r="G390" s="260">
        <v>500</v>
      </c>
      <c r="H390" s="346">
        <f t="shared" si="33"/>
        <v>1.8571723065894332E-4</v>
      </c>
      <c r="J390">
        <f t="shared" si="34"/>
        <v>0</v>
      </c>
    </row>
    <row r="391" spans="1:10" x14ac:dyDescent="0.25">
      <c r="A391" s="260"/>
      <c r="B391" s="345" t="s">
        <v>2238</v>
      </c>
      <c r="C391" s="260" t="s">
        <v>2239</v>
      </c>
      <c r="D391" s="260">
        <v>500</v>
      </c>
      <c r="E391" s="260">
        <f t="shared" si="32"/>
        <v>0</v>
      </c>
      <c r="F391" s="260">
        <f t="shared" si="31"/>
        <v>0</v>
      </c>
      <c r="G391" s="260">
        <v>500</v>
      </c>
      <c r="H391" s="346">
        <f t="shared" si="33"/>
        <v>1.8571723065894332E-4</v>
      </c>
      <c r="J391">
        <f t="shared" si="34"/>
        <v>0</v>
      </c>
    </row>
    <row r="392" spans="1:10" x14ac:dyDescent="0.25">
      <c r="A392" s="260"/>
      <c r="B392" s="345" t="s">
        <v>2244</v>
      </c>
      <c r="C392" s="260" t="s">
        <v>2245</v>
      </c>
      <c r="D392" s="260">
        <v>500</v>
      </c>
      <c r="E392" s="260">
        <f t="shared" si="32"/>
        <v>0</v>
      </c>
      <c r="F392" s="260">
        <f t="shared" si="31"/>
        <v>0</v>
      </c>
      <c r="G392" s="260">
        <v>500</v>
      </c>
      <c r="H392" s="346">
        <f t="shared" si="33"/>
        <v>1.8571723065894332E-4</v>
      </c>
      <c r="J392">
        <f t="shared" si="34"/>
        <v>0</v>
      </c>
    </row>
    <row r="393" spans="1:10" x14ac:dyDescent="0.25">
      <c r="A393" s="260"/>
      <c r="B393" s="345" t="s">
        <v>2254</v>
      </c>
      <c r="C393" s="260" t="s">
        <v>2255</v>
      </c>
      <c r="D393" s="260">
        <v>500</v>
      </c>
      <c r="E393" s="260">
        <f t="shared" si="32"/>
        <v>0</v>
      </c>
      <c r="F393" s="260">
        <f t="shared" si="31"/>
        <v>0</v>
      </c>
      <c r="G393" s="260">
        <v>500</v>
      </c>
      <c r="H393" s="346">
        <f t="shared" si="33"/>
        <v>1.8571723065894332E-4</v>
      </c>
      <c r="J393">
        <f t="shared" si="34"/>
        <v>0</v>
      </c>
    </row>
    <row r="394" spans="1:10" x14ac:dyDescent="0.25">
      <c r="A394" s="260"/>
      <c r="B394" s="345" t="s">
        <v>2258</v>
      </c>
      <c r="C394" s="260" t="s">
        <v>2259</v>
      </c>
      <c r="D394" s="260">
        <v>500</v>
      </c>
      <c r="E394" s="260">
        <f t="shared" si="32"/>
        <v>0</v>
      </c>
      <c r="F394" s="260">
        <f t="shared" ref="F394:F416" si="35">D394-G394</f>
        <v>0</v>
      </c>
      <c r="G394" s="260">
        <v>500</v>
      </c>
      <c r="H394" s="346">
        <f t="shared" si="33"/>
        <v>1.8571723065894332E-4</v>
      </c>
      <c r="J394">
        <f t="shared" si="34"/>
        <v>0</v>
      </c>
    </row>
    <row r="395" spans="1:10" x14ac:dyDescent="0.25">
      <c r="A395" s="260"/>
      <c r="B395" s="345" t="s">
        <v>1670</v>
      </c>
      <c r="C395" s="260" t="s">
        <v>1671</v>
      </c>
      <c r="D395" s="260">
        <v>400</v>
      </c>
      <c r="E395" s="260">
        <f t="shared" si="32"/>
        <v>0</v>
      </c>
      <c r="F395" s="260">
        <f t="shared" si="35"/>
        <v>0</v>
      </c>
      <c r="G395" s="260">
        <v>400</v>
      </c>
      <c r="H395" s="346">
        <f t="shared" si="33"/>
        <v>1.4857378452715465E-4</v>
      </c>
      <c r="J395">
        <f t="shared" si="34"/>
        <v>0</v>
      </c>
    </row>
    <row r="396" spans="1:10" x14ac:dyDescent="0.25">
      <c r="A396" s="260"/>
      <c r="B396" s="345" t="s">
        <v>1570</v>
      </c>
      <c r="C396" s="260" t="s">
        <v>1571</v>
      </c>
      <c r="D396" s="260">
        <v>400</v>
      </c>
      <c r="E396" s="260">
        <f t="shared" si="32"/>
        <v>0</v>
      </c>
      <c r="F396" s="260">
        <f t="shared" si="35"/>
        <v>0</v>
      </c>
      <c r="G396" s="260">
        <v>400</v>
      </c>
      <c r="H396" s="346">
        <f t="shared" si="33"/>
        <v>1.4857378452715465E-4</v>
      </c>
      <c r="J396">
        <f t="shared" si="34"/>
        <v>0</v>
      </c>
    </row>
    <row r="397" spans="1:10" x14ac:dyDescent="0.25">
      <c r="A397" s="260"/>
      <c r="B397" s="345" t="s">
        <v>1484</v>
      </c>
      <c r="C397" s="260" t="s">
        <v>1485</v>
      </c>
      <c r="D397" s="260">
        <v>375</v>
      </c>
      <c r="E397" s="260">
        <f t="shared" si="32"/>
        <v>0</v>
      </c>
      <c r="F397" s="260">
        <f t="shared" si="35"/>
        <v>0</v>
      </c>
      <c r="G397" s="260">
        <v>375</v>
      </c>
      <c r="H397" s="346">
        <f t="shared" si="33"/>
        <v>1.3928792299420747E-4</v>
      </c>
      <c r="J397">
        <f t="shared" si="34"/>
        <v>0</v>
      </c>
    </row>
    <row r="398" spans="1:10" x14ac:dyDescent="0.25">
      <c r="A398" s="260"/>
      <c r="B398" s="345" t="s">
        <v>1635</v>
      </c>
      <c r="C398" s="260" t="s">
        <v>1636</v>
      </c>
      <c r="D398" s="260">
        <v>300</v>
      </c>
      <c r="E398" s="260">
        <f t="shared" si="32"/>
        <v>0</v>
      </c>
      <c r="F398" s="260">
        <f t="shared" si="35"/>
        <v>0</v>
      </c>
      <c r="G398" s="260">
        <v>300</v>
      </c>
      <c r="H398" s="346">
        <f t="shared" si="33"/>
        <v>1.1143033839536598E-4</v>
      </c>
      <c r="J398">
        <f t="shared" si="34"/>
        <v>0</v>
      </c>
    </row>
    <row r="399" spans="1:10" x14ac:dyDescent="0.25">
      <c r="A399" s="260"/>
      <c r="B399" s="345" t="s">
        <v>1913</v>
      </c>
      <c r="C399" s="260" t="s">
        <v>1914</v>
      </c>
      <c r="D399" s="260">
        <v>300</v>
      </c>
      <c r="E399" s="260">
        <f t="shared" si="32"/>
        <v>0</v>
      </c>
      <c r="F399" s="260">
        <f t="shared" si="35"/>
        <v>0</v>
      </c>
      <c r="G399" s="260">
        <v>300</v>
      </c>
      <c r="H399" s="346">
        <f t="shared" si="33"/>
        <v>1.1143033839536598E-4</v>
      </c>
      <c r="J399">
        <f t="shared" si="34"/>
        <v>0</v>
      </c>
    </row>
    <row r="400" spans="1:10" x14ac:dyDescent="0.25">
      <c r="A400" s="260"/>
      <c r="B400" s="345" t="s">
        <v>1486</v>
      </c>
      <c r="C400" s="260" t="s">
        <v>1487</v>
      </c>
      <c r="D400" s="260">
        <v>240</v>
      </c>
      <c r="E400" s="260">
        <f t="shared" si="32"/>
        <v>0</v>
      </c>
      <c r="F400" s="260">
        <f t="shared" si="35"/>
        <v>0</v>
      </c>
      <c r="G400" s="260">
        <v>240</v>
      </c>
      <c r="H400" s="346">
        <f t="shared" si="33"/>
        <v>8.9144270716292793E-5</v>
      </c>
      <c r="J400">
        <f t="shared" si="34"/>
        <v>0</v>
      </c>
    </row>
    <row r="401" spans="1:10" x14ac:dyDescent="0.25">
      <c r="A401" s="260"/>
      <c r="B401" s="345" t="s">
        <v>1945</v>
      </c>
      <c r="C401" s="260" t="s">
        <v>1946</v>
      </c>
      <c r="D401" s="260">
        <v>200</v>
      </c>
      <c r="E401" s="260">
        <f t="shared" si="32"/>
        <v>0</v>
      </c>
      <c r="F401" s="260">
        <f t="shared" si="35"/>
        <v>0</v>
      </c>
      <c r="G401" s="260">
        <v>200</v>
      </c>
      <c r="H401" s="346">
        <f t="shared" si="33"/>
        <v>7.4286892263577327E-5</v>
      </c>
      <c r="J401">
        <f t="shared" si="34"/>
        <v>0</v>
      </c>
    </row>
    <row r="402" spans="1:10" x14ac:dyDescent="0.25">
      <c r="A402" s="260"/>
      <c r="B402" s="345" t="s">
        <v>1495</v>
      </c>
      <c r="C402" s="260" t="s">
        <v>1496</v>
      </c>
      <c r="D402" s="260">
        <v>150</v>
      </c>
      <c r="E402" s="260">
        <f t="shared" si="32"/>
        <v>0</v>
      </c>
      <c r="F402" s="260">
        <f t="shared" si="35"/>
        <v>0</v>
      </c>
      <c r="G402" s="260">
        <v>150</v>
      </c>
      <c r="H402" s="346">
        <f t="shared" si="33"/>
        <v>5.5715169197682989E-5</v>
      </c>
      <c r="J402">
        <f t="shared" si="34"/>
        <v>0</v>
      </c>
    </row>
    <row r="403" spans="1:10" x14ac:dyDescent="0.25">
      <c r="A403" s="260"/>
      <c r="B403" s="345" t="s">
        <v>1482</v>
      </c>
      <c r="C403" s="260" t="s">
        <v>1483</v>
      </c>
      <c r="D403" s="260">
        <v>150</v>
      </c>
      <c r="E403" s="260">
        <f t="shared" si="32"/>
        <v>0</v>
      </c>
      <c r="F403" s="260">
        <f t="shared" si="35"/>
        <v>0</v>
      </c>
      <c r="G403" s="260">
        <v>150</v>
      </c>
      <c r="H403" s="346">
        <f t="shared" si="33"/>
        <v>5.5715169197682989E-5</v>
      </c>
      <c r="J403">
        <f t="shared" si="34"/>
        <v>0</v>
      </c>
    </row>
    <row r="404" spans="1:10" x14ac:dyDescent="0.25">
      <c r="A404" s="260"/>
      <c r="B404" s="345" t="s">
        <v>1488</v>
      </c>
      <c r="C404" s="260" t="s">
        <v>1489</v>
      </c>
      <c r="D404" s="260">
        <v>150</v>
      </c>
      <c r="E404" s="260">
        <f t="shared" si="32"/>
        <v>0</v>
      </c>
      <c r="F404" s="260">
        <f t="shared" si="35"/>
        <v>0</v>
      </c>
      <c r="G404" s="260">
        <v>150</v>
      </c>
      <c r="H404" s="346">
        <f t="shared" si="33"/>
        <v>5.5715169197682989E-5</v>
      </c>
      <c r="J404">
        <f t="shared" si="34"/>
        <v>0</v>
      </c>
    </row>
    <row r="405" spans="1:10" x14ac:dyDescent="0.25">
      <c r="A405" s="260"/>
      <c r="B405" s="345" t="s">
        <v>2242</v>
      </c>
      <c r="C405" s="260" t="s">
        <v>2243</v>
      </c>
      <c r="D405" s="260">
        <v>115</v>
      </c>
      <c r="E405" s="260">
        <f t="shared" si="32"/>
        <v>0</v>
      </c>
      <c r="F405" s="260">
        <f t="shared" si="35"/>
        <v>0</v>
      </c>
      <c r="G405" s="260">
        <v>115</v>
      </c>
      <c r="H405" s="346">
        <f t="shared" si="33"/>
        <v>4.2714963051556963E-5</v>
      </c>
      <c r="J405">
        <f t="shared" si="34"/>
        <v>0</v>
      </c>
    </row>
    <row r="406" spans="1:10" x14ac:dyDescent="0.25">
      <c r="A406" s="260"/>
      <c r="B406" s="345" t="s">
        <v>1884</v>
      </c>
      <c r="C406" s="260" t="s">
        <v>1885</v>
      </c>
      <c r="D406" s="260">
        <v>100</v>
      </c>
      <c r="E406" s="260">
        <f t="shared" si="32"/>
        <v>0</v>
      </c>
      <c r="F406" s="260">
        <f t="shared" si="35"/>
        <v>0</v>
      </c>
      <c r="G406" s="260">
        <v>100</v>
      </c>
      <c r="H406" s="346">
        <f t="shared" si="33"/>
        <v>3.7143446131788664E-5</v>
      </c>
      <c r="J406">
        <f t="shared" si="34"/>
        <v>0</v>
      </c>
    </row>
    <row r="407" spans="1:10" x14ac:dyDescent="0.25">
      <c r="A407" s="260"/>
      <c r="B407" s="345" t="s">
        <v>1995</v>
      </c>
      <c r="C407" s="260" t="s">
        <v>1996</v>
      </c>
      <c r="D407" s="260">
        <v>100</v>
      </c>
      <c r="E407" s="260">
        <f t="shared" si="32"/>
        <v>0</v>
      </c>
      <c r="F407" s="260">
        <f t="shared" si="35"/>
        <v>0</v>
      </c>
      <c r="G407" s="260">
        <v>100</v>
      </c>
      <c r="H407" s="346">
        <f t="shared" si="33"/>
        <v>3.7143446131788664E-5</v>
      </c>
      <c r="J407">
        <f t="shared" si="34"/>
        <v>0</v>
      </c>
    </row>
    <row r="408" spans="1:10" x14ac:dyDescent="0.25">
      <c r="A408" s="260"/>
      <c r="B408" s="345" t="s">
        <v>2011</v>
      </c>
      <c r="C408" s="260" t="s">
        <v>2012</v>
      </c>
      <c r="D408" s="260">
        <v>100</v>
      </c>
      <c r="E408" s="260">
        <f t="shared" si="32"/>
        <v>0</v>
      </c>
      <c r="F408" s="260">
        <f t="shared" si="35"/>
        <v>0</v>
      </c>
      <c r="G408" s="260">
        <v>100</v>
      </c>
      <c r="H408" s="346">
        <f t="shared" si="33"/>
        <v>3.7143446131788664E-5</v>
      </c>
      <c r="J408">
        <f t="shared" si="34"/>
        <v>0</v>
      </c>
    </row>
    <row r="409" spans="1:10" x14ac:dyDescent="0.25">
      <c r="A409" s="260"/>
      <c r="B409" s="345" t="s">
        <v>2119</v>
      </c>
      <c r="C409" s="260" t="s">
        <v>2120</v>
      </c>
      <c r="D409" s="260">
        <v>100</v>
      </c>
      <c r="E409" s="260">
        <f t="shared" si="32"/>
        <v>0</v>
      </c>
      <c r="F409" s="260">
        <f t="shared" si="35"/>
        <v>0</v>
      </c>
      <c r="G409" s="260">
        <v>100</v>
      </c>
      <c r="H409" s="346">
        <f t="shared" si="33"/>
        <v>3.7143446131788664E-5</v>
      </c>
      <c r="J409">
        <f t="shared" si="34"/>
        <v>0</v>
      </c>
    </row>
    <row r="410" spans="1:10" x14ac:dyDescent="0.25">
      <c r="A410" s="260">
        <v>1</v>
      </c>
      <c r="B410" s="345" t="s">
        <v>1501</v>
      </c>
      <c r="C410" s="260" t="s">
        <v>1502</v>
      </c>
      <c r="D410" s="260">
        <v>75</v>
      </c>
      <c r="E410" s="260">
        <f t="shared" si="32"/>
        <v>0</v>
      </c>
      <c r="F410" s="260">
        <f t="shared" si="35"/>
        <v>0</v>
      </c>
      <c r="G410" s="260">
        <v>75</v>
      </c>
      <c r="H410" s="346">
        <f t="shared" si="33"/>
        <v>2.7857584598841494E-5</v>
      </c>
      <c r="J410">
        <f t="shared" si="34"/>
        <v>0</v>
      </c>
    </row>
    <row r="411" spans="1:10" x14ac:dyDescent="0.25">
      <c r="A411" s="260"/>
      <c r="B411" s="345" t="s">
        <v>1490</v>
      </c>
      <c r="C411" s="260" t="s">
        <v>1491</v>
      </c>
      <c r="D411" s="260">
        <v>75</v>
      </c>
      <c r="E411" s="260">
        <f t="shared" si="32"/>
        <v>0</v>
      </c>
      <c r="F411" s="260">
        <f t="shared" si="35"/>
        <v>0</v>
      </c>
      <c r="G411" s="260">
        <v>75</v>
      </c>
      <c r="H411" s="346">
        <f t="shared" si="33"/>
        <v>2.7857584598841494E-5</v>
      </c>
      <c r="J411">
        <f t="shared" si="34"/>
        <v>0</v>
      </c>
    </row>
    <row r="412" spans="1:10" x14ac:dyDescent="0.25">
      <c r="A412" s="260"/>
      <c r="B412" s="345" t="s">
        <v>1492</v>
      </c>
      <c r="C412" s="260" t="s">
        <v>1493</v>
      </c>
      <c r="D412" s="260">
        <v>75</v>
      </c>
      <c r="E412" s="260">
        <f t="shared" si="32"/>
        <v>0</v>
      </c>
      <c r="F412" s="260">
        <f t="shared" si="35"/>
        <v>0</v>
      </c>
      <c r="G412" s="260">
        <v>75</v>
      </c>
      <c r="H412" s="346">
        <f t="shared" si="33"/>
        <v>2.7857584598841494E-5</v>
      </c>
      <c r="J412">
        <f t="shared" si="34"/>
        <v>0</v>
      </c>
    </row>
    <row r="413" spans="1:10" x14ac:dyDescent="0.25">
      <c r="A413" s="260"/>
      <c r="B413" s="345" t="s">
        <v>1494</v>
      </c>
      <c r="C413" s="260" t="s">
        <v>1493</v>
      </c>
      <c r="D413" s="260">
        <v>75</v>
      </c>
      <c r="E413" s="260">
        <f t="shared" si="32"/>
        <v>0</v>
      </c>
      <c r="F413" s="260">
        <f t="shared" si="35"/>
        <v>0</v>
      </c>
      <c r="G413" s="260">
        <v>75</v>
      </c>
      <c r="H413" s="346">
        <f t="shared" si="33"/>
        <v>2.7857584598841494E-5</v>
      </c>
      <c r="J413">
        <f t="shared" si="34"/>
        <v>0</v>
      </c>
    </row>
    <row r="414" spans="1:10" x14ac:dyDescent="0.25">
      <c r="A414" s="352"/>
      <c r="B414" s="353" t="s">
        <v>1768</v>
      </c>
      <c r="C414" s="352" t="s">
        <v>1559</v>
      </c>
      <c r="D414" s="352">
        <v>575</v>
      </c>
      <c r="E414" s="352">
        <v>0</v>
      </c>
      <c r="F414" s="352">
        <f t="shared" si="35"/>
        <v>575</v>
      </c>
      <c r="G414" s="352">
        <v>0</v>
      </c>
      <c r="H414" s="346">
        <f t="shared" si="33"/>
        <v>0</v>
      </c>
      <c r="J414">
        <f t="shared" si="34"/>
        <v>575</v>
      </c>
    </row>
    <row r="415" spans="1:10" x14ac:dyDescent="0.25">
      <c r="A415" s="260"/>
      <c r="B415" s="345" t="s">
        <v>1696</v>
      </c>
      <c r="C415" s="260" t="s">
        <v>1697</v>
      </c>
      <c r="D415" s="260">
        <v>1000</v>
      </c>
      <c r="E415" s="260">
        <v>0</v>
      </c>
      <c r="F415" s="260">
        <f t="shared" si="35"/>
        <v>1000</v>
      </c>
      <c r="G415" s="260">
        <v>0</v>
      </c>
      <c r="H415" s="346">
        <f t="shared" si="33"/>
        <v>0</v>
      </c>
      <c r="J415">
        <f t="shared" si="34"/>
        <v>1000</v>
      </c>
    </row>
    <row r="416" spans="1:10" x14ac:dyDescent="0.25">
      <c r="A416" s="350"/>
      <c r="B416" s="351" t="s">
        <v>1760</v>
      </c>
      <c r="C416" s="350" t="s">
        <v>1761</v>
      </c>
      <c r="D416" s="350">
        <v>1000</v>
      </c>
      <c r="E416" s="350">
        <v>0</v>
      </c>
      <c r="F416" s="350">
        <f t="shared" si="35"/>
        <v>1000</v>
      </c>
      <c r="G416" s="350">
        <v>0</v>
      </c>
      <c r="H416" s="346">
        <f t="shared" si="33"/>
        <v>0</v>
      </c>
      <c r="J416">
        <f t="shared" si="34"/>
        <v>1000</v>
      </c>
    </row>
    <row r="417" spans="1:8" x14ac:dyDescent="0.25">
      <c r="A417" s="260"/>
      <c r="B417" s="260"/>
      <c r="C417" s="260"/>
      <c r="D417" s="260"/>
      <c r="E417" s="260"/>
      <c r="F417" s="260"/>
      <c r="G417" s="260">
        <f>+SUM(G3:G416)</f>
        <v>2692265</v>
      </c>
      <c r="H417" s="346"/>
    </row>
  </sheetData>
  <autoFilter ref="A2:J417" xr:uid="{00000000-0009-0000-0000-000017000000}">
    <sortState xmlns:xlrd2="http://schemas.microsoft.com/office/spreadsheetml/2017/richdata2" ref="A3:J417">
      <sortCondition descending="1" ref="H2:H417"/>
    </sortState>
  </autoFilter>
  <customSheetViews>
    <customSheetView guid="{334DC1DD-AD60-4D12-A532-9CEE6201A253}" showAutoFilter="1">
      <selection activeCell="G39" activeCellId="1" sqref="G8 G39"/>
      <pageMargins left="0.7" right="0.7" top="0.75" bottom="0.75" header="0.3" footer="0.3"/>
      <autoFilter ref="A2:J417" xr:uid="{6B3FE5ED-7ED6-4639-AC70-D4ADD11732BB}">
        <sortState xmlns:xlrd2="http://schemas.microsoft.com/office/spreadsheetml/2017/richdata2" ref="A3:J417">
          <sortCondition descending="1" ref="H2:H417"/>
        </sortState>
      </autoFilter>
    </customSheetView>
    <customSheetView guid="{BD5AA3B3-719E-4481-B722-8DE3E8101662}" showAutoFilter="1">
      <selection activeCell="G39" activeCellId="1" sqref="G8 G39"/>
      <pageMargins left="0.7" right="0.7" top="0.75" bottom="0.75" header="0.3" footer="0.3"/>
      <autoFilter ref="A2:J417" xr:uid="{97C75FF6-172C-4D41-B821-C0A567F87AFC}">
        <sortState xmlns:xlrd2="http://schemas.microsoft.com/office/spreadsheetml/2017/richdata2" ref="A3:J417">
          <sortCondition descending="1" ref="H2:H417"/>
        </sortState>
      </autoFilter>
    </customSheetView>
  </customSheetViews>
  <pageMargins left="0.7" right="0.7" top="0.75" bottom="0.75" header="0.3" footer="0.3"/>
  <pageSetup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80"/>
  <sheetViews>
    <sheetView workbookViewId="0">
      <selection activeCell="A78" sqref="A78"/>
    </sheetView>
  </sheetViews>
  <sheetFormatPr defaultColWidth="9.140625" defaultRowHeight="15" x14ac:dyDescent="0.25"/>
  <cols>
    <col min="1" max="1" width="7.5703125" style="359" customWidth="1"/>
    <col min="2" max="2" width="32.28515625" style="359" customWidth="1"/>
    <col min="3" max="3" width="21.140625" style="359" customWidth="1"/>
    <col min="4" max="4" width="23.140625" style="359" customWidth="1"/>
    <col min="5" max="5" width="14.5703125" style="359" bestFit="1" customWidth="1"/>
    <col min="6" max="6" width="16.7109375" style="359" bestFit="1" customWidth="1"/>
    <col min="7" max="7" width="12.42578125" style="359" bestFit="1" customWidth="1"/>
    <col min="8" max="8" width="16" style="359" bestFit="1" customWidth="1"/>
    <col min="9" max="11" width="12.42578125" style="359" bestFit="1" customWidth="1"/>
    <col min="12" max="12" width="11.28515625" style="359" bestFit="1" customWidth="1"/>
    <col min="13" max="13" width="14" style="359" bestFit="1" customWidth="1"/>
    <col min="14" max="16384" width="9.140625" style="359"/>
  </cols>
  <sheetData>
    <row r="1" spans="1:8" s="356" customFormat="1" x14ac:dyDescent="0.25"/>
    <row r="2" spans="1:8" s="356" customFormat="1" x14ac:dyDescent="0.25">
      <c r="A2" s="356" t="s">
        <v>2274</v>
      </c>
    </row>
    <row r="3" spans="1:8" s="356" customFormat="1" x14ac:dyDescent="0.25">
      <c r="A3" s="356" t="s">
        <v>2275</v>
      </c>
      <c r="G3" s="357"/>
      <c r="H3" s="357"/>
    </row>
    <row r="4" spans="1:8" x14ac:dyDescent="0.25">
      <c r="A4" s="358" t="s">
        <v>2276</v>
      </c>
      <c r="G4" s="360"/>
      <c r="H4" s="360"/>
    </row>
    <row r="5" spans="1:8" s="356" customFormat="1" hidden="1" x14ac:dyDescent="0.25">
      <c r="A5" s="361" t="s">
        <v>2277</v>
      </c>
      <c r="B5" s="361" t="s">
        <v>2278</v>
      </c>
      <c r="C5" s="361" t="s">
        <v>2279</v>
      </c>
      <c r="D5" s="361" t="s">
        <v>2280</v>
      </c>
      <c r="E5" s="361" t="s">
        <v>2281</v>
      </c>
      <c r="F5" s="361" t="s">
        <v>2282</v>
      </c>
      <c r="G5" s="361" t="s">
        <v>2283</v>
      </c>
    </row>
    <row r="6" spans="1:8" hidden="1" x14ac:dyDescent="0.25">
      <c r="A6" s="362"/>
      <c r="B6" s="363"/>
      <c r="C6" s="363"/>
      <c r="D6" s="363"/>
      <c r="E6" s="364"/>
      <c r="F6" s="365"/>
      <c r="G6" s="366"/>
    </row>
    <row r="7" spans="1:8" hidden="1" x14ac:dyDescent="0.25">
      <c r="A7" s="362"/>
      <c r="B7" s="363"/>
      <c r="C7" s="363"/>
      <c r="D7" s="363"/>
      <c r="E7" s="364"/>
      <c r="F7" s="365"/>
      <c r="G7" s="366"/>
    </row>
    <row r="8" spans="1:8" ht="15.75" hidden="1" x14ac:dyDescent="0.3">
      <c r="A8" s="367"/>
      <c r="B8" s="363"/>
      <c r="C8" s="363"/>
      <c r="D8" s="363"/>
      <c r="E8" s="364"/>
      <c r="F8" s="365"/>
      <c r="G8" s="366"/>
    </row>
    <row r="9" spans="1:8" ht="15.75" hidden="1" x14ac:dyDescent="0.3">
      <c r="A9" s="367"/>
      <c r="B9" s="363"/>
      <c r="C9" s="363"/>
      <c r="D9" s="363"/>
      <c r="E9" s="364"/>
      <c r="F9" s="365"/>
      <c r="G9" s="366"/>
    </row>
    <row r="10" spans="1:8" hidden="1" x14ac:dyDescent="0.25">
      <c r="A10" s="364"/>
      <c r="B10" s="363"/>
      <c r="C10" s="363"/>
      <c r="D10" s="363"/>
      <c r="E10" s="364"/>
      <c r="F10" s="365"/>
      <c r="G10" s="366"/>
    </row>
    <row r="11" spans="1:8" hidden="1" x14ac:dyDescent="0.25">
      <c r="A11" s="362"/>
      <c r="B11" s="363"/>
      <c r="C11" s="363"/>
      <c r="D11" s="363"/>
      <c r="E11" s="364"/>
      <c r="F11" s="365"/>
      <c r="G11" s="366"/>
    </row>
    <row r="12" spans="1:8" hidden="1" x14ac:dyDescent="0.25">
      <c r="A12" s="362"/>
      <c r="B12" s="363"/>
      <c r="C12" s="363"/>
      <c r="D12" s="363"/>
      <c r="E12" s="364"/>
      <c r="F12" s="365"/>
      <c r="G12" s="366"/>
    </row>
    <row r="13" spans="1:8" ht="15.75" hidden="1" x14ac:dyDescent="0.3">
      <c r="A13" s="367"/>
      <c r="B13" s="363"/>
      <c r="C13" s="363"/>
      <c r="D13" s="363"/>
      <c r="E13" s="364"/>
      <c r="F13" s="365"/>
      <c r="G13" s="366"/>
    </row>
    <row r="14" spans="1:8" ht="15.75" hidden="1" x14ac:dyDescent="0.3">
      <c r="A14" s="367"/>
      <c r="B14" s="363"/>
      <c r="C14" s="363"/>
      <c r="D14" s="363"/>
      <c r="E14" s="364"/>
      <c r="F14" s="365"/>
      <c r="G14" s="366"/>
    </row>
    <row r="15" spans="1:8" hidden="1" x14ac:dyDescent="0.25">
      <c r="A15" s="368" t="s">
        <v>2284</v>
      </c>
      <c r="B15" s="369"/>
      <c r="C15" s="369"/>
      <c r="D15" s="369"/>
      <c r="E15" s="370">
        <f>SUM(E6:E14)</f>
        <v>0</v>
      </c>
      <c r="F15" s="370"/>
      <c r="G15" s="371">
        <f>SUM(G6:G14)</f>
        <v>0</v>
      </c>
    </row>
    <row r="16" spans="1:8" hidden="1" x14ac:dyDescent="0.25"/>
    <row r="18" spans="1:15" ht="16.5" x14ac:dyDescent="0.35">
      <c r="A18" s="372" t="s">
        <v>2274</v>
      </c>
      <c r="B18" s="373"/>
      <c r="D18" s="374" t="s">
        <v>2285</v>
      </c>
      <c r="E18" s="375"/>
      <c r="F18" s="375"/>
      <c r="G18" s="375"/>
      <c r="H18" s="375"/>
      <c r="I18" s="376"/>
      <c r="J18" s="376"/>
    </row>
    <row r="19" spans="1:15" ht="15.75" x14ac:dyDescent="0.3">
      <c r="A19" s="377"/>
      <c r="B19" s="373"/>
      <c r="C19" s="378"/>
      <c r="D19" s="376"/>
      <c r="E19" s="376"/>
      <c r="F19" s="376"/>
      <c r="G19" s="376"/>
      <c r="H19" s="376"/>
      <c r="I19" s="376"/>
      <c r="J19" s="376"/>
    </row>
    <row r="20" spans="1:15" x14ac:dyDescent="0.25">
      <c r="A20" s="379" t="s">
        <v>2286</v>
      </c>
      <c r="B20" s="380" t="s">
        <v>9</v>
      </c>
      <c r="C20" s="381" t="s">
        <v>2278</v>
      </c>
      <c r="D20" s="382" t="s">
        <v>2287</v>
      </c>
      <c r="E20" s="382" t="s">
        <v>11</v>
      </c>
      <c r="F20" s="382" t="s">
        <v>2288</v>
      </c>
      <c r="G20" s="383" t="s">
        <v>2289</v>
      </c>
      <c r="H20" s="383" t="s">
        <v>2290</v>
      </c>
      <c r="I20" s="384" t="s">
        <v>2291</v>
      </c>
      <c r="J20" s="382" t="s">
        <v>1091</v>
      </c>
      <c r="K20" s="382" t="s">
        <v>2292</v>
      </c>
      <c r="L20" s="382" t="s">
        <v>2293</v>
      </c>
      <c r="M20" s="382" t="s">
        <v>2294</v>
      </c>
    </row>
    <row r="21" spans="1:15" x14ac:dyDescent="0.25">
      <c r="A21" s="385"/>
      <c r="B21" s="386" t="s">
        <v>2295</v>
      </c>
      <c r="C21" s="387"/>
      <c r="D21" s="388"/>
      <c r="E21" s="388"/>
      <c r="F21" s="388"/>
      <c r="G21" s="389"/>
      <c r="H21" s="389"/>
      <c r="I21" s="390"/>
      <c r="J21" s="391"/>
      <c r="K21" s="388"/>
      <c r="L21" s="388"/>
      <c r="M21" s="388"/>
    </row>
    <row r="22" spans="1:15" ht="15.75" x14ac:dyDescent="0.3">
      <c r="A22" s="392">
        <v>1</v>
      </c>
      <c r="B22" s="367" t="s">
        <v>2296</v>
      </c>
      <c r="C22" s="393">
        <v>2186694</v>
      </c>
      <c r="D22" s="394">
        <v>0</v>
      </c>
      <c r="E22" s="394">
        <v>0</v>
      </c>
      <c r="F22" s="394">
        <f>+C22+D22-E22</f>
        <v>2186694</v>
      </c>
      <c r="G22" s="395">
        <v>43922</v>
      </c>
      <c r="H22" s="395">
        <v>44012</v>
      </c>
      <c r="I22" s="396">
        <f>+H22-G22+1</f>
        <v>91</v>
      </c>
      <c r="J22" s="397">
        <f>+ROUND(F22*I22*L22/365,0)</f>
        <v>43614</v>
      </c>
      <c r="K22" s="394">
        <f>+ROUND(J22*7.5%,0)</f>
        <v>3271</v>
      </c>
      <c r="L22" s="398">
        <v>0.08</v>
      </c>
      <c r="M22" s="394">
        <f>+F22+J22-K22</f>
        <v>2227037</v>
      </c>
    </row>
    <row r="23" spans="1:15" ht="15.75" x14ac:dyDescent="0.3">
      <c r="A23" s="392"/>
      <c r="B23" s="367"/>
      <c r="C23" s="393">
        <f>+M22</f>
        <v>2227037</v>
      </c>
      <c r="D23" s="399"/>
      <c r="E23" s="394"/>
      <c r="F23" s="394">
        <f t="shared" ref="F23:F25" si="0">+C23+D23-E23</f>
        <v>2227037</v>
      </c>
      <c r="G23" s="395">
        <v>44013</v>
      </c>
      <c r="H23" s="395">
        <v>44104</v>
      </c>
      <c r="I23" s="396">
        <f>+H23-G23+1</f>
        <v>92</v>
      </c>
      <c r="J23" s="397">
        <f>+ROUND(F23*I23*L23/365,0)</f>
        <v>44907</v>
      </c>
      <c r="K23" s="394">
        <f>+ROUND(J23*7.5%,0)</f>
        <v>3368</v>
      </c>
      <c r="L23" s="398">
        <v>0.08</v>
      </c>
      <c r="M23" s="394">
        <f>+F23+J23-K23</f>
        <v>2268576</v>
      </c>
      <c r="O23" s="399"/>
    </row>
    <row r="24" spans="1:15" ht="15.75" x14ac:dyDescent="0.3">
      <c r="A24" s="392"/>
      <c r="B24" s="367"/>
      <c r="C24" s="393">
        <f>+M23</f>
        <v>2268576</v>
      </c>
      <c r="D24" s="394"/>
      <c r="E24" s="394"/>
      <c r="F24" s="394">
        <f t="shared" si="0"/>
        <v>2268576</v>
      </c>
      <c r="G24" s="395">
        <v>44105</v>
      </c>
      <c r="H24" s="395">
        <v>44196</v>
      </c>
      <c r="I24" s="396">
        <f t="shared" ref="I24:I25" si="1">+H24-G24+1</f>
        <v>92</v>
      </c>
      <c r="J24" s="397">
        <f t="shared" ref="J24:J25" si="2">+ROUND(F24*I24*L24/365,0)</f>
        <v>45744</v>
      </c>
      <c r="K24" s="394">
        <f t="shared" ref="K24:K25" si="3">+ROUND(J24*7.5%,0)</f>
        <v>3431</v>
      </c>
      <c r="L24" s="398">
        <v>0.08</v>
      </c>
      <c r="M24" s="394">
        <f t="shared" ref="M24:M25" si="4">+F24+J24-K24</f>
        <v>2310889</v>
      </c>
    </row>
    <row r="25" spans="1:15" ht="15.75" x14ac:dyDescent="0.3">
      <c r="A25" s="392"/>
      <c r="B25" s="367"/>
      <c r="C25" s="393">
        <f>+M24</f>
        <v>2310889</v>
      </c>
      <c r="D25" s="394"/>
      <c r="E25" s="394"/>
      <c r="F25" s="394">
        <f t="shared" si="0"/>
        <v>2310889</v>
      </c>
      <c r="G25" s="395">
        <v>44197</v>
      </c>
      <c r="H25" s="395">
        <v>44286</v>
      </c>
      <c r="I25" s="396">
        <f t="shared" si="1"/>
        <v>90</v>
      </c>
      <c r="J25" s="397">
        <f t="shared" si="2"/>
        <v>45585</v>
      </c>
      <c r="K25" s="394">
        <f t="shared" si="3"/>
        <v>3419</v>
      </c>
      <c r="L25" s="398">
        <v>0.08</v>
      </c>
      <c r="M25" s="394">
        <f t="shared" si="4"/>
        <v>2353055</v>
      </c>
    </row>
    <row r="26" spans="1:15" ht="15.75" x14ac:dyDescent="0.3">
      <c r="A26" s="392"/>
      <c r="B26" s="386"/>
      <c r="C26" s="393"/>
      <c r="D26" s="400"/>
      <c r="E26" s="400"/>
      <c r="F26" s="400"/>
      <c r="G26" s="395"/>
      <c r="H26" s="395"/>
      <c r="I26" s="396"/>
      <c r="J26" s="400">
        <f>+SUM(J22:J25)</f>
        <v>179850</v>
      </c>
      <c r="K26" s="400">
        <f>+SUM(K22:K25)</f>
        <v>13489</v>
      </c>
      <c r="L26" s="398"/>
      <c r="M26" s="400"/>
    </row>
    <row r="27" spans="1:15" ht="15.75" x14ac:dyDescent="0.3">
      <c r="A27" s="392"/>
      <c r="B27" s="367"/>
      <c r="C27" s="393"/>
      <c r="D27" s="394"/>
      <c r="E27" s="394"/>
      <c r="F27" s="394"/>
      <c r="G27" s="395"/>
      <c r="H27" s="395"/>
      <c r="I27" s="396"/>
      <c r="J27" s="397"/>
      <c r="K27" s="394"/>
      <c r="L27" s="398"/>
    </row>
    <row r="28" spans="1:15" ht="15.75" x14ac:dyDescent="0.3">
      <c r="A28" s="392">
        <v>2</v>
      </c>
      <c r="B28" s="367" t="s">
        <v>2297</v>
      </c>
      <c r="C28" s="393">
        <v>6498343</v>
      </c>
      <c r="D28" s="394"/>
      <c r="E28" s="394"/>
      <c r="F28" s="394">
        <f>+C28+D28-E28</f>
        <v>6498343</v>
      </c>
      <c r="G28" s="395">
        <v>43922</v>
      </c>
      <c r="H28" s="395">
        <v>44012</v>
      </c>
      <c r="I28" s="396">
        <f>+H28-G28+1</f>
        <v>91</v>
      </c>
      <c r="J28" s="397">
        <f>+ROUND(F28*I28*L28/365,0)</f>
        <v>129611</v>
      </c>
      <c r="K28" s="394">
        <f>+ROUND(J28*7.5%,0)</f>
        <v>9721</v>
      </c>
      <c r="L28" s="398">
        <v>0.08</v>
      </c>
      <c r="M28" s="394">
        <f>+F28+J28-K28</f>
        <v>6618233</v>
      </c>
    </row>
    <row r="29" spans="1:15" ht="15.75" x14ac:dyDescent="0.3">
      <c r="A29" s="392"/>
      <c r="B29" s="367"/>
      <c r="C29" s="393">
        <f>+M28</f>
        <v>6618233</v>
      </c>
      <c r="D29" s="399"/>
      <c r="E29" s="394"/>
      <c r="F29" s="394">
        <f t="shared" ref="F29:F32" si="5">+C29+D29-E29</f>
        <v>6618233</v>
      </c>
      <c r="G29" s="395">
        <v>44013</v>
      </c>
      <c r="H29" s="395">
        <v>44104</v>
      </c>
      <c r="I29" s="396">
        <f>+H29-G29+1</f>
        <v>92</v>
      </c>
      <c r="J29" s="397">
        <f>+ROUND(F29*I29*L29/365,0)</f>
        <v>133453</v>
      </c>
      <c r="K29" s="394">
        <f>+ROUND(J29*7.5%,0)</f>
        <v>10009</v>
      </c>
      <c r="L29" s="398">
        <v>0.08</v>
      </c>
      <c r="M29" s="394">
        <f>+F29+J29-K29</f>
        <v>6741677</v>
      </c>
    </row>
    <row r="30" spans="1:15" ht="15.75" x14ac:dyDescent="0.3">
      <c r="A30" s="392"/>
      <c r="B30" s="367"/>
      <c r="C30" s="393">
        <f>+M29</f>
        <v>6741677</v>
      </c>
      <c r="D30" s="394"/>
      <c r="E30" s="394"/>
      <c r="F30" s="394">
        <f t="shared" si="5"/>
        <v>6741677</v>
      </c>
      <c r="G30" s="395">
        <v>44105</v>
      </c>
      <c r="H30" s="395">
        <v>44196</v>
      </c>
      <c r="I30" s="396">
        <f t="shared" ref="I30:I32" si="6">+H30-G30+1</f>
        <v>92</v>
      </c>
      <c r="J30" s="397">
        <f t="shared" ref="J30:J32" si="7">+ROUND(F30*I30*L30/365,0)</f>
        <v>135942</v>
      </c>
      <c r="K30" s="394">
        <f t="shared" ref="K30:K32" si="8">+ROUND(J30*7.5%,0)</f>
        <v>10196</v>
      </c>
      <c r="L30" s="398">
        <v>0.08</v>
      </c>
      <c r="M30" s="394">
        <f t="shared" ref="M30:M32" si="9">+F30+J30-K30</f>
        <v>6867423</v>
      </c>
    </row>
    <row r="31" spans="1:15" ht="15.75" x14ac:dyDescent="0.3">
      <c r="A31" s="392"/>
      <c r="B31" s="367"/>
      <c r="C31" s="393">
        <f>+M30</f>
        <v>6867423</v>
      </c>
      <c r="D31" s="394"/>
      <c r="E31" s="394">
        <v>0</v>
      </c>
      <c r="F31" s="394">
        <f t="shared" si="5"/>
        <v>6867423</v>
      </c>
      <c r="G31" s="395">
        <v>44197</v>
      </c>
      <c r="H31" s="395">
        <v>44215</v>
      </c>
      <c r="I31" s="396">
        <f t="shared" si="6"/>
        <v>19</v>
      </c>
      <c r="J31" s="397">
        <f t="shared" si="7"/>
        <v>28599</v>
      </c>
      <c r="K31" s="394">
        <f t="shared" si="8"/>
        <v>2145</v>
      </c>
      <c r="L31" s="398">
        <v>0.08</v>
      </c>
      <c r="M31" s="394">
        <f t="shared" si="9"/>
        <v>6893877</v>
      </c>
    </row>
    <row r="32" spans="1:15" ht="15.75" x14ac:dyDescent="0.3">
      <c r="A32" s="392"/>
      <c r="B32" s="367"/>
      <c r="C32" s="393">
        <f>+M31</f>
        <v>6893877</v>
      </c>
      <c r="D32" s="394"/>
      <c r="E32" s="394">
        <v>600000</v>
      </c>
      <c r="F32" s="394">
        <f t="shared" si="5"/>
        <v>6293877</v>
      </c>
      <c r="G32" s="395">
        <v>44216</v>
      </c>
      <c r="H32" s="395">
        <v>44286</v>
      </c>
      <c r="I32" s="396">
        <f t="shared" si="6"/>
        <v>71</v>
      </c>
      <c r="J32" s="397">
        <f t="shared" si="7"/>
        <v>97943</v>
      </c>
      <c r="K32" s="394">
        <f t="shared" si="8"/>
        <v>7346</v>
      </c>
      <c r="L32" s="398">
        <v>0.08</v>
      </c>
      <c r="M32" s="394">
        <f t="shared" si="9"/>
        <v>6384474</v>
      </c>
    </row>
    <row r="33" spans="1:13" ht="15.75" x14ac:dyDescent="0.3">
      <c r="A33" s="392"/>
      <c r="B33" s="386"/>
      <c r="C33" s="393"/>
      <c r="D33" s="400">
        <f>+SUM(D28:D32)</f>
        <v>0</v>
      </c>
      <c r="E33" s="400">
        <f>+SUM(E28:E32)</f>
        <v>600000</v>
      </c>
      <c r="F33" s="400"/>
      <c r="G33" s="395"/>
      <c r="H33" s="395"/>
      <c r="I33" s="396"/>
      <c r="J33" s="400">
        <f>+SUM(J28:J32)</f>
        <v>525548</v>
      </c>
      <c r="K33" s="400">
        <f>+SUM(K28:K32)</f>
        <v>39417</v>
      </c>
      <c r="L33" s="398"/>
      <c r="M33" s="400"/>
    </row>
    <row r="34" spans="1:13" ht="15.75" x14ac:dyDescent="0.3">
      <c r="A34" s="392"/>
      <c r="B34" s="367"/>
      <c r="C34" s="393"/>
      <c r="D34" s="394"/>
      <c r="E34" s="394"/>
      <c r="F34" s="394"/>
      <c r="G34" s="395"/>
      <c r="H34" s="395"/>
      <c r="I34" s="396"/>
      <c r="J34" s="397"/>
      <c r="K34" s="394"/>
      <c r="L34" s="398"/>
    </row>
    <row r="35" spans="1:13" ht="15.75" x14ac:dyDescent="0.3">
      <c r="A35" s="392">
        <v>3</v>
      </c>
      <c r="B35" s="367" t="s">
        <v>2298</v>
      </c>
      <c r="C35" s="393">
        <v>874676</v>
      </c>
      <c r="D35" s="394"/>
      <c r="E35" s="394"/>
      <c r="F35" s="394">
        <f>+C35+D35-E35</f>
        <v>874676</v>
      </c>
      <c r="G35" s="395">
        <v>43922</v>
      </c>
      <c r="H35" s="395">
        <v>44012</v>
      </c>
      <c r="I35" s="396">
        <f>+H35-G35+1</f>
        <v>91</v>
      </c>
      <c r="J35" s="397">
        <f>+ROUND(F35*I35*L35/365,0)</f>
        <v>17446</v>
      </c>
      <c r="K35" s="394">
        <f>+ROUND(J35*7.5%,0)</f>
        <v>1308</v>
      </c>
      <c r="L35" s="398">
        <v>0.08</v>
      </c>
      <c r="M35" s="394">
        <f>+F35+J35-K35</f>
        <v>890814</v>
      </c>
    </row>
    <row r="36" spans="1:13" ht="15.75" x14ac:dyDescent="0.3">
      <c r="A36" s="392"/>
      <c r="B36" s="367"/>
      <c r="C36" s="393">
        <f>+M35</f>
        <v>890814</v>
      </c>
      <c r="D36" s="399"/>
      <c r="E36" s="394"/>
      <c r="F36" s="394">
        <f t="shared" ref="F36:F38" si="10">+C36+D36-E36</f>
        <v>890814</v>
      </c>
      <c r="G36" s="395">
        <v>44013</v>
      </c>
      <c r="H36" s="395">
        <v>44104</v>
      </c>
      <c r="I36" s="396">
        <f>+H36-G36+1</f>
        <v>92</v>
      </c>
      <c r="J36" s="397">
        <f>+ROUND(F36*I36*L36/365,0)</f>
        <v>17963</v>
      </c>
      <c r="K36" s="394">
        <f>+ROUND(J36*7.5%,0)</f>
        <v>1347</v>
      </c>
      <c r="L36" s="398">
        <v>0.08</v>
      </c>
      <c r="M36" s="394">
        <f>+F36+J36-K36</f>
        <v>907430</v>
      </c>
    </row>
    <row r="37" spans="1:13" ht="15.75" x14ac:dyDescent="0.3">
      <c r="A37" s="392"/>
      <c r="B37" s="367"/>
      <c r="C37" s="393">
        <f>+M36</f>
        <v>907430</v>
      </c>
      <c r="D37" s="394"/>
      <c r="E37" s="394"/>
      <c r="F37" s="394">
        <f t="shared" si="10"/>
        <v>907430</v>
      </c>
      <c r="G37" s="395">
        <v>44105</v>
      </c>
      <c r="H37" s="395">
        <v>44196</v>
      </c>
      <c r="I37" s="396">
        <f t="shared" ref="I37:I38" si="11">+H37-G37+1</f>
        <v>92</v>
      </c>
      <c r="J37" s="397">
        <f t="shared" ref="J37:J38" si="12">+ROUND(F37*I37*L37/365,0)</f>
        <v>18298</v>
      </c>
      <c r="K37" s="394">
        <f t="shared" ref="K37:K38" si="13">+ROUND(J37*7.5%,0)</f>
        <v>1372</v>
      </c>
      <c r="L37" s="398">
        <v>0.08</v>
      </c>
      <c r="M37" s="394">
        <f t="shared" ref="M37:M38" si="14">+F37+J37-K37</f>
        <v>924356</v>
      </c>
    </row>
    <row r="38" spans="1:13" ht="15.75" x14ac:dyDescent="0.3">
      <c r="A38" s="392"/>
      <c r="B38" s="367"/>
      <c r="C38" s="393">
        <f>+M37</f>
        <v>924356</v>
      </c>
      <c r="D38" s="394"/>
      <c r="E38" s="394"/>
      <c r="F38" s="394">
        <f t="shared" si="10"/>
        <v>924356</v>
      </c>
      <c r="G38" s="395">
        <v>44197</v>
      </c>
      <c r="H38" s="395">
        <v>44286</v>
      </c>
      <c r="I38" s="396">
        <f t="shared" si="11"/>
        <v>90</v>
      </c>
      <c r="J38" s="397">
        <f t="shared" si="12"/>
        <v>18234</v>
      </c>
      <c r="K38" s="394">
        <f t="shared" si="13"/>
        <v>1368</v>
      </c>
      <c r="L38" s="398">
        <v>0.08</v>
      </c>
      <c r="M38" s="394">
        <f t="shared" si="14"/>
        <v>941222</v>
      </c>
    </row>
    <row r="39" spans="1:13" ht="15.75" x14ac:dyDescent="0.3">
      <c r="A39" s="392"/>
      <c r="B39" s="367"/>
      <c r="C39" s="393"/>
      <c r="D39" s="394"/>
      <c r="E39" s="394"/>
      <c r="F39" s="394"/>
      <c r="G39" s="395"/>
      <c r="H39" s="395"/>
      <c r="I39" s="396"/>
      <c r="J39" s="400">
        <f>+SUM(J34:J38)</f>
        <v>71941</v>
      </c>
      <c r="K39" s="400">
        <f>+SUM(K34:K38)</f>
        <v>5395</v>
      </c>
      <c r="L39" s="398"/>
    </row>
    <row r="40" spans="1:13" ht="15.75" x14ac:dyDescent="0.3">
      <c r="A40" s="392"/>
      <c r="B40" s="367"/>
      <c r="C40" s="393"/>
      <c r="D40" s="394"/>
      <c r="E40" s="394"/>
      <c r="F40" s="394"/>
      <c r="G40" s="395"/>
      <c r="H40" s="395"/>
      <c r="I40" s="396"/>
      <c r="J40" s="400"/>
      <c r="K40" s="400"/>
      <c r="L40" s="398"/>
    </row>
    <row r="41" spans="1:13" ht="15.75" x14ac:dyDescent="0.3">
      <c r="A41" s="392">
        <v>4</v>
      </c>
      <c r="B41" s="367" t="s">
        <v>2299</v>
      </c>
      <c r="C41" s="393">
        <v>1093348</v>
      </c>
      <c r="D41" s="394"/>
      <c r="E41" s="394"/>
      <c r="F41" s="394">
        <f>+C41+D41-E41</f>
        <v>1093348</v>
      </c>
      <c r="G41" s="395">
        <v>43922</v>
      </c>
      <c r="H41" s="395">
        <v>44012</v>
      </c>
      <c r="I41" s="396">
        <f>+H41-G41+1</f>
        <v>91</v>
      </c>
      <c r="J41" s="397">
        <f>+ROUND(F41*I41*L41/365,0)</f>
        <v>21807</v>
      </c>
      <c r="K41" s="394">
        <f>+ROUND(J41*7.5%,0)</f>
        <v>1636</v>
      </c>
      <c r="L41" s="398">
        <v>0.08</v>
      </c>
      <c r="M41" s="394">
        <f>+F41+J41-K41</f>
        <v>1113519</v>
      </c>
    </row>
    <row r="42" spans="1:13" ht="15.75" x14ac:dyDescent="0.3">
      <c r="A42" s="392"/>
      <c r="B42" s="367"/>
      <c r="C42" s="393">
        <f>+M41</f>
        <v>1113519</v>
      </c>
      <c r="D42" s="399"/>
      <c r="E42" s="394"/>
      <c r="F42" s="394">
        <f t="shared" ref="F42:F44" si="15">+C42+D42-E42</f>
        <v>1113519</v>
      </c>
      <c r="G42" s="395">
        <v>44013</v>
      </c>
      <c r="H42" s="395">
        <v>44104</v>
      </c>
      <c r="I42" s="396">
        <f>+H42-G42+1</f>
        <v>92</v>
      </c>
      <c r="J42" s="397">
        <f>+ROUND(F42*I42*L42/365,0)</f>
        <v>22453</v>
      </c>
      <c r="K42" s="394">
        <f>+ROUND(J42*7.5%,0)</f>
        <v>1684</v>
      </c>
      <c r="L42" s="398">
        <v>0.08</v>
      </c>
      <c r="M42" s="394">
        <f>+F42+J42-K42</f>
        <v>1134288</v>
      </c>
    </row>
    <row r="43" spans="1:13" ht="15.75" x14ac:dyDescent="0.3">
      <c r="A43" s="392"/>
      <c r="B43" s="367"/>
      <c r="C43" s="393">
        <f>+M42</f>
        <v>1134288</v>
      </c>
      <c r="D43" s="394"/>
      <c r="E43" s="394"/>
      <c r="F43" s="394">
        <f t="shared" si="15"/>
        <v>1134288</v>
      </c>
      <c r="G43" s="395">
        <v>44105</v>
      </c>
      <c r="H43" s="395">
        <v>44196</v>
      </c>
      <c r="I43" s="396">
        <f t="shared" ref="I43:I44" si="16">+H43-G43+1</f>
        <v>92</v>
      </c>
      <c r="J43" s="397">
        <f t="shared" ref="J43:J44" si="17">+ROUND(F43*I43*L43/365,0)</f>
        <v>22872</v>
      </c>
      <c r="K43" s="394">
        <f t="shared" ref="K43:K44" si="18">+ROUND(J43*7.5%,0)</f>
        <v>1715</v>
      </c>
      <c r="L43" s="398">
        <v>0.08</v>
      </c>
      <c r="M43" s="394">
        <f t="shared" ref="M43:M44" si="19">+F43+J43-K43</f>
        <v>1155445</v>
      </c>
    </row>
    <row r="44" spans="1:13" ht="15.75" x14ac:dyDescent="0.3">
      <c r="A44" s="392"/>
      <c r="B44" s="367"/>
      <c r="C44" s="393">
        <f>+M43</f>
        <v>1155445</v>
      </c>
      <c r="D44" s="394"/>
      <c r="E44" s="394"/>
      <c r="F44" s="394">
        <f t="shared" si="15"/>
        <v>1155445</v>
      </c>
      <c r="G44" s="395">
        <v>44197</v>
      </c>
      <c r="H44" s="395">
        <v>44286</v>
      </c>
      <c r="I44" s="396">
        <f t="shared" si="16"/>
        <v>90</v>
      </c>
      <c r="J44" s="397">
        <f t="shared" si="17"/>
        <v>22792</v>
      </c>
      <c r="K44" s="394">
        <f t="shared" si="18"/>
        <v>1709</v>
      </c>
      <c r="L44" s="398">
        <v>0.08</v>
      </c>
      <c r="M44" s="394">
        <f t="shared" si="19"/>
        <v>1176528</v>
      </c>
    </row>
    <row r="45" spans="1:13" ht="15.75" x14ac:dyDescent="0.3">
      <c r="A45" s="392"/>
      <c r="B45" s="386"/>
      <c r="C45" s="393"/>
      <c r="D45" s="400">
        <f>+SUM(D41:D44)</f>
        <v>0</v>
      </c>
      <c r="E45" s="400">
        <f>+SUM(E41:E44)</f>
        <v>0</v>
      </c>
      <c r="F45" s="400"/>
      <c r="G45" s="395"/>
      <c r="H45" s="395"/>
      <c r="I45" s="396"/>
      <c r="J45" s="400">
        <f>+SUM(J41:J44)</f>
        <v>89924</v>
      </c>
      <c r="K45" s="400">
        <f>+SUM(K41:K44)</f>
        <v>6744</v>
      </c>
      <c r="L45" s="398"/>
    </row>
    <row r="46" spans="1:13" ht="15.75" x14ac:dyDescent="0.3">
      <c r="A46" s="392"/>
      <c r="B46" s="367"/>
      <c r="C46" s="393"/>
      <c r="D46" s="394"/>
      <c r="E46" s="394"/>
      <c r="F46" s="394"/>
      <c r="G46" s="395"/>
      <c r="H46" s="395"/>
      <c r="I46" s="396"/>
      <c r="J46" s="397"/>
      <c r="K46" s="394"/>
      <c r="L46" s="398"/>
    </row>
    <row r="47" spans="1:13" ht="15.75" x14ac:dyDescent="0.3">
      <c r="A47" s="392">
        <v>5</v>
      </c>
      <c r="B47" s="367" t="s">
        <v>2300</v>
      </c>
      <c r="C47" s="393">
        <v>1093348</v>
      </c>
      <c r="D47" s="394"/>
      <c r="E47" s="394"/>
      <c r="F47" s="394">
        <f>+C47+D47-E47</f>
        <v>1093348</v>
      </c>
      <c r="G47" s="395">
        <v>43922</v>
      </c>
      <c r="H47" s="395">
        <v>44012</v>
      </c>
      <c r="I47" s="396">
        <f>+H47-G47+1</f>
        <v>91</v>
      </c>
      <c r="J47" s="397">
        <f>+ROUND(F47*I47*L47/365,0)</f>
        <v>21807</v>
      </c>
      <c r="K47" s="394">
        <f>+ROUND(J47*7.5%,0)</f>
        <v>1636</v>
      </c>
      <c r="L47" s="398">
        <v>0.08</v>
      </c>
      <c r="M47" s="394">
        <f>+F47+J47-K47</f>
        <v>1113519</v>
      </c>
    </row>
    <row r="48" spans="1:13" ht="15.75" x14ac:dyDescent="0.3">
      <c r="A48" s="392"/>
      <c r="B48" s="367"/>
      <c r="C48" s="393">
        <f>+M47</f>
        <v>1113519</v>
      </c>
      <c r="D48" s="399"/>
      <c r="E48" s="394"/>
      <c r="F48" s="394">
        <f t="shared" ref="F48:F50" si="20">+C48+D48-E48</f>
        <v>1113519</v>
      </c>
      <c r="G48" s="395">
        <v>44013</v>
      </c>
      <c r="H48" s="395">
        <v>44104</v>
      </c>
      <c r="I48" s="396">
        <f>+H48-G48+1</f>
        <v>92</v>
      </c>
      <c r="J48" s="397">
        <f>+ROUND(F48*I48*L48/365,0)</f>
        <v>22453</v>
      </c>
      <c r="K48" s="394">
        <f>+ROUND(J48*7.5%,0)</f>
        <v>1684</v>
      </c>
      <c r="L48" s="398">
        <v>0.08</v>
      </c>
      <c r="M48" s="394">
        <f>+F48+J48-K48</f>
        <v>1134288</v>
      </c>
    </row>
    <row r="49" spans="1:13" ht="15.75" x14ac:dyDescent="0.3">
      <c r="A49" s="392"/>
      <c r="B49" s="367"/>
      <c r="C49" s="393">
        <f>+M48</f>
        <v>1134288</v>
      </c>
      <c r="D49" s="394"/>
      <c r="E49" s="394"/>
      <c r="F49" s="394">
        <f t="shared" si="20"/>
        <v>1134288</v>
      </c>
      <c r="G49" s="395">
        <v>44105</v>
      </c>
      <c r="H49" s="395">
        <v>44196</v>
      </c>
      <c r="I49" s="396">
        <f t="shared" ref="I49:I50" si="21">+H49-G49+1</f>
        <v>92</v>
      </c>
      <c r="J49" s="397">
        <f t="shared" ref="J49:J50" si="22">+ROUND(F49*I49*L49/365,0)</f>
        <v>22872</v>
      </c>
      <c r="K49" s="394">
        <f t="shared" ref="K49:K50" si="23">+ROUND(J49*7.5%,0)</f>
        <v>1715</v>
      </c>
      <c r="L49" s="398">
        <v>0.08</v>
      </c>
      <c r="M49" s="394">
        <f t="shared" ref="M49:M50" si="24">+F49+J49-K49</f>
        <v>1155445</v>
      </c>
    </row>
    <row r="50" spans="1:13" ht="15.75" x14ac:dyDescent="0.3">
      <c r="A50" s="392"/>
      <c r="B50" s="367"/>
      <c r="C50" s="393">
        <f>+M49</f>
        <v>1155445</v>
      </c>
      <c r="D50" s="394"/>
      <c r="E50" s="394"/>
      <c r="F50" s="394">
        <f t="shared" si="20"/>
        <v>1155445</v>
      </c>
      <c r="G50" s="395">
        <v>44197</v>
      </c>
      <c r="H50" s="395">
        <v>44286</v>
      </c>
      <c r="I50" s="396">
        <f t="shared" si="21"/>
        <v>90</v>
      </c>
      <c r="J50" s="397">
        <f t="shared" si="22"/>
        <v>22792</v>
      </c>
      <c r="K50" s="394">
        <f t="shared" si="23"/>
        <v>1709</v>
      </c>
      <c r="L50" s="398">
        <v>0.08</v>
      </c>
      <c r="M50" s="394">
        <f t="shared" si="24"/>
        <v>1176528</v>
      </c>
    </row>
    <row r="51" spans="1:13" ht="15.75" x14ac:dyDescent="0.3">
      <c r="A51" s="392"/>
      <c r="B51" s="386"/>
      <c r="C51" s="393"/>
      <c r="D51" s="400">
        <f>+SUM(D47:D50)</f>
        <v>0</v>
      </c>
      <c r="E51" s="400">
        <f>+SUM(E47:E50)</f>
        <v>0</v>
      </c>
      <c r="F51" s="400"/>
      <c r="G51" s="395"/>
      <c r="H51" s="395"/>
      <c r="I51" s="396"/>
      <c r="J51" s="400">
        <f>+SUM(J47:J50)</f>
        <v>89924</v>
      </c>
      <c r="K51" s="400">
        <f>+SUM(K47:K50)</f>
        <v>6744</v>
      </c>
      <c r="L51" s="398"/>
    </row>
    <row r="52" spans="1:13" ht="15.75" x14ac:dyDescent="0.3">
      <c r="A52" s="392"/>
      <c r="B52" s="367"/>
      <c r="C52" s="393"/>
      <c r="D52" s="394"/>
      <c r="E52" s="394"/>
      <c r="F52" s="394"/>
      <c r="G52" s="395"/>
      <c r="H52" s="395"/>
      <c r="I52" s="396"/>
      <c r="J52" s="397"/>
      <c r="K52" s="394"/>
      <c r="L52" s="398"/>
    </row>
    <row r="53" spans="1:13" ht="15.75" x14ac:dyDescent="0.3">
      <c r="A53" s="392">
        <v>6</v>
      </c>
      <c r="B53" s="367" t="s">
        <v>2301</v>
      </c>
      <c r="C53" s="393">
        <v>3280041</v>
      </c>
      <c r="D53" s="394"/>
      <c r="E53" s="394"/>
      <c r="F53" s="394">
        <f>+C53+D53-E53</f>
        <v>3280041</v>
      </c>
      <c r="G53" s="395">
        <v>43922</v>
      </c>
      <c r="H53" s="395">
        <v>44012</v>
      </c>
      <c r="I53" s="396">
        <f>+H53-G53+1</f>
        <v>91</v>
      </c>
      <c r="J53" s="397">
        <f>+ROUND(F53*I53*L53/365,0)</f>
        <v>65421</v>
      </c>
      <c r="K53" s="394">
        <f>+ROUND(J53*7.5%,0)</f>
        <v>4907</v>
      </c>
      <c r="L53" s="398">
        <v>0.08</v>
      </c>
      <c r="M53" s="394">
        <f>+F53+J53-K53</f>
        <v>3340555</v>
      </c>
    </row>
    <row r="54" spans="1:13" ht="15.75" x14ac:dyDescent="0.3">
      <c r="A54" s="392"/>
      <c r="B54" s="367"/>
      <c r="C54" s="393">
        <f>+M53</f>
        <v>3340555</v>
      </c>
      <c r="D54" s="399"/>
      <c r="E54" s="394"/>
      <c r="F54" s="394">
        <f t="shared" ref="F54:F56" si="25">+C54+D54-E54</f>
        <v>3340555</v>
      </c>
      <c r="G54" s="395">
        <v>44013</v>
      </c>
      <c r="H54" s="395">
        <v>44104</v>
      </c>
      <c r="I54" s="396">
        <f>+H54-G54+1</f>
        <v>92</v>
      </c>
      <c r="J54" s="397">
        <f>+ROUND(F54*I54*L54/365,0)</f>
        <v>67360</v>
      </c>
      <c r="K54" s="394">
        <f>+ROUND(J54*7.5%,0)</f>
        <v>5052</v>
      </c>
      <c r="L54" s="398">
        <v>0.08</v>
      </c>
      <c r="M54" s="394">
        <f>+F54+J54-K54</f>
        <v>3402863</v>
      </c>
    </row>
    <row r="55" spans="1:13" ht="15.75" x14ac:dyDescent="0.3">
      <c r="A55" s="392"/>
      <c r="B55" s="367"/>
      <c r="C55" s="393">
        <f>+M54</f>
        <v>3402863</v>
      </c>
      <c r="D55" s="394"/>
      <c r="E55" s="394"/>
      <c r="F55" s="394">
        <f t="shared" si="25"/>
        <v>3402863</v>
      </c>
      <c r="G55" s="395">
        <v>44105</v>
      </c>
      <c r="H55" s="395">
        <v>44196</v>
      </c>
      <c r="I55" s="396">
        <f t="shared" ref="I55:I56" si="26">+H55-G55+1</f>
        <v>92</v>
      </c>
      <c r="J55" s="397">
        <f t="shared" ref="J55:J56" si="27">+ROUND(F55*I55*L55/365,0)</f>
        <v>68617</v>
      </c>
      <c r="K55" s="394">
        <f t="shared" ref="K55:K56" si="28">+ROUND(J55*7.5%,0)</f>
        <v>5146</v>
      </c>
      <c r="L55" s="398">
        <v>0.08</v>
      </c>
      <c r="M55" s="394">
        <f t="shared" ref="M55:M56" si="29">+F55+J55-K55</f>
        <v>3466334</v>
      </c>
    </row>
    <row r="56" spans="1:13" ht="15.75" x14ac:dyDescent="0.3">
      <c r="A56" s="392"/>
      <c r="B56" s="367"/>
      <c r="C56" s="393">
        <f>+M55</f>
        <v>3466334</v>
      </c>
      <c r="D56" s="394"/>
      <c r="E56" s="394"/>
      <c r="F56" s="394">
        <f t="shared" si="25"/>
        <v>3466334</v>
      </c>
      <c r="G56" s="395">
        <v>44197</v>
      </c>
      <c r="H56" s="395">
        <v>44286</v>
      </c>
      <c r="I56" s="396">
        <f t="shared" si="26"/>
        <v>90</v>
      </c>
      <c r="J56" s="397">
        <f t="shared" si="27"/>
        <v>68377</v>
      </c>
      <c r="K56" s="394">
        <f t="shared" si="28"/>
        <v>5128</v>
      </c>
      <c r="L56" s="398">
        <v>0.08</v>
      </c>
      <c r="M56" s="394">
        <f t="shared" si="29"/>
        <v>3529583</v>
      </c>
    </row>
    <row r="57" spans="1:13" ht="15.75" x14ac:dyDescent="0.3">
      <c r="A57" s="392"/>
      <c r="B57" s="386"/>
      <c r="C57" s="393"/>
      <c r="D57" s="400">
        <f>+SUM(D53:D56)</f>
        <v>0</v>
      </c>
      <c r="E57" s="400">
        <f>+SUM(E53:E56)</f>
        <v>0</v>
      </c>
      <c r="F57" s="400"/>
      <c r="G57" s="395"/>
      <c r="H57" s="395"/>
      <c r="I57" s="396"/>
      <c r="J57" s="400">
        <f>+SUM(J53:J56)</f>
        <v>269775</v>
      </c>
      <c r="K57" s="400">
        <f>+SUM(K53:K56)</f>
        <v>20233</v>
      </c>
      <c r="L57" s="398"/>
    </row>
    <row r="58" spans="1:13" ht="15.75" x14ac:dyDescent="0.3">
      <c r="A58" s="392"/>
      <c r="B58" s="386"/>
      <c r="C58" s="393"/>
      <c r="D58" s="400"/>
      <c r="E58" s="400"/>
      <c r="F58" s="400"/>
      <c r="G58" s="395"/>
      <c r="H58" s="395"/>
      <c r="I58" s="396"/>
      <c r="J58" s="400"/>
      <c r="K58" s="400"/>
      <c r="L58" s="398"/>
    </row>
    <row r="59" spans="1:13" ht="15.75" x14ac:dyDescent="0.3">
      <c r="A59" s="392">
        <v>7</v>
      </c>
      <c r="B59" s="367" t="s">
        <v>2302</v>
      </c>
      <c r="C59" s="393">
        <v>874676</v>
      </c>
      <c r="D59" s="394"/>
      <c r="E59" s="394"/>
      <c r="F59" s="394">
        <f>+C59+D59-E59</f>
        <v>874676</v>
      </c>
      <c r="G59" s="395">
        <v>43922</v>
      </c>
      <c r="H59" s="395">
        <v>44012</v>
      </c>
      <c r="I59" s="396">
        <f>+H59-G59+1</f>
        <v>91</v>
      </c>
      <c r="J59" s="397">
        <f>+ROUND(F59*I59*L59/365,0)</f>
        <v>17446</v>
      </c>
      <c r="K59" s="394">
        <f>+ROUND(J59*7.5%,0)</f>
        <v>1308</v>
      </c>
      <c r="L59" s="398">
        <v>0.08</v>
      </c>
      <c r="M59" s="394">
        <f>+F59+J59-K59</f>
        <v>890814</v>
      </c>
    </row>
    <row r="60" spans="1:13" ht="15.75" x14ac:dyDescent="0.3">
      <c r="A60" s="392"/>
      <c r="B60" s="367"/>
      <c r="C60" s="393">
        <f>+M59</f>
        <v>890814</v>
      </c>
      <c r="D60" s="399"/>
      <c r="E60" s="394"/>
      <c r="F60" s="394">
        <f t="shared" ref="F60:F62" si="30">+C60+D60-E60</f>
        <v>890814</v>
      </c>
      <c r="G60" s="395">
        <v>44013</v>
      </c>
      <c r="H60" s="395">
        <v>44104</v>
      </c>
      <c r="I60" s="396">
        <f>+H60-G60+1</f>
        <v>92</v>
      </c>
      <c r="J60" s="397">
        <f>+ROUND(F60*I60*L60/365,0)</f>
        <v>17963</v>
      </c>
      <c r="K60" s="394">
        <f>+ROUND(J60*7.5%,0)</f>
        <v>1347</v>
      </c>
      <c r="L60" s="398">
        <v>0.08</v>
      </c>
      <c r="M60" s="394">
        <f>+F60+J60-K60</f>
        <v>907430</v>
      </c>
    </row>
    <row r="61" spans="1:13" ht="15.75" x14ac:dyDescent="0.3">
      <c r="A61" s="392"/>
      <c r="B61" s="367"/>
      <c r="C61" s="393">
        <f>+M60</f>
        <v>907430</v>
      </c>
      <c r="D61" s="394"/>
      <c r="E61" s="394"/>
      <c r="F61" s="394">
        <f t="shared" si="30"/>
        <v>907430</v>
      </c>
      <c r="G61" s="395">
        <v>44105</v>
      </c>
      <c r="H61" s="395">
        <v>44196</v>
      </c>
      <c r="I61" s="396">
        <f t="shared" ref="I61:I62" si="31">+H61-G61+1</f>
        <v>92</v>
      </c>
      <c r="J61" s="397">
        <f t="shared" ref="J61:J62" si="32">+ROUND(F61*I61*L61/365,0)</f>
        <v>18298</v>
      </c>
      <c r="K61" s="394">
        <f t="shared" ref="K61:K62" si="33">+ROUND(J61*7.5%,0)</f>
        <v>1372</v>
      </c>
      <c r="L61" s="398">
        <v>0.08</v>
      </c>
      <c r="M61" s="394">
        <f t="shared" ref="M61:M62" si="34">+F61+J61-K61</f>
        <v>924356</v>
      </c>
    </row>
    <row r="62" spans="1:13" ht="15.75" x14ac:dyDescent="0.3">
      <c r="A62" s="392"/>
      <c r="B62" s="367"/>
      <c r="C62" s="393">
        <f>+M61</f>
        <v>924356</v>
      </c>
      <c r="D62" s="394"/>
      <c r="E62" s="394"/>
      <c r="F62" s="394">
        <f t="shared" si="30"/>
        <v>924356</v>
      </c>
      <c r="G62" s="395">
        <v>44197</v>
      </c>
      <c r="H62" s="395">
        <v>44286</v>
      </c>
      <c r="I62" s="396">
        <f t="shared" si="31"/>
        <v>90</v>
      </c>
      <c r="J62" s="397">
        <f t="shared" si="32"/>
        <v>18234</v>
      </c>
      <c r="K62" s="394">
        <f t="shared" si="33"/>
        <v>1368</v>
      </c>
      <c r="L62" s="398">
        <v>0.08</v>
      </c>
      <c r="M62" s="394">
        <f t="shared" si="34"/>
        <v>941222</v>
      </c>
    </row>
    <row r="63" spans="1:13" ht="15.75" x14ac:dyDescent="0.3">
      <c r="A63" s="392"/>
      <c r="B63" s="386"/>
      <c r="C63" s="393"/>
      <c r="D63" s="400">
        <f>+SUM(D59:D62)</f>
        <v>0</v>
      </c>
      <c r="E63" s="400">
        <f>+SUM(E59:E62)</f>
        <v>0</v>
      </c>
      <c r="F63" s="400"/>
      <c r="G63" s="395"/>
      <c r="H63" s="395"/>
      <c r="I63" s="396">
        <v>0</v>
      </c>
      <c r="J63" s="400">
        <f>+SUM(J59:J62)</f>
        <v>71941</v>
      </c>
      <c r="K63" s="400">
        <f>+SUM(K59:K62)</f>
        <v>5395</v>
      </c>
      <c r="L63" s="398"/>
    </row>
    <row r="64" spans="1:13" ht="15.75" x14ac:dyDescent="0.3">
      <c r="A64" s="392"/>
      <c r="B64" s="386"/>
      <c r="C64" s="393"/>
      <c r="D64" s="400"/>
      <c r="E64" s="400"/>
      <c r="F64" s="400"/>
      <c r="G64" s="395"/>
      <c r="H64" s="395"/>
      <c r="I64" s="396"/>
      <c r="J64" s="400"/>
      <c r="K64" s="400"/>
      <c r="L64" s="398"/>
    </row>
    <row r="65" spans="1:13" ht="15.75" x14ac:dyDescent="0.3">
      <c r="A65" s="392">
        <v>8</v>
      </c>
      <c r="B65" s="367" t="s">
        <v>338</v>
      </c>
      <c r="C65" s="393">
        <v>1640020</v>
      </c>
      <c r="D65" s="394"/>
      <c r="E65" s="394"/>
      <c r="F65" s="394">
        <f>+C65+D65-E65</f>
        <v>1640020</v>
      </c>
      <c r="G65" s="395">
        <v>43922</v>
      </c>
      <c r="H65" s="395">
        <v>44012</v>
      </c>
      <c r="I65" s="396">
        <f>+H65-G65+1</f>
        <v>91</v>
      </c>
      <c r="J65" s="397">
        <f>+ROUND(F65*I65*L65/365,0)</f>
        <v>32711</v>
      </c>
      <c r="K65" s="394">
        <f>+ROUND(J65*7.5%,0)</f>
        <v>2453</v>
      </c>
      <c r="L65" s="398">
        <v>0.08</v>
      </c>
      <c r="M65" s="394">
        <f>+F65+J65-K65</f>
        <v>1670278</v>
      </c>
    </row>
    <row r="66" spans="1:13" ht="15.75" x14ac:dyDescent="0.3">
      <c r="A66" s="392"/>
      <c r="B66" s="367"/>
      <c r="C66" s="393">
        <f>+M65</f>
        <v>1670278</v>
      </c>
      <c r="D66" s="399"/>
      <c r="E66" s="394"/>
      <c r="F66" s="394">
        <f t="shared" ref="F66:F68" si="35">+C66+D66-E66</f>
        <v>1670278</v>
      </c>
      <c r="G66" s="395">
        <v>44013</v>
      </c>
      <c r="H66" s="395">
        <v>44104</v>
      </c>
      <c r="I66" s="396">
        <f>+H66-G66+1</f>
        <v>92</v>
      </c>
      <c r="J66" s="397">
        <f>+ROUND(F66*I66*L66/365,0)</f>
        <v>33680</v>
      </c>
      <c r="K66" s="394">
        <f>+ROUND(J66*7.5%,0)</f>
        <v>2526</v>
      </c>
      <c r="L66" s="398">
        <v>0.08</v>
      </c>
      <c r="M66" s="394">
        <f>+F66+J66-K66</f>
        <v>1701432</v>
      </c>
    </row>
    <row r="67" spans="1:13" ht="15.75" x14ac:dyDescent="0.3">
      <c r="A67" s="392"/>
      <c r="B67" s="367"/>
      <c r="C67" s="393">
        <f>+M66</f>
        <v>1701432</v>
      </c>
      <c r="D67" s="394"/>
      <c r="E67" s="394"/>
      <c r="F67" s="394">
        <f t="shared" si="35"/>
        <v>1701432</v>
      </c>
      <c r="G67" s="395">
        <v>44105</v>
      </c>
      <c r="H67" s="395">
        <v>44196</v>
      </c>
      <c r="I67" s="396">
        <f t="shared" ref="I67:I68" si="36">+H67-G67+1</f>
        <v>92</v>
      </c>
      <c r="J67" s="397">
        <f t="shared" ref="J67:J68" si="37">+ROUND(F67*I67*L67/365,0)</f>
        <v>34308</v>
      </c>
      <c r="K67" s="394">
        <f t="shared" ref="K67:K68" si="38">+ROUND(J67*7.5%,0)</f>
        <v>2573</v>
      </c>
      <c r="L67" s="398">
        <v>0.08</v>
      </c>
      <c r="M67" s="394">
        <f t="shared" ref="M67:M68" si="39">+F67+J67-K67</f>
        <v>1733167</v>
      </c>
    </row>
    <row r="68" spans="1:13" ht="15.75" x14ac:dyDescent="0.3">
      <c r="A68" s="392"/>
      <c r="B68" s="367"/>
      <c r="C68" s="393">
        <f>+M67</f>
        <v>1733167</v>
      </c>
      <c r="D68" s="394"/>
      <c r="E68" s="394"/>
      <c r="F68" s="394">
        <f t="shared" si="35"/>
        <v>1733167</v>
      </c>
      <c r="G68" s="395">
        <v>44197</v>
      </c>
      <c r="H68" s="395">
        <v>44286</v>
      </c>
      <c r="I68" s="396">
        <f t="shared" si="36"/>
        <v>90</v>
      </c>
      <c r="J68" s="397">
        <f t="shared" si="37"/>
        <v>34188</v>
      </c>
      <c r="K68" s="394">
        <f t="shared" si="38"/>
        <v>2564</v>
      </c>
      <c r="L68" s="398">
        <v>0.08</v>
      </c>
      <c r="M68" s="394">
        <f t="shared" si="39"/>
        <v>1764791</v>
      </c>
    </row>
    <row r="69" spans="1:13" ht="15.75" x14ac:dyDescent="0.3">
      <c r="A69" s="392"/>
      <c r="B69" s="367"/>
      <c r="C69" s="393"/>
      <c r="D69" s="400">
        <f>+SUM(D65:D68)</f>
        <v>0</v>
      </c>
      <c r="E69" s="400">
        <f>+SUM(E65:E68)</f>
        <v>0</v>
      </c>
      <c r="F69" s="400"/>
      <c r="G69" s="395"/>
      <c r="H69" s="395"/>
      <c r="I69" s="396"/>
      <c r="J69" s="400">
        <f>+SUM(J65:J68)</f>
        <v>134887</v>
      </c>
      <c r="K69" s="400">
        <f>+SUM(K65:K68)</f>
        <v>10116</v>
      </c>
      <c r="L69" s="398"/>
    </row>
    <row r="70" spans="1:13" ht="15.75" x14ac:dyDescent="0.3">
      <c r="A70" s="392"/>
      <c r="B70" s="386"/>
      <c r="C70" s="393"/>
      <c r="D70" s="400"/>
      <c r="E70" s="400"/>
      <c r="F70" s="400"/>
      <c r="G70" s="395"/>
      <c r="H70" s="395"/>
      <c r="I70" s="396"/>
      <c r="J70" s="400"/>
      <c r="K70" s="400"/>
      <c r="L70" s="398"/>
    </row>
    <row r="71" spans="1:13" ht="15.75" x14ac:dyDescent="0.3">
      <c r="A71" s="392">
        <v>9</v>
      </c>
      <c r="B71" s="367" t="s">
        <v>2303</v>
      </c>
      <c r="C71" s="393">
        <v>1749357</v>
      </c>
      <c r="D71" s="394"/>
      <c r="E71" s="394"/>
      <c r="F71" s="394">
        <f>+C71+D71-E71</f>
        <v>1749357</v>
      </c>
      <c r="G71" s="395">
        <v>43922</v>
      </c>
      <c r="H71" s="395">
        <v>44012</v>
      </c>
      <c r="I71" s="396">
        <f>+H71-G71+1</f>
        <v>91</v>
      </c>
      <c r="J71" s="397">
        <f>+ROUND(F71*I71*L71/365,0)</f>
        <v>34891</v>
      </c>
      <c r="K71" s="394">
        <f>+ROUND(J71*7.5%,0)</f>
        <v>2617</v>
      </c>
      <c r="L71" s="398">
        <v>0.08</v>
      </c>
      <c r="M71" s="394">
        <f>+F71+J71-K71</f>
        <v>1781631</v>
      </c>
    </row>
    <row r="72" spans="1:13" ht="15.75" x14ac:dyDescent="0.3">
      <c r="A72" s="392"/>
      <c r="B72" s="367"/>
      <c r="C72" s="393">
        <f>+M71</f>
        <v>1781631</v>
      </c>
      <c r="D72" s="399"/>
      <c r="E72" s="399"/>
      <c r="F72" s="394">
        <f t="shared" ref="F72:F74" si="40">+C72+D72-E72</f>
        <v>1781631</v>
      </c>
      <c r="G72" s="395">
        <v>44013</v>
      </c>
      <c r="H72" s="395">
        <v>44104</v>
      </c>
      <c r="I72" s="396">
        <f>+H72-G72+1</f>
        <v>92</v>
      </c>
      <c r="J72" s="397">
        <f>+ROUND(F72*I72*L72/365,0)</f>
        <v>35925</v>
      </c>
      <c r="K72" s="394">
        <f>+ROUND(J72*7.5%,0)</f>
        <v>2694</v>
      </c>
      <c r="L72" s="398">
        <v>0.08</v>
      </c>
      <c r="M72" s="394">
        <f>+F72+J72-K72</f>
        <v>1814862</v>
      </c>
    </row>
    <row r="73" spans="1:13" ht="15.75" x14ac:dyDescent="0.3">
      <c r="A73" s="392"/>
      <c r="B73" s="367"/>
      <c r="C73" s="393">
        <f>+M72</f>
        <v>1814862</v>
      </c>
      <c r="D73" s="399"/>
      <c r="E73" s="399"/>
      <c r="F73" s="394">
        <f t="shared" si="40"/>
        <v>1814862</v>
      </c>
      <c r="G73" s="395">
        <v>44105</v>
      </c>
      <c r="H73" s="395">
        <v>44196</v>
      </c>
      <c r="I73" s="396">
        <f t="shared" ref="I73:I74" si="41">+H73-G73+1</f>
        <v>92</v>
      </c>
      <c r="J73" s="397">
        <f t="shared" ref="J73:J74" si="42">+ROUND(F73*I73*L73/365,0)</f>
        <v>36596</v>
      </c>
      <c r="K73" s="394">
        <f t="shared" ref="K73:K74" si="43">+ROUND(J73*7.5%,0)</f>
        <v>2745</v>
      </c>
      <c r="L73" s="398">
        <v>0.08</v>
      </c>
      <c r="M73" s="394">
        <f t="shared" ref="M73:M74" si="44">+F73+J73-K73</f>
        <v>1848713</v>
      </c>
    </row>
    <row r="74" spans="1:13" ht="15.75" x14ac:dyDescent="0.3">
      <c r="A74" s="392"/>
      <c r="B74" s="367"/>
      <c r="C74" s="393">
        <f>+M73</f>
        <v>1848713</v>
      </c>
      <c r="D74" s="399"/>
      <c r="E74" s="399"/>
      <c r="F74" s="394">
        <f t="shared" si="40"/>
        <v>1848713</v>
      </c>
      <c r="G74" s="395">
        <v>44197</v>
      </c>
      <c r="H74" s="395">
        <v>44286</v>
      </c>
      <c r="I74" s="396">
        <f t="shared" si="41"/>
        <v>90</v>
      </c>
      <c r="J74" s="397">
        <f t="shared" si="42"/>
        <v>36468</v>
      </c>
      <c r="K74" s="394">
        <f t="shared" si="43"/>
        <v>2735</v>
      </c>
      <c r="L74" s="398">
        <v>0.08</v>
      </c>
      <c r="M74" s="394">
        <f t="shared" si="44"/>
        <v>1882446</v>
      </c>
    </row>
    <row r="75" spans="1:13" ht="15.75" x14ac:dyDescent="0.3">
      <c r="A75" s="392"/>
      <c r="B75" s="367"/>
      <c r="C75" s="393"/>
      <c r="D75" s="400">
        <f>+SUM(D71:D74)</f>
        <v>0</v>
      </c>
      <c r="E75" s="400">
        <f>+SUM(E71:E74)</f>
        <v>0</v>
      </c>
      <c r="F75" s="400"/>
      <c r="G75" s="395"/>
      <c r="H75" s="395"/>
      <c r="I75" s="396"/>
      <c r="J75" s="400">
        <f>+SUM(J71:J74)</f>
        <v>143880</v>
      </c>
      <c r="K75" s="400">
        <f>+SUM(K71:K74)</f>
        <v>10791</v>
      </c>
      <c r="L75" s="398"/>
    </row>
    <row r="76" spans="1:13" ht="15.75" x14ac:dyDescent="0.3">
      <c r="A76" s="392"/>
      <c r="B76" s="386" t="s">
        <v>1244</v>
      </c>
      <c r="C76" s="393"/>
      <c r="D76" s="394"/>
      <c r="E76" s="394"/>
      <c r="F76" s="394"/>
      <c r="G76" s="395"/>
      <c r="H76" s="395"/>
      <c r="I76" s="396"/>
      <c r="J76" s="397"/>
      <c r="K76" s="394"/>
      <c r="L76" s="398"/>
    </row>
    <row r="77" spans="1:13" ht="15.75" x14ac:dyDescent="0.3">
      <c r="A77" s="392"/>
      <c r="B77" s="367"/>
      <c r="C77" s="393"/>
      <c r="D77" s="394"/>
      <c r="E77" s="394"/>
      <c r="F77" s="394"/>
      <c r="G77" s="395"/>
      <c r="H77" s="395"/>
      <c r="I77" s="396"/>
      <c r="J77" s="397"/>
      <c r="K77" s="394"/>
      <c r="L77" s="398"/>
    </row>
    <row r="78" spans="1:13" x14ac:dyDescent="0.25">
      <c r="A78" s="379"/>
      <c r="B78" s="401" t="s">
        <v>1079</v>
      </c>
      <c r="C78" s="402"/>
      <c r="D78" s="402">
        <f>SUM(D22:D75)</f>
        <v>0</v>
      </c>
      <c r="E78" s="402" t="e">
        <f>++E75+E69+E63+E57+E51+E45+#REF!+E33+E26</f>
        <v>#REF!</v>
      </c>
      <c r="F78" s="402"/>
      <c r="G78" s="403"/>
      <c r="H78" s="403"/>
      <c r="I78" s="404"/>
      <c r="J78" s="402">
        <f>+J26+J33+J39+J45+J51+J57+J63+J69+J75</f>
        <v>1577670</v>
      </c>
      <c r="K78" s="402">
        <f>+K26+K33+K39+K45+K51+K57+K63+K69+K75</f>
        <v>118324</v>
      </c>
      <c r="L78" s="402"/>
      <c r="M78" s="402">
        <f>+M74+M68+M62+M56+M50+M44+M38+M32+M25</f>
        <v>20149849</v>
      </c>
    </row>
    <row r="80" spans="1:13" x14ac:dyDescent="0.25">
      <c r="M80" s="399"/>
    </row>
  </sheetData>
  <customSheetViews>
    <customSheetView guid="{334DC1DD-AD60-4D12-A532-9CEE6201A253}" hiddenRows="1" topLeftCell="A51">
      <selection activeCell="A78" sqref="A78"/>
      <pageMargins left="0.7" right="0.7" top="0.75" bottom="0.75" header="0.3" footer="0.3"/>
    </customSheetView>
    <customSheetView guid="{BD5AA3B3-719E-4481-B722-8DE3E8101662}" hiddenRows="1" topLeftCell="A51">
      <selection activeCell="A78" sqref="A78"/>
      <pageMargins left="0.7" right="0.7" top="0.75" bottom="0.75" header="0.3" footer="0.3"/>
    </customSheetView>
  </customSheetViews>
  <pageMargins left="0.7" right="0.7" top="0.75" bottom="0.75" header="0.3" footer="0.3"/>
  <pageSetup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580"/>
  <sheetViews>
    <sheetView topLeftCell="E1" zoomScale="50" zoomScaleNormal="50" workbookViewId="0">
      <pane ySplit="6" topLeftCell="A550" activePane="bottomLeft" state="frozen"/>
      <selection activeCell="E1" sqref="E1"/>
      <selection pane="bottomLeft" activeCell="L558" sqref="L558:P558"/>
    </sheetView>
  </sheetViews>
  <sheetFormatPr defaultColWidth="9.140625" defaultRowHeight="30.75" x14ac:dyDescent="0.45"/>
  <cols>
    <col min="1" max="1" width="10.28515625" style="919" customWidth="1"/>
    <col min="2" max="2" width="0.7109375" style="919" customWidth="1"/>
    <col min="3" max="3" width="15.42578125" style="919" customWidth="1"/>
    <col min="4" max="4" width="73.85546875" style="1004" bestFit="1" customWidth="1"/>
    <col min="5" max="5" width="44.85546875" style="1005" bestFit="1" customWidth="1"/>
    <col min="6" max="6" width="72.7109375" style="919" bestFit="1" customWidth="1"/>
    <col min="7" max="7" width="29.7109375" style="1009" bestFit="1" customWidth="1"/>
    <col min="8" max="8" width="36.7109375" style="1007" bestFit="1" customWidth="1"/>
    <col min="9" max="9" width="13.7109375" style="1008" customWidth="1"/>
    <col min="10" max="10" width="22.7109375" style="1009" bestFit="1" customWidth="1"/>
    <col min="11" max="11" width="24.140625" style="919" bestFit="1" customWidth="1"/>
    <col min="12" max="12" width="36.7109375" style="919" bestFit="1" customWidth="1"/>
    <col min="13" max="13" width="25.140625" style="919" customWidth="1"/>
    <col min="14" max="14" width="22" style="919" bestFit="1" customWidth="1"/>
    <col min="15" max="15" width="19.28515625" style="919" bestFit="1" customWidth="1"/>
    <col min="16" max="16" width="26.5703125" style="919" bestFit="1" customWidth="1"/>
    <col min="17" max="17" width="26.85546875" style="919" customWidth="1"/>
    <col min="18" max="18" width="23" style="919" customWidth="1"/>
    <col min="19" max="19" width="50" style="919" bestFit="1" customWidth="1"/>
    <col min="20" max="20" width="66.42578125" style="919" bestFit="1" customWidth="1"/>
    <col min="21" max="255" width="9.140625" style="919"/>
    <col min="256" max="256" width="10.28515625" style="919" customWidth="1"/>
    <col min="257" max="257" width="0.7109375" style="919" customWidth="1"/>
    <col min="258" max="258" width="15.42578125" style="919" customWidth="1"/>
    <col min="259" max="259" width="90" style="919" bestFit="1" customWidth="1"/>
    <col min="260" max="260" width="40.28515625" style="919" customWidth="1"/>
    <col min="261" max="261" width="31.5703125" style="919" customWidth="1"/>
    <col min="262" max="262" width="19.140625" style="919" customWidth="1"/>
    <col min="263" max="263" width="30.5703125" style="919" bestFit="1" customWidth="1"/>
    <col min="264" max="264" width="13.7109375" style="919" customWidth="1"/>
    <col min="265" max="265" width="20.42578125" style="919" customWidth="1"/>
    <col min="266" max="266" width="0" style="919" hidden="1" customWidth="1"/>
    <col min="267" max="267" width="32" style="919" bestFit="1" customWidth="1"/>
    <col min="268" max="268" width="28" style="919" bestFit="1" customWidth="1"/>
    <col min="269" max="269" width="26.28515625" style="919" bestFit="1" customWidth="1"/>
    <col min="270" max="270" width="25.5703125" style="919" bestFit="1" customWidth="1"/>
    <col min="271" max="271" width="28" style="919" bestFit="1" customWidth="1"/>
    <col min="272" max="272" width="30.5703125" style="919" bestFit="1" customWidth="1"/>
    <col min="273" max="273" width="21.42578125" style="919" bestFit="1" customWidth="1"/>
    <col min="274" max="511" width="9.140625" style="919"/>
    <col min="512" max="512" width="10.28515625" style="919" customWidth="1"/>
    <col min="513" max="513" width="0.7109375" style="919" customWidth="1"/>
    <col min="514" max="514" width="15.42578125" style="919" customWidth="1"/>
    <col min="515" max="515" width="90" style="919" bestFit="1" customWidth="1"/>
    <col min="516" max="516" width="40.28515625" style="919" customWidth="1"/>
    <col min="517" max="517" width="31.5703125" style="919" customWidth="1"/>
    <col min="518" max="518" width="19.140625" style="919" customWidth="1"/>
    <col min="519" max="519" width="30.5703125" style="919" bestFit="1" customWidth="1"/>
    <col min="520" max="520" width="13.7109375" style="919" customWidth="1"/>
    <col min="521" max="521" width="20.42578125" style="919" customWidth="1"/>
    <col min="522" max="522" width="0" style="919" hidden="1" customWidth="1"/>
    <col min="523" max="523" width="32" style="919" bestFit="1" customWidth="1"/>
    <col min="524" max="524" width="28" style="919" bestFit="1" customWidth="1"/>
    <col min="525" max="525" width="26.28515625" style="919" bestFit="1" customWidth="1"/>
    <col min="526" max="526" width="25.5703125" style="919" bestFit="1" customWidth="1"/>
    <col min="527" max="527" width="28" style="919" bestFit="1" customWidth="1"/>
    <col min="528" max="528" width="30.5703125" style="919" bestFit="1" customWidth="1"/>
    <col min="529" max="529" width="21.42578125" style="919" bestFit="1" customWidth="1"/>
    <col min="530" max="767" width="9.140625" style="919"/>
    <col min="768" max="768" width="10.28515625" style="919" customWidth="1"/>
    <col min="769" max="769" width="0.7109375" style="919" customWidth="1"/>
    <col min="770" max="770" width="15.42578125" style="919" customWidth="1"/>
    <col min="771" max="771" width="90" style="919" bestFit="1" customWidth="1"/>
    <col min="772" max="772" width="40.28515625" style="919" customWidth="1"/>
    <col min="773" max="773" width="31.5703125" style="919" customWidth="1"/>
    <col min="774" max="774" width="19.140625" style="919" customWidth="1"/>
    <col min="775" max="775" width="30.5703125" style="919" bestFit="1" customWidth="1"/>
    <col min="776" max="776" width="13.7109375" style="919" customWidth="1"/>
    <col min="777" max="777" width="20.42578125" style="919" customWidth="1"/>
    <col min="778" max="778" width="0" style="919" hidden="1" customWidth="1"/>
    <col min="779" max="779" width="32" style="919" bestFit="1" customWidth="1"/>
    <col min="780" max="780" width="28" style="919" bestFit="1" customWidth="1"/>
    <col min="781" max="781" width="26.28515625" style="919" bestFit="1" customWidth="1"/>
    <col min="782" max="782" width="25.5703125" style="919" bestFit="1" customWidth="1"/>
    <col min="783" max="783" width="28" style="919" bestFit="1" customWidth="1"/>
    <col min="784" max="784" width="30.5703125" style="919" bestFit="1" customWidth="1"/>
    <col min="785" max="785" width="21.42578125" style="919" bestFit="1" customWidth="1"/>
    <col min="786" max="1023" width="9.140625" style="919"/>
    <col min="1024" max="1024" width="10.28515625" style="919" customWidth="1"/>
    <col min="1025" max="1025" width="0.7109375" style="919" customWidth="1"/>
    <col min="1026" max="1026" width="15.42578125" style="919" customWidth="1"/>
    <col min="1027" max="1027" width="90" style="919" bestFit="1" customWidth="1"/>
    <col min="1028" max="1028" width="40.28515625" style="919" customWidth="1"/>
    <col min="1029" max="1029" width="31.5703125" style="919" customWidth="1"/>
    <col min="1030" max="1030" width="19.140625" style="919" customWidth="1"/>
    <col min="1031" max="1031" width="30.5703125" style="919" bestFit="1" customWidth="1"/>
    <col min="1032" max="1032" width="13.7109375" style="919" customWidth="1"/>
    <col min="1033" max="1033" width="20.42578125" style="919" customWidth="1"/>
    <col min="1034" max="1034" width="0" style="919" hidden="1" customWidth="1"/>
    <col min="1035" max="1035" width="32" style="919" bestFit="1" customWidth="1"/>
    <col min="1036" max="1036" width="28" style="919" bestFit="1" customWidth="1"/>
    <col min="1037" max="1037" width="26.28515625" style="919" bestFit="1" customWidth="1"/>
    <col min="1038" max="1038" width="25.5703125" style="919" bestFit="1" customWidth="1"/>
    <col min="1039" max="1039" width="28" style="919" bestFit="1" customWidth="1"/>
    <col min="1040" max="1040" width="30.5703125" style="919" bestFit="1" customWidth="1"/>
    <col min="1041" max="1041" width="21.42578125" style="919" bestFit="1" customWidth="1"/>
    <col min="1042" max="1279" width="9.140625" style="919"/>
    <col min="1280" max="1280" width="10.28515625" style="919" customWidth="1"/>
    <col min="1281" max="1281" width="0.7109375" style="919" customWidth="1"/>
    <col min="1282" max="1282" width="15.42578125" style="919" customWidth="1"/>
    <col min="1283" max="1283" width="90" style="919" bestFit="1" customWidth="1"/>
    <col min="1284" max="1284" width="40.28515625" style="919" customWidth="1"/>
    <col min="1285" max="1285" width="31.5703125" style="919" customWidth="1"/>
    <col min="1286" max="1286" width="19.140625" style="919" customWidth="1"/>
    <col min="1287" max="1287" width="30.5703125" style="919" bestFit="1" customWidth="1"/>
    <col min="1288" max="1288" width="13.7109375" style="919" customWidth="1"/>
    <col min="1289" max="1289" width="20.42578125" style="919" customWidth="1"/>
    <col min="1290" max="1290" width="0" style="919" hidden="1" customWidth="1"/>
    <col min="1291" max="1291" width="32" style="919" bestFit="1" customWidth="1"/>
    <col min="1292" max="1292" width="28" style="919" bestFit="1" customWidth="1"/>
    <col min="1293" max="1293" width="26.28515625" style="919" bestFit="1" customWidth="1"/>
    <col min="1294" max="1294" width="25.5703125" style="919" bestFit="1" customWidth="1"/>
    <col min="1295" max="1295" width="28" style="919" bestFit="1" customWidth="1"/>
    <col min="1296" max="1296" width="30.5703125" style="919" bestFit="1" customWidth="1"/>
    <col min="1297" max="1297" width="21.42578125" style="919" bestFit="1" customWidth="1"/>
    <col min="1298" max="1535" width="9.140625" style="919"/>
    <col min="1536" max="1536" width="10.28515625" style="919" customWidth="1"/>
    <col min="1537" max="1537" width="0.7109375" style="919" customWidth="1"/>
    <col min="1538" max="1538" width="15.42578125" style="919" customWidth="1"/>
    <col min="1539" max="1539" width="90" style="919" bestFit="1" customWidth="1"/>
    <col min="1540" max="1540" width="40.28515625" style="919" customWidth="1"/>
    <col min="1541" max="1541" width="31.5703125" style="919" customWidth="1"/>
    <col min="1542" max="1542" width="19.140625" style="919" customWidth="1"/>
    <col min="1543" max="1543" width="30.5703125" style="919" bestFit="1" customWidth="1"/>
    <col min="1544" max="1544" width="13.7109375" style="919" customWidth="1"/>
    <col min="1545" max="1545" width="20.42578125" style="919" customWidth="1"/>
    <col min="1546" max="1546" width="0" style="919" hidden="1" customWidth="1"/>
    <col min="1547" max="1547" width="32" style="919" bestFit="1" customWidth="1"/>
    <col min="1548" max="1548" width="28" style="919" bestFit="1" customWidth="1"/>
    <col min="1549" max="1549" width="26.28515625" style="919" bestFit="1" customWidth="1"/>
    <col min="1550" max="1550" width="25.5703125" style="919" bestFit="1" customWidth="1"/>
    <col min="1551" max="1551" width="28" style="919" bestFit="1" customWidth="1"/>
    <col min="1552" max="1552" width="30.5703125" style="919" bestFit="1" customWidth="1"/>
    <col min="1553" max="1553" width="21.42578125" style="919" bestFit="1" customWidth="1"/>
    <col min="1554" max="1791" width="9.140625" style="919"/>
    <col min="1792" max="1792" width="10.28515625" style="919" customWidth="1"/>
    <col min="1793" max="1793" width="0.7109375" style="919" customWidth="1"/>
    <col min="1794" max="1794" width="15.42578125" style="919" customWidth="1"/>
    <col min="1795" max="1795" width="90" style="919" bestFit="1" customWidth="1"/>
    <col min="1796" max="1796" width="40.28515625" style="919" customWidth="1"/>
    <col min="1797" max="1797" width="31.5703125" style="919" customWidth="1"/>
    <col min="1798" max="1798" width="19.140625" style="919" customWidth="1"/>
    <col min="1799" max="1799" width="30.5703125" style="919" bestFit="1" customWidth="1"/>
    <col min="1800" max="1800" width="13.7109375" style="919" customWidth="1"/>
    <col min="1801" max="1801" width="20.42578125" style="919" customWidth="1"/>
    <col min="1802" max="1802" width="0" style="919" hidden="1" customWidth="1"/>
    <col min="1803" max="1803" width="32" style="919" bestFit="1" customWidth="1"/>
    <col min="1804" max="1804" width="28" style="919" bestFit="1" customWidth="1"/>
    <col min="1805" max="1805" width="26.28515625" style="919" bestFit="1" customWidth="1"/>
    <col min="1806" max="1806" width="25.5703125" style="919" bestFit="1" customWidth="1"/>
    <col min="1807" max="1807" width="28" style="919" bestFit="1" customWidth="1"/>
    <col min="1808" max="1808" width="30.5703125" style="919" bestFit="1" customWidth="1"/>
    <col min="1809" max="1809" width="21.42578125" style="919" bestFit="1" customWidth="1"/>
    <col min="1810" max="2047" width="9.140625" style="919"/>
    <col min="2048" max="2048" width="10.28515625" style="919" customWidth="1"/>
    <col min="2049" max="2049" width="0.7109375" style="919" customWidth="1"/>
    <col min="2050" max="2050" width="15.42578125" style="919" customWidth="1"/>
    <col min="2051" max="2051" width="90" style="919" bestFit="1" customWidth="1"/>
    <col min="2052" max="2052" width="40.28515625" style="919" customWidth="1"/>
    <col min="2053" max="2053" width="31.5703125" style="919" customWidth="1"/>
    <col min="2054" max="2054" width="19.140625" style="919" customWidth="1"/>
    <col min="2055" max="2055" width="30.5703125" style="919" bestFit="1" customWidth="1"/>
    <col min="2056" max="2056" width="13.7109375" style="919" customWidth="1"/>
    <col min="2057" max="2057" width="20.42578125" style="919" customWidth="1"/>
    <col min="2058" max="2058" width="0" style="919" hidden="1" customWidth="1"/>
    <col min="2059" max="2059" width="32" style="919" bestFit="1" customWidth="1"/>
    <col min="2060" max="2060" width="28" style="919" bestFit="1" customWidth="1"/>
    <col min="2061" max="2061" width="26.28515625" style="919" bestFit="1" customWidth="1"/>
    <col min="2062" max="2062" width="25.5703125" style="919" bestFit="1" customWidth="1"/>
    <col min="2063" max="2063" width="28" style="919" bestFit="1" customWidth="1"/>
    <col min="2064" max="2064" width="30.5703125" style="919" bestFit="1" customWidth="1"/>
    <col min="2065" max="2065" width="21.42578125" style="919" bestFit="1" customWidth="1"/>
    <col min="2066" max="2303" width="9.140625" style="919"/>
    <col min="2304" max="2304" width="10.28515625" style="919" customWidth="1"/>
    <col min="2305" max="2305" width="0.7109375" style="919" customWidth="1"/>
    <col min="2306" max="2306" width="15.42578125" style="919" customWidth="1"/>
    <col min="2307" max="2307" width="90" style="919" bestFit="1" customWidth="1"/>
    <col min="2308" max="2308" width="40.28515625" style="919" customWidth="1"/>
    <col min="2309" max="2309" width="31.5703125" style="919" customWidth="1"/>
    <col min="2310" max="2310" width="19.140625" style="919" customWidth="1"/>
    <col min="2311" max="2311" width="30.5703125" style="919" bestFit="1" customWidth="1"/>
    <col min="2312" max="2312" width="13.7109375" style="919" customWidth="1"/>
    <col min="2313" max="2313" width="20.42578125" style="919" customWidth="1"/>
    <col min="2314" max="2314" width="0" style="919" hidden="1" customWidth="1"/>
    <col min="2315" max="2315" width="32" style="919" bestFit="1" customWidth="1"/>
    <col min="2316" max="2316" width="28" style="919" bestFit="1" customWidth="1"/>
    <col min="2317" max="2317" width="26.28515625" style="919" bestFit="1" customWidth="1"/>
    <col min="2318" max="2318" width="25.5703125" style="919" bestFit="1" customWidth="1"/>
    <col min="2319" max="2319" width="28" style="919" bestFit="1" customWidth="1"/>
    <col min="2320" max="2320" width="30.5703125" style="919" bestFit="1" customWidth="1"/>
    <col min="2321" max="2321" width="21.42578125" style="919" bestFit="1" customWidth="1"/>
    <col min="2322" max="2559" width="9.140625" style="919"/>
    <col min="2560" max="2560" width="10.28515625" style="919" customWidth="1"/>
    <col min="2561" max="2561" width="0.7109375" style="919" customWidth="1"/>
    <col min="2562" max="2562" width="15.42578125" style="919" customWidth="1"/>
    <col min="2563" max="2563" width="90" style="919" bestFit="1" customWidth="1"/>
    <col min="2564" max="2564" width="40.28515625" style="919" customWidth="1"/>
    <col min="2565" max="2565" width="31.5703125" style="919" customWidth="1"/>
    <col min="2566" max="2566" width="19.140625" style="919" customWidth="1"/>
    <col min="2567" max="2567" width="30.5703125" style="919" bestFit="1" customWidth="1"/>
    <col min="2568" max="2568" width="13.7109375" style="919" customWidth="1"/>
    <col min="2569" max="2569" width="20.42578125" style="919" customWidth="1"/>
    <col min="2570" max="2570" width="0" style="919" hidden="1" customWidth="1"/>
    <col min="2571" max="2571" width="32" style="919" bestFit="1" customWidth="1"/>
    <col min="2572" max="2572" width="28" style="919" bestFit="1" customWidth="1"/>
    <col min="2573" max="2573" width="26.28515625" style="919" bestFit="1" customWidth="1"/>
    <col min="2574" max="2574" width="25.5703125" style="919" bestFit="1" customWidth="1"/>
    <col min="2575" max="2575" width="28" style="919" bestFit="1" customWidth="1"/>
    <col min="2576" max="2576" width="30.5703125" style="919" bestFit="1" customWidth="1"/>
    <col min="2577" max="2577" width="21.42578125" style="919" bestFit="1" customWidth="1"/>
    <col min="2578" max="2815" width="9.140625" style="919"/>
    <col min="2816" max="2816" width="10.28515625" style="919" customWidth="1"/>
    <col min="2817" max="2817" width="0.7109375" style="919" customWidth="1"/>
    <col min="2818" max="2818" width="15.42578125" style="919" customWidth="1"/>
    <col min="2819" max="2819" width="90" style="919" bestFit="1" customWidth="1"/>
    <col min="2820" max="2820" width="40.28515625" style="919" customWidth="1"/>
    <col min="2821" max="2821" width="31.5703125" style="919" customWidth="1"/>
    <col min="2822" max="2822" width="19.140625" style="919" customWidth="1"/>
    <col min="2823" max="2823" width="30.5703125" style="919" bestFit="1" customWidth="1"/>
    <col min="2824" max="2824" width="13.7109375" style="919" customWidth="1"/>
    <col min="2825" max="2825" width="20.42578125" style="919" customWidth="1"/>
    <col min="2826" max="2826" width="0" style="919" hidden="1" customWidth="1"/>
    <col min="2827" max="2827" width="32" style="919" bestFit="1" customWidth="1"/>
    <col min="2828" max="2828" width="28" style="919" bestFit="1" customWidth="1"/>
    <col min="2829" max="2829" width="26.28515625" style="919" bestFit="1" customWidth="1"/>
    <col min="2830" max="2830" width="25.5703125" style="919" bestFit="1" customWidth="1"/>
    <col min="2831" max="2831" width="28" style="919" bestFit="1" customWidth="1"/>
    <col min="2832" max="2832" width="30.5703125" style="919" bestFit="1" customWidth="1"/>
    <col min="2833" max="2833" width="21.42578125" style="919" bestFit="1" customWidth="1"/>
    <col min="2834" max="3071" width="9.140625" style="919"/>
    <col min="3072" max="3072" width="10.28515625" style="919" customWidth="1"/>
    <col min="3073" max="3073" width="0.7109375" style="919" customWidth="1"/>
    <col min="3074" max="3074" width="15.42578125" style="919" customWidth="1"/>
    <col min="3075" max="3075" width="90" style="919" bestFit="1" customWidth="1"/>
    <col min="3076" max="3076" width="40.28515625" style="919" customWidth="1"/>
    <col min="3077" max="3077" width="31.5703125" style="919" customWidth="1"/>
    <col min="3078" max="3078" width="19.140625" style="919" customWidth="1"/>
    <col min="3079" max="3079" width="30.5703125" style="919" bestFit="1" customWidth="1"/>
    <col min="3080" max="3080" width="13.7109375" style="919" customWidth="1"/>
    <col min="3081" max="3081" width="20.42578125" style="919" customWidth="1"/>
    <col min="3082" max="3082" width="0" style="919" hidden="1" customWidth="1"/>
    <col min="3083" max="3083" width="32" style="919" bestFit="1" customWidth="1"/>
    <col min="3084" max="3084" width="28" style="919" bestFit="1" customWidth="1"/>
    <col min="3085" max="3085" width="26.28515625" style="919" bestFit="1" customWidth="1"/>
    <col min="3086" max="3086" width="25.5703125" style="919" bestFit="1" customWidth="1"/>
    <col min="3087" max="3087" width="28" style="919" bestFit="1" customWidth="1"/>
    <col min="3088" max="3088" width="30.5703125" style="919" bestFit="1" customWidth="1"/>
    <col min="3089" max="3089" width="21.42578125" style="919" bestFit="1" customWidth="1"/>
    <col min="3090" max="3327" width="9.140625" style="919"/>
    <col min="3328" max="3328" width="10.28515625" style="919" customWidth="1"/>
    <col min="3329" max="3329" width="0.7109375" style="919" customWidth="1"/>
    <col min="3330" max="3330" width="15.42578125" style="919" customWidth="1"/>
    <col min="3331" max="3331" width="90" style="919" bestFit="1" customWidth="1"/>
    <col min="3332" max="3332" width="40.28515625" style="919" customWidth="1"/>
    <col min="3333" max="3333" width="31.5703125" style="919" customWidth="1"/>
    <col min="3334" max="3334" width="19.140625" style="919" customWidth="1"/>
    <col min="3335" max="3335" width="30.5703125" style="919" bestFit="1" customWidth="1"/>
    <col min="3336" max="3336" width="13.7109375" style="919" customWidth="1"/>
    <col min="3337" max="3337" width="20.42578125" style="919" customWidth="1"/>
    <col min="3338" max="3338" width="0" style="919" hidden="1" customWidth="1"/>
    <col min="3339" max="3339" width="32" style="919" bestFit="1" customWidth="1"/>
    <col min="3340" max="3340" width="28" style="919" bestFit="1" customWidth="1"/>
    <col min="3341" max="3341" width="26.28515625" style="919" bestFit="1" customWidth="1"/>
    <col min="3342" max="3342" width="25.5703125" style="919" bestFit="1" customWidth="1"/>
    <col min="3343" max="3343" width="28" style="919" bestFit="1" customWidth="1"/>
    <col min="3344" max="3344" width="30.5703125" style="919" bestFit="1" customWidth="1"/>
    <col min="3345" max="3345" width="21.42578125" style="919" bestFit="1" customWidth="1"/>
    <col min="3346" max="3583" width="9.140625" style="919"/>
    <col min="3584" max="3584" width="10.28515625" style="919" customWidth="1"/>
    <col min="3585" max="3585" width="0.7109375" style="919" customWidth="1"/>
    <col min="3586" max="3586" width="15.42578125" style="919" customWidth="1"/>
    <col min="3587" max="3587" width="90" style="919" bestFit="1" customWidth="1"/>
    <col min="3588" max="3588" width="40.28515625" style="919" customWidth="1"/>
    <col min="3589" max="3589" width="31.5703125" style="919" customWidth="1"/>
    <col min="3590" max="3590" width="19.140625" style="919" customWidth="1"/>
    <col min="3591" max="3591" width="30.5703125" style="919" bestFit="1" customWidth="1"/>
    <col min="3592" max="3592" width="13.7109375" style="919" customWidth="1"/>
    <col min="3593" max="3593" width="20.42578125" style="919" customWidth="1"/>
    <col min="3594" max="3594" width="0" style="919" hidden="1" customWidth="1"/>
    <col min="3595" max="3595" width="32" style="919" bestFit="1" customWidth="1"/>
    <col min="3596" max="3596" width="28" style="919" bestFit="1" customWidth="1"/>
    <col min="3597" max="3597" width="26.28515625" style="919" bestFit="1" customWidth="1"/>
    <col min="3598" max="3598" width="25.5703125" style="919" bestFit="1" customWidth="1"/>
    <col min="3599" max="3599" width="28" style="919" bestFit="1" customWidth="1"/>
    <col min="3600" max="3600" width="30.5703125" style="919" bestFit="1" customWidth="1"/>
    <col min="3601" max="3601" width="21.42578125" style="919" bestFit="1" customWidth="1"/>
    <col min="3602" max="3839" width="9.140625" style="919"/>
    <col min="3840" max="3840" width="10.28515625" style="919" customWidth="1"/>
    <col min="3841" max="3841" width="0.7109375" style="919" customWidth="1"/>
    <col min="3842" max="3842" width="15.42578125" style="919" customWidth="1"/>
    <col min="3843" max="3843" width="90" style="919" bestFit="1" customWidth="1"/>
    <col min="3844" max="3844" width="40.28515625" style="919" customWidth="1"/>
    <col min="3845" max="3845" width="31.5703125" style="919" customWidth="1"/>
    <col min="3846" max="3846" width="19.140625" style="919" customWidth="1"/>
    <col min="3847" max="3847" width="30.5703125" style="919" bestFit="1" customWidth="1"/>
    <col min="3848" max="3848" width="13.7109375" style="919" customWidth="1"/>
    <col min="3849" max="3849" width="20.42578125" style="919" customWidth="1"/>
    <col min="3850" max="3850" width="0" style="919" hidden="1" customWidth="1"/>
    <col min="3851" max="3851" width="32" style="919" bestFit="1" customWidth="1"/>
    <col min="3852" max="3852" width="28" style="919" bestFit="1" customWidth="1"/>
    <col min="3853" max="3853" width="26.28515625" style="919" bestFit="1" customWidth="1"/>
    <col min="3854" max="3854" width="25.5703125" style="919" bestFit="1" customWidth="1"/>
    <col min="3855" max="3855" width="28" style="919" bestFit="1" customWidth="1"/>
    <col min="3856" max="3856" width="30.5703125" style="919" bestFit="1" customWidth="1"/>
    <col min="3857" max="3857" width="21.42578125" style="919" bestFit="1" customWidth="1"/>
    <col min="3858" max="4095" width="9.140625" style="919"/>
    <col min="4096" max="4096" width="10.28515625" style="919" customWidth="1"/>
    <col min="4097" max="4097" width="0.7109375" style="919" customWidth="1"/>
    <col min="4098" max="4098" width="15.42578125" style="919" customWidth="1"/>
    <col min="4099" max="4099" width="90" style="919" bestFit="1" customWidth="1"/>
    <col min="4100" max="4100" width="40.28515625" style="919" customWidth="1"/>
    <col min="4101" max="4101" width="31.5703125" style="919" customWidth="1"/>
    <col min="4102" max="4102" width="19.140625" style="919" customWidth="1"/>
    <col min="4103" max="4103" width="30.5703125" style="919" bestFit="1" customWidth="1"/>
    <col min="4104" max="4104" width="13.7109375" style="919" customWidth="1"/>
    <col min="4105" max="4105" width="20.42578125" style="919" customWidth="1"/>
    <col min="4106" max="4106" width="0" style="919" hidden="1" customWidth="1"/>
    <col min="4107" max="4107" width="32" style="919" bestFit="1" customWidth="1"/>
    <col min="4108" max="4108" width="28" style="919" bestFit="1" customWidth="1"/>
    <col min="4109" max="4109" width="26.28515625" style="919" bestFit="1" customWidth="1"/>
    <col min="4110" max="4110" width="25.5703125" style="919" bestFit="1" customWidth="1"/>
    <col min="4111" max="4111" width="28" style="919" bestFit="1" customWidth="1"/>
    <col min="4112" max="4112" width="30.5703125" style="919" bestFit="1" customWidth="1"/>
    <col min="4113" max="4113" width="21.42578125" style="919" bestFit="1" customWidth="1"/>
    <col min="4114" max="4351" width="9.140625" style="919"/>
    <col min="4352" max="4352" width="10.28515625" style="919" customWidth="1"/>
    <col min="4353" max="4353" width="0.7109375" style="919" customWidth="1"/>
    <col min="4354" max="4354" width="15.42578125" style="919" customWidth="1"/>
    <col min="4355" max="4355" width="90" style="919" bestFit="1" customWidth="1"/>
    <col min="4356" max="4356" width="40.28515625" style="919" customWidth="1"/>
    <col min="4357" max="4357" width="31.5703125" style="919" customWidth="1"/>
    <col min="4358" max="4358" width="19.140625" style="919" customWidth="1"/>
    <col min="4359" max="4359" width="30.5703125" style="919" bestFit="1" customWidth="1"/>
    <col min="4360" max="4360" width="13.7109375" style="919" customWidth="1"/>
    <col min="4361" max="4361" width="20.42578125" style="919" customWidth="1"/>
    <col min="4362" max="4362" width="0" style="919" hidden="1" customWidth="1"/>
    <col min="4363" max="4363" width="32" style="919" bestFit="1" customWidth="1"/>
    <col min="4364" max="4364" width="28" style="919" bestFit="1" customWidth="1"/>
    <col min="4365" max="4365" width="26.28515625" style="919" bestFit="1" customWidth="1"/>
    <col min="4366" max="4366" width="25.5703125" style="919" bestFit="1" customWidth="1"/>
    <col min="4367" max="4367" width="28" style="919" bestFit="1" customWidth="1"/>
    <col min="4368" max="4368" width="30.5703125" style="919" bestFit="1" customWidth="1"/>
    <col min="4369" max="4369" width="21.42578125" style="919" bestFit="1" customWidth="1"/>
    <col min="4370" max="4607" width="9.140625" style="919"/>
    <col min="4608" max="4608" width="10.28515625" style="919" customWidth="1"/>
    <col min="4609" max="4609" width="0.7109375" style="919" customWidth="1"/>
    <col min="4610" max="4610" width="15.42578125" style="919" customWidth="1"/>
    <col min="4611" max="4611" width="90" style="919" bestFit="1" customWidth="1"/>
    <col min="4612" max="4612" width="40.28515625" style="919" customWidth="1"/>
    <col min="4613" max="4613" width="31.5703125" style="919" customWidth="1"/>
    <col min="4614" max="4614" width="19.140625" style="919" customWidth="1"/>
    <col min="4615" max="4615" width="30.5703125" style="919" bestFit="1" customWidth="1"/>
    <col min="4616" max="4616" width="13.7109375" style="919" customWidth="1"/>
    <col min="4617" max="4617" width="20.42578125" style="919" customWidth="1"/>
    <col min="4618" max="4618" width="0" style="919" hidden="1" customWidth="1"/>
    <col min="4619" max="4619" width="32" style="919" bestFit="1" customWidth="1"/>
    <col min="4620" max="4620" width="28" style="919" bestFit="1" customWidth="1"/>
    <col min="4621" max="4621" width="26.28515625" style="919" bestFit="1" customWidth="1"/>
    <col min="4622" max="4622" width="25.5703125" style="919" bestFit="1" customWidth="1"/>
    <col min="4623" max="4623" width="28" style="919" bestFit="1" customWidth="1"/>
    <col min="4624" max="4624" width="30.5703125" style="919" bestFit="1" customWidth="1"/>
    <col min="4625" max="4625" width="21.42578125" style="919" bestFit="1" customWidth="1"/>
    <col min="4626" max="4863" width="9.140625" style="919"/>
    <col min="4864" max="4864" width="10.28515625" style="919" customWidth="1"/>
    <col min="4865" max="4865" width="0.7109375" style="919" customWidth="1"/>
    <col min="4866" max="4866" width="15.42578125" style="919" customWidth="1"/>
    <col min="4867" max="4867" width="90" style="919" bestFit="1" customWidth="1"/>
    <col min="4868" max="4868" width="40.28515625" style="919" customWidth="1"/>
    <col min="4869" max="4869" width="31.5703125" style="919" customWidth="1"/>
    <col min="4870" max="4870" width="19.140625" style="919" customWidth="1"/>
    <col min="4871" max="4871" width="30.5703125" style="919" bestFit="1" customWidth="1"/>
    <col min="4872" max="4872" width="13.7109375" style="919" customWidth="1"/>
    <col min="4873" max="4873" width="20.42578125" style="919" customWidth="1"/>
    <col min="4874" max="4874" width="0" style="919" hidden="1" customWidth="1"/>
    <col min="4875" max="4875" width="32" style="919" bestFit="1" customWidth="1"/>
    <col min="4876" max="4876" width="28" style="919" bestFit="1" customWidth="1"/>
    <col min="4877" max="4877" width="26.28515625" style="919" bestFit="1" customWidth="1"/>
    <col min="4878" max="4878" width="25.5703125" style="919" bestFit="1" customWidth="1"/>
    <col min="4879" max="4879" width="28" style="919" bestFit="1" customWidth="1"/>
    <col min="4880" max="4880" width="30.5703125" style="919" bestFit="1" customWidth="1"/>
    <col min="4881" max="4881" width="21.42578125" style="919" bestFit="1" customWidth="1"/>
    <col min="4882" max="5119" width="9.140625" style="919"/>
    <col min="5120" max="5120" width="10.28515625" style="919" customWidth="1"/>
    <col min="5121" max="5121" width="0.7109375" style="919" customWidth="1"/>
    <col min="5122" max="5122" width="15.42578125" style="919" customWidth="1"/>
    <col min="5123" max="5123" width="90" style="919" bestFit="1" customWidth="1"/>
    <col min="5124" max="5124" width="40.28515625" style="919" customWidth="1"/>
    <col min="5125" max="5125" width="31.5703125" style="919" customWidth="1"/>
    <col min="5126" max="5126" width="19.140625" style="919" customWidth="1"/>
    <col min="5127" max="5127" width="30.5703125" style="919" bestFit="1" customWidth="1"/>
    <col min="5128" max="5128" width="13.7109375" style="919" customWidth="1"/>
    <col min="5129" max="5129" width="20.42578125" style="919" customWidth="1"/>
    <col min="5130" max="5130" width="0" style="919" hidden="1" customWidth="1"/>
    <col min="5131" max="5131" width="32" style="919" bestFit="1" customWidth="1"/>
    <col min="5132" max="5132" width="28" style="919" bestFit="1" customWidth="1"/>
    <col min="5133" max="5133" width="26.28515625" style="919" bestFit="1" customWidth="1"/>
    <col min="5134" max="5134" width="25.5703125" style="919" bestFit="1" customWidth="1"/>
    <col min="5135" max="5135" width="28" style="919" bestFit="1" customWidth="1"/>
    <col min="5136" max="5136" width="30.5703125" style="919" bestFit="1" customWidth="1"/>
    <col min="5137" max="5137" width="21.42578125" style="919" bestFit="1" customWidth="1"/>
    <col min="5138" max="5375" width="9.140625" style="919"/>
    <col min="5376" max="5376" width="10.28515625" style="919" customWidth="1"/>
    <col min="5377" max="5377" width="0.7109375" style="919" customWidth="1"/>
    <col min="5378" max="5378" width="15.42578125" style="919" customWidth="1"/>
    <col min="5379" max="5379" width="90" style="919" bestFit="1" customWidth="1"/>
    <col min="5380" max="5380" width="40.28515625" style="919" customWidth="1"/>
    <col min="5381" max="5381" width="31.5703125" style="919" customWidth="1"/>
    <col min="5382" max="5382" width="19.140625" style="919" customWidth="1"/>
    <col min="5383" max="5383" width="30.5703125" style="919" bestFit="1" customWidth="1"/>
    <col min="5384" max="5384" width="13.7109375" style="919" customWidth="1"/>
    <col min="5385" max="5385" width="20.42578125" style="919" customWidth="1"/>
    <col min="5386" max="5386" width="0" style="919" hidden="1" customWidth="1"/>
    <col min="5387" max="5387" width="32" style="919" bestFit="1" customWidth="1"/>
    <col min="5388" max="5388" width="28" style="919" bestFit="1" customWidth="1"/>
    <col min="5389" max="5389" width="26.28515625" style="919" bestFit="1" customWidth="1"/>
    <col min="5390" max="5390" width="25.5703125" style="919" bestFit="1" customWidth="1"/>
    <col min="5391" max="5391" width="28" style="919" bestFit="1" customWidth="1"/>
    <col min="5392" max="5392" width="30.5703125" style="919" bestFit="1" customWidth="1"/>
    <col min="5393" max="5393" width="21.42578125" style="919" bestFit="1" customWidth="1"/>
    <col min="5394" max="5631" width="9.140625" style="919"/>
    <col min="5632" max="5632" width="10.28515625" style="919" customWidth="1"/>
    <col min="5633" max="5633" width="0.7109375" style="919" customWidth="1"/>
    <col min="5634" max="5634" width="15.42578125" style="919" customWidth="1"/>
    <col min="5635" max="5635" width="90" style="919" bestFit="1" customWidth="1"/>
    <col min="5636" max="5636" width="40.28515625" style="919" customWidth="1"/>
    <col min="5637" max="5637" width="31.5703125" style="919" customWidth="1"/>
    <col min="5638" max="5638" width="19.140625" style="919" customWidth="1"/>
    <col min="5639" max="5639" width="30.5703125" style="919" bestFit="1" customWidth="1"/>
    <col min="5640" max="5640" width="13.7109375" style="919" customWidth="1"/>
    <col min="5641" max="5641" width="20.42578125" style="919" customWidth="1"/>
    <col min="5642" max="5642" width="0" style="919" hidden="1" customWidth="1"/>
    <col min="5643" max="5643" width="32" style="919" bestFit="1" customWidth="1"/>
    <col min="5644" max="5644" width="28" style="919" bestFit="1" customWidth="1"/>
    <col min="5645" max="5645" width="26.28515625" style="919" bestFit="1" customWidth="1"/>
    <col min="5646" max="5646" width="25.5703125" style="919" bestFit="1" customWidth="1"/>
    <col min="5647" max="5647" width="28" style="919" bestFit="1" customWidth="1"/>
    <col min="5648" max="5648" width="30.5703125" style="919" bestFit="1" customWidth="1"/>
    <col min="5649" max="5649" width="21.42578125" style="919" bestFit="1" customWidth="1"/>
    <col min="5650" max="5887" width="9.140625" style="919"/>
    <col min="5888" max="5888" width="10.28515625" style="919" customWidth="1"/>
    <col min="5889" max="5889" width="0.7109375" style="919" customWidth="1"/>
    <col min="5890" max="5890" width="15.42578125" style="919" customWidth="1"/>
    <col min="5891" max="5891" width="90" style="919" bestFit="1" customWidth="1"/>
    <col min="5892" max="5892" width="40.28515625" style="919" customWidth="1"/>
    <col min="5893" max="5893" width="31.5703125" style="919" customWidth="1"/>
    <col min="5894" max="5894" width="19.140625" style="919" customWidth="1"/>
    <col min="5895" max="5895" width="30.5703125" style="919" bestFit="1" customWidth="1"/>
    <col min="5896" max="5896" width="13.7109375" style="919" customWidth="1"/>
    <col min="5897" max="5897" width="20.42578125" style="919" customWidth="1"/>
    <col min="5898" max="5898" width="0" style="919" hidden="1" customWidth="1"/>
    <col min="5899" max="5899" width="32" style="919" bestFit="1" customWidth="1"/>
    <col min="5900" max="5900" width="28" style="919" bestFit="1" customWidth="1"/>
    <col min="5901" max="5901" width="26.28515625" style="919" bestFit="1" customWidth="1"/>
    <col min="5902" max="5902" width="25.5703125" style="919" bestFit="1" customWidth="1"/>
    <col min="5903" max="5903" width="28" style="919" bestFit="1" customWidth="1"/>
    <col min="5904" max="5904" width="30.5703125" style="919" bestFit="1" customWidth="1"/>
    <col min="5905" max="5905" width="21.42578125" style="919" bestFit="1" customWidth="1"/>
    <col min="5906" max="6143" width="9.140625" style="919"/>
    <col min="6144" max="6144" width="10.28515625" style="919" customWidth="1"/>
    <col min="6145" max="6145" width="0.7109375" style="919" customWidth="1"/>
    <col min="6146" max="6146" width="15.42578125" style="919" customWidth="1"/>
    <col min="6147" max="6147" width="90" style="919" bestFit="1" customWidth="1"/>
    <col min="6148" max="6148" width="40.28515625" style="919" customWidth="1"/>
    <col min="6149" max="6149" width="31.5703125" style="919" customWidth="1"/>
    <col min="6150" max="6150" width="19.140625" style="919" customWidth="1"/>
    <col min="6151" max="6151" width="30.5703125" style="919" bestFit="1" customWidth="1"/>
    <col min="6152" max="6152" width="13.7109375" style="919" customWidth="1"/>
    <col min="6153" max="6153" width="20.42578125" style="919" customWidth="1"/>
    <col min="6154" max="6154" width="0" style="919" hidden="1" customWidth="1"/>
    <col min="6155" max="6155" width="32" style="919" bestFit="1" customWidth="1"/>
    <col min="6156" max="6156" width="28" style="919" bestFit="1" customWidth="1"/>
    <col min="6157" max="6157" width="26.28515625" style="919" bestFit="1" customWidth="1"/>
    <col min="6158" max="6158" width="25.5703125" style="919" bestFit="1" customWidth="1"/>
    <col min="6159" max="6159" width="28" style="919" bestFit="1" customWidth="1"/>
    <col min="6160" max="6160" width="30.5703125" style="919" bestFit="1" customWidth="1"/>
    <col min="6161" max="6161" width="21.42578125" style="919" bestFit="1" customWidth="1"/>
    <col min="6162" max="6399" width="9.140625" style="919"/>
    <col min="6400" max="6400" width="10.28515625" style="919" customWidth="1"/>
    <col min="6401" max="6401" width="0.7109375" style="919" customWidth="1"/>
    <col min="6402" max="6402" width="15.42578125" style="919" customWidth="1"/>
    <col min="6403" max="6403" width="90" style="919" bestFit="1" customWidth="1"/>
    <col min="6404" max="6404" width="40.28515625" style="919" customWidth="1"/>
    <col min="6405" max="6405" width="31.5703125" style="919" customWidth="1"/>
    <col min="6406" max="6406" width="19.140625" style="919" customWidth="1"/>
    <col min="6407" max="6407" width="30.5703125" style="919" bestFit="1" customWidth="1"/>
    <col min="6408" max="6408" width="13.7109375" style="919" customWidth="1"/>
    <col min="6409" max="6409" width="20.42578125" style="919" customWidth="1"/>
    <col min="6410" max="6410" width="0" style="919" hidden="1" customWidth="1"/>
    <col min="6411" max="6411" width="32" style="919" bestFit="1" customWidth="1"/>
    <col min="6412" max="6412" width="28" style="919" bestFit="1" customWidth="1"/>
    <col min="6413" max="6413" width="26.28515625" style="919" bestFit="1" customWidth="1"/>
    <col min="6414" max="6414" width="25.5703125" style="919" bestFit="1" customWidth="1"/>
    <col min="6415" max="6415" width="28" style="919" bestFit="1" customWidth="1"/>
    <col min="6416" max="6416" width="30.5703125" style="919" bestFit="1" customWidth="1"/>
    <col min="6417" max="6417" width="21.42578125" style="919" bestFit="1" customWidth="1"/>
    <col min="6418" max="6655" width="9.140625" style="919"/>
    <col min="6656" max="6656" width="10.28515625" style="919" customWidth="1"/>
    <col min="6657" max="6657" width="0.7109375" style="919" customWidth="1"/>
    <col min="6658" max="6658" width="15.42578125" style="919" customWidth="1"/>
    <col min="6659" max="6659" width="90" style="919" bestFit="1" customWidth="1"/>
    <col min="6660" max="6660" width="40.28515625" style="919" customWidth="1"/>
    <col min="6661" max="6661" width="31.5703125" style="919" customWidth="1"/>
    <col min="6662" max="6662" width="19.140625" style="919" customWidth="1"/>
    <col min="6663" max="6663" width="30.5703125" style="919" bestFit="1" customWidth="1"/>
    <col min="6664" max="6664" width="13.7109375" style="919" customWidth="1"/>
    <col min="6665" max="6665" width="20.42578125" style="919" customWidth="1"/>
    <col min="6666" max="6666" width="0" style="919" hidden="1" customWidth="1"/>
    <col min="6667" max="6667" width="32" style="919" bestFit="1" customWidth="1"/>
    <col min="6668" max="6668" width="28" style="919" bestFit="1" customWidth="1"/>
    <col min="6669" max="6669" width="26.28515625" style="919" bestFit="1" customWidth="1"/>
    <col min="6670" max="6670" width="25.5703125" style="919" bestFit="1" customWidth="1"/>
    <col min="6671" max="6671" width="28" style="919" bestFit="1" customWidth="1"/>
    <col min="6672" max="6672" width="30.5703125" style="919" bestFit="1" customWidth="1"/>
    <col min="6673" max="6673" width="21.42578125" style="919" bestFit="1" customWidth="1"/>
    <col min="6674" max="6911" width="9.140625" style="919"/>
    <col min="6912" max="6912" width="10.28515625" style="919" customWidth="1"/>
    <col min="6913" max="6913" width="0.7109375" style="919" customWidth="1"/>
    <col min="6914" max="6914" width="15.42578125" style="919" customWidth="1"/>
    <col min="6915" max="6915" width="90" style="919" bestFit="1" customWidth="1"/>
    <col min="6916" max="6916" width="40.28515625" style="919" customWidth="1"/>
    <col min="6917" max="6917" width="31.5703125" style="919" customWidth="1"/>
    <col min="6918" max="6918" width="19.140625" style="919" customWidth="1"/>
    <col min="6919" max="6919" width="30.5703125" style="919" bestFit="1" customWidth="1"/>
    <col min="6920" max="6920" width="13.7109375" style="919" customWidth="1"/>
    <col min="6921" max="6921" width="20.42578125" style="919" customWidth="1"/>
    <col min="6922" max="6922" width="0" style="919" hidden="1" customWidth="1"/>
    <col min="6923" max="6923" width="32" style="919" bestFit="1" customWidth="1"/>
    <col min="6924" max="6924" width="28" style="919" bestFit="1" customWidth="1"/>
    <col min="6925" max="6925" width="26.28515625" style="919" bestFit="1" customWidth="1"/>
    <col min="6926" max="6926" width="25.5703125" style="919" bestFit="1" customWidth="1"/>
    <col min="6927" max="6927" width="28" style="919" bestFit="1" customWidth="1"/>
    <col min="6928" max="6928" width="30.5703125" style="919" bestFit="1" customWidth="1"/>
    <col min="6929" max="6929" width="21.42578125" style="919" bestFit="1" customWidth="1"/>
    <col min="6930" max="7167" width="9.140625" style="919"/>
    <col min="7168" max="7168" width="10.28515625" style="919" customWidth="1"/>
    <col min="7169" max="7169" width="0.7109375" style="919" customWidth="1"/>
    <col min="7170" max="7170" width="15.42578125" style="919" customWidth="1"/>
    <col min="7171" max="7171" width="90" style="919" bestFit="1" customWidth="1"/>
    <col min="7172" max="7172" width="40.28515625" style="919" customWidth="1"/>
    <col min="7173" max="7173" width="31.5703125" style="919" customWidth="1"/>
    <col min="7174" max="7174" width="19.140625" style="919" customWidth="1"/>
    <col min="7175" max="7175" width="30.5703125" style="919" bestFit="1" customWidth="1"/>
    <col min="7176" max="7176" width="13.7109375" style="919" customWidth="1"/>
    <col min="7177" max="7177" width="20.42578125" style="919" customWidth="1"/>
    <col min="7178" max="7178" width="0" style="919" hidden="1" customWidth="1"/>
    <col min="7179" max="7179" width="32" style="919" bestFit="1" customWidth="1"/>
    <col min="7180" max="7180" width="28" style="919" bestFit="1" customWidth="1"/>
    <col min="7181" max="7181" width="26.28515625" style="919" bestFit="1" customWidth="1"/>
    <col min="7182" max="7182" width="25.5703125" style="919" bestFit="1" customWidth="1"/>
    <col min="7183" max="7183" width="28" style="919" bestFit="1" customWidth="1"/>
    <col min="7184" max="7184" width="30.5703125" style="919" bestFit="1" customWidth="1"/>
    <col min="7185" max="7185" width="21.42578125" style="919" bestFit="1" customWidth="1"/>
    <col min="7186" max="7423" width="9.140625" style="919"/>
    <col min="7424" max="7424" width="10.28515625" style="919" customWidth="1"/>
    <col min="7425" max="7425" width="0.7109375" style="919" customWidth="1"/>
    <col min="7426" max="7426" width="15.42578125" style="919" customWidth="1"/>
    <col min="7427" max="7427" width="90" style="919" bestFit="1" customWidth="1"/>
    <col min="7428" max="7428" width="40.28515625" style="919" customWidth="1"/>
    <col min="7429" max="7429" width="31.5703125" style="919" customWidth="1"/>
    <col min="7430" max="7430" width="19.140625" style="919" customWidth="1"/>
    <col min="7431" max="7431" width="30.5703125" style="919" bestFit="1" customWidth="1"/>
    <col min="7432" max="7432" width="13.7109375" style="919" customWidth="1"/>
    <col min="7433" max="7433" width="20.42578125" style="919" customWidth="1"/>
    <col min="7434" max="7434" width="0" style="919" hidden="1" customWidth="1"/>
    <col min="7435" max="7435" width="32" style="919" bestFit="1" customWidth="1"/>
    <col min="7436" max="7436" width="28" style="919" bestFit="1" customWidth="1"/>
    <col min="7437" max="7437" width="26.28515625" style="919" bestFit="1" customWidth="1"/>
    <col min="7438" max="7438" width="25.5703125" style="919" bestFit="1" customWidth="1"/>
    <col min="7439" max="7439" width="28" style="919" bestFit="1" customWidth="1"/>
    <col min="7440" max="7440" width="30.5703125" style="919" bestFit="1" customWidth="1"/>
    <col min="7441" max="7441" width="21.42578125" style="919" bestFit="1" customWidth="1"/>
    <col min="7442" max="7679" width="9.140625" style="919"/>
    <col min="7680" max="7680" width="10.28515625" style="919" customWidth="1"/>
    <col min="7681" max="7681" width="0.7109375" style="919" customWidth="1"/>
    <col min="7682" max="7682" width="15.42578125" style="919" customWidth="1"/>
    <col min="7683" max="7683" width="90" style="919" bestFit="1" customWidth="1"/>
    <col min="7684" max="7684" width="40.28515625" style="919" customWidth="1"/>
    <col min="7685" max="7685" width="31.5703125" style="919" customWidth="1"/>
    <col min="7686" max="7686" width="19.140625" style="919" customWidth="1"/>
    <col min="7687" max="7687" width="30.5703125" style="919" bestFit="1" customWidth="1"/>
    <col min="7688" max="7688" width="13.7109375" style="919" customWidth="1"/>
    <col min="7689" max="7689" width="20.42578125" style="919" customWidth="1"/>
    <col min="7690" max="7690" width="0" style="919" hidden="1" customWidth="1"/>
    <col min="7691" max="7691" width="32" style="919" bestFit="1" customWidth="1"/>
    <col min="7692" max="7692" width="28" style="919" bestFit="1" customWidth="1"/>
    <col min="7693" max="7693" width="26.28515625" style="919" bestFit="1" customWidth="1"/>
    <col min="7694" max="7694" width="25.5703125" style="919" bestFit="1" customWidth="1"/>
    <col min="7695" max="7695" width="28" style="919" bestFit="1" customWidth="1"/>
    <col min="7696" max="7696" width="30.5703125" style="919" bestFit="1" customWidth="1"/>
    <col min="7697" max="7697" width="21.42578125" style="919" bestFit="1" customWidth="1"/>
    <col min="7698" max="7935" width="9.140625" style="919"/>
    <col min="7936" max="7936" width="10.28515625" style="919" customWidth="1"/>
    <col min="7937" max="7937" width="0.7109375" style="919" customWidth="1"/>
    <col min="7938" max="7938" width="15.42578125" style="919" customWidth="1"/>
    <col min="7939" max="7939" width="90" style="919" bestFit="1" customWidth="1"/>
    <col min="7940" max="7940" width="40.28515625" style="919" customWidth="1"/>
    <col min="7941" max="7941" width="31.5703125" style="919" customWidth="1"/>
    <col min="7942" max="7942" width="19.140625" style="919" customWidth="1"/>
    <col min="7943" max="7943" width="30.5703125" style="919" bestFit="1" customWidth="1"/>
    <col min="7944" max="7944" width="13.7109375" style="919" customWidth="1"/>
    <col min="7945" max="7945" width="20.42578125" style="919" customWidth="1"/>
    <col min="7946" max="7946" width="0" style="919" hidden="1" customWidth="1"/>
    <col min="7947" max="7947" width="32" style="919" bestFit="1" customWidth="1"/>
    <col min="7948" max="7948" width="28" style="919" bestFit="1" customWidth="1"/>
    <col min="7949" max="7949" width="26.28515625" style="919" bestFit="1" customWidth="1"/>
    <col min="7950" max="7950" width="25.5703125" style="919" bestFit="1" customWidth="1"/>
    <col min="7951" max="7951" width="28" style="919" bestFit="1" customWidth="1"/>
    <col min="7952" max="7952" width="30.5703125" style="919" bestFit="1" customWidth="1"/>
    <col min="7953" max="7953" width="21.42578125" style="919" bestFit="1" customWidth="1"/>
    <col min="7954" max="8191" width="9.140625" style="919"/>
    <col min="8192" max="8192" width="10.28515625" style="919" customWidth="1"/>
    <col min="8193" max="8193" width="0.7109375" style="919" customWidth="1"/>
    <col min="8194" max="8194" width="15.42578125" style="919" customWidth="1"/>
    <col min="8195" max="8195" width="90" style="919" bestFit="1" customWidth="1"/>
    <col min="8196" max="8196" width="40.28515625" style="919" customWidth="1"/>
    <col min="8197" max="8197" width="31.5703125" style="919" customWidth="1"/>
    <col min="8198" max="8198" width="19.140625" style="919" customWidth="1"/>
    <col min="8199" max="8199" width="30.5703125" style="919" bestFit="1" customWidth="1"/>
    <col min="8200" max="8200" width="13.7109375" style="919" customWidth="1"/>
    <col min="8201" max="8201" width="20.42578125" style="919" customWidth="1"/>
    <col min="8202" max="8202" width="0" style="919" hidden="1" customWidth="1"/>
    <col min="8203" max="8203" width="32" style="919" bestFit="1" customWidth="1"/>
    <col min="8204" max="8204" width="28" style="919" bestFit="1" customWidth="1"/>
    <col min="8205" max="8205" width="26.28515625" style="919" bestFit="1" customWidth="1"/>
    <col min="8206" max="8206" width="25.5703125" style="919" bestFit="1" customWidth="1"/>
    <col min="8207" max="8207" width="28" style="919" bestFit="1" customWidth="1"/>
    <col min="8208" max="8208" width="30.5703125" style="919" bestFit="1" customWidth="1"/>
    <col min="8209" max="8209" width="21.42578125" style="919" bestFit="1" customWidth="1"/>
    <col min="8210" max="8447" width="9.140625" style="919"/>
    <col min="8448" max="8448" width="10.28515625" style="919" customWidth="1"/>
    <col min="8449" max="8449" width="0.7109375" style="919" customWidth="1"/>
    <col min="8450" max="8450" width="15.42578125" style="919" customWidth="1"/>
    <col min="8451" max="8451" width="90" style="919" bestFit="1" customWidth="1"/>
    <col min="8452" max="8452" width="40.28515625" style="919" customWidth="1"/>
    <col min="8453" max="8453" width="31.5703125" style="919" customWidth="1"/>
    <col min="8454" max="8454" width="19.140625" style="919" customWidth="1"/>
    <col min="8455" max="8455" width="30.5703125" style="919" bestFit="1" customWidth="1"/>
    <col min="8456" max="8456" width="13.7109375" style="919" customWidth="1"/>
    <col min="8457" max="8457" width="20.42578125" style="919" customWidth="1"/>
    <col min="8458" max="8458" width="0" style="919" hidden="1" customWidth="1"/>
    <col min="8459" max="8459" width="32" style="919" bestFit="1" customWidth="1"/>
    <col min="8460" max="8460" width="28" style="919" bestFit="1" customWidth="1"/>
    <col min="8461" max="8461" width="26.28515625" style="919" bestFit="1" customWidth="1"/>
    <col min="8462" max="8462" width="25.5703125" style="919" bestFit="1" customWidth="1"/>
    <col min="8463" max="8463" width="28" style="919" bestFit="1" customWidth="1"/>
    <col min="8464" max="8464" width="30.5703125" style="919" bestFit="1" customWidth="1"/>
    <col min="8465" max="8465" width="21.42578125" style="919" bestFit="1" customWidth="1"/>
    <col min="8466" max="8703" width="9.140625" style="919"/>
    <col min="8704" max="8704" width="10.28515625" style="919" customWidth="1"/>
    <col min="8705" max="8705" width="0.7109375" style="919" customWidth="1"/>
    <col min="8706" max="8706" width="15.42578125" style="919" customWidth="1"/>
    <col min="8707" max="8707" width="90" style="919" bestFit="1" customWidth="1"/>
    <col min="8708" max="8708" width="40.28515625" style="919" customWidth="1"/>
    <col min="8709" max="8709" width="31.5703125" style="919" customWidth="1"/>
    <col min="8710" max="8710" width="19.140625" style="919" customWidth="1"/>
    <col min="8711" max="8711" width="30.5703125" style="919" bestFit="1" customWidth="1"/>
    <col min="8712" max="8712" width="13.7109375" style="919" customWidth="1"/>
    <col min="8713" max="8713" width="20.42578125" style="919" customWidth="1"/>
    <col min="8714" max="8714" width="0" style="919" hidden="1" customWidth="1"/>
    <col min="8715" max="8715" width="32" style="919" bestFit="1" customWidth="1"/>
    <col min="8716" max="8716" width="28" style="919" bestFit="1" customWidth="1"/>
    <col min="8717" max="8717" width="26.28515625" style="919" bestFit="1" customWidth="1"/>
    <col min="8718" max="8718" width="25.5703125" style="919" bestFit="1" customWidth="1"/>
    <col min="8719" max="8719" width="28" style="919" bestFit="1" customWidth="1"/>
    <col min="8720" max="8720" width="30.5703125" style="919" bestFit="1" customWidth="1"/>
    <col min="8721" max="8721" width="21.42578125" style="919" bestFit="1" customWidth="1"/>
    <col min="8722" max="8959" width="9.140625" style="919"/>
    <col min="8960" max="8960" width="10.28515625" style="919" customWidth="1"/>
    <col min="8961" max="8961" width="0.7109375" style="919" customWidth="1"/>
    <col min="8962" max="8962" width="15.42578125" style="919" customWidth="1"/>
    <col min="8963" max="8963" width="90" style="919" bestFit="1" customWidth="1"/>
    <col min="8964" max="8964" width="40.28515625" style="919" customWidth="1"/>
    <col min="8965" max="8965" width="31.5703125" style="919" customWidth="1"/>
    <col min="8966" max="8966" width="19.140625" style="919" customWidth="1"/>
    <col min="8967" max="8967" width="30.5703125" style="919" bestFit="1" customWidth="1"/>
    <col min="8968" max="8968" width="13.7109375" style="919" customWidth="1"/>
    <col min="8969" max="8969" width="20.42578125" style="919" customWidth="1"/>
    <col min="8970" max="8970" width="0" style="919" hidden="1" customWidth="1"/>
    <col min="8971" max="8971" width="32" style="919" bestFit="1" customWidth="1"/>
    <col min="8972" max="8972" width="28" style="919" bestFit="1" customWidth="1"/>
    <col min="8973" max="8973" width="26.28515625" style="919" bestFit="1" customWidth="1"/>
    <col min="8974" max="8974" width="25.5703125" style="919" bestFit="1" customWidth="1"/>
    <col min="8975" max="8975" width="28" style="919" bestFit="1" customWidth="1"/>
    <col min="8976" max="8976" width="30.5703125" style="919" bestFit="1" customWidth="1"/>
    <col min="8977" max="8977" width="21.42578125" style="919" bestFit="1" customWidth="1"/>
    <col min="8978" max="9215" width="9.140625" style="919"/>
    <col min="9216" max="9216" width="10.28515625" style="919" customWidth="1"/>
    <col min="9217" max="9217" width="0.7109375" style="919" customWidth="1"/>
    <col min="9218" max="9218" width="15.42578125" style="919" customWidth="1"/>
    <col min="9219" max="9219" width="90" style="919" bestFit="1" customWidth="1"/>
    <col min="9220" max="9220" width="40.28515625" style="919" customWidth="1"/>
    <col min="9221" max="9221" width="31.5703125" style="919" customWidth="1"/>
    <col min="9222" max="9222" width="19.140625" style="919" customWidth="1"/>
    <col min="9223" max="9223" width="30.5703125" style="919" bestFit="1" customWidth="1"/>
    <col min="9224" max="9224" width="13.7109375" style="919" customWidth="1"/>
    <col min="9225" max="9225" width="20.42578125" style="919" customWidth="1"/>
    <col min="9226" max="9226" width="0" style="919" hidden="1" customWidth="1"/>
    <col min="9227" max="9227" width="32" style="919" bestFit="1" customWidth="1"/>
    <col min="9228" max="9228" width="28" style="919" bestFit="1" customWidth="1"/>
    <col min="9229" max="9229" width="26.28515625" style="919" bestFit="1" customWidth="1"/>
    <col min="9230" max="9230" width="25.5703125" style="919" bestFit="1" customWidth="1"/>
    <col min="9231" max="9231" width="28" style="919" bestFit="1" customWidth="1"/>
    <col min="9232" max="9232" width="30.5703125" style="919" bestFit="1" customWidth="1"/>
    <col min="9233" max="9233" width="21.42578125" style="919" bestFit="1" customWidth="1"/>
    <col min="9234" max="9471" width="9.140625" style="919"/>
    <col min="9472" max="9472" width="10.28515625" style="919" customWidth="1"/>
    <col min="9473" max="9473" width="0.7109375" style="919" customWidth="1"/>
    <col min="9474" max="9474" width="15.42578125" style="919" customWidth="1"/>
    <col min="9475" max="9475" width="90" style="919" bestFit="1" customWidth="1"/>
    <col min="9476" max="9476" width="40.28515625" style="919" customWidth="1"/>
    <col min="9477" max="9477" width="31.5703125" style="919" customWidth="1"/>
    <col min="9478" max="9478" width="19.140625" style="919" customWidth="1"/>
    <col min="9479" max="9479" width="30.5703125" style="919" bestFit="1" customWidth="1"/>
    <col min="9480" max="9480" width="13.7109375" style="919" customWidth="1"/>
    <col min="9481" max="9481" width="20.42578125" style="919" customWidth="1"/>
    <col min="9482" max="9482" width="0" style="919" hidden="1" customWidth="1"/>
    <col min="9483" max="9483" width="32" style="919" bestFit="1" customWidth="1"/>
    <col min="9484" max="9484" width="28" style="919" bestFit="1" customWidth="1"/>
    <col min="9485" max="9485" width="26.28515625" style="919" bestFit="1" customWidth="1"/>
    <col min="9486" max="9486" width="25.5703125" style="919" bestFit="1" customWidth="1"/>
    <col min="9487" max="9487" width="28" style="919" bestFit="1" customWidth="1"/>
    <col min="9488" max="9488" width="30.5703125" style="919" bestFit="1" customWidth="1"/>
    <col min="9489" max="9489" width="21.42578125" style="919" bestFit="1" customWidth="1"/>
    <col min="9490" max="9727" width="9.140625" style="919"/>
    <col min="9728" max="9728" width="10.28515625" style="919" customWidth="1"/>
    <col min="9729" max="9729" width="0.7109375" style="919" customWidth="1"/>
    <col min="9730" max="9730" width="15.42578125" style="919" customWidth="1"/>
    <col min="9731" max="9731" width="90" style="919" bestFit="1" customWidth="1"/>
    <col min="9732" max="9732" width="40.28515625" style="919" customWidth="1"/>
    <col min="9733" max="9733" width="31.5703125" style="919" customWidth="1"/>
    <col min="9734" max="9734" width="19.140625" style="919" customWidth="1"/>
    <col min="9735" max="9735" width="30.5703125" style="919" bestFit="1" customWidth="1"/>
    <col min="9736" max="9736" width="13.7109375" style="919" customWidth="1"/>
    <col min="9737" max="9737" width="20.42578125" style="919" customWidth="1"/>
    <col min="9738" max="9738" width="0" style="919" hidden="1" customWidth="1"/>
    <col min="9739" max="9739" width="32" style="919" bestFit="1" customWidth="1"/>
    <col min="9740" max="9740" width="28" style="919" bestFit="1" customWidth="1"/>
    <col min="9741" max="9741" width="26.28515625" style="919" bestFit="1" customWidth="1"/>
    <col min="9742" max="9742" width="25.5703125" style="919" bestFit="1" customWidth="1"/>
    <col min="9743" max="9743" width="28" style="919" bestFit="1" customWidth="1"/>
    <col min="9744" max="9744" width="30.5703125" style="919" bestFit="1" customWidth="1"/>
    <col min="9745" max="9745" width="21.42578125" style="919" bestFit="1" customWidth="1"/>
    <col min="9746" max="9983" width="9.140625" style="919"/>
    <col min="9984" max="9984" width="10.28515625" style="919" customWidth="1"/>
    <col min="9985" max="9985" width="0.7109375" style="919" customWidth="1"/>
    <col min="9986" max="9986" width="15.42578125" style="919" customWidth="1"/>
    <col min="9987" max="9987" width="90" style="919" bestFit="1" customWidth="1"/>
    <col min="9988" max="9988" width="40.28515625" style="919" customWidth="1"/>
    <col min="9989" max="9989" width="31.5703125" style="919" customWidth="1"/>
    <col min="9990" max="9990" width="19.140625" style="919" customWidth="1"/>
    <col min="9991" max="9991" width="30.5703125" style="919" bestFit="1" customWidth="1"/>
    <col min="9992" max="9992" width="13.7109375" style="919" customWidth="1"/>
    <col min="9993" max="9993" width="20.42578125" style="919" customWidth="1"/>
    <col min="9994" max="9994" width="0" style="919" hidden="1" customWidth="1"/>
    <col min="9995" max="9995" width="32" style="919" bestFit="1" customWidth="1"/>
    <col min="9996" max="9996" width="28" style="919" bestFit="1" customWidth="1"/>
    <col min="9997" max="9997" width="26.28515625" style="919" bestFit="1" customWidth="1"/>
    <col min="9998" max="9998" width="25.5703125" style="919" bestFit="1" customWidth="1"/>
    <col min="9999" max="9999" width="28" style="919" bestFit="1" customWidth="1"/>
    <col min="10000" max="10000" width="30.5703125" style="919" bestFit="1" customWidth="1"/>
    <col min="10001" max="10001" width="21.42578125" style="919" bestFit="1" customWidth="1"/>
    <col min="10002" max="10239" width="9.140625" style="919"/>
    <col min="10240" max="10240" width="10.28515625" style="919" customWidth="1"/>
    <col min="10241" max="10241" width="0.7109375" style="919" customWidth="1"/>
    <col min="10242" max="10242" width="15.42578125" style="919" customWidth="1"/>
    <col min="10243" max="10243" width="90" style="919" bestFit="1" customWidth="1"/>
    <col min="10244" max="10244" width="40.28515625" style="919" customWidth="1"/>
    <col min="10245" max="10245" width="31.5703125" style="919" customWidth="1"/>
    <col min="10246" max="10246" width="19.140625" style="919" customWidth="1"/>
    <col min="10247" max="10247" width="30.5703125" style="919" bestFit="1" customWidth="1"/>
    <col min="10248" max="10248" width="13.7109375" style="919" customWidth="1"/>
    <col min="10249" max="10249" width="20.42578125" style="919" customWidth="1"/>
    <col min="10250" max="10250" width="0" style="919" hidden="1" customWidth="1"/>
    <col min="10251" max="10251" width="32" style="919" bestFit="1" customWidth="1"/>
    <col min="10252" max="10252" width="28" style="919" bestFit="1" customWidth="1"/>
    <col min="10253" max="10253" width="26.28515625" style="919" bestFit="1" customWidth="1"/>
    <col min="10254" max="10254" width="25.5703125" style="919" bestFit="1" customWidth="1"/>
    <col min="10255" max="10255" width="28" style="919" bestFit="1" customWidth="1"/>
    <col min="10256" max="10256" width="30.5703125" style="919" bestFit="1" customWidth="1"/>
    <col min="10257" max="10257" width="21.42578125" style="919" bestFit="1" customWidth="1"/>
    <col min="10258" max="10495" width="9.140625" style="919"/>
    <col min="10496" max="10496" width="10.28515625" style="919" customWidth="1"/>
    <col min="10497" max="10497" width="0.7109375" style="919" customWidth="1"/>
    <col min="10498" max="10498" width="15.42578125" style="919" customWidth="1"/>
    <col min="10499" max="10499" width="90" style="919" bestFit="1" customWidth="1"/>
    <col min="10500" max="10500" width="40.28515625" style="919" customWidth="1"/>
    <col min="10501" max="10501" width="31.5703125" style="919" customWidth="1"/>
    <col min="10502" max="10502" width="19.140625" style="919" customWidth="1"/>
    <col min="10503" max="10503" width="30.5703125" style="919" bestFit="1" customWidth="1"/>
    <col min="10504" max="10504" width="13.7109375" style="919" customWidth="1"/>
    <col min="10505" max="10505" width="20.42578125" style="919" customWidth="1"/>
    <col min="10506" max="10506" width="0" style="919" hidden="1" customWidth="1"/>
    <col min="10507" max="10507" width="32" style="919" bestFit="1" customWidth="1"/>
    <col min="10508" max="10508" width="28" style="919" bestFit="1" customWidth="1"/>
    <col min="10509" max="10509" width="26.28515625" style="919" bestFit="1" customWidth="1"/>
    <col min="10510" max="10510" width="25.5703125" style="919" bestFit="1" customWidth="1"/>
    <col min="10511" max="10511" width="28" style="919" bestFit="1" customWidth="1"/>
    <col min="10512" max="10512" width="30.5703125" style="919" bestFit="1" customWidth="1"/>
    <col min="10513" max="10513" width="21.42578125" style="919" bestFit="1" customWidth="1"/>
    <col min="10514" max="10751" width="9.140625" style="919"/>
    <col min="10752" max="10752" width="10.28515625" style="919" customWidth="1"/>
    <col min="10753" max="10753" width="0.7109375" style="919" customWidth="1"/>
    <col min="10754" max="10754" width="15.42578125" style="919" customWidth="1"/>
    <col min="10755" max="10755" width="90" style="919" bestFit="1" customWidth="1"/>
    <col min="10756" max="10756" width="40.28515625" style="919" customWidth="1"/>
    <col min="10757" max="10757" width="31.5703125" style="919" customWidth="1"/>
    <col min="10758" max="10758" width="19.140625" style="919" customWidth="1"/>
    <col min="10759" max="10759" width="30.5703125" style="919" bestFit="1" customWidth="1"/>
    <col min="10760" max="10760" width="13.7109375" style="919" customWidth="1"/>
    <col min="10761" max="10761" width="20.42578125" style="919" customWidth="1"/>
    <col min="10762" max="10762" width="0" style="919" hidden="1" customWidth="1"/>
    <col min="10763" max="10763" width="32" style="919" bestFit="1" customWidth="1"/>
    <col min="10764" max="10764" width="28" style="919" bestFit="1" customWidth="1"/>
    <col min="10765" max="10765" width="26.28515625" style="919" bestFit="1" customWidth="1"/>
    <col min="10766" max="10766" width="25.5703125" style="919" bestFit="1" customWidth="1"/>
    <col min="10767" max="10767" width="28" style="919" bestFit="1" customWidth="1"/>
    <col min="10768" max="10768" width="30.5703125" style="919" bestFit="1" customWidth="1"/>
    <col min="10769" max="10769" width="21.42578125" style="919" bestFit="1" customWidth="1"/>
    <col min="10770" max="11007" width="9.140625" style="919"/>
    <col min="11008" max="11008" width="10.28515625" style="919" customWidth="1"/>
    <col min="11009" max="11009" width="0.7109375" style="919" customWidth="1"/>
    <col min="11010" max="11010" width="15.42578125" style="919" customWidth="1"/>
    <col min="11011" max="11011" width="90" style="919" bestFit="1" customWidth="1"/>
    <col min="11012" max="11012" width="40.28515625" style="919" customWidth="1"/>
    <col min="11013" max="11013" width="31.5703125" style="919" customWidth="1"/>
    <col min="11014" max="11014" width="19.140625" style="919" customWidth="1"/>
    <col min="11015" max="11015" width="30.5703125" style="919" bestFit="1" customWidth="1"/>
    <col min="11016" max="11016" width="13.7109375" style="919" customWidth="1"/>
    <col min="11017" max="11017" width="20.42578125" style="919" customWidth="1"/>
    <col min="11018" max="11018" width="0" style="919" hidden="1" customWidth="1"/>
    <col min="11019" max="11019" width="32" style="919" bestFit="1" customWidth="1"/>
    <col min="11020" max="11020" width="28" style="919" bestFit="1" customWidth="1"/>
    <col min="11021" max="11021" width="26.28515625" style="919" bestFit="1" customWidth="1"/>
    <col min="11022" max="11022" width="25.5703125" style="919" bestFit="1" customWidth="1"/>
    <col min="11023" max="11023" width="28" style="919" bestFit="1" customWidth="1"/>
    <col min="11024" max="11024" width="30.5703125" style="919" bestFit="1" customWidth="1"/>
    <col min="11025" max="11025" width="21.42578125" style="919" bestFit="1" customWidth="1"/>
    <col min="11026" max="11263" width="9.140625" style="919"/>
    <col min="11264" max="11264" width="10.28515625" style="919" customWidth="1"/>
    <col min="11265" max="11265" width="0.7109375" style="919" customWidth="1"/>
    <col min="11266" max="11266" width="15.42578125" style="919" customWidth="1"/>
    <col min="11267" max="11267" width="90" style="919" bestFit="1" customWidth="1"/>
    <col min="11268" max="11268" width="40.28515625" style="919" customWidth="1"/>
    <col min="11269" max="11269" width="31.5703125" style="919" customWidth="1"/>
    <col min="11270" max="11270" width="19.140625" style="919" customWidth="1"/>
    <col min="11271" max="11271" width="30.5703125" style="919" bestFit="1" customWidth="1"/>
    <col min="11272" max="11272" width="13.7109375" style="919" customWidth="1"/>
    <col min="11273" max="11273" width="20.42578125" style="919" customWidth="1"/>
    <col min="11274" max="11274" width="0" style="919" hidden="1" customWidth="1"/>
    <col min="11275" max="11275" width="32" style="919" bestFit="1" customWidth="1"/>
    <col min="11276" max="11276" width="28" style="919" bestFit="1" customWidth="1"/>
    <col min="11277" max="11277" width="26.28515625" style="919" bestFit="1" customWidth="1"/>
    <col min="11278" max="11278" width="25.5703125" style="919" bestFit="1" customWidth="1"/>
    <col min="11279" max="11279" width="28" style="919" bestFit="1" customWidth="1"/>
    <col min="11280" max="11280" width="30.5703125" style="919" bestFit="1" customWidth="1"/>
    <col min="11281" max="11281" width="21.42578125" style="919" bestFit="1" customWidth="1"/>
    <col min="11282" max="11519" width="9.140625" style="919"/>
    <col min="11520" max="11520" width="10.28515625" style="919" customWidth="1"/>
    <col min="11521" max="11521" width="0.7109375" style="919" customWidth="1"/>
    <col min="11522" max="11522" width="15.42578125" style="919" customWidth="1"/>
    <col min="11523" max="11523" width="90" style="919" bestFit="1" customWidth="1"/>
    <col min="11524" max="11524" width="40.28515625" style="919" customWidth="1"/>
    <col min="11525" max="11525" width="31.5703125" style="919" customWidth="1"/>
    <col min="11526" max="11526" width="19.140625" style="919" customWidth="1"/>
    <col min="11527" max="11527" width="30.5703125" style="919" bestFit="1" customWidth="1"/>
    <col min="11528" max="11528" width="13.7109375" style="919" customWidth="1"/>
    <col min="11529" max="11529" width="20.42578125" style="919" customWidth="1"/>
    <col min="11530" max="11530" width="0" style="919" hidden="1" customWidth="1"/>
    <col min="11531" max="11531" width="32" style="919" bestFit="1" customWidth="1"/>
    <col min="11532" max="11532" width="28" style="919" bestFit="1" customWidth="1"/>
    <col min="11533" max="11533" width="26.28515625" style="919" bestFit="1" customWidth="1"/>
    <col min="11534" max="11534" width="25.5703125" style="919" bestFit="1" customWidth="1"/>
    <col min="11535" max="11535" width="28" style="919" bestFit="1" customWidth="1"/>
    <col min="11536" max="11536" width="30.5703125" style="919" bestFit="1" customWidth="1"/>
    <col min="11537" max="11537" width="21.42578125" style="919" bestFit="1" customWidth="1"/>
    <col min="11538" max="11775" width="9.140625" style="919"/>
    <col min="11776" max="11776" width="10.28515625" style="919" customWidth="1"/>
    <col min="11777" max="11777" width="0.7109375" style="919" customWidth="1"/>
    <col min="11778" max="11778" width="15.42578125" style="919" customWidth="1"/>
    <col min="11779" max="11779" width="90" style="919" bestFit="1" customWidth="1"/>
    <col min="11780" max="11780" width="40.28515625" style="919" customWidth="1"/>
    <col min="11781" max="11781" width="31.5703125" style="919" customWidth="1"/>
    <col min="11782" max="11782" width="19.140625" style="919" customWidth="1"/>
    <col min="11783" max="11783" width="30.5703125" style="919" bestFit="1" customWidth="1"/>
    <col min="11784" max="11784" width="13.7109375" style="919" customWidth="1"/>
    <col min="11785" max="11785" width="20.42578125" style="919" customWidth="1"/>
    <col min="11786" max="11786" width="0" style="919" hidden="1" customWidth="1"/>
    <col min="11787" max="11787" width="32" style="919" bestFit="1" customWidth="1"/>
    <col min="11788" max="11788" width="28" style="919" bestFit="1" customWidth="1"/>
    <col min="11789" max="11789" width="26.28515625" style="919" bestFit="1" customWidth="1"/>
    <col min="11790" max="11790" width="25.5703125" style="919" bestFit="1" customWidth="1"/>
    <col min="11791" max="11791" width="28" style="919" bestFit="1" customWidth="1"/>
    <col min="11792" max="11792" width="30.5703125" style="919" bestFit="1" customWidth="1"/>
    <col min="11793" max="11793" width="21.42578125" style="919" bestFit="1" customWidth="1"/>
    <col min="11794" max="12031" width="9.140625" style="919"/>
    <col min="12032" max="12032" width="10.28515625" style="919" customWidth="1"/>
    <col min="12033" max="12033" width="0.7109375" style="919" customWidth="1"/>
    <col min="12034" max="12034" width="15.42578125" style="919" customWidth="1"/>
    <col min="12035" max="12035" width="90" style="919" bestFit="1" customWidth="1"/>
    <col min="12036" max="12036" width="40.28515625" style="919" customWidth="1"/>
    <col min="12037" max="12037" width="31.5703125" style="919" customWidth="1"/>
    <col min="12038" max="12038" width="19.140625" style="919" customWidth="1"/>
    <col min="12039" max="12039" width="30.5703125" style="919" bestFit="1" customWidth="1"/>
    <col min="12040" max="12040" width="13.7109375" style="919" customWidth="1"/>
    <col min="12041" max="12041" width="20.42578125" style="919" customWidth="1"/>
    <col min="12042" max="12042" width="0" style="919" hidden="1" customWidth="1"/>
    <col min="12043" max="12043" width="32" style="919" bestFit="1" customWidth="1"/>
    <col min="12044" max="12044" width="28" style="919" bestFit="1" customWidth="1"/>
    <col min="12045" max="12045" width="26.28515625" style="919" bestFit="1" customWidth="1"/>
    <col min="12046" max="12046" width="25.5703125" style="919" bestFit="1" customWidth="1"/>
    <col min="12047" max="12047" width="28" style="919" bestFit="1" customWidth="1"/>
    <col min="12048" max="12048" width="30.5703125" style="919" bestFit="1" customWidth="1"/>
    <col min="12049" max="12049" width="21.42578125" style="919" bestFit="1" customWidth="1"/>
    <col min="12050" max="12287" width="9.140625" style="919"/>
    <col min="12288" max="12288" width="10.28515625" style="919" customWidth="1"/>
    <col min="12289" max="12289" width="0.7109375" style="919" customWidth="1"/>
    <col min="12290" max="12290" width="15.42578125" style="919" customWidth="1"/>
    <col min="12291" max="12291" width="90" style="919" bestFit="1" customWidth="1"/>
    <col min="12292" max="12292" width="40.28515625" style="919" customWidth="1"/>
    <col min="12293" max="12293" width="31.5703125" style="919" customWidth="1"/>
    <col min="12294" max="12294" width="19.140625" style="919" customWidth="1"/>
    <col min="12295" max="12295" width="30.5703125" style="919" bestFit="1" customWidth="1"/>
    <col min="12296" max="12296" width="13.7109375" style="919" customWidth="1"/>
    <col min="12297" max="12297" width="20.42578125" style="919" customWidth="1"/>
    <col min="12298" max="12298" width="0" style="919" hidden="1" customWidth="1"/>
    <col min="12299" max="12299" width="32" style="919" bestFit="1" customWidth="1"/>
    <col min="12300" max="12300" width="28" style="919" bestFit="1" customWidth="1"/>
    <col min="12301" max="12301" width="26.28515625" style="919" bestFit="1" customWidth="1"/>
    <col min="12302" max="12302" width="25.5703125" style="919" bestFit="1" customWidth="1"/>
    <col min="12303" max="12303" width="28" style="919" bestFit="1" customWidth="1"/>
    <col min="12304" max="12304" width="30.5703125" style="919" bestFit="1" customWidth="1"/>
    <col min="12305" max="12305" width="21.42578125" style="919" bestFit="1" customWidth="1"/>
    <col min="12306" max="12543" width="9.140625" style="919"/>
    <col min="12544" max="12544" width="10.28515625" style="919" customWidth="1"/>
    <col min="12545" max="12545" width="0.7109375" style="919" customWidth="1"/>
    <col min="12546" max="12546" width="15.42578125" style="919" customWidth="1"/>
    <col min="12547" max="12547" width="90" style="919" bestFit="1" customWidth="1"/>
    <col min="12548" max="12548" width="40.28515625" style="919" customWidth="1"/>
    <col min="12549" max="12549" width="31.5703125" style="919" customWidth="1"/>
    <col min="12550" max="12550" width="19.140625" style="919" customWidth="1"/>
    <col min="12551" max="12551" width="30.5703125" style="919" bestFit="1" customWidth="1"/>
    <col min="12552" max="12552" width="13.7109375" style="919" customWidth="1"/>
    <col min="12553" max="12553" width="20.42578125" style="919" customWidth="1"/>
    <col min="12554" max="12554" width="0" style="919" hidden="1" customWidth="1"/>
    <col min="12555" max="12555" width="32" style="919" bestFit="1" customWidth="1"/>
    <col min="12556" max="12556" width="28" style="919" bestFit="1" customWidth="1"/>
    <col min="12557" max="12557" width="26.28515625" style="919" bestFit="1" customWidth="1"/>
    <col min="12558" max="12558" width="25.5703125" style="919" bestFit="1" customWidth="1"/>
    <col min="12559" max="12559" width="28" style="919" bestFit="1" customWidth="1"/>
    <col min="12560" max="12560" width="30.5703125" style="919" bestFit="1" customWidth="1"/>
    <col min="12561" max="12561" width="21.42578125" style="919" bestFit="1" customWidth="1"/>
    <col min="12562" max="12799" width="9.140625" style="919"/>
    <col min="12800" max="12800" width="10.28515625" style="919" customWidth="1"/>
    <col min="12801" max="12801" width="0.7109375" style="919" customWidth="1"/>
    <col min="12802" max="12802" width="15.42578125" style="919" customWidth="1"/>
    <col min="12803" max="12803" width="90" style="919" bestFit="1" customWidth="1"/>
    <col min="12804" max="12804" width="40.28515625" style="919" customWidth="1"/>
    <col min="12805" max="12805" width="31.5703125" style="919" customWidth="1"/>
    <col min="12806" max="12806" width="19.140625" style="919" customWidth="1"/>
    <col min="12807" max="12807" width="30.5703125" style="919" bestFit="1" customWidth="1"/>
    <col min="12808" max="12808" width="13.7109375" style="919" customWidth="1"/>
    <col min="12809" max="12809" width="20.42578125" style="919" customWidth="1"/>
    <col min="12810" max="12810" width="0" style="919" hidden="1" customWidth="1"/>
    <col min="12811" max="12811" width="32" style="919" bestFit="1" customWidth="1"/>
    <col min="12812" max="12812" width="28" style="919" bestFit="1" customWidth="1"/>
    <col min="12813" max="12813" width="26.28515625" style="919" bestFit="1" customWidth="1"/>
    <col min="12814" max="12814" width="25.5703125" style="919" bestFit="1" customWidth="1"/>
    <col min="12815" max="12815" width="28" style="919" bestFit="1" customWidth="1"/>
    <col min="12816" max="12816" width="30.5703125" style="919" bestFit="1" customWidth="1"/>
    <col min="12817" max="12817" width="21.42578125" style="919" bestFit="1" customWidth="1"/>
    <col min="12818" max="13055" width="9.140625" style="919"/>
    <col min="13056" max="13056" width="10.28515625" style="919" customWidth="1"/>
    <col min="13057" max="13057" width="0.7109375" style="919" customWidth="1"/>
    <col min="13058" max="13058" width="15.42578125" style="919" customWidth="1"/>
    <col min="13059" max="13059" width="90" style="919" bestFit="1" customWidth="1"/>
    <col min="13060" max="13060" width="40.28515625" style="919" customWidth="1"/>
    <col min="13061" max="13061" width="31.5703125" style="919" customWidth="1"/>
    <col min="13062" max="13062" width="19.140625" style="919" customWidth="1"/>
    <col min="13063" max="13063" width="30.5703125" style="919" bestFit="1" customWidth="1"/>
    <col min="13064" max="13064" width="13.7109375" style="919" customWidth="1"/>
    <col min="13065" max="13065" width="20.42578125" style="919" customWidth="1"/>
    <col min="13066" max="13066" width="0" style="919" hidden="1" customWidth="1"/>
    <col min="13067" max="13067" width="32" style="919" bestFit="1" customWidth="1"/>
    <col min="13068" max="13068" width="28" style="919" bestFit="1" customWidth="1"/>
    <col min="13069" max="13069" width="26.28515625" style="919" bestFit="1" customWidth="1"/>
    <col min="13070" max="13070" width="25.5703125" style="919" bestFit="1" customWidth="1"/>
    <col min="13071" max="13071" width="28" style="919" bestFit="1" customWidth="1"/>
    <col min="13072" max="13072" width="30.5703125" style="919" bestFit="1" customWidth="1"/>
    <col min="13073" max="13073" width="21.42578125" style="919" bestFit="1" customWidth="1"/>
    <col min="13074" max="13311" width="9.140625" style="919"/>
    <col min="13312" max="13312" width="10.28515625" style="919" customWidth="1"/>
    <col min="13313" max="13313" width="0.7109375" style="919" customWidth="1"/>
    <col min="13314" max="13314" width="15.42578125" style="919" customWidth="1"/>
    <col min="13315" max="13315" width="90" style="919" bestFit="1" customWidth="1"/>
    <col min="13316" max="13316" width="40.28515625" style="919" customWidth="1"/>
    <col min="13317" max="13317" width="31.5703125" style="919" customWidth="1"/>
    <col min="13318" max="13318" width="19.140625" style="919" customWidth="1"/>
    <col min="13319" max="13319" width="30.5703125" style="919" bestFit="1" customWidth="1"/>
    <col min="13320" max="13320" width="13.7109375" style="919" customWidth="1"/>
    <col min="13321" max="13321" width="20.42578125" style="919" customWidth="1"/>
    <col min="13322" max="13322" width="0" style="919" hidden="1" customWidth="1"/>
    <col min="13323" max="13323" width="32" style="919" bestFit="1" customWidth="1"/>
    <col min="13324" max="13324" width="28" style="919" bestFit="1" customWidth="1"/>
    <col min="13325" max="13325" width="26.28515625" style="919" bestFit="1" customWidth="1"/>
    <col min="13326" max="13326" width="25.5703125" style="919" bestFit="1" customWidth="1"/>
    <col min="13327" max="13327" width="28" style="919" bestFit="1" customWidth="1"/>
    <col min="13328" max="13328" width="30.5703125" style="919" bestFit="1" customWidth="1"/>
    <col min="13329" max="13329" width="21.42578125" style="919" bestFit="1" customWidth="1"/>
    <col min="13330" max="13567" width="9.140625" style="919"/>
    <col min="13568" max="13568" width="10.28515625" style="919" customWidth="1"/>
    <col min="13569" max="13569" width="0.7109375" style="919" customWidth="1"/>
    <col min="13570" max="13570" width="15.42578125" style="919" customWidth="1"/>
    <col min="13571" max="13571" width="90" style="919" bestFit="1" customWidth="1"/>
    <col min="13572" max="13572" width="40.28515625" style="919" customWidth="1"/>
    <col min="13573" max="13573" width="31.5703125" style="919" customWidth="1"/>
    <col min="13574" max="13574" width="19.140625" style="919" customWidth="1"/>
    <col min="13575" max="13575" width="30.5703125" style="919" bestFit="1" customWidth="1"/>
    <col min="13576" max="13576" width="13.7109375" style="919" customWidth="1"/>
    <col min="13577" max="13577" width="20.42578125" style="919" customWidth="1"/>
    <col min="13578" max="13578" width="0" style="919" hidden="1" customWidth="1"/>
    <col min="13579" max="13579" width="32" style="919" bestFit="1" customWidth="1"/>
    <col min="13580" max="13580" width="28" style="919" bestFit="1" customWidth="1"/>
    <col min="13581" max="13581" width="26.28515625" style="919" bestFit="1" customWidth="1"/>
    <col min="13582" max="13582" width="25.5703125" style="919" bestFit="1" customWidth="1"/>
    <col min="13583" max="13583" width="28" style="919" bestFit="1" customWidth="1"/>
    <col min="13584" max="13584" width="30.5703125" style="919" bestFit="1" customWidth="1"/>
    <col min="13585" max="13585" width="21.42578125" style="919" bestFit="1" customWidth="1"/>
    <col min="13586" max="13823" width="9.140625" style="919"/>
    <col min="13824" max="13824" width="10.28515625" style="919" customWidth="1"/>
    <col min="13825" max="13825" width="0.7109375" style="919" customWidth="1"/>
    <col min="13826" max="13826" width="15.42578125" style="919" customWidth="1"/>
    <col min="13827" max="13827" width="90" style="919" bestFit="1" customWidth="1"/>
    <col min="13828" max="13828" width="40.28515625" style="919" customWidth="1"/>
    <col min="13829" max="13829" width="31.5703125" style="919" customWidth="1"/>
    <col min="13830" max="13830" width="19.140625" style="919" customWidth="1"/>
    <col min="13831" max="13831" width="30.5703125" style="919" bestFit="1" customWidth="1"/>
    <col min="13832" max="13832" width="13.7109375" style="919" customWidth="1"/>
    <col min="13833" max="13833" width="20.42578125" style="919" customWidth="1"/>
    <col min="13834" max="13834" width="0" style="919" hidden="1" customWidth="1"/>
    <col min="13835" max="13835" width="32" style="919" bestFit="1" customWidth="1"/>
    <col min="13836" max="13836" width="28" style="919" bestFit="1" customWidth="1"/>
    <col min="13837" max="13837" width="26.28515625" style="919" bestFit="1" customWidth="1"/>
    <col min="13838" max="13838" width="25.5703125" style="919" bestFit="1" customWidth="1"/>
    <col min="13839" max="13839" width="28" style="919" bestFit="1" customWidth="1"/>
    <col min="13840" max="13840" width="30.5703125" style="919" bestFit="1" customWidth="1"/>
    <col min="13841" max="13841" width="21.42578125" style="919" bestFit="1" customWidth="1"/>
    <col min="13842" max="14079" width="9.140625" style="919"/>
    <col min="14080" max="14080" width="10.28515625" style="919" customWidth="1"/>
    <col min="14081" max="14081" width="0.7109375" style="919" customWidth="1"/>
    <col min="14082" max="14082" width="15.42578125" style="919" customWidth="1"/>
    <col min="14083" max="14083" width="90" style="919" bestFit="1" customWidth="1"/>
    <col min="14084" max="14084" width="40.28515625" style="919" customWidth="1"/>
    <col min="14085" max="14085" width="31.5703125" style="919" customWidth="1"/>
    <col min="14086" max="14086" width="19.140625" style="919" customWidth="1"/>
    <col min="14087" max="14087" width="30.5703125" style="919" bestFit="1" customWidth="1"/>
    <col min="14088" max="14088" width="13.7109375" style="919" customWidth="1"/>
    <col min="14089" max="14089" width="20.42578125" style="919" customWidth="1"/>
    <col min="14090" max="14090" width="0" style="919" hidden="1" customWidth="1"/>
    <col min="14091" max="14091" width="32" style="919" bestFit="1" customWidth="1"/>
    <col min="14092" max="14092" width="28" style="919" bestFit="1" customWidth="1"/>
    <col min="14093" max="14093" width="26.28515625" style="919" bestFit="1" customWidth="1"/>
    <col min="14094" max="14094" width="25.5703125" style="919" bestFit="1" customWidth="1"/>
    <col min="14095" max="14095" width="28" style="919" bestFit="1" customWidth="1"/>
    <col min="14096" max="14096" width="30.5703125" style="919" bestFit="1" customWidth="1"/>
    <col min="14097" max="14097" width="21.42578125" style="919" bestFit="1" customWidth="1"/>
    <col min="14098" max="14335" width="9.140625" style="919"/>
    <col min="14336" max="14336" width="10.28515625" style="919" customWidth="1"/>
    <col min="14337" max="14337" width="0.7109375" style="919" customWidth="1"/>
    <col min="14338" max="14338" width="15.42578125" style="919" customWidth="1"/>
    <col min="14339" max="14339" width="90" style="919" bestFit="1" customWidth="1"/>
    <col min="14340" max="14340" width="40.28515625" style="919" customWidth="1"/>
    <col min="14341" max="14341" width="31.5703125" style="919" customWidth="1"/>
    <col min="14342" max="14342" width="19.140625" style="919" customWidth="1"/>
    <col min="14343" max="14343" width="30.5703125" style="919" bestFit="1" customWidth="1"/>
    <col min="14344" max="14344" width="13.7109375" style="919" customWidth="1"/>
    <col min="14345" max="14345" width="20.42578125" style="919" customWidth="1"/>
    <col min="14346" max="14346" width="0" style="919" hidden="1" customWidth="1"/>
    <col min="14347" max="14347" width="32" style="919" bestFit="1" customWidth="1"/>
    <col min="14348" max="14348" width="28" style="919" bestFit="1" customWidth="1"/>
    <col min="14349" max="14349" width="26.28515625" style="919" bestFit="1" customWidth="1"/>
    <col min="14350" max="14350" width="25.5703125" style="919" bestFit="1" customWidth="1"/>
    <col min="14351" max="14351" width="28" style="919" bestFit="1" customWidth="1"/>
    <col min="14352" max="14352" width="30.5703125" style="919" bestFit="1" customWidth="1"/>
    <col min="14353" max="14353" width="21.42578125" style="919" bestFit="1" customWidth="1"/>
    <col min="14354" max="14591" width="9.140625" style="919"/>
    <col min="14592" max="14592" width="10.28515625" style="919" customWidth="1"/>
    <col min="14593" max="14593" width="0.7109375" style="919" customWidth="1"/>
    <col min="14594" max="14594" width="15.42578125" style="919" customWidth="1"/>
    <col min="14595" max="14595" width="90" style="919" bestFit="1" customWidth="1"/>
    <col min="14596" max="14596" width="40.28515625" style="919" customWidth="1"/>
    <col min="14597" max="14597" width="31.5703125" style="919" customWidth="1"/>
    <col min="14598" max="14598" width="19.140625" style="919" customWidth="1"/>
    <col min="14599" max="14599" width="30.5703125" style="919" bestFit="1" customWidth="1"/>
    <col min="14600" max="14600" width="13.7109375" style="919" customWidth="1"/>
    <col min="14601" max="14601" width="20.42578125" style="919" customWidth="1"/>
    <col min="14602" max="14602" width="0" style="919" hidden="1" customWidth="1"/>
    <col min="14603" max="14603" width="32" style="919" bestFit="1" customWidth="1"/>
    <col min="14604" max="14604" width="28" style="919" bestFit="1" customWidth="1"/>
    <col min="14605" max="14605" width="26.28515625" style="919" bestFit="1" customWidth="1"/>
    <col min="14606" max="14606" width="25.5703125" style="919" bestFit="1" customWidth="1"/>
    <col min="14607" max="14607" width="28" style="919" bestFit="1" customWidth="1"/>
    <col min="14608" max="14608" width="30.5703125" style="919" bestFit="1" customWidth="1"/>
    <col min="14609" max="14609" width="21.42578125" style="919" bestFit="1" customWidth="1"/>
    <col min="14610" max="14847" width="9.140625" style="919"/>
    <col min="14848" max="14848" width="10.28515625" style="919" customWidth="1"/>
    <col min="14849" max="14849" width="0.7109375" style="919" customWidth="1"/>
    <col min="14850" max="14850" width="15.42578125" style="919" customWidth="1"/>
    <col min="14851" max="14851" width="90" style="919" bestFit="1" customWidth="1"/>
    <col min="14852" max="14852" width="40.28515625" style="919" customWidth="1"/>
    <col min="14853" max="14853" width="31.5703125" style="919" customWidth="1"/>
    <col min="14854" max="14854" width="19.140625" style="919" customWidth="1"/>
    <col min="14855" max="14855" width="30.5703125" style="919" bestFit="1" customWidth="1"/>
    <col min="14856" max="14856" width="13.7109375" style="919" customWidth="1"/>
    <col min="14857" max="14857" width="20.42578125" style="919" customWidth="1"/>
    <col min="14858" max="14858" width="0" style="919" hidden="1" customWidth="1"/>
    <col min="14859" max="14859" width="32" style="919" bestFit="1" customWidth="1"/>
    <col min="14860" max="14860" width="28" style="919" bestFit="1" customWidth="1"/>
    <col min="14861" max="14861" width="26.28515625" style="919" bestFit="1" customWidth="1"/>
    <col min="14862" max="14862" width="25.5703125" style="919" bestFit="1" customWidth="1"/>
    <col min="14863" max="14863" width="28" style="919" bestFit="1" customWidth="1"/>
    <col min="14864" max="14864" width="30.5703125" style="919" bestFit="1" customWidth="1"/>
    <col min="14865" max="14865" width="21.42578125" style="919" bestFit="1" customWidth="1"/>
    <col min="14866" max="15103" width="9.140625" style="919"/>
    <col min="15104" max="15104" width="10.28515625" style="919" customWidth="1"/>
    <col min="15105" max="15105" width="0.7109375" style="919" customWidth="1"/>
    <col min="15106" max="15106" width="15.42578125" style="919" customWidth="1"/>
    <col min="15107" max="15107" width="90" style="919" bestFit="1" customWidth="1"/>
    <col min="15108" max="15108" width="40.28515625" style="919" customWidth="1"/>
    <col min="15109" max="15109" width="31.5703125" style="919" customWidth="1"/>
    <col min="15110" max="15110" width="19.140625" style="919" customWidth="1"/>
    <col min="15111" max="15111" width="30.5703125" style="919" bestFit="1" customWidth="1"/>
    <col min="15112" max="15112" width="13.7109375" style="919" customWidth="1"/>
    <col min="15113" max="15113" width="20.42578125" style="919" customWidth="1"/>
    <col min="15114" max="15114" width="0" style="919" hidden="1" customWidth="1"/>
    <col min="15115" max="15115" width="32" style="919" bestFit="1" customWidth="1"/>
    <col min="15116" max="15116" width="28" style="919" bestFit="1" customWidth="1"/>
    <col min="15117" max="15117" width="26.28515625" style="919" bestFit="1" customWidth="1"/>
    <col min="15118" max="15118" width="25.5703125" style="919" bestFit="1" customWidth="1"/>
    <col min="15119" max="15119" width="28" style="919" bestFit="1" customWidth="1"/>
    <col min="15120" max="15120" width="30.5703125" style="919" bestFit="1" customWidth="1"/>
    <col min="15121" max="15121" width="21.42578125" style="919" bestFit="1" customWidth="1"/>
    <col min="15122" max="15359" width="9.140625" style="919"/>
    <col min="15360" max="15360" width="10.28515625" style="919" customWidth="1"/>
    <col min="15361" max="15361" width="0.7109375" style="919" customWidth="1"/>
    <col min="15362" max="15362" width="15.42578125" style="919" customWidth="1"/>
    <col min="15363" max="15363" width="90" style="919" bestFit="1" customWidth="1"/>
    <col min="15364" max="15364" width="40.28515625" style="919" customWidth="1"/>
    <col min="15365" max="15365" width="31.5703125" style="919" customWidth="1"/>
    <col min="15366" max="15366" width="19.140625" style="919" customWidth="1"/>
    <col min="15367" max="15367" width="30.5703125" style="919" bestFit="1" customWidth="1"/>
    <col min="15368" max="15368" width="13.7109375" style="919" customWidth="1"/>
    <col min="15369" max="15369" width="20.42578125" style="919" customWidth="1"/>
    <col min="15370" max="15370" width="0" style="919" hidden="1" customWidth="1"/>
    <col min="15371" max="15371" width="32" style="919" bestFit="1" customWidth="1"/>
    <col min="15372" max="15372" width="28" style="919" bestFit="1" customWidth="1"/>
    <col min="15373" max="15373" width="26.28515625" style="919" bestFit="1" customWidth="1"/>
    <col min="15374" max="15374" width="25.5703125" style="919" bestFit="1" customWidth="1"/>
    <col min="15375" max="15375" width="28" style="919" bestFit="1" customWidth="1"/>
    <col min="15376" max="15376" width="30.5703125" style="919" bestFit="1" customWidth="1"/>
    <col min="15377" max="15377" width="21.42578125" style="919" bestFit="1" customWidth="1"/>
    <col min="15378" max="15615" width="9.140625" style="919"/>
    <col min="15616" max="15616" width="10.28515625" style="919" customWidth="1"/>
    <col min="15617" max="15617" width="0.7109375" style="919" customWidth="1"/>
    <col min="15618" max="15618" width="15.42578125" style="919" customWidth="1"/>
    <col min="15619" max="15619" width="90" style="919" bestFit="1" customWidth="1"/>
    <col min="15620" max="15620" width="40.28515625" style="919" customWidth="1"/>
    <col min="15621" max="15621" width="31.5703125" style="919" customWidth="1"/>
    <col min="15622" max="15622" width="19.140625" style="919" customWidth="1"/>
    <col min="15623" max="15623" width="30.5703125" style="919" bestFit="1" customWidth="1"/>
    <col min="15624" max="15624" width="13.7109375" style="919" customWidth="1"/>
    <col min="15625" max="15625" width="20.42578125" style="919" customWidth="1"/>
    <col min="15626" max="15626" width="0" style="919" hidden="1" customWidth="1"/>
    <col min="15627" max="15627" width="32" style="919" bestFit="1" customWidth="1"/>
    <col min="15628" max="15628" width="28" style="919" bestFit="1" customWidth="1"/>
    <col min="15629" max="15629" width="26.28515625" style="919" bestFit="1" customWidth="1"/>
    <col min="15630" max="15630" width="25.5703125" style="919" bestFit="1" customWidth="1"/>
    <col min="15631" max="15631" width="28" style="919" bestFit="1" customWidth="1"/>
    <col min="15632" max="15632" width="30.5703125" style="919" bestFit="1" customWidth="1"/>
    <col min="15633" max="15633" width="21.42578125" style="919" bestFit="1" customWidth="1"/>
    <col min="15634" max="15871" width="9.140625" style="919"/>
    <col min="15872" max="15872" width="10.28515625" style="919" customWidth="1"/>
    <col min="15873" max="15873" width="0.7109375" style="919" customWidth="1"/>
    <col min="15874" max="15874" width="15.42578125" style="919" customWidth="1"/>
    <col min="15875" max="15875" width="90" style="919" bestFit="1" customWidth="1"/>
    <col min="15876" max="15876" width="40.28515625" style="919" customWidth="1"/>
    <col min="15877" max="15877" width="31.5703125" style="919" customWidth="1"/>
    <col min="15878" max="15878" width="19.140625" style="919" customWidth="1"/>
    <col min="15879" max="15879" width="30.5703125" style="919" bestFit="1" customWidth="1"/>
    <col min="15880" max="15880" width="13.7109375" style="919" customWidth="1"/>
    <col min="15881" max="15881" width="20.42578125" style="919" customWidth="1"/>
    <col min="15882" max="15882" width="0" style="919" hidden="1" customWidth="1"/>
    <col min="15883" max="15883" width="32" style="919" bestFit="1" customWidth="1"/>
    <col min="15884" max="15884" width="28" style="919" bestFit="1" customWidth="1"/>
    <col min="15885" max="15885" width="26.28515625" style="919" bestFit="1" customWidth="1"/>
    <col min="15886" max="15886" width="25.5703125" style="919" bestFit="1" customWidth="1"/>
    <col min="15887" max="15887" width="28" style="919" bestFit="1" customWidth="1"/>
    <col min="15888" max="15888" width="30.5703125" style="919" bestFit="1" customWidth="1"/>
    <col min="15889" max="15889" width="21.42578125" style="919" bestFit="1" customWidth="1"/>
    <col min="15890" max="16127" width="9.140625" style="919"/>
    <col min="16128" max="16128" width="10.28515625" style="919" customWidth="1"/>
    <col min="16129" max="16129" width="0.7109375" style="919" customWidth="1"/>
    <col min="16130" max="16130" width="15.42578125" style="919" customWidth="1"/>
    <col min="16131" max="16131" width="90" style="919" bestFit="1" customWidth="1"/>
    <col min="16132" max="16132" width="40.28515625" style="919" customWidth="1"/>
    <col min="16133" max="16133" width="31.5703125" style="919" customWidth="1"/>
    <col min="16134" max="16134" width="19.140625" style="919" customWidth="1"/>
    <col min="16135" max="16135" width="30.5703125" style="919" bestFit="1" customWidth="1"/>
    <col min="16136" max="16136" width="13.7109375" style="919" customWidth="1"/>
    <col min="16137" max="16137" width="20.42578125" style="919" customWidth="1"/>
    <col min="16138" max="16138" width="0" style="919" hidden="1" customWidth="1"/>
    <col min="16139" max="16139" width="32" style="919" bestFit="1" customWidth="1"/>
    <col min="16140" max="16140" width="28" style="919" bestFit="1" customWidth="1"/>
    <col min="16141" max="16141" width="26.28515625" style="919" bestFit="1" customWidth="1"/>
    <col min="16142" max="16142" width="25.5703125" style="919" bestFit="1" customWidth="1"/>
    <col min="16143" max="16143" width="28" style="919" bestFit="1" customWidth="1"/>
    <col min="16144" max="16144" width="30.5703125" style="919" bestFit="1" customWidth="1"/>
    <col min="16145" max="16145" width="21.42578125" style="919" bestFit="1" customWidth="1"/>
    <col min="16146" max="16384" width="9.140625" style="919"/>
  </cols>
  <sheetData>
    <row r="1" spans="1:20" ht="52.5" customHeight="1" x14ac:dyDescent="0.45">
      <c r="C1" s="1950" t="s">
        <v>2274</v>
      </c>
      <c r="D1" s="1950"/>
      <c r="E1" s="1950"/>
      <c r="F1" s="1950"/>
      <c r="G1" s="1950"/>
      <c r="H1" s="1950"/>
      <c r="I1" s="1950"/>
      <c r="J1" s="1950"/>
      <c r="K1" s="1950"/>
      <c r="L1" s="1950"/>
      <c r="M1" s="1950"/>
      <c r="N1" s="1950"/>
      <c r="O1" s="1950"/>
      <c r="P1" s="1950"/>
      <c r="Q1" s="920">
        <v>44286</v>
      </c>
    </row>
    <row r="2" spans="1:20" ht="4.5" hidden="1" customHeight="1" x14ac:dyDescent="0.45">
      <c r="C2" s="921"/>
      <c r="D2" s="921"/>
      <c r="E2" s="921"/>
      <c r="F2" s="921"/>
      <c r="G2" s="921"/>
      <c r="H2" s="921"/>
      <c r="I2" s="921"/>
      <c r="J2" s="921"/>
      <c r="K2" s="921"/>
      <c r="L2" s="921"/>
      <c r="M2" s="921"/>
      <c r="N2" s="921"/>
      <c r="O2" s="921"/>
      <c r="P2" s="921"/>
    </row>
    <row r="3" spans="1:20" ht="48.75" customHeight="1" x14ac:dyDescent="0.45">
      <c r="C3" s="1951" t="s">
        <v>2623</v>
      </c>
      <c r="D3" s="1951"/>
      <c r="E3" s="1951"/>
      <c r="F3" s="1951"/>
      <c r="G3" s="1951"/>
      <c r="H3" s="1951"/>
      <c r="I3" s="1951"/>
      <c r="J3" s="1951"/>
      <c r="K3" s="1951"/>
      <c r="L3" s="1951"/>
      <c r="M3" s="1951"/>
      <c r="N3" s="1951"/>
      <c r="O3" s="1951"/>
      <c r="P3" s="1951"/>
    </row>
    <row r="4" spans="1:20" x14ac:dyDescent="0.45">
      <c r="C4" s="922"/>
      <c r="D4" s="923"/>
      <c r="E4" s="924"/>
      <c r="F4" s="922"/>
      <c r="G4" s="925"/>
      <c r="H4" s="926"/>
      <c r="I4" s="927"/>
      <c r="J4" s="925"/>
    </row>
    <row r="5" spans="1:20" s="928" customFormat="1" ht="36" customHeight="1" x14ac:dyDescent="0.4">
      <c r="C5" s="1952" t="s">
        <v>2624</v>
      </c>
      <c r="D5" s="1954" t="s">
        <v>9</v>
      </c>
      <c r="E5" s="1954" t="s">
        <v>2625</v>
      </c>
      <c r="F5" s="1952" t="s">
        <v>2626</v>
      </c>
      <c r="G5" s="1941" t="s">
        <v>2366</v>
      </c>
      <c r="H5" s="1956" t="s">
        <v>2627</v>
      </c>
      <c r="I5" s="1956" t="s">
        <v>2628</v>
      </c>
      <c r="J5" s="1941" t="s">
        <v>2629</v>
      </c>
      <c r="K5" s="1941" t="s">
        <v>2630</v>
      </c>
      <c r="L5" s="1943" t="s">
        <v>2631</v>
      </c>
      <c r="M5" s="1944"/>
      <c r="N5" s="1944"/>
      <c r="O5" s="1944"/>
      <c r="P5" s="1945"/>
    </row>
    <row r="6" spans="1:20" s="928" customFormat="1" ht="58.5" customHeight="1" x14ac:dyDescent="0.4">
      <c r="C6" s="1953"/>
      <c r="D6" s="1955"/>
      <c r="E6" s="1955"/>
      <c r="F6" s="1953"/>
      <c r="G6" s="1942"/>
      <c r="H6" s="1957"/>
      <c r="I6" s="1957"/>
      <c r="J6" s="1942"/>
      <c r="K6" s="1942"/>
      <c r="L6" s="929" t="s">
        <v>2632</v>
      </c>
      <c r="M6" s="929" t="s">
        <v>2633</v>
      </c>
      <c r="N6" s="929" t="s">
        <v>2634</v>
      </c>
      <c r="O6" s="929" t="s">
        <v>2635</v>
      </c>
      <c r="P6" s="930" t="s">
        <v>2636</v>
      </c>
      <c r="Q6" s="931" t="s">
        <v>2637</v>
      </c>
      <c r="R6" s="931" t="s">
        <v>2638</v>
      </c>
      <c r="S6" s="932" t="s">
        <v>2639</v>
      </c>
      <c r="T6" s="928" t="s">
        <v>2640</v>
      </c>
    </row>
    <row r="7" spans="1:20" ht="30" customHeight="1" x14ac:dyDescent="0.45">
      <c r="A7" s="933"/>
      <c r="C7" s="934">
        <v>1</v>
      </c>
      <c r="D7" s="934"/>
      <c r="E7" s="934" t="s">
        <v>2641</v>
      </c>
      <c r="F7" s="934"/>
      <c r="G7" s="935"/>
      <c r="H7" s="936"/>
      <c r="I7" s="934"/>
      <c r="J7" s="935">
        <f t="shared" ref="J7:J70" si="0">+G7+I7</f>
        <v>0</v>
      </c>
      <c r="K7" s="936">
        <f t="shared" ref="K7:K70" si="1">+$Q$1-J7+1</f>
        <v>44287</v>
      </c>
      <c r="L7" s="936">
        <f>IF(K7&gt;90,0,H7)</f>
        <v>0</v>
      </c>
      <c r="M7" s="936">
        <f>IF(K7&lt;=90,0,IF(K7&gt;180,0,H7))</f>
        <v>0</v>
      </c>
      <c r="N7" s="936">
        <f>IF(K7&lt;=180,0,IF(K7&gt;365,0,H7))</f>
        <v>0</v>
      </c>
      <c r="O7" s="936">
        <f>IF(K7&lt;=365,0,IF(K7&gt;730,0,H7))</f>
        <v>0</v>
      </c>
      <c r="P7" s="937">
        <f>IF(K7&lt;=730,0,H7)</f>
        <v>0</v>
      </c>
      <c r="Q7" s="938"/>
      <c r="R7" s="938"/>
      <c r="S7" s="939">
        <f>H7-R7</f>
        <v>0</v>
      </c>
    </row>
    <row r="8" spans="1:20" ht="30" customHeight="1" x14ac:dyDescent="0.45">
      <c r="A8" s="933"/>
      <c r="C8" s="934">
        <f>C7+1</f>
        <v>2</v>
      </c>
      <c r="D8" s="940" t="s">
        <v>2642</v>
      </c>
      <c r="E8" s="934" t="s">
        <v>2643</v>
      </c>
      <c r="F8" s="941" t="s">
        <v>2644</v>
      </c>
      <c r="G8" s="942">
        <v>43744</v>
      </c>
      <c r="H8" s="936">
        <v>551</v>
      </c>
      <c r="I8" s="934"/>
      <c r="J8" s="935">
        <f t="shared" si="0"/>
        <v>43744</v>
      </c>
      <c r="K8" s="936">
        <f>+$Q$1-J8+1</f>
        <v>543</v>
      </c>
      <c r="L8" s="936">
        <f t="shared" ref="L8:L71" si="2">IF(K8&gt;90,0,H8)</f>
        <v>0</v>
      </c>
      <c r="M8" s="936">
        <f t="shared" ref="M8:M71" si="3">IF(K8&lt;=90,0,IF(K8&gt;180,0,H8))</f>
        <v>0</v>
      </c>
      <c r="N8" s="936">
        <f t="shared" ref="N8:N71" si="4">IF(K8&lt;=180,0,IF(K8&gt;365,0,H8))</f>
        <v>0</v>
      </c>
      <c r="O8" s="936">
        <f t="shared" ref="O8:O71" si="5">IF(K8&lt;=365,0,IF(K8&gt;730,0,H8))</f>
        <v>551</v>
      </c>
      <c r="P8" s="937">
        <f t="shared" ref="P8:P71" si="6">IF(K8&lt;=730,0,H8)</f>
        <v>0</v>
      </c>
      <c r="Q8" s="938"/>
      <c r="R8" s="938"/>
      <c r="S8" s="939">
        <f t="shared" ref="S8:S71" si="7">H8-R8</f>
        <v>551</v>
      </c>
    </row>
    <row r="9" spans="1:20" ht="30" customHeight="1" x14ac:dyDescent="0.45">
      <c r="A9" s="933"/>
      <c r="C9" s="934">
        <f t="shared" ref="C9:C72" si="8">C8+1</f>
        <v>3</v>
      </c>
      <c r="D9" s="934"/>
      <c r="E9" s="934"/>
      <c r="F9" s="943" t="s">
        <v>2645</v>
      </c>
      <c r="G9" s="944">
        <v>44003</v>
      </c>
      <c r="H9" s="936">
        <v>49</v>
      </c>
      <c r="I9" s="934"/>
      <c r="J9" s="935">
        <f t="shared" si="0"/>
        <v>44003</v>
      </c>
      <c r="K9" s="936">
        <f t="shared" si="1"/>
        <v>284</v>
      </c>
      <c r="L9" s="936">
        <f t="shared" si="2"/>
        <v>0</v>
      </c>
      <c r="M9" s="936">
        <f t="shared" si="3"/>
        <v>0</v>
      </c>
      <c r="N9" s="936">
        <f t="shared" si="4"/>
        <v>49</v>
      </c>
      <c r="O9" s="936">
        <f t="shared" si="5"/>
        <v>0</v>
      </c>
      <c r="P9" s="937">
        <f t="shared" si="6"/>
        <v>0</v>
      </c>
      <c r="Q9" s="938"/>
      <c r="R9" s="938"/>
      <c r="S9" s="939">
        <f t="shared" si="7"/>
        <v>49</v>
      </c>
    </row>
    <row r="10" spans="1:20" ht="30" customHeight="1" x14ac:dyDescent="0.45">
      <c r="A10" s="933"/>
      <c r="C10" s="934">
        <f t="shared" si="8"/>
        <v>4</v>
      </c>
      <c r="D10" s="934"/>
      <c r="E10" s="934"/>
      <c r="F10" s="943" t="s">
        <v>2646</v>
      </c>
      <c r="G10" s="945">
        <v>44106</v>
      </c>
      <c r="H10" s="936">
        <v>50</v>
      </c>
      <c r="I10" s="934"/>
      <c r="J10" s="935">
        <f t="shared" si="0"/>
        <v>44106</v>
      </c>
      <c r="K10" s="936">
        <f t="shared" si="1"/>
        <v>181</v>
      </c>
      <c r="L10" s="936">
        <f t="shared" si="2"/>
        <v>0</v>
      </c>
      <c r="M10" s="936">
        <f t="shared" si="3"/>
        <v>0</v>
      </c>
      <c r="N10" s="936">
        <f t="shared" si="4"/>
        <v>50</v>
      </c>
      <c r="O10" s="936">
        <f t="shared" si="5"/>
        <v>0</v>
      </c>
      <c r="P10" s="937">
        <f t="shared" si="6"/>
        <v>0</v>
      </c>
      <c r="Q10" s="938"/>
      <c r="R10" s="938"/>
      <c r="S10" s="939">
        <f t="shared" si="7"/>
        <v>50</v>
      </c>
    </row>
    <row r="11" spans="1:20" ht="30" customHeight="1" x14ac:dyDescent="0.45">
      <c r="A11" s="933"/>
      <c r="C11" s="934">
        <f t="shared" si="8"/>
        <v>5</v>
      </c>
      <c r="D11" s="934"/>
      <c r="E11" s="934"/>
      <c r="F11" s="943" t="s">
        <v>2647</v>
      </c>
      <c r="G11" s="946">
        <v>44219</v>
      </c>
      <c r="H11" s="936">
        <v>-1</v>
      </c>
      <c r="I11" s="934"/>
      <c r="J11" s="935">
        <f t="shared" si="0"/>
        <v>44219</v>
      </c>
      <c r="K11" s="936">
        <f t="shared" si="1"/>
        <v>68</v>
      </c>
      <c r="L11" s="936">
        <f t="shared" si="2"/>
        <v>-1</v>
      </c>
      <c r="M11" s="936">
        <f t="shared" si="3"/>
        <v>0</v>
      </c>
      <c r="N11" s="936">
        <f t="shared" si="4"/>
        <v>0</v>
      </c>
      <c r="O11" s="936">
        <f t="shared" si="5"/>
        <v>0</v>
      </c>
      <c r="P11" s="937">
        <f t="shared" si="6"/>
        <v>0</v>
      </c>
      <c r="Q11" s="938"/>
      <c r="R11" s="938"/>
      <c r="S11" s="939">
        <f t="shared" si="7"/>
        <v>-1</v>
      </c>
    </row>
    <row r="12" spans="1:20" ht="30" customHeight="1" x14ac:dyDescent="0.45">
      <c r="A12" s="933"/>
      <c r="C12" s="934">
        <f t="shared" si="8"/>
        <v>6</v>
      </c>
      <c r="D12" s="934"/>
      <c r="E12" s="934"/>
      <c r="F12" s="943" t="s">
        <v>2648</v>
      </c>
      <c r="G12" s="946">
        <v>44222</v>
      </c>
      <c r="H12" s="936">
        <v>-998</v>
      </c>
      <c r="I12" s="934"/>
      <c r="J12" s="935">
        <f t="shared" si="0"/>
        <v>44222</v>
      </c>
      <c r="K12" s="936">
        <f t="shared" si="1"/>
        <v>65</v>
      </c>
      <c r="L12" s="936">
        <f t="shared" si="2"/>
        <v>-998</v>
      </c>
      <c r="M12" s="936">
        <f t="shared" si="3"/>
        <v>0</v>
      </c>
      <c r="N12" s="936">
        <f t="shared" si="4"/>
        <v>0</v>
      </c>
      <c r="O12" s="936">
        <f t="shared" si="5"/>
        <v>0</v>
      </c>
      <c r="P12" s="937">
        <f t="shared" si="6"/>
        <v>0</v>
      </c>
      <c r="Q12" s="938"/>
      <c r="R12" s="938"/>
      <c r="S12" s="939">
        <f t="shared" si="7"/>
        <v>-998</v>
      </c>
    </row>
    <row r="13" spans="1:20" ht="30" customHeight="1" x14ac:dyDescent="0.45">
      <c r="A13" s="933"/>
      <c r="C13" s="934">
        <f t="shared" si="8"/>
        <v>7</v>
      </c>
      <c r="D13" s="934"/>
      <c r="E13" s="934"/>
      <c r="F13" s="943" t="s">
        <v>2649</v>
      </c>
      <c r="G13" s="946">
        <v>44226</v>
      </c>
      <c r="H13" s="936">
        <v>-1</v>
      </c>
      <c r="I13" s="934"/>
      <c r="J13" s="935">
        <f t="shared" si="0"/>
        <v>44226</v>
      </c>
      <c r="K13" s="936">
        <f t="shared" si="1"/>
        <v>61</v>
      </c>
      <c r="L13" s="936">
        <f t="shared" si="2"/>
        <v>-1</v>
      </c>
      <c r="M13" s="936">
        <f t="shared" si="3"/>
        <v>0</v>
      </c>
      <c r="N13" s="936">
        <f t="shared" si="4"/>
        <v>0</v>
      </c>
      <c r="O13" s="936">
        <f t="shared" si="5"/>
        <v>0</v>
      </c>
      <c r="P13" s="937">
        <f t="shared" si="6"/>
        <v>0</v>
      </c>
      <c r="Q13" s="938"/>
      <c r="R13" s="938"/>
      <c r="S13" s="939">
        <f t="shared" si="7"/>
        <v>-1</v>
      </c>
    </row>
    <row r="14" spans="1:20" ht="30" customHeight="1" x14ac:dyDescent="0.45">
      <c r="A14" s="933"/>
      <c r="C14" s="934">
        <f t="shared" si="8"/>
        <v>8</v>
      </c>
      <c r="D14" s="934"/>
      <c r="E14" s="934"/>
      <c r="F14" s="943" t="s">
        <v>2650</v>
      </c>
      <c r="G14" s="946">
        <v>44227</v>
      </c>
      <c r="H14" s="936">
        <v>-2</v>
      </c>
      <c r="I14" s="934"/>
      <c r="J14" s="935">
        <f t="shared" si="0"/>
        <v>44227</v>
      </c>
      <c r="K14" s="936">
        <f t="shared" si="1"/>
        <v>60</v>
      </c>
      <c r="L14" s="936">
        <f t="shared" si="2"/>
        <v>-2</v>
      </c>
      <c r="M14" s="936">
        <f t="shared" si="3"/>
        <v>0</v>
      </c>
      <c r="N14" s="936">
        <f t="shared" si="4"/>
        <v>0</v>
      </c>
      <c r="O14" s="936">
        <f t="shared" si="5"/>
        <v>0</v>
      </c>
      <c r="P14" s="937">
        <f t="shared" si="6"/>
        <v>0</v>
      </c>
      <c r="Q14" s="938"/>
      <c r="R14" s="938"/>
      <c r="S14" s="939">
        <f t="shared" si="7"/>
        <v>-2</v>
      </c>
    </row>
    <row r="15" spans="1:20" ht="30" customHeight="1" x14ac:dyDescent="0.45">
      <c r="A15" s="933"/>
      <c r="C15" s="934">
        <f t="shared" si="8"/>
        <v>9</v>
      </c>
      <c r="D15" s="934"/>
      <c r="E15" s="934"/>
      <c r="F15" s="943" t="s">
        <v>2651</v>
      </c>
      <c r="G15" s="946">
        <v>44234</v>
      </c>
      <c r="H15" s="936">
        <v>226277</v>
      </c>
      <c r="I15" s="934"/>
      <c r="J15" s="935">
        <f t="shared" si="0"/>
        <v>44234</v>
      </c>
      <c r="K15" s="936">
        <f t="shared" si="1"/>
        <v>53</v>
      </c>
      <c r="L15" s="936">
        <f t="shared" si="2"/>
        <v>226277</v>
      </c>
      <c r="M15" s="936">
        <f t="shared" si="3"/>
        <v>0</v>
      </c>
      <c r="N15" s="936">
        <f t="shared" si="4"/>
        <v>0</v>
      </c>
      <c r="O15" s="936">
        <f t="shared" si="5"/>
        <v>0</v>
      </c>
      <c r="P15" s="937">
        <f t="shared" si="6"/>
        <v>0</v>
      </c>
      <c r="Q15" s="938"/>
      <c r="R15" s="938"/>
      <c r="S15" s="939">
        <f t="shared" si="7"/>
        <v>226277</v>
      </c>
    </row>
    <row r="16" spans="1:20" ht="30" customHeight="1" x14ac:dyDescent="0.45">
      <c r="A16" s="933"/>
      <c r="C16" s="934">
        <f t="shared" si="8"/>
        <v>10</v>
      </c>
      <c r="D16" s="934"/>
      <c r="E16" s="934"/>
      <c r="F16" s="943" t="s">
        <v>2652</v>
      </c>
      <c r="G16" s="946">
        <v>44234</v>
      </c>
      <c r="H16" s="936">
        <v>200708</v>
      </c>
      <c r="I16" s="934"/>
      <c r="J16" s="935">
        <f t="shared" si="0"/>
        <v>44234</v>
      </c>
      <c r="K16" s="936">
        <f t="shared" si="1"/>
        <v>53</v>
      </c>
      <c r="L16" s="936">
        <f t="shared" si="2"/>
        <v>200708</v>
      </c>
      <c r="M16" s="936">
        <f t="shared" si="3"/>
        <v>0</v>
      </c>
      <c r="N16" s="936">
        <f t="shared" si="4"/>
        <v>0</v>
      </c>
      <c r="O16" s="936">
        <f t="shared" si="5"/>
        <v>0</v>
      </c>
      <c r="P16" s="937">
        <f t="shared" si="6"/>
        <v>0</v>
      </c>
      <c r="Q16" s="938"/>
      <c r="R16" s="938"/>
      <c r="S16" s="939">
        <f t="shared" si="7"/>
        <v>200708</v>
      </c>
    </row>
    <row r="17" spans="1:19" ht="30" customHeight="1" x14ac:dyDescent="0.45">
      <c r="A17" s="933"/>
      <c r="C17" s="934">
        <f t="shared" si="8"/>
        <v>11</v>
      </c>
      <c r="D17" s="934"/>
      <c r="E17" s="934"/>
      <c r="F17" s="943" t="s">
        <v>2653</v>
      </c>
      <c r="G17" s="946">
        <v>44234</v>
      </c>
      <c r="H17" s="936">
        <v>300119</v>
      </c>
      <c r="I17" s="934"/>
      <c r="J17" s="935">
        <f t="shared" si="0"/>
        <v>44234</v>
      </c>
      <c r="K17" s="936">
        <f t="shared" si="1"/>
        <v>53</v>
      </c>
      <c r="L17" s="936">
        <f t="shared" si="2"/>
        <v>300119</v>
      </c>
      <c r="M17" s="936">
        <f t="shared" si="3"/>
        <v>0</v>
      </c>
      <c r="N17" s="936">
        <f t="shared" si="4"/>
        <v>0</v>
      </c>
      <c r="O17" s="936">
        <f t="shared" si="5"/>
        <v>0</v>
      </c>
      <c r="P17" s="937">
        <f t="shared" si="6"/>
        <v>0</v>
      </c>
      <c r="Q17" s="938"/>
      <c r="R17" s="938"/>
      <c r="S17" s="939">
        <f t="shared" si="7"/>
        <v>300119</v>
      </c>
    </row>
    <row r="18" spans="1:19" ht="30" customHeight="1" x14ac:dyDescent="0.45">
      <c r="A18" s="933"/>
      <c r="C18" s="934">
        <f t="shared" si="8"/>
        <v>12</v>
      </c>
      <c r="D18" s="934"/>
      <c r="E18" s="934"/>
      <c r="F18" s="943" t="s">
        <v>2654</v>
      </c>
      <c r="G18" s="946">
        <v>44238</v>
      </c>
      <c r="H18" s="936">
        <v>231413</v>
      </c>
      <c r="I18" s="934"/>
      <c r="J18" s="935">
        <f t="shared" si="0"/>
        <v>44238</v>
      </c>
      <c r="K18" s="936">
        <f t="shared" si="1"/>
        <v>49</v>
      </c>
      <c r="L18" s="936">
        <f t="shared" si="2"/>
        <v>231413</v>
      </c>
      <c r="M18" s="936">
        <f t="shared" si="3"/>
        <v>0</v>
      </c>
      <c r="N18" s="936">
        <f t="shared" si="4"/>
        <v>0</v>
      </c>
      <c r="O18" s="936">
        <f t="shared" si="5"/>
        <v>0</v>
      </c>
      <c r="P18" s="937">
        <f t="shared" si="6"/>
        <v>0</v>
      </c>
      <c r="Q18" s="938"/>
      <c r="R18" s="938"/>
      <c r="S18" s="939">
        <f t="shared" si="7"/>
        <v>231413</v>
      </c>
    </row>
    <row r="19" spans="1:19" ht="30" customHeight="1" x14ac:dyDescent="0.45">
      <c r="A19" s="933"/>
      <c r="C19" s="934">
        <f t="shared" si="8"/>
        <v>13</v>
      </c>
      <c r="D19" s="934"/>
      <c r="E19" s="934"/>
      <c r="F19" s="943" t="s">
        <v>2655</v>
      </c>
      <c r="G19" s="946">
        <v>44239</v>
      </c>
      <c r="H19" s="936">
        <v>240747</v>
      </c>
      <c r="I19" s="934"/>
      <c r="J19" s="935">
        <f t="shared" si="0"/>
        <v>44239</v>
      </c>
      <c r="K19" s="936">
        <f t="shared" si="1"/>
        <v>48</v>
      </c>
      <c r="L19" s="936">
        <f t="shared" si="2"/>
        <v>240747</v>
      </c>
      <c r="M19" s="936">
        <f t="shared" si="3"/>
        <v>0</v>
      </c>
      <c r="N19" s="936">
        <f t="shared" si="4"/>
        <v>0</v>
      </c>
      <c r="O19" s="936">
        <f t="shared" si="5"/>
        <v>0</v>
      </c>
      <c r="P19" s="937">
        <f t="shared" si="6"/>
        <v>0</v>
      </c>
      <c r="Q19" s="938"/>
      <c r="R19" s="938"/>
      <c r="S19" s="939">
        <f t="shared" si="7"/>
        <v>240747</v>
      </c>
    </row>
    <row r="20" spans="1:19" ht="30" customHeight="1" x14ac:dyDescent="0.45">
      <c r="A20" s="933"/>
      <c r="C20" s="934">
        <f t="shared" si="8"/>
        <v>14</v>
      </c>
      <c r="D20" s="934"/>
      <c r="E20" s="934"/>
      <c r="F20" s="943" t="s">
        <v>2656</v>
      </c>
      <c r="G20" s="946">
        <v>44240</v>
      </c>
      <c r="H20" s="936">
        <v>226944</v>
      </c>
      <c r="I20" s="934"/>
      <c r="J20" s="935">
        <f t="shared" si="0"/>
        <v>44240</v>
      </c>
      <c r="K20" s="936">
        <f t="shared" si="1"/>
        <v>47</v>
      </c>
      <c r="L20" s="936">
        <f t="shared" si="2"/>
        <v>226944</v>
      </c>
      <c r="M20" s="936">
        <f t="shared" si="3"/>
        <v>0</v>
      </c>
      <c r="N20" s="936">
        <f t="shared" si="4"/>
        <v>0</v>
      </c>
      <c r="O20" s="936">
        <f t="shared" si="5"/>
        <v>0</v>
      </c>
      <c r="P20" s="937">
        <f t="shared" si="6"/>
        <v>0</v>
      </c>
      <c r="Q20" s="938"/>
      <c r="R20" s="938"/>
      <c r="S20" s="939">
        <f t="shared" si="7"/>
        <v>226944</v>
      </c>
    </row>
    <row r="21" spans="1:19" ht="30" customHeight="1" x14ac:dyDescent="0.45">
      <c r="A21" s="933"/>
      <c r="C21" s="934">
        <f t="shared" si="8"/>
        <v>15</v>
      </c>
      <c r="D21" s="934"/>
      <c r="E21" s="934"/>
      <c r="F21" s="943" t="s">
        <v>2657</v>
      </c>
      <c r="G21" s="946">
        <v>44240</v>
      </c>
      <c r="H21" s="936">
        <v>255599</v>
      </c>
      <c r="I21" s="934"/>
      <c r="J21" s="935">
        <f t="shared" si="0"/>
        <v>44240</v>
      </c>
      <c r="K21" s="936">
        <f t="shared" si="1"/>
        <v>47</v>
      </c>
      <c r="L21" s="936">
        <f t="shared" si="2"/>
        <v>255599</v>
      </c>
      <c r="M21" s="936">
        <f t="shared" si="3"/>
        <v>0</v>
      </c>
      <c r="N21" s="936">
        <f t="shared" si="4"/>
        <v>0</v>
      </c>
      <c r="O21" s="936">
        <f t="shared" si="5"/>
        <v>0</v>
      </c>
      <c r="P21" s="937">
        <f t="shared" si="6"/>
        <v>0</v>
      </c>
      <c r="Q21" s="938"/>
      <c r="R21" s="938"/>
      <c r="S21" s="939">
        <f t="shared" si="7"/>
        <v>255599</v>
      </c>
    </row>
    <row r="22" spans="1:19" ht="30" customHeight="1" x14ac:dyDescent="0.45">
      <c r="A22" s="933"/>
      <c r="C22" s="934">
        <f t="shared" si="8"/>
        <v>16</v>
      </c>
      <c r="D22" s="934"/>
      <c r="E22" s="934"/>
      <c r="F22" s="943" t="s">
        <v>2658</v>
      </c>
      <c r="G22" s="946">
        <v>44240</v>
      </c>
      <c r="H22" s="936">
        <v>267991</v>
      </c>
      <c r="I22" s="934"/>
      <c r="J22" s="935">
        <f t="shared" si="0"/>
        <v>44240</v>
      </c>
      <c r="K22" s="936">
        <f t="shared" si="1"/>
        <v>47</v>
      </c>
      <c r="L22" s="936">
        <f t="shared" si="2"/>
        <v>267991</v>
      </c>
      <c r="M22" s="936">
        <f t="shared" si="3"/>
        <v>0</v>
      </c>
      <c r="N22" s="936">
        <f t="shared" si="4"/>
        <v>0</v>
      </c>
      <c r="O22" s="936">
        <f t="shared" si="5"/>
        <v>0</v>
      </c>
      <c r="P22" s="937">
        <f t="shared" si="6"/>
        <v>0</v>
      </c>
      <c r="Q22" s="938"/>
      <c r="R22" s="938"/>
      <c r="S22" s="939">
        <f t="shared" si="7"/>
        <v>267991</v>
      </c>
    </row>
    <row r="23" spans="1:19" ht="30" customHeight="1" x14ac:dyDescent="0.45">
      <c r="A23" s="933"/>
      <c r="C23" s="934">
        <f t="shared" si="8"/>
        <v>17</v>
      </c>
      <c r="D23" s="934"/>
      <c r="E23" s="934"/>
      <c r="F23" s="943" t="s">
        <v>2659</v>
      </c>
      <c r="G23" s="946">
        <v>44241</v>
      </c>
      <c r="H23" s="936">
        <v>241698</v>
      </c>
      <c r="I23" s="934"/>
      <c r="J23" s="935">
        <f t="shared" si="0"/>
        <v>44241</v>
      </c>
      <c r="K23" s="936">
        <f t="shared" si="1"/>
        <v>46</v>
      </c>
      <c r="L23" s="936">
        <f t="shared" si="2"/>
        <v>241698</v>
      </c>
      <c r="M23" s="936">
        <f t="shared" si="3"/>
        <v>0</v>
      </c>
      <c r="N23" s="936">
        <f t="shared" si="4"/>
        <v>0</v>
      </c>
      <c r="O23" s="936">
        <f t="shared" si="5"/>
        <v>0</v>
      </c>
      <c r="P23" s="937">
        <f t="shared" si="6"/>
        <v>0</v>
      </c>
      <c r="Q23" s="938"/>
      <c r="R23" s="938"/>
      <c r="S23" s="939">
        <f t="shared" si="7"/>
        <v>241698</v>
      </c>
    </row>
    <row r="24" spans="1:19" ht="30" customHeight="1" x14ac:dyDescent="0.45">
      <c r="A24" s="933"/>
      <c r="C24" s="934">
        <f t="shared" si="8"/>
        <v>18</v>
      </c>
      <c r="D24" s="934"/>
      <c r="E24" s="934"/>
      <c r="F24" s="943" t="s">
        <v>2660</v>
      </c>
      <c r="G24" s="946">
        <v>44241</v>
      </c>
      <c r="H24" s="936">
        <v>243273</v>
      </c>
      <c r="I24" s="934"/>
      <c r="J24" s="935">
        <f t="shared" si="0"/>
        <v>44241</v>
      </c>
      <c r="K24" s="936">
        <f t="shared" si="1"/>
        <v>46</v>
      </c>
      <c r="L24" s="936">
        <f t="shared" si="2"/>
        <v>243273</v>
      </c>
      <c r="M24" s="936">
        <f t="shared" si="3"/>
        <v>0</v>
      </c>
      <c r="N24" s="936">
        <f t="shared" si="4"/>
        <v>0</v>
      </c>
      <c r="O24" s="936">
        <f t="shared" si="5"/>
        <v>0</v>
      </c>
      <c r="P24" s="937">
        <f t="shared" si="6"/>
        <v>0</v>
      </c>
      <c r="Q24" s="938"/>
      <c r="R24" s="938"/>
      <c r="S24" s="939">
        <f t="shared" si="7"/>
        <v>243273</v>
      </c>
    </row>
    <row r="25" spans="1:19" ht="30" customHeight="1" x14ac:dyDescent="0.45">
      <c r="C25" s="934">
        <f t="shared" si="8"/>
        <v>19</v>
      </c>
      <c r="D25" s="934"/>
      <c r="E25" s="934"/>
      <c r="F25" s="943" t="s">
        <v>2661</v>
      </c>
      <c r="G25" s="946">
        <v>44242</v>
      </c>
      <c r="H25" s="936">
        <v>274157</v>
      </c>
      <c r="I25" s="934"/>
      <c r="J25" s="935">
        <f t="shared" si="0"/>
        <v>44242</v>
      </c>
      <c r="K25" s="936">
        <f t="shared" si="1"/>
        <v>45</v>
      </c>
      <c r="L25" s="936">
        <f t="shared" si="2"/>
        <v>274157</v>
      </c>
      <c r="M25" s="936">
        <f t="shared" si="3"/>
        <v>0</v>
      </c>
      <c r="N25" s="936">
        <f t="shared" si="4"/>
        <v>0</v>
      </c>
      <c r="O25" s="936">
        <f t="shared" si="5"/>
        <v>0</v>
      </c>
      <c r="P25" s="937">
        <f t="shared" si="6"/>
        <v>0</v>
      </c>
      <c r="Q25" s="938"/>
      <c r="R25" s="938"/>
      <c r="S25" s="939">
        <f t="shared" si="7"/>
        <v>274157</v>
      </c>
    </row>
    <row r="26" spans="1:19" ht="30" customHeight="1" x14ac:dyDescent="0.45">
      <c r="C26" s="934">
        <f t="shared" si="8"/>
        <v>20</v>
      </c>
      <c r="D26" s="934"/>
      <c r="E26" s="934"/>
      <c r="F26" s="943" t="s">
        <v>2662</v>
      </c>
      <c r="G26" s="946">
        <v>44242</v>
      </c>
      <c r="H26" s="936">
        <v>189403</v>
      </c>
      <c r="I26" s="934"/>
      <c r="J26" s="935">
        <f t="shared" si="0"/>
        <v>44242</v>
      </c>
      <c r="K26" s="936">
        <f t="shared" si="1"/>
        <v>45</v>
      </c>
      <c r="L26" s="936">
        <f t="shared" si="2"/>
        <v>189403</v>
      </c>
      <c r="M26" s="936">
        <f t="shared" si="3"/>
        <v>0</v>
      </c>
      <c r="N26" s="936">
        <f t="shared" si="4"/>
        <v>0</v>
      </c>
      <c r="O26" s="936">
        <f t="shared" si="5"/>
        <v>0</v>
      </c>
      <c r="P26" s="937">
        <f t="shared" si="6"/>
        <v>0</v>
      </c>
      <c r="Q26" s="938"/>
      <c r="R26" s="938"/>
      <c r="S26" s="939">
        <f t="shared" si="7"/>
        <v>189403</v>
      </c>
    </row>
    <row r="27" spans="1:19" ht="30" customHeight="1" x14ac:dyDescent="0.45">
      <c r="C27" s="934">
        <f t="shared" si="8"/>
        <v>21</v>
      </c>
      <c r="D27" s="934"/>
      <c r="E27" s="934"/>
      <c r="F27" s="943" t="s">
        <v>2663</v>
      </c>
      <c r="G27" s="946">
        <v>44242</v>
      </c>
      <c r="H27" s="936">
        <v>241929</v>
      </c>
      <c r="I27" s="934"/>
      <c r="J27" s="935">
        <f t="shared" si="0"/>
        <v>44242</v>
      </c>
      <c r="K27" s="936">
        <f t="shared" si="1"/>
        <v>45</v>
      </c>
      <c r="L27" s="936">
        <f t="shared" si="2"/>
        <v>241929</v>
      </c>
      <c r="M27" s="936">
        <f t="shared" si="3"/>
        <v>0</v>
      </c>
      <c r="N27" s="936">
        <f t="shared" si="4"/>
        <v>0</v>
      </c>
      <c r="O27" s="936">
        <f t="shared" si="5"/>
        <v>0</v>
      </c>
      <c r="P27" s="937">
        <f t="shared" si="6"/>
        <v>0</v>
      </c>
      <c r="Q27" s="938"/>
      <c r="R27" s="938"/>
      <c r="S27" s="939">
        <f t="shared" si="7"/>
        <v>241929</v>
      </c>
    </row>
    <row r="28" spans="1:19" ht="30" customHeight="1" x14ac:dyDescent="0.45">
      <c r="C28" s="934">
        <f t="shared" si="8"/>
        <v>22</v>
      </c>
      <c r="D28" s="934"/>
      <c r="E28" s="934"/>
      <c r="F28" s="943" t="s">
        <v>2664</v>
      </c>
      <c r="G28" s="946">
        <v>44242</v>
      </c>
      <c r="H28" s="936">
        <v>226356</v>
      </c>
      <c r="I28" s="934"/>
      <c r="J28" s="935">
        <f t="shared" si="0"/>
        <v>44242</v>
      </c>
      <c r="K28" s="936">
        <f t="shared" si="1"/>
        <v>45</v>
      </c>
      <c r="L28" s="936">
        <f t="shared" si="2"/>
        <v>226356</v>
      </c>
      <c r="M28" s="936">
        <f t="shared" si="3"/>
        <v>0</v>
      </c>
      <c r="N28" s="936">
        <f t="shared" si="4"/>
        <v>0</v>
      </c>
      <c r="O28" s="936">
        <f t="shared" si="5"/>
        <v>0</v>
      </c>
      <c r="P28" s="937">
        <f t="shared" si="6"/>
        <v>0</v>
      </c>
      <c r="Q28" s="938"/>
      <c r="R28" s="938"/>
      <c r="S28" s="939">
        <f t="shared" si="7"/>
        <v>226356</v>
      </c>
    </row>
    <row r="29" spans="1:19" ht="30" customHeight="1" x14ac:dyDescent="0.45">
      <c r="C29" s="934">
        <f t="shared" si="8"/>
        <v>23</v>
      </c>
      <c r="D29" s="934"/>
      <c r="E29" s="934"/>
      <c r="F29" s="943" t="s">
        <v>2665</v>
      </c>
      <c r="G29" s="946">
        <v>44243</v>
      </c>
      <c r="H29" s="936">
        <v>287730</v>
      </c>
      <c r="I29" s="934"/>
      <c r="J29" s="935">
        <f t="shared" si="0"/>
        <v>44243</v>
      </c>
      <c r="K29" s="936">
        <f t="shared" si="1"/>
        <v>44</v>
      </c>
      <c r="L29" s="936">
        <f t="shared" si="2"/>
        <v>287730</v>
      </c>
      <c r="M29" s="936">
        <f t="shared" si="3"/>
        <v>0</v>
      </c>
      <c r="N29" s="936">
        <f t="shared" si="4"/>
        <v>0</v>
      </c>
      <c r="O29" s="936">
        <f t="shared" si="5"/>
        <v>0</v>
      </c>
      <c r="P29" s="937">
        <f t="shared" si="6"/>
        <v>0</v>
      </c>
      <c r="Q29" s="938"/>
      <c r="R29" s="938"/>
      <c r="S29" s="939">
        <f t="shared" si="7"/>
        <v>287730</v>
      </c>
    </row>
    <row r="30" spans="1:19" ht="30" customHeight="1" x14ac:dyDescent="0.45">
      <c r="A30" s="933"/>
      <c r="C30" s="934">
        <f t="shared" si="8"/>
        <v>24</v>
      </c>
      <c r="D30" s="934"/>
      <c r="E30" s="934"/>
      <c r="F30" s="943" t="s">
        <v>2666</v>
      </c>
      <c r="G30" s="946">
        <v>44243</v>
      </c>
      <c r="H30" s="936">
        <v>225749</v>
      </c>
      <c r="I30" s="934"/>
      <c r="J30" s="935">
        <f t="shared" si="0"/>
        <v>44243</v>
      </c>
      <c r="K30" s="936">
        <f t="shared" si="1"/>
        <v>44</v>
      </c>
      <c r="L30" s="936">
        <f t="shared" si="2"/>
        <v>225749</v>
      </c>
      <c r="M30" s="936">
        <f t="shared" si="3"/>
        <v>0</v>
      </c>
      <c r="N30" s="936">
        <f t="shared" si="4"/>
        <v>0</v>
      </c>
      <c r="O30" s="936">
        <f t="shared" si="5"/>
        <v>0</v>
      </c>
      <c r="P30" s="937">
        <f t="shared" si="6"/>
        <v>0</v>
      </c>
      <c r="Q30" s="938"/>
      <c r="R30" s="938"/>
      <c r="S30" s="939">
        <f t="shared" si="7"/>
        <v>225749</v>
      </c>
    </row>
    <row r="31" spans="1:19" ht="30" customHeight="1" x14ac:dyDescent="0.45">
      <c r="A31" s="933"/>
      <c r="C31" s="934">
        <f t="shared" si="8"/>
        <v>25</v>
      </c>
      <c r="D31" s="934"/>
      <c r="E31" s="934"/>
      <c r="F31" s="943" t="s">
        <v>2667</v>
      </c>
      <c r="G31" s="946">
        <v>44245</v>
      </c>
      <c r="H31" s="936">
        <v>278729</v>
      </c>
      <c r="I31" s="934"/>
      <c r="J31" s="935">
        <f t="shared" si="0"/>
        <v>44245</v>
      </c>
      <c r="K31" s="936">
        <f t="shared" si="1"/>
        <v>42</v>
      </c>
      <c r="L31" s="936">
        <f t="shared" si="2"/>
        <v>278729</v>
      </c>
      <c r="M31" s="936">
        <f t="shared" si="3"/>
        <v>0</v>
      </c>
      <c r="N31" s="936">
        <f t="shared" si="4"/>
        <v>0</v>
      </c>
      <c r="O31" s="936">
        <f t="shared" si="5"/>
        <v>0</v>
      </c>
      <c r="P31" s="937">
        <f t="shared" si="6"/>
        <v>0</v>
      </c>
      <c r="Q31" s="938"/>
      <c r="R31" s="938"/>
      <c r="S31" s="939">
        <f t="shared" si="7"/>
        <v>278729</v>
      </c>
    </row>
    <row r="32" spans="1:19" ht="30" customHeight="1" x14ac:dyDescent="0.45">
      <c r="A32" s="933"/>
      <c r="C32" s="934">
        <f t="shared" si="8"/>
        <v>26</v>
      </c>
      <c r="D32" s="934"/>
      <c r="E32" s="934"/>
      <c r="F32" s="943" t="s">
        <v>2668</v>
      </c>
      <c r="G32" s="946">
        <v>44245</v>
      </c>
      <c r="H32" s="936">
        <v>261604</v>
      </c>
      <c r="I32" s="934"/>
      <c r="J32" s="935">
        <f t="shared" si="0"/>
        <v>44245</v>
      </c>
      <c r="K32" s="936">
        <f t="shared" si="1"/>
        <v>42</v>
      </c>
      <c r="L32" s="936">
        <f t="shared" si="2"/>
        <v>261604</v>
      </c>
      <c r="M32" s="936">
        <f t="shared" si="3"/>
        <v>0</v>
      </c>
      <c r="N32" s="936">
        <f t="shared" si="4"/>
        <v>0</v>
      </c>
      <c r="O32" s="936">
        <f t="shared" si="5"/>
        <v>0</v>
      </c>
      <c r="P32" s="937">
        <f t="shared" si="6"/>
        <v>0</v>
      </c>
      <c r="Q32" s="938"/>
      <c r="R32" s="938"/>
      <c r="S32" s="939">
        <f t="shared" si="7"/>
        <v>261604</v>
      </c>
    </row>
    <row r="33" spans="1:19" ht="30" customHeight="1" x14ac:dyDescent="0.45">
      <c r="A33" s="933"/>
      <c r="C33" s="934">
        <f t="shared" si="8"/>
        <v>27</v>
      </c>
      <c r="D33" s="934"/>
      <c r="E33" s="934"/>
      <c r="F33" s="943" t="s">
        <v>2669</v>
      </c>
      <c r="G33" s="946">
        <v>44245</v>
      </c>
      <c r="H33" s="936">
        <v>255691</v>
      </c>
      <c r="I33" s="934"/>
      <c r="J33" s="935">
        <f t="shared" si="0"/>
        <v>44245</v>
      </c>
      <c r="K33" s="936">
        <f t="shared" si="1"/>
        <v>42</v>
      </c>
      <c r="L33" s="936">
        <f t="shared" si="2"/>
        <v>255691</v>
      </c>
      <c r="M33" s="936">
        <f t="shared" si="3"/>
        <v>0</v>
      </c>
      <c r="N33" s="936">
        <f t="shared" si="4"/>
        <v>0</v>
      </c>
      <c r="O33" s="936">
        <f t="shared" si="5"/>
        <v>0</v>
      </c>
      <c r="P33" s="937">
        <f t="shared" si="6"/>
        <v>0</v>
      </c>
      <c r="Q33" s="938"/>
      <c r="R33" s="938"/>
      <c r="S33" s="939">
        <f t="shared" si="7"/>
        <v>255691</v>
      </c>
    </row>
    <row r="34" spans="1:19" ht="30" customHeight="1" x14ac:dyDescent="0.45">
      <c r="A34" s="933"/>
      <c r="C34" s="934">
        <f t="shared" si="8"/>
        <v>28</v>
      </c>
      <c r="D34" s="934"/>
      <c r="E34" s="934"/>
      <c r="F34" s="943" t="s">
        <v>2670</v>
      </c>
      <c r="G34" s="946">
        <v>44245</v>
      </c>
      <c r="H34" s="936">
        <v>247703</v>
      </c>
      <c r="I34" s="934"/>
      <c r="J34" s="935">
        <f t="shared" si="0"/>
        <v>44245</v>
      </c>
      <c r="K34" s="936">
        <f t="shared" si="1"/>
        <v>42</v>
      </c>
      <c r="L34" s="936">
        <f t="shared" si="2"/>
        <v>247703</v>
      </c>
      <c r="M34" s="936">
        <f t="shared" si="3"/>
        <v>0</v>
      </c>
      <c r="N34" s="936">
        <f t="shared" si="4"/>
        <v>0</v>
      </c>
      <c r="O34" s="936">
        <f t="shared" si="5"/>
        <v>0</v>
      </c>
      <c r="P34" s="937">
        <f t="shared" si="6"/>
        <v>0</v>
      </c>
      <c r="Q34" s="938"/>
      <c r="R34" s="938"/>
      <c r="S34" s="939">
        <f t="shared" si="7"/>
        <v>247703</v>
      </c>
    </row>
    <row r="35" spans="1:19" ht="30" customHeight="1" x14ac:dyDescent="0.45">
      <c r="A35" s="933"/>
      <c r="C35" s="934">
        <f t="shared" si="8"/>
        <v>29</v>
      </c>
      <c r="D35" s="934"/>
      <c r="E35" s="934"/>
      <c r="F35" s="943" t="s">
        <v>2671</v>
      </c>
      <c r="G35" s="946">
        <v>44246</v>
      </c>
      <c r="H35" s="936">
        <v>231761</v>
      </c>
      <c r="I35" s="934"/>
      <c r="J35" s="935">
        <f t="shared" si="0"/>
        <v>44246</v>
      </c>
      <c r="K35" s="936">
        <f t="shared" si="1"/>
        <v>41</v>
      </c>
      <c r="L35" s="936">
        <f t="shared" si="2"/>
        <v>231761</v>
      </c>
      <c r="M35" s="936">
        <f t="shared" si="3"/>
        <v>0</v>
      </c>
      <c r="N35" s="936">
        <f t="shared" si="4"/>
        <v>0</v>
      </c>
      <c r="O35" s="936">
        <f t="shared" si="5"/>
        <v>0</v>
      </c>
      <c r="P35" s="937">
        <f t="shared" si="6"/>
        <v>0</v>
      </c>
      <c r="Q35" s="938"/>
      <c r="R35" s="938"/>
      <c r="S35" s="939">
        <f t="shared" si="7"/>
        <v>231761</v>
      </c>
    </row>
    <row r="36" spans="1:19" ht="30" customHeight="1" x14ac:dyDescent="0.45">
      <c r="A36" s="933"/>
      <c r="C36" s="934">
        <f t="shared" si="8"/>
        <v>30</v>
      </c>
      <c r="D36" s="934"/>
      <c r="E36" s="934"/>
      <c r="F36" s="943" t="s">
        <v>2672</v>
      </c>
      <c r="G36" s="946">
        <v>44246</v>
      </c>
      <c r="H36" s="936">
        <v>229861</v>
      </c>
      <c r="I36" s="934"/>
      <c r="J36" s="935">
        <f t="shared" si="0"/>
        <v>44246</v>
      </c>
      <c r="K36" s="936">
        <f t="shared" si="1"/>
        <v>41</v>
      </c>
      <c r="L36" s="936">
        <f t="shared" si="2"/>
        <v>229861</v>
      </c>
      <c r="M36" s="936">
        <f t="shared" si="3"/>
        <v>0</v>
      </c>
      <c r="N36" s="936">
        <f t="shared" si="4"/>
        <v>0</v>
      </c>
      <c r="O36" s="936">
        <f t="shared" si="5"/>
        <v>0</v>
      </c>
      <c r="P36" s="937">
        <f t="shared" si="6"/>
        <v>0</v>
      </c>
      <c r="Q36" s="938"/>
      <c r="R36" s="938"/>
      <c r="S36" s="939">
        <f t="shared" si="7"/>
        <v>229861</v>
      </c>
    </row>
    <row r="37" spans="1:19" ht="30" customHeight="1" x14ac:dyDescent="0.45">
      <c r="A37" s="933"/>
      <c r="C37" s="934">
        <f t="shared" si="8"/>
        <v>31</v>
      </c>
      <c r="D37" s="934"/>
      <c r="E37" s="934"/>
      <c r="F37" s="943" t="s">
        <v>2673</v>
      </c>
      <c r="G37" s="946">
        <v>44247</v>
      </c>
      <c r="H37" s="936">
        <v>242277</v>
      </c>
      <c r="I37" s="934"/>
      <c r="J37" s="935">
        <f t="shared" si="0"/>
        <v>44247</v>
      </c>
      <c r="K37" s="936">
        <f t="shared" si="1"/>
        <v>40</v>
      </c>
      <c r="L37" s="936">
        <f t="shared" si="2"/>
        <v>242277</v>
      </c>
      <c r="M37" s="936">
        <f t="shared" si="3"/>
        <v>0</v>
      </c>
      <c r="N37" s="936">
        <f t="shared" si="4"/>
        <v>0</v>
      </c>
      <c r="O37" s="936">
        <f t="shared" si="5"/>
        <v>0</v>
      </c>
      <c r="P37" s="937">
        <f t="shared" si="6"/>
        <v>0</v>
      </c>
      <c r="Q37" s="938"/>
      <c r="R37" s="938"/>
      <c r="S37" s="939">
        <f t="shared" si="7"/>
        <v>242277</v>
      </c>
    </row>
    <row r="38" spans="1:19" ht="30" customHeight="1" x14ac:dyDescent="0.45">
      <c r="A38" s="933"/>
      <c r="C38" s="934">
        <f t="shared" si="8"/>
        <v>32</v>
      </c>
      <c r="D38" s="934"/>
      <c r="E38" s="934"/>
      <c r="F38" s="943" t="s">
        <v>2674</v>
      </c>
      <c r="G38" s="946">
        <v>44247</v>
      </c>
      <c r="H38" s="936">
        <v>253765</v>
      </c>
      <c r="I38" s="934"/>
      <c r="J38" s="935">
        <f t="shared" si="0"/>
        <v>44247</v>
      </c>
      <c r="K38" s="936">
        <f t="shared" si="1"/>
        <v>40</v>
      </c>
      <c r="L38" s="936">
        <f t="shared" si="2"/>
        <v>253765</v>
      </c>
      <c r="M38" s="936">
        <f t="shared" si="3"/>
        <v>0</v>
      </c>
      <c r="N38" s="936">
        <f t="shared" si="4"/>
        <v>0</v>
      </c>
      <c r="O38" s="936">
        <f t="shared" si="5"/>
        <v>0</v>
      </c>
      <c r="P38" s="937">
        <f t="shared" si="6"/>
        <v>0</v>
      </c>
      <c r="Q38" s="938"/>
      <c r="R38" s="938"/>
      <c r="S38" s="939">
        <f t="shared" si="7"/>
        <v>253765</v>
      </c>
    </row>
    <row r="39" spans="1:19" ht="30" customHeight="1" x14ac:dyDescent="0.45">
      <c r="A39" s="933"/>
      <c r="C39" s="934">
        <f t="shared" si="8"/>
        <v>33</v>
      </c>
      <c r="D39" s="934"/>
      <c r="E39" s="934"/>
      <c r="F39" s="943" t="s">
        <v>2675</v>
      </c>
      <c r="G39" s="946">
        <v>44247</v>
      </c>
      <c r="H39" s="936">
        <v>209633</v>
      </c>
      <c r="I39" s="934"/>
      <c r="J39" s="935">
        <f t="shared" si="0"/>
        <v>44247</v>
      </c>
      <c r="K39" s="936">
        <f t="shared" si="1"/>
        <v>40</v>
      </c>
      <c r="L39" s="936">
        <f t="shared" si="2"/>
        <v>209633</v>
      </c>
      <c r="M39" s="936">
        <f t="shared" si="3"/>
        <v>0</v>
      </c>
      <c r="N39" s="936">
        <f t="shared" si="4"/>
        <v>0</v>
      </c>
      <c r="O39" s="936">
        <f t="shared" si="5"/>
        <v>0</v>
      </c>
      <c r="P39" s="937">
        <f t="shared" si="6"/>
        <v>0</v>
      </c>
      <c r="Q39" s="938"/>
      <c r="R39" s="938"/>
      <c r="S39" s="939">
        <f t="shared" si="7"/>
        <v>209633</v>
      </c>
    </row>
    <row r="40" spans="1:19" ht="30" customHeight="1" x14ac:dyDescent="0.45">
      <c r="A40" s="933"/>
      <c r="C40" s="934">
        <f t="shared" si="8"/>
        <v>34</v>
      </c>
      <c r="D40" s="934"/>
      <c r="E40" s="934"/>
      <c r="F40" s="943" t="s">
        <v>2676</v>
      </c>
      <c r="G40" s="946">
        <v>44247</v>
      </c>
      <c r="H40" s="936">
        <v>243403</v>
      </c>
      <c r="I40" s="934"/>
      <c r="J40" s="935">
        <f t="shared" si="0"/>
        <v>44247</v>
      </c>
      <c r="K40" s="936">
        <f t="shared" si="1"/>
        <v>40</v>
      </c>
      <c r="L40" s="936">
        <f t="shared" si="2"/>
        <v>243403</v>
      </c>
      <c r="M40" s="936">
        <f t="shared" si="3"/>
        <v>0</v>
      </c>
      <c r="N40" s="936">
        <f t="shared" si="4"/>
        <v>0</v>
      </c>
      <c r="O40" s="936">
        <f t="shared" si="5"/>
        <v>0</v>
      </c>
      <c r="P40" s="937">
        <f t="shared" si="6"/>
        <v>0</v>
      </c>
      <c r="Q40" s="938"/>
      <c r="R40" s="938"/>
      <c r="S40" s="939">
        <f t="shared" si="7"/>
        <v>243403</v>
      </c>
    </row>
    <row r="41" spans="1:19" ht="30" customHeight="1" x14ac:dyDescent="0.45">
      <c r="C41" s="934">
        <f t="shared" si="8"/>
        <v>35</v>
      </c>
      <c r="D41" s="934"/>
      <c r="E41" s="934"/>
      <c r="F41" s="943" t="s">
        <v>2677</v>
      </c>
      <c r="G41" s="946">
        <v>44248</v>
      </c>
      <c r="H41" s="936">
        <v>231591</v>
      </c>
      <c r="I41" s="934"/>
      <c r="J41" s="935">
        <f t="shared" si="0"/>
        <v>44248</v>
      </c>
      <c r="K41" s="936">
        <f t="shared" si="1"/>
        <v>39</v>
      </c>
      <c r="L41" s="936">
        <f t="shared" si="2"/>
        <v>231591</v>
      </c>
      <c r="M41" s="936">
        <f t="shared" si="3"/>
        <v>0</v>
      </c>
      <c r="N41" s="936">
        <f t="shared" si="4"/>
        <v>0</v>
      </c>
      <c r="O41" s="936">
        <f t="shared" si="5"/>
        <v>0</v>
      </c>
      <c r="P41" s="937">
        <f t="shared" si="6"/>
        <v>0</v>
      </c>
      <c r="Q41" s="938"/>
      <c r="R41" s="938"/>
      <c r="S41" s="939">
        <f t="shared" si="7"/>
        <v>231591</v>
      </c>
    </row>
    <row r="42" spans="1:19" ht="30" customHeight="1" x14ac:dyDescent="0.45">
      <c r="C42" s="934">
        <f t="shared" si="8"/>
        <v>36</v>
      </c>
      <c r="D42" s="934"/>
      <c r="E42" s="934"/>
      <c r="F42" s="943" t="s">
        <v>2678</v>
      </c>
      <c r="G42" s="946">
        <v>44248</v>
      </c>
      <c r="H42" s="936">
        <v>258510</v>
      </c>
      <c r="I42" s="934"/>
      <c r="J42" s="935">
        <f t="shared" si="0"/>
        <v>44248</v>
      </c>
      <c r="K42" s="936">
        <f t="shared" si="1"/>
        <v>39</v>
      </c>
      <c r="L42" s="936">
        <f t="shared" si="2"/>
        <v>258510</v>
      </c>
      <c r="M42" s="936">
        <f t="shared" si="3"/>
        <v>0</v>
      </c>
      <c r="N42" s="936">
        <f t="shared" si="4"/>
        <v>0</v>
      </c>
      <c r="O42" s="936">
        <f t="shared" si="5"/>
        <v>0</v>
      </c>
      <c r="P42" s="937">
        <f t="shared" si="6"/>
        <v>0</v>
      </c>
      <c r="Q42" s="938"/>
      <c r="R42" s="938"/>
      <c r="S42" s="939">
        <f t="shared" si="7"/>
        <v>258510</v>
      </c>
    </row>
    <row r="43" spans="1:19" ht="30" customHeight="1" x14ac:dyDescent="0.45">
      <c r="C43" s="934">
        <f t="shared" si="8"/>
        <v>37</v>
      </c>
      <c r="D43" s="934"/>
      <c r="E43" s="934"/>
      <c r="F43" s="943" t="s">
        <v>2679</v>
      </c>
      <c r="G43" s="946">
        <v>44248</v>
      </c>
      <c r="H43" s="936">
        <v>216485</v>
      </c>
      <c r="I43" s="934"/>
      <c r="J43" s="935">
        <f t="shared" si="0"/>
        <v>44248</v>
      </c>
      <c r="K43" s="936">
        <f t="shared" si="1"/>
        <v>39</v>
      </c>
      <c r="L43" s="936">
        <f t="shared" si="2"/>
        <v>216485</v>
      </c>
      <c r="M43" s="936">
        <f t="shared" si="3"/>
        <v>0</v>
      </c>
      <c r="N43" s="936">
        <f t="shared" si="4"/>
        <v>0</v>
      </c>
      <c r="O43" s="936">
        <f t="shared" si="5"/>
        <v>0</v>
      </c>
      <c r="P43" s="937">
        <f t="shared" si="6"/>
        <v>0</v>
      </c>
      <c r="Q43" s="938"/>
      <c r="R43" s="938"/>
      <c r="S43" s="939">
        <f t="shared" si="7"/>
        <v>216485</v>
      </c>
    </row>
    <row r="44" spans="1:19" ht="30" customHeight="1" x14ac:dyDescent="0.45">
      <c r="C44" s="934">
        <f t="shared" si="8"/>
        <v>38</v>
      </c>
      <c r="D44" s="934"/>
      <c r="E44" s="934"/>
      <c r="F44" s="943" t="s">
        <v>2680</v>
      </c>
      <c r="G44" s="946">
        <v>44248</v>
      </c>
      <c r="H44" s="936">
        <v>227009</v>
      </c>
      <c r="I44" s="934"/>
      <c r="J44" s="935">
        <f t="shared" si="0"/>
        <v>44248</v>
      </c>
      <c r="K44" s="936">
        <f t="shared" si="1"/>
        <v>39</v>
      </c>
      <c r="L44" s="936">
        <f t="shared" si="2"/>
        <v>227009</v>
      </c>
      <c r="M44" s="936">
        <f t="shared" si="3"/>
        <v>0</v>
      </c>
      <c r="N44" s="936">
        <f t="shared" si="4"/>
        <v>0</v>
      </c>
      <c r="O44" s="936">
        <f t="shared" si="5"/>
        <v>0</v>
      </c>
      <c r="P44" s="937">
        <f t="shared" si="6"/>
        <v>0</v>
      </c>
      <c r="Q44" s="938"/>
      <c r="R44" s="938"/>
      <c r="S44" s="939">
        <f t="shared" si="7"/>
        <v>227009</v>
      </c>
    </row>
    <row r="45" spans="1:19" ht="30" customHeight="1" x14ac:dyDescent="0.45">
      <c r="C45" s="934">
        <f t="shared" si="8"/>
        <v>39</v>
      </c>
      <c r="D45" s="934"/>
      <c r="E45" s="934"/>
      <c r="F45" s="943" t="s">
        <v>2681</v>
      </c>
      <c r="G45" s="946">
        <v>44250</v>
      </c>
      <c r="H45" s="936">
        <v>234616</v>
      </c>
      <c r="I45" s="934"/>
      <c r="J45" s="935">
        <f t="shared" si="0"/>
        <v>44250</v>
      </c>
      <c r="K45" s="936">
        <f t="shared" si="1"/>
        <v>37</v>
      </c>
      <c r="L45" s="936">
        <f t="shared" si="2"/>
        <v>234616</v>
      </c>
      <c r="M45" s="936">
        <f t="shared" si="3"/>
        <v>0</v>
      </c>
      <c r="N45" s="936">
        <f t="shared" si="4"/>
        <v>0</v>
      </c>
      <c r="O45" s="936">
        <f t="shared" si="5"/>
        <v>0</v>
      </c>
      <c r="P45" s="937">
        <f t="shared" si="6"/>
        <v>0</v>
      </c>
      <c r="Q45" s="938"/>
      <c r="R45" s="938"/>
      <c r="S45" s="939">
        <f t="shared" si="7"/>
        <v>234616</v>
      </c>
    </row>
    <row r="46" spans="1:19" ht="30" customHeight="1" x14ac:dyDescent="0.45">
      <c r="A46" s="933"/>
      <c r="C46" s="934">
        <f t="shared" si="8"/>
        <v>40</v>
      </c>
      <c r="D46" s="934"/>
      <c r="E46" s="934"/>
      <c r="F46" s="943" t="s">
        <v>2682</v>
      </c>
      <c r="G46" s="946">
        <v>44250</v>
      </c>
      <c r="H46" s="936">
        <v>239074</v>
      </c>
      <c r="I46" s="934"/>
      <c r="J46" s="935">
        <f t="shared" si="0"/>
        <v>44250</v>
      </c>
      <c r="K46" s="936">
        <f t="shared" si="1"/>
        <v>37</v>
      </c>
      <c r="L46" s="936">
        <f t="shared" si="2"/>
        <v>239074</v>
      </c>
      <c r="M46" s="936">
        <f t="shared" si="3"/>
        <v>0</v>
      </c>
      <c r="N46" s="936">
        <f t="shared" si="4"/>
        <v>0</v>
      </c>
      <c r="O46" s="936">
        <f t="shared" si="5"/>
        <v>0</v>
      </c>
      <c r="P46" s="937">
        <f t="shared" si="6"/>
        <v>0</v>
      </c>
      <c r="Q46" s="938"/>
      <c r="R46" s="938"/>
      <c r="S46" s="939">
        <f t="shared" si="7"/>
        <v>239074</v>
      </c>
    </row>
    <row r="47" spans="1:19" ht="30" customHeight="1" x14ac:dyDescent="0.45">
      <c r="A47" s="933"/>
      <c r="C47" s="934">
        <f t="shared" si="8"/>
        <v>41</v>
      </c>
      <c r="D47" s="934"/>
      <c r="E47" s="934"/>
      <c r="F47" s="943" t="s">
        <v>2683</v>
      </c>
      <c r="G47" s="946">
        <v>44253</v>
      </c>
      <c r="H47" s="936">
        <v>236459</v>
      </c>
      <c r="I47" s="934"/>
      <c r="J47" s="935">
        <f t="shared" si="0"/>
        <v>44253</v>
      </c>
      <c r="K47" s="936">
        <f t="shared" si="1"/>
        <v>34</v>
      </c>
      <c r="L47" s="936">
        <f t="shared" si="2"/>
        <v>236459</v>
      </c>
      <c r="M47" s="936">
        <f t="shared" si="3"/>
        <v>0</v>
      </c>
      <c r="N47" s="936">
        <f t="shared" si="4"/>
        <v>0</v>
      </c>
      <c r="O47" s="936">
        <f t="shared" si="5"/>
        <v>0</v>
      </c>
      <c r="P47" s="937">
        <f t="shared" si="6"/>
        <v>0</v>
      </c>
      <c r="Q47" s="938"/>
      <c r="R47" s="938"/>
      <c r="S47" s="939">
        <f t="shared" si="7"/>
        <v>236459</v>
      </c>
    </row>
    <row r="48" spans="1:19" ht="30" customHeight="1" x14ac:dyDescent="0.45">
      <c r="A48" s="933"/>
      <c r="C48" s="934">
        <f t="shared" si="8"/>
        <v>42</v>
      </c>
      <c r="D48" s="934"/>
      <c r="E48" s="934"/>
      <c r="F48" s="943" t="s">
        <v>2684</v>
      </c>
      <c r="G48" s="946">
        <v>44254</v>
      </c>
      <c r="H48" s="936">
        <v>252965</v>
      </c>
      <c r="I48" s="934"/>
      <c r="J48" s="935">
        <f t="shared" si="0"/>
        <v>44254</v>
      </c>
      <c r="K48" s="936">
        <f t="shared" si="1"/>
        <v>33</v>
      </c>
      <c r="L48" s="936">
        <f t="shared" si="2"/>
        <v>252965</v>
      </c>
      <c r="M48" s="936">
        <f t="shared" si="3"/>
        <v>0</v>
      </c>
      <c r="N48" s="936">
        <f t="shared" si="4"/>
        <v>0</v>
      </c>
      <c r="O48" s="936">
        <f t="shared" si="5"/>
        <v>0</v>
      </c>
      <c r="P48" s="937">
        <f t="shared" si="6"/>
        <v>0</v>
      </c>
      <c r="Q48" s="938"/>
      <c r="R48" s="938"/>
      <c r="S48" s="939">
        <f t="shared" si="7"/>
        <v>252965</v>
      </c>
    </row>
    <row r="49" spans="1:19" ht="30" customHeight="1" x14ac:dyDescent="0.45">
      <c r="A49" s="933"/>
      <c r="C49" s="934">
        <f t="shared" si="8"/>
        <v>43</v>
      </c>
      <c r="D49" s="934"/>
      <c r="E49" s="934"/>
      <c r="F49" s="943" t="s">
        <v>2685</v>
      </c>
      <c r="G49" s="946">
        <v>44255</v>
      </c>
      <c r="H49" s="936">
        <v>235459</v>
      </c>
      <c r="I49" s="934"/>
      <c r="J49" s="935">
        <f t="shared" si="0"/>
        <v>44255</v>
      </c>
      <c r="K49" s="936">
        <f t="shared" si="1"/>
        <v>32</v>
      </c>
      <c r="L49" s="936">
        <f t="shared" si="2"/>
        <v>235459</v>
      </c>
      <c r="M49" s="936">
        <f t="shared" si="3"/>
        <v>0</v>
      </c>
      <c r="N49" s="936">
        <f t="shared" si="4"/>
        <v>0</v>
      </c>
      <c r="O49" s="936">
        <f t="shared" si="5"/>
        <v>0</v>
      </c>
      <c r="P49" s="937">
        <f t="shared" si="6"/>
        <v>0</v>
      </c>
      <c r="Q49" s="938"/>
      <c r="R49" s="938"/>
      <c r="S49" s="939">
        <f t="shared" si="7"/>
        <v>235459</v>
      </c>
    </row>
    <row r="50" spans="1:19" ht="30" customHeight="1" x14ac:dyDescent="0.45">
      <c r="A50" s="933"/>
      <c r="C50" s="934">
        <f t="shared" si="8"/>
        <v>44</v>
      </c>
      <c r="D50" s="934"/>
      <c r="E50" s="934"/>
      <c r="F50" s="943" t="s">
        <v>2686</v>
      </c>
      <c r="G50" s="946">
        <v>44255</v>
      </c>
      <c r="H50" s="936">
        <v>260550</v>
      </c>
      <c r="I50" s="934"/>
      <c r="J50" s="935">
        <f t="shared" si="0"/>
        <v>44255</v>
      </c>
      <c r="K50" s="936">
        <f t="shared" si="1"/>
        <v>32</v>
      </c>
      <c r="L50" s="936">
        <f t="shared" si="2"/>
        <v>260550</v>
      </c>
      <c r="M50" s="936">
        <f t="shared" si="3"/>
        <v>0</v>
      </c>
      <c r="N50" s="936">
        <f t="shared" si="4"/>
        <v>0</v>
      </c>
      <c r="O50" s="936">
        <f t="shared" si="5"/>
        <v>0</v>
      </c>
      <c r="P50" s="937">
        <f t="shared" si="6"/>
        <v>0</v>
      </c>
      <c r="Q50" s="938"/>
      <c r="R50" s="938"/>
      <c r="S50" s="939">
        <f t="shared" si="7"/>
        <v>260550</v>
      </c>
    </row>
    <row r="51" spans="1:19" ht="30" customHeight="1" x14ac:dyDescent="0.45">
      <c r="A51" s="933"/>
      <c r="C51" s="934">
        <f t="shared" si="8"/>
        <v>45</v>
      </c>
      <c r="D51" s="934"/>
      <c r="E51" s="934"/>
      <c r="F51" s="943" t="s">
        <v>2687</v>
      </c>
      <c r="G51" s="946">
        <v>44255</v>
      </c>
      <c r="H51" s="936">
        <v>249045</v>
      </c>
      <c r="I51" s="934"/>
      <c r="J51" s="935">
        <f t="shared" si="0"/>
        <v>44255</v>
      </c>
      <c r="K51" s="936">
        <f t="shared" si="1"/>
        <v>32</v>
      </c>
      <c r="L51" s="936">
        <f t="shared" si="2"/>
        <v>249045</v>
      </c>
      <c r="M51" s="936">
        <f t="shared" si="3"/>
        <v>0</v>
      </c>
      <c r="N51" s="936">
        <f t="shared" si="4"/>
        <v>0</v>
      </c>
      <c r="O51" s="936">
        <f t="shared" si="5"/>
        <v>0</v>
      </c>
      <c r="P51" s="937">
        <f t="shared" si="6"/>
        <v>0</v>
      </c>
      <c r="Q51" s="938"/>
      <c r="R51" s="938"/>
      <c r="S51" s="939">
        <f t="shared" si="7"/>
        <v>249045</v>
      </c>
    </row>
    <row r="52" spans="1:19" ht="30" customHeight="1" x14ac:dyDescent="0.45">
      <c r="A52" s="933"/>
      <c r="C52" s="934">
        <f t="shared" si="8"/>
        <v>46</v>
      </c>
      <c r="D52" s="934"/>
      <c r="E52" s="934"/>
      <c r="F52" s="943" t="s">
        <v>2688</v>
      </c>
      <c r="G52" s="946">
        <v>44256</v>
      </c>
      <c r="H52" s="936">
        <v>235206</v>
      </c>
      <c r="I52" s="934"/>
      <c r="J52" s="935">
        <f t="shared" si="0"/>
        <v>44256</v>
      </c>
      <c r="K52" s="936">
        <f t="shared" si="1"/>
        <v>31</v>
      </c>
      <c r="L52" s="936">
        <f t="shared" si="2"/>
        <v>235206</v>
      </c>
      <c r="M52" s="936">
        <f t="shared" si="3"/>
        <v>0</v>
      </c>
      <c r="N52" s="936">
        <f t="shared" si="4"/>
        <v>0</v>
      </c>
      <c r="O52" s="936">
        <f t="shared" si="5"/>
        <v>0</v>
      </c>
      <c r="P52" s="937">
        <f t="shared" si="6"/>
        <v>0</v>
      </c>
      <c r="Q52" s="938"/>
      <c r="R52" s="938"/>
      <c r="S52" s="939">
        <f t="shared" si="7"/>
        <v>235206</v>
      </c>
    </row>
    <row r="53" spans="1:19" ht="30" customHeight="1" x14ac:dyDescent="0.45">
      <c r="A53" s="933"/>
      <c r="C53" s="934">
        <f t="shared" si="8"/>
        <v>47</v>
      </c>
      <c r="D53" s="934"/>
      <c r="E53" s="934"/>
      <c r="F53" s="943" t="s">
        <v>2689</v>
      </c>
      <c r="G53" s="946">
        <v>44256</v>
      </c>
      <c r="H53" s="936">
        <v>249951</v>
      </c>
      <c r="I53" s="934"/>
      <c r="J53" s="935">
        <f t="shared" si="0"/>
        <v>44256</v>
      </c>
      <c r="K53" s="936">
        <f t="shared" si="1"/>
        <v>31</v>
      </c>
      <c r="L53" s="936">
        <f t="shared" si="2"/>
        <v>249951</v>
      </c>
      <c r="M53" s="936">
        <f t="shared" si="3"/>
        <v>0</v>
      </c>
      <c r="N53" s="936">
        <f t="shared" si="4"/>
        <v>0</v>
      </c>
      <c r="O53" s="936">
        <f t="shared" si="5"/>
        <v>0</v>
      </c>
      <c r="P53" s="937">
        <f t="shared" si="6"/>
        <v>0</v>
      </c>
      <c r="Q53" s="938"/>
      <c r="R53" s="938"/>
      <c r="S53" s="939">
        <f t="shared" si="7"/>
        <v>249951</v>
      </c>
    </row>
    <row r="54" spans="1:19" ht="30" customHeight="1" x14ac:dyDescent="0.45">
      <c r="A54" s="933"/>
      <c r="C54" s="934">
        <f t="shared" si="8"/>
        <v>48</v>
      </c>
      <c r="D54" s="934"/>
      <c r="E54" s="934"/>
      <c r="F54" s="943" t="s">
        <v>2690</v>
      </c>
      <c r="G54" s="946">
        <v>44257</v>
      </c>
      <c r="H54" s="936">
        <v>240292</v>
      </c>
      <c r="I54" s="934"/>
      <c r="J54" s="935">
        <f t="shared" si="0"/>
        <v>44257</v>
      </c>
      <c r="K54" s="936">
        <f t="shared" si="1"/>
        <v>30</v>
      </c>
      <c r="L54" s="936">
        <f t="shared" si="2"/>
        <v>240292</v>
      </c>
      <c r="M54" s="936">
        <f t="shared" si="3"/>
        <v>0</v>
      </c>
      <c r="N54" s="936">
        <f t="shared" si="4"/>
        <v>0</v>
      </c>
      <c r="O54" s="936">
        <f t="shared" si="5"/>
        <v>0</v>
      </c>
      <c r="P54" s="937">
        <f t="shared" si="6"/>
        <v>0</v>
      </c>
      <c r="Q54" s="938"/>
      <c r="R54" s="938"/>
      <c r="S54" s="939">
        <f t="shared" si="7"/>
        <v>240292</v>
      </c>
    </row>
    <row r="55" spans="1:19" ht="30" customHeight="1" x14ac:dyDescent="0.45">
      <c r="A55" s="933"/>
      <c r="C55" s="934">
        <f t="shared" si="8"/>
        <v>49</v>
      </c>
      <c r="D55" s="934"/>
      <c r="E55" s="934"/>
      <c r="F55" s="943" t="s">
        <v>2691</v>
      </c>
      <c r="G55" s="946">
        <v>44257</v>
      </c>
      <c r="H55" s="936">
        <v>297267</v>
      </c>
      <c r="I55" s="934"/>
      <c r="J55" s="935">
        <f t="shared" si="0"/>
        <v>44257</v>
      </c>
      <c r="K55" s="936">
        <f t="shared" si="1"/>
        <v>30</v>
      </c>
      <c r="L55" s="936">
        <f t="shared" si="2"/>
        <v>297267</v>
      </c>
      <c r="M55" s="936">
        <f t="shared" si="3"/>
        <v>0</v>
      </c>
      <c r="N55" s="936">
        <f t="shared" si="4"/>
        <v>0</v>
      </c>
      <c r="O55" s="936">
        <f t="shared" si="5"/>
        <v>0</v>
      </c>
      <c r="P55" s="937">
        <f t="shared" si="6"/>
        <v>0</v>
      </c>
      <c r="Q55" s="938"/>
      <c r="R55" s="938"/>
      <c r="S55" s="939">
        <f t="shared" si="7"/>
        <v>297267</v>
      </c>
    </row>
    <row r="56" spans="1:19" ht="30" customHeight="1" x14ac:dyDescent="0.45">
      <c r="A56" s="933"/>
      <c r="C56" s="934">
        <f t="shared" si="8"/>
        <v>50</v>
      </c>
      <c r="D56" s="934"/>
      <c r="E56" s="934"/>
      <c r="F56" s="943" t="s">
        <v>2692</v>
      </c>
      <c r="G56" s="946">
        <v>44257</v>
      </c>
      <c r="H56" s="936">
        <v>230057</v>
      </c>
      <c r="I56" s="934"/>
      <c r="J56" s="935">
        <f t="shared" si="0"/>
        <v>44257</v>
      </c>
      <c r="K56" s="936">
        <f t="shared" si="1"/>
        <v>30</v>
      </c>
      <c r="L56" s="936">
        <f t="shared" si="2"/>
        <v>230057</v>
      </c>
      <c r="M56" s="936">
        <f t="shared" si="3"/>
        <v>0</v>
      </c>
      <c r="N56" s="936">
        <f t="shared" si="4"/>
        <v>0</v>
      </c>
      <c r="O56" s="936">
        <f t="shared" si="5"/>
        <v>0</v>
      </c>
      <c r="P56" s="937">
        <f t="shared" si="6"/>
        <v>0</v>
      </c>
      <c r="Q56" s="938"/>
      <c r="R56" s="938"/>
      <c r="S56" s="939">
        <f t="shared" si="7"/>
        <v>230057</v>
      </c>
    </row>
    <row r="57" spans="1:19" ht="30" customHeight="1" x14ac:dyDescent="0.45">
      <c r="A57" s="933"/>
      <c r="C57" s="934">
        <f t="shared" si="8"/>
        <v>51</v>
      </c>
      <c r="D57" s="934"/>
      <c r="E57" s="934"/>
      <c r="F57" s="943" t="s">
        <v>2693</v>
      </c>
      <c r="G57" s="946">
        <v>44257</v>
      </c>
      <c r="H57" s="936">
        <v>224158</v>
      </c>
      <c r="I57" s="934"/>
      <c r="J57" s="935">
        <f t="shared" si="0"/>
        <v>44257</v>
      </c>
      <c r="K57" s="936">
        <f t="shared" si="1"/>
        <v>30</v>
      </c>
      <c r="L57" s="936">
        <f t="shared" si="2"/>
        <v>224158</v>
      </c>
      <c r="M57" s="936">
        <f t="shared" si="3"/>
        <v>0</v>
      </c>
      <c r="N57" s="936">
        <f t="shared" si="4"/>
        <v>0</v>
      </c>
      <c r="O57" s="936">
        <f t="shared" si="5"/>
        <v>0</v>
      </c>
      <c r="P57" s="937">
        <f t="shared" si="6"/>
        <v>0</v>
      </c>
      <c r="Q57" s="938"/>
      <c r="R57" s="938"/>
      <c r="S57" s="939">
        <f t="shared" si="7"/>
        <v>224158</v>
      </c>
    </row>
    <row r="58" spans="1:19" ht="30" customHeight="1" x14ac:dyDescent="0.45">
      <c r="A58" s="933"/>
      <c r="C58" s="934">
        <f t="shared" si="8"/>
        <v>52</v>
      </c>
      <c r="D58" s="934"/>
      <c r="E58" s="934"/>
      <c r="F58" s="943" t="s">
        <v>2694</v>
      </c>
      <c r="G58" s="946">
        <v>44258</v>
      </c>
      <c r="H58" s="936">
        <v>213732</v>
      </c>
      <c r="I58" s="934"/>
      <c r="J58" s="935">
        <f t="shared" si="0"/>
        <v>44258</v>
      </c>
      <c r="K58" s="936">
        <f t="shared" si="1"/>
        <v>29</v>
      </c>
      <c r="L58" s="936">
        <f t="shared" si="2"/>
        <v>213732</v>
      </c>
      <c r="M58" s="936">
        <f t="shared" si="3"/>
        <v>0</v>
      </c>
      <c r="N58" s="936">
        <f t="shared" si="4"/>
        <v>0</v>
      </c>
      <c r="O58" s="936">
        <f t="shared" si="5"/>
        <v>0</v>
      </c>
      <c r="P58" s="937">
        <f t="shared" si="6"/>
        <v>0</v>
      </c>
      <c r="Q58" s="938"/>
      <c r="R58" s="938"/>
      <c r="S58" s="939">
        <f t="shared" si="7"/>
        <v>213732</v>
      </c>
    </row>
    <row r="59" spans="1:19" ht="30" customHeight="1" x14ac:dyDescent="0.45">
      <c r="A59" s="933"/>
      <c r="C59" s="934">
        <f t="shared" si="8"/>
        <v>53</v>
      </c>
      <c r="D59" s="934"/>
      <c r="E59" s="934"/>
      <c r="F59" s="943" t="s">
        <v>2695</v>
      </c>
      <c r="G59" s="946">
        <v>44258</v>
      </c>
      <c r="H59" s="936">
        <v>257608</v>
      </c>
      <c r="I59" s="934"/>
      <c r="J59" s="935">
        <f t="shared" si="0"/>
        <v>44258</v>
      </c>
      <c r="K59" s="936">
        <f t="shared" si="1"/>
        <v>29</v>
      </c>
      <c r="L59" s="936">
        <f t="shared" si="2"/>
        <v>257608</v>
      </c>
      <c r="M59" s="936">
        <f t="shared" si="3"/>
        <v>0</v>
      </c>
      <c r="N59" s="936">
        <f t="shared" si="4"/>
        <v>0</v>
      </c>
      <c r="O59" s="936">
        <f t="shared" si="5"/>
        <v>0</v>
      </c>
      <c r="P59" s="937">
        <f t="shared" si="6"/>
        <v>0</v>
      </c>
      <c r="Q59" s="938"/>
      <c r="R59" s="938"/>
      <c r="S59" s="939">
        <f t="shared" si="7"/>
        <v>257608</v>
      </c>
    </row>
    <row r="60" spans="1:19" ht="30" customHeight="1" x14ac:dyDescent="0.45">
      <c r="A60" s="933"/>
      <c r="C60" s="934">
        <f t="shared" si="8"/>
        <v>54</v>
      </c>
      <c r="D60" s="934"/>
      <c r="E60" s="934"/>
      <c r="F60" s="943" t="s">
        <v>2696</v>
      </c>
      <c r="G60" s="946">
        <v>44258</v>
      </c>
      <c r="H60" s="936">
        <v>238255</v>
      </c>
      <c r="I60" s="934"/>
      <c r="J60" s="935">
        <f t="shared" si="0"/>
        <v>44258</v>
      </c>
      <c r="K60" s="936">
        <f t="shared" si="1"/>
        <v>29</v>
      </c>
      <c r="L60" s="936">
        <f t="shared" si="2"/>
        <v>238255</v>
      </c>
      <c r="M60" s="936">
        <f t="shared" si="3"/>
        <v>0</v>
      </c>
      <c r="N60" s="936">
        <f t="shared" si="4"/>
        <v>0</v>
      </c>
      <c r="O60" s="936">
        <f t="shared" si="5"/>
        <v>0</v>
      </c>
      <c r="P60" s="937">
        <f t="shared" si="6"/>
        <v>0</v>
      </c>
      <c r="Q60" s="938"/>
      <c r="R60" s="938"/>
      <c r="S60" s="939">
        <f t="shared" si="7"/>
        <v>238255</v>
      </c>
    </row>
    <row r="61" spans="1:19" ht="30" customHeight="1" x14ac:dyDescent="0.45">
      <c r="A61" s="933"/>
      <c r="C61" s="934">
        <f t="shared" si="8"/>
        <v>55</v>
      </c>
      <c r="D61" s="934"/>
      <c r="E61" s="934"/>
      <c r="F61" s="943" t="s">
        <v>2697</v>
      </c>
      <c r="G61" s="946">
        <v>44259</v>
      </c>
      <c r="H61" s="936">
        <v>224255</v>
      </c>
      <c r="I61" s="934"/>
      <c r="J61" s="935">
        <f t="shared" si="0"/>
        <v>44259</v>
      </c>
      <c r="K61" s="936">
        <f t="shared" si="1"/>
        <v>28</v>
      </c>
      <c r="L61" s="936">
        <f t="shared" si="2"/>
        <v>224255</v>
      </c>
      <c r="M61" s="936">
        <f t="shared" si="3"/>
        <v>0</v>
      </c>
      <c r="N61" s="936">
        <f t="shared" si="4"/>
        <v>0</v>
      </c>
      <c r="O61" s="936">
        <f t="shared" si="5"/>
        <v>0</v>
      </c>
      <c r="P61" s="937">
        <f t="shared" si="6"/>
        <v>0</v>
      </c>
      <c r="Q61" s="938"/>
      <c r="R61" s="938"/>
      <c r="S61" s="939">
        <f t="shared" si="7"/>
        <v>224255</v>
      </c>
    </row>
    <row r="62" spans="1:19" ht="30" customHeight="1" x14ac:dyDescent="0.45">
      <c r="A62" s="933"/>
      <c r="C62" s="934">
        <f t="shared" si="8"/>
        <v>56</v>
      </c>
      <c r="D62" s="934"/>
      <c r="E62" s="934"/>
      <c r="F62" s="943" t="s">
        <v>2698</v>
      </c>
      <c r="G62" s="946">
        <v>44260</v>
      </c>
      <c r="H62" s="936">
        <v>243373</v>
      </c>
      <c r="I62" s="934"/>
      <c r="J62" s="935">
        <f t="shared" si="0"/>
        <v>44260</v>
      </c>
      <c r="K62" s="936">
        <f t="shared" si="1"/>
        <v>27</v>
      </c>
      <c r="L62" s="936">
        <f t="shared" si="2"/>
        <v>243373</v>
      </c>
      <c r="M62" s="936">
        <f t="shared" si="3"/>
        <v>0</v>
      </c>
      <c r="N62" s="936">
        <f t="shared" si="4"/>
        <v>0</v>
      </c>
      <c r="O62" s="936">
        <f t="shared" si="5"/>
        <v>0</v>
      </c>
      <c r="P62" s="937">
        <f t="shared" si="6"/>
        <v>0</v>
      </c>
      <c r="Q62" s="938"/>
      <c r="R62" s="938"/>
      <c r="S62" s="939">
        <f t="shared" si="7"/>
        <v>243373</v>
      </c>
    </row>
    <row r="63" spans="1:19" ht="30" customHeight="1" x14ac:dyDescent="0.45">
      <c r="A63" s="933"/>
      <c r="C63" s="934">
        <f t="shared" si="8"/>
        <v>57</v>
      </c>
      <c r="D63" s="934"/>
      <c r="E63" s="934"/>
      <c r="F63" s="943" t="s">
        <v>2699</v>
      </c>
      <c r="G63" s="946">
        <v>44260</v>
      </c>
      <c r="H63" s="936">
        <v>232930</v>
      </c>
      <c r="I63" s="934"/>
      <c r="J63" s="935">
        <f t="shared" si="0"/>
        <v>44260</v>
      </c>
      <c r="K63" s="936">
        <f t="shared" si="1"/>
        <v>27</v>
      </c>
      <c r="L63" s="936">
        <f t="shared" si="2"/>
        <v>232930</v>
      </c>
      <c r="M63" s="936">
        <f t="shared" si="3"/>
        <v>0</v>
      </c>
      <c r="N63" s="936">
        <f t="shared" si="4"/>
        <v>0</v>
      </c>
      <c r="O63" s="936">
        <f t="shared" si="5"/>
        <v>0</v>
      </c>
      <c r="P63" s="937">
        <f t="shared" si="6"/>
        <v>0</v>
      </c>
      <c r="Q63" s="938"/>
      <c r="R63" s="938"/>
      <c r="S63" s="939">
        <f t="shared" si="7"/>
        <v>232930</v>
      </c>
    </row>
    <row r="64" spans="1:19" ht="30" customHeight="1" x14ac:dyDescent="0.45">
      <c r="A64" s="933"/>
      <c r="C64" s="934">
        <f t="shared" si="8"/>
        <v>58</v>
      </c>
      <c r="D64" s="934"/>
      <c r="E64" s="934"/>
      <c r="F64" s="943" t="s">
        <v>2700</v>
      </c>
      <c r="G64" s="946">
        <v>44261</v>
      </c>
      <c r="H64" s="936">
        <v>237728</v>
      </c>
      <c r="I64" s="934"/>
      <c r="J64" s="935">
        <f t="shared" si="0"/>
        <v>44261</v>
      </c>
      <c r="K64" s="936">
        <f t="shared" si="1"/>
        <v>26</v>
      </c>
      <c r="L64" s="936">
        <f t="shared" si="2"/>
        <v>237728</v>
      </c>
      <c r="M64" s="936">
        <f t="shared" si="3"/>
        <v>0</v>
      </c>
      <c r="N64" s="936">
        <f t="shared" si="4"/>
        <v>0</v>
      </c>
      <c r="O64" s="936">
        <f t="shared" si="5"/>
        <v>0</v>
      </c>
      <c r="P64" s="937">
        <f t="shared" si="6"/>
        <v>0</v>
      </c>
      <c r="Q64" s="938"/>
      <c r="R64" s="938"/>
      <c r="S64" s="939">
        <f t="shared" si="7"/>
        <v>237728</v>
      </c>
    </row>
    <row r="65" spans="1:19" ht="30" customHeight="1" x14ac:dyDescent="0.45">
      <c r="A65" s="933"/>
      <c r="C65" s="934">
        <f t="shared" si="8"/>
        <v>59</v>
      </c>
      <c r="D65" s="934"/>
      <c r="E65" s="934"/>
      <c r="F65" s="943" t="s">
        <v>2701</v>
      </c>
      <c r="G65" s="946">
        <v>44261</v>
      </c>
      <c r="H65" s="936">
        <v>229601</v>
      </c>
      <c r="I65" s="934"/>
      <c r="J65" s="935">
        <f t="shared" si="0"/>
        <v>44261</v>
      </c>
      <c r="K65" s="936">
        <f t="shared" si="1"/>
        <v>26</v>
      </c>
      <c r="L65" s="936">
        <f t="shared" si="2"/>
        <v>229601</v>
      </c>
      <c r="M65" s="936">
        <f t="shared" si="3"/>
        <v>0</v>
      </c>
      <c r="N65" s="936">
        <f t="shared" si="4"/>
        <v>0</v>
      </c>
      <c r="O65" s="936">
        <f t="shared" si="5"/>
        <v>0</v>
      </c>
      <c r="P65" s="937">
        <f t="shared" si="6"/>
        <v>0</v>
      </c>
      <c r="Q65" s="938"/>
      <c r="R65" s="938"/>
      <c r="S65" s="939">
        <f t="shared" si="7"/>
        <v>229601</v>
      </c>
    </row>
    <row r="66" spans="1:19" ht="30" customHeight="1" x14ac:dyDescent="0.45">
      <c r="A66" s="933"/>
      <c r="C66" s="934">
        <f t="shared" si="8"/>
        <v>60</v>
      </c>
      <c r="D66" s="934"/>
      <c r="E66" s="934"/>
      <c r="F66" s="943" t="s">
        <v>2702</v>
      </c>
      <c r="G66" s="946">
        <v>44262</v>
      </c>
      <c r="H66" s="936">
        <v>251632</v>
      </c>
      <c r="I66" s="934"/>
      <c r="J66" s="935">
        <f t="shared" si="0"/>
        <v>44262</v>
      </c>
      <c r="K66" s="936">
        <f t="shared" si="1"/>
        <v>25</v>
      </c>
      <c r="L66" s="936">
        <f t="shared" si="2"/>
        <v>251632</v>
      </c>
      <c r="M66" s="936">
        <f t="shared" si="3"/>
        <v>0</v>
      </c>
      <c r="N66" s="936">
        <f t="shared" si="4"/>
        <v>0</v>
      </c>
      <c r="O66" s="936">
        <f t="shared" si="5"/>
        <v>0</v>
      </c>
      <c r="P66" s="937">
        <f t="shared" si="6"/>
        <v>0</v>
      </c>
      <c r="Q66" s="938"/>
      <c r="R66" s="938"/>
      <c r="S66" s="939">
        <f t="shared" si="7"/>
        <v>251632</v>
      </c>
    </row>
    <row r="67" spans="1:19" ht="30" customHeight="1" x14ac:dyDescent="0.45">
      <c r="A67" s="933"/>
      <c r="C67" s="934">
        <f t="shared" si="8"/>
        <v>61</v>
      </c>
      <c r="D67" s="934"/>
      <c r="E67" s="934"/>
      <c r="F67" s="943" t="s">
        <v>2703</v>
      </c>
      <c r="G67" s="946">
        <v>44262</v>
      </c>
      <c r="H67" s="936">
        <v>193438</v>
      </c>
      <c r="I67" s="934"/>
      <c r="J67" s="935">
        <f t="shared" si="0"/>
        <v>44262</v>
      </c>
      <c r="K67" s="936">
        <f t="shared" si="1"/>
        <v>25</v>
      </c>
      <c r="L67" s="936">
        <f t="shared" si="2"/>
        <v>193438</v>
      </c>
      <c r="M67" s="936">
        <f t="shared" si="3"/>
        <v>0</v>
      </c>
      <c r="N67" s="936">
        <f t="shared" si="4"/>
        <v>0</v>
      </c>
      <c r="O67" s="936">
        <f t="shared" si="5"/>
        <v>0</v>
      </c>
      <c r="P67" s="937">
        <f t="shared" si="6"/>
        <v>0</v>
      </c>
      <c r="Q67" s="938"/>
      <c r="R67" s="938"/>
      <c r="S67" s="939">
        <f t="shared" si="7"/>
        <v>193438</v>
      </c>
    </row>
    <row r="68" spans="1:19" ht="30" customHeight="1" x14ac:dyDescent="0.45">
      <c r="A68" s="933"/>
      <c r="C68" s="934">
        <f t="shared" si="8"/>
        <v>62</v>
      </c>
      <c r="D68" s="934"/>
      <c r="E68" s="934"/>
      <c r="F68" s="943" t="s">
        <v>2704</v>
      </c>
      <c r="G68" s="946">
        <v>44262</v>
      </c>
      <c r="H68" s="936">
        <v>200419</v>
      </c>
      <c r="I68" s="934"/>
      <c r="J68" s="935">
        <f t="shared" si="0"/>
        <v>44262</v>
      </c>
      <c r="K68" s="936">
        <f t="shared" si="1"/>
        <v>25</v>
      </c>
      <c r="L68" s="936">
        <f t="shared" si="2"/>
        <v>200419</v>
      </c>
      <c r="M68" s="936">
        <f t="shared" si="3"/>
        <v>0</v>
      </c>
      <c r="N68" s="936">
        <f t="shared" si="4"/>
        <v>0</v>
      </c>
      <c r="O68" s="936">
        <f t="shared" si="5"/>
        <v>0</v>
      </c>
      <c r="P68" s="937">
        <f t="shared" si="6"/>
        <v>0</v>
      </c>
      <c r="Q68" s="938"/>
      <c r="R68" s="938"/>
      <c r="S68" s="939">
        <f t="shared" si="7"/>
        <v>200419</v>
      </c>
    </row>
    <row r="69" spans="1:19" ht="30" customHeight="1" x14ac:dyDescent="0.45">
      <c r="A69" s="933"/>
      <c r="C69" s="934">
        <f t="shared" si="8"/>
        <v>63</v>
      </c>
      <c r="D69" s="934"/>
      <c r="E69" s="934"/>
      <c r="F69" s="943" t="s">
        <v>2705</v>
      </c>
      <c r="G69" s="946">
        <v>44263</v>
      </c>
      <c r="H69" s="936">
        <v>260059</v>
      </c>
      <c r="I69" s="934"/>
      <c r="J69" s="935">
        <f t="shared" si="0"/>
        <v>44263</v>
      </c>
      <c r="K69" s="936">
        <f t="shared" si="1"/>
        <v>24</v>
      </c>
      <c r="L69" s="936">
        <f t="shared" si="2"/>
        <v>260059</v>
      </c>
      <c r="M69" s="936">
        <f t="shared" si="3"/>
        <v>0</v>
      </c>
      <c r="N69" s="936">
        <f t="shared" si="4"/>
        <v>0</v>
      </c>
      <c r="O69" s="936">
        <f t="shared" si="5"/>
        <v>0</v>
      </c>
      <c r="P69" s="937">
        <f t="shared" si="6"/>
        <v>0</v>
      </c>
      <c r="Q69" s="938"/>
      <c r="R69" s="938"/>
      <c r="S69" s="939">
        <f t="shared" si="7"/>
        <v>260059</v>
      </c>
    </row>
    <row r="70" spans="1:19" ht="30" customHeight="1" x14ac:dyDescent="0.45">
      <c r="A70" s="933"/>
      <c r="C70" s="934">
        <f t="shared" si="8"/>
        <v>64</v>
      </c>
      <c r="D70" s="934"/>
      <c r="E70" s="934"/>
      <c r="F70" s="943" t="s">
        <v>2706</v>
      </c>
      <c r="G70" s="946">
        <v>44263</v>
      </c>
      <c r="H70" s="936">
        <v>237083</v>
      </c>
      <c r="I70" s="934"/>
      <c r="J70" s="935">
        <f t="shared" si="0"/>
        <v>44263</v>
      </c>
      <c r="K70" s="936">
        <f t="shared" si="1"/>
        <v>24</v>
      </c>
      <c r="L70" s="936">
        <f t="shared" si="2"/>
        <v>237083</v>
      </c>
      <c r="M70" s="936">
        <f t="shared" si="3"/>
        <v>0</v>
      </c>
      <c r="N70" s="936">
        <f t="shared" si="4"/>
        <v>0</v>
      </c>
      <c r="O70" s="936">
        <f t="shared" si="5"/>
        <v>0</v>
      </c>
      <c r="P70" s="937">
        <f t="shared" si="6"/>
        <v>0</v>
      </c>
      <c r="Q70" s="938"/>
      <c r="R70" s="938"/>
      <c r="S70" s="939">
        <f t="shared" si="7"/>
        <v>237083</v>
      </c>
    </row>
    <row r="71" spans="1:19" ht="30" customHeight="1" x14ac:dyDescent="0.45">
      <c r="A71" s="933"/>
      <c r="C71" s="934">
        <f t="shared" si="8"/>
        <v>65</v>
      </c>
      <c r="D71" s="934"/>
      <c r="E71" s="934"/>
      <c r="F71" s="943" t="s">
        <v>2707</v>
      </c>
      <c r="G71" s="946">
        <v>44264</v>
      </c>
      <c r="H71" s="936">
        <v>234154</v>
      </c>
      <c r="I71" s="934"/>
      <c r="J71" s="935">
        <f t="shared" ref="J71:J144" si="9">+G71+I71</f>
        <v>44264</v>
      </c>
      <c r="K71" s="936">
        <f t="shared" ref="K71:K144" si="10">+$Q$1-J71+1</f>
        <v>23</v>
      </c>
      <c r="L71" s="936">
        <f t="shared" si="2"/>
        <v>234154</v>
      </c>
      <c r="M71" s="936">
        <f t="shared" si="3"/>
        <v>0</v>
      </c>
      <c r="N71" s="936">
        <f t="shared" si="4"/>
        <v>0</v>
      </c>
      <c r="O71" s="936">
        <f t="shared" si="5"/>
        <v>0</v>
      </c>
      <c r="P71" s="937">
        <f t="shared" si="6"/>
        <v>0</v>
      </c>
      <c r="Q71" s="938"/>
      <c r="R71" s="938"/>
      <c r="S71" s="939">
        <f t="shared" si="7"/>
        <v>234154</v>
      </c>
    </row>
    <row r="72" spans="1:19" ht="30" customHeight="1" x14ac:dyDescent="0.45">
      <c r="A72" s="933"/>
      <c r="C72" s="934">
        <f t="shared" si="8"/>
        <v>66</v>
      </c>
      <c r="D72" s="934"/>
      <c r="E72" s="934"/>
      <c r="F72" s="943" t="s">
        <v>2708</v>
      </c>
      <c r="G72" s="946">
        <v>44264</v>
      </c>
      <c r="H72" s="947">
        <v>255876</v>
      </c>
      <c r="I72" s="934"/>
      <c r="J72" s="935">
        <f t="shared" si="9"/>
        <v>44264</v>
      </c>
      <c r="K72" s="936">
        <f t="shared" si="10"/>
        <v>23</v>
      </c>
      <c r="L72" s="936">
        <f t="shared" ref="L72:L145" si="11">IF(K72&gt;90,0,H72)</f>
        <v>255876</v>
      </c>
      <c r="M72" s="936">
        <f t="shared" ref="M72:M145" si="12">IF(K72&lt;=90,0,IF(K72&gt;180,0,H72))</f>
        <v>0</v>
      </c>
      <c r="N72" s="936">
        <f t="shared" ref="N72:N145" si="13">IF(K72&lt;=180,0,IF(K72&gt;365,0,H72))</f>
        <v>0</v>
      </c>
      <c r="O72" s="936">
        <f t="shared" ref="O72:O145" si="14">IF(K72&lt;=365,0,IF(K72&gt;730,0,H72))</f>
        <v>0</v>
      </c>
      <c r="P72" s="937">
        <f t="shared" ref="P72:P145" si="15">IF(K72&lt;=730,0,H72)</f>
        <v>0</v>
      </c>
      <c r="Q72" s="938"/>
      <c r="R72" s="938"/>
      <c r="S72" s="939">
        <f t="shared" ref="S72:S145" si="16">H72-R72</f>
        <v>255876</v>
      </c>
    </row>
    <row r="73" spans="1:19" ht="30" customHeight="1" x14ac:dyDescent="0.45">
      <c r="A73" s="933"/>
      <c r="C73" s="934">
        <f t="shared" ref="C73:C136" si="17">C72+1</f>
        <v>67</v>
      </c>
      <c r="D73" s="934"/>
      <c r="E73" s="934"/>
      <c r="F73" s="943" t="s">
        <v>2709</v>
      </c>
      <c r="G73" s="946">
        <v>44266</v>
      </c>
      <c r="H73" s="936">
        <v>252334</v>
      </c>
      <c r="I73" s="934"/>
      <c r="J73" s="935">
        <f t="shared" si="9"/>
        <v>44266</v>
      </c>
      <c r="K73" s="936">
        <f t="shared" si="10"/>
        <v>21</v>
      </c>
      <c r="L73" s="936">
        <f t="shared" si="11"/>
        <v>252334</v>
      </c>
      <c r="M73" s="936">
        <f t="shared" si="12"/>
        <v>0</v>
      </c>
      <c r="N73" s="936">
        <f t="shared" si="13"/>
        <v>0</v>
      </c>
      <c r="O73" s="936">
        <f t="shared" si="14"/>
        <v>0</v>
      </c>
      <c r="P73" s="937">
        <f t="shared" si="15"/>
        <v>0</v>
      </c>
      <c r="Q73" s="938"/>
      <c r="R73" s="938"/>
      <c r="S73" s="939">
        <f t="shared" si="16"/>
        <v>252334</v>
      </c>
    </row>
    <row r="74" spans="1:19" ht="30" customHeight="1" x14ac:dyDescent="0.45">
      <c r="A74" s="933"/>
      <c r="C74" s="934">
        <f t="shared" si="17"/>
        <v>68</v>
      </c>
      <c r="D74" s="934"/>
      <c r="E74" s="934"/>
      <c r="F74" s="943" t="s">
        <v>2710</v>
      </c>
      <c r="G74" s="946">
        <v>44266</v>
      </c>
      <c r="H74" s="936">
        <v>245510</v>
      </c>
      <c r="I74" s="934"/>
      <c r="J74" s="935">
        <f t="shared" si="9"/>
        <v>44266</v>
      </c>
      <c r="K74" s="936">
        <f t="shared" si="10"/>
        <v>21</v>
      </c>
      <c r="L74" s="936">
        <f t="shared" si="11"/>
        <v>245510</v>
      </c>
      <c r="M74" s="936">
        <f t="shared" si="12"/>
        <v>0</v>
      </c>
      <c r="N74" s="936">
        <f t="shared" si="13"/>
        <v>0</v>
      </c>
      <c r="O74" s="936">
        <f t="shared" si="14"/>
        <v>0</v>
      </c>
      <c r="P74" s="937">
        <f t="shared" si="15"/>
        <v>0</v>
      </c>
      <c r="Q74" s="938"/>
      <c r="R74" s="938"/>
      <c r="S74" s="939">
        <f t="shared" si="16"/>
        <v>245510</v>
      </c>
    </row>
    <row r="75" spans="1:19" ht="30" customHeight="1" x14ac:dyDescent="0.45">
      <c r="A75" s="933"/>
      <c r="C75" s="934">
        <f t="shared" si="17"/>
        <v>69</v>
      </c>
      <c r="D75" s="934"/>
      <c r="E75" s="934"/>
      <c r="F75" s="943" t="s">
        <v>2711</v>
      </c>
      <c r="G75" s="946">
        <v>44268</v>
      </c>
      <c r="H75" s="936">
        <v>298451</v>
      </c>
      <c r="I75" s="934"/>
      <c r="J75" s="935">
        <f t="shared" si="9"/>
        <v>44268</v>
      </c>
      <c r="K75" s="936">
        <f t="shared" si="10"/>
        <v>19</v>
      </c>
      <c r="L75" s="936">
        <f t="shared" si="11"/>
        <v>298451</v>
      </c>
      <c r="M75" s="936">
        <f t="shared" si="12"/>
        <v>0</v>
      </c>
      <c r="N75" s="936">
        <f t="shared" si="13"/>
        <v>0</v>
      </c>
      <c r="O75" s="936">
        <f t="shared" si="14"/>
        <v>0</v>
      </c>
      <c r="P75" s="937">
        <f t="shared" si="15"/>
        <v>0</v>
      </c>
      <c r="Q75" s="938"/>
      <c r="R75" s="938"/>
      <c r="S75" s="939">
        <f t="shared" si="16"/>
        <v>298451</v>
      </c>
    </row>
    <row r="76" spans="1:19" ht="30" customHeight="1" x14ac:dyDescent="0.45">
      <c r="A76" s="933"/>
      <c r="C76" s="934">
        <f t="shared" si="17"/>
        <v>70</v>
      </c>
      <c r="D76" s="934"/>
      <c r="E76" s="934"/>
      <c r="F76" s="943" t="s">
        <v>2712</v>
      </c>
      <c r="G76" s="946">
        <v>44268</v>
      </c>
      <c r="H76" s="936">
        <v>253782</v>
      </c>
      <c r="I76" s="934"/>
      <c r="J76" s="935">
        <f t="shared" si="9"/>
        <v>44268</v>
      </c>
      <c r="K76" s="936">
        <f t="shared" si="10"/>
        <v>19</v>
      </c>
      <c r="L76" s="936">
        <f t="shared" si="11"/>
        <v>253782</v>
      </c>
      <c r="M76" s="936">
        <f t="shared" si="12"/>
        <v>0</v>
      </c>
      <c r="N76" s="936">
        <f t="shared" si="13"/>
        <v>0</v>
      </c>
      <c r="O76" s="936">
        <f t="shared" si="14"/>
        <v>0</v>
      </c>
      <c r="P76" s="937">
        <f t="shared" si="15"/>
        <v>0</v>
      </c>
      <c r="Q76" s="938"/>
      <c r="R76" s="938"/>
      <c r="S76" s="939">
        <f t="shared" si="16"/>
        <v>253782</v>
      </c>
    </row>
    <row r="77" spans="1:19" ht="30" customHeight="1" x14ac:dyDescent="0.45">
      <c r="A77" s="933"/>
      <c r="C77" s="934">
        <f t="shared" si="17"/>
        <v>71</v>
      </c>
      <c r="D77" s="934"/>
      <c r="E77" s="934"/>
      <c r="F77" s="943" t="s">
        <v>2713</v>
      </c>
      <c r="G77" s="946">
        <v>44268</v>
      </c>
      <c r="H77" s="936">
        <v>242751</v>
      </c>
      <c r="I77" s="934"/>
      <c r="J77" s="935">
        <f t="shared" si="9"/>
        <v>44268</v>
      </c>
      <c r="K77" s="936">
        <f t="shared" si="10"/>
        <v>19</v>
      </c>
      <c r="L77" s="936">
        <f t="shared" si="11"/>
        <v>242751</v>
      </c>
      <c r="M77" s="936">
        <f t="shared" si="12"/>
        <v>0</v>
      </c>
      <c r="N77" s="936">
        <f t="shared" si="13"/>
        <v>0</v>
      </c>
      <c r="O77" s="936">
        <f t="shared" si="14"/>
        <v>0</v>
      </c>
      <c r="P77" s="937">
        <f t="shared" si="15"/>
        <v>0</v>
      </c>
      <c r="Q77" s="938"/>
      <c r="R77" s="938"/>
      <c r="S77" s="939">
        <f t="shared" si="16"/>
        <v>242751</v>
      </c>
    </row>
    <row r="78" spans="1:19" ht="30" customHeight="1" x14ac:dyDescent="0.45">
      <c r="A78" s="933"/>
      <c r="C78" s="934">
        <f t="shared" si="17"/>
        <v>72</v>
      </c>
      <c r="D78" s="934"/>
      <c r="E78" s="934"/>
      <c r="F78" s="943" t="s">
        <v>2714</v>
      </c>
      <c r="G78" s="946">
        <v>44269</v>
      </c>
      <c r="H78" s="936">
        <v>306446</v>
      </c>
      <c r="I78" s="934"/>
      <c r="J78" s="935">
        <f t="shared" si="9"/>
        <v>44269</v>
      </c>
      <c r="K78" s="936">
        <f t="shared" si="10"/>
        <v>18</v>
      </c>
      <c r="L78" s="936">
        <f t="shared" si="11"/>
        <v>306446</v>
      </c>
      <c r="M78" s="936">
        <f t="shared" si="12"/>
        <v>0</v>
      </c>
      <c r="N78" s="936">
        <f t="shared" si="13"/>
        <v>0</v>
      </c>
      <c r="O78" s="936">
        <f t="shared" si="14"/>
        <v>0</v>
      </c>
      <c r="P78" s="937">
        <f t="shared" si="15"/>
        <v>0</v>
      </c>
      <c r="Q78" s="938"/>
      <c r="R78" s="938"/>
      <c r="S78" s="939">
        <f t="shared" si="16"/>
        <v>306446</v>
      </c>
    </row>
    <row r="79" spans="1:19" ht="30" customHeight="1" x14ac:dyDescent="0.45">
      <c r="A79" s="933"/>
      <c r="C79" s="934">
        <f t="shared" si="17"/>
        <v>73</v>
      </c>
      <c r="D79" s="934"/>
      <c r="E79" s="934"/>
      <c r="F79" s="943" t="s">
        <v>2715</v>
      </c>
      <c r="G79" s="946">
        <v>44271</v>
      </c>
      <c r="H79" s="936">
        <v>254505</v>
      </c>
      <c r="I79" s="934"/>
      <c r="J79" s="935">
        <f t="shared" si="9"/>
        <v>44271</v>
      </c>
      <c r="K79" s="936">
        <f t="shared" si="10"/>
        <v>16</v>
      </c>
      <c r="L79" s="936">
        <f t="shared" si="11"/>
        <v>254505</v>
      </c>
      <c r="M79" s="936">
        <f t="shared" si="12"/>
        <v>0</v>
      </c>
      <c r="N79" s="936">
        <f t="shared" si="13"/>
        <v>0</v>
      </c>
      <c r="O79" s="936">
        <f t="shared" si="14"/>
        <v>0</v>
      </c>
      <c r="P79" s="937">
        <f t="shared" si="15"/>
        <v>0</v>
      </c>
      <c r="Q79" s="938"/>
      <c r="R79" s="938"/>
      <c r="S79" s="939">
        <f t="shared" si="16"/>
        <v>254505</v>
      </c>
    </row>
    <row r="80" spans="1:19" ht="30" customHeight="1" x14ac:dyDescent="0.45">
      <c r="A80" s="933"/>
      <c r="C80" s="934">
        <f t="shared" si="17"/>
        <v>74</v>
      </c>
      <c r="D80" s="934"/>
      <c r="E80" s="934"/>
      <c r="F80" s="943" t="s">
        <v>2716</v>
      </c>
      <c r="G80" s="946">
        <v>44275</v>
      </c>
      <c r="H80" s="936">
        <v>364740</v>
      </c>
      <c r="I80" s="934"/>
      <c r="J80" s="935">
        <f t="shared" si="9"/>
        <v>44275</v>
      </c>
      <c r="K80" s="936">
        <f t="shared" si="10"/>
        <v>12</v>
      </c>
      <c r="L80" s="936">
        <f t="shared" si="11"/>
        <v>364740</v>
      </c>
      <c r="M80" s="936">
        <f t="shared" si="12"/>
        <v>0</v>
      </c>
      <c r="N80" s="936">
        <f t="shared" si="13"/>
        <v>0</v>
      </c>
      <c r="O80" s="936">
        <f t="shared" si="14"/>
        <v>0</v>
      </c>
      <c r="P80" s="937">
        <f t="shared" si="15"/>
        <v>0</v>
      </c>
      <c r="Q80" s="938"/>
      <c r="R80" s="938"/>
      <c r="S80" s="939">
        <f t="shared" si="16"/>
        <v>364740</v>
      </c>
    </row>
    <row r="81" spans="1:20" ht="30" customHeight="1" x14ac:dyDescent="0.45">
      <c r="A81" s="933"/>
      <c r="C81" s="934">
        <f t="shared" si="17"/>
        <v>75</v>
      </c>
      <c r="D81" s="934"/>
      <c r="E81" s="934"/>
      <c r="F81" s="943" t="s">
        <v>2717</v>
      </c>
      <c r="G81" s="946">
        <v>44275</v>
      </c>
      <c r="H81" s="936">
        <v>272339</v>
      </c>
      <c r="I81" s="934"/>
      <c r="J81" s="935">
        <f t="shared" si="9"/>
        <v>44275</v>
      </c>
      <c r="K81" s="936">
        <f t="shared" si="10"/>
        <v>12</v>
      </c>
      <c r="L81" s="936">
        <f t="shared" si="11"/>
        <v>272339</v>
      </c>
      <c r="M81" s="936">
        <f t="shared" si="12"/>
        <v>0</v>
      </c>
      <c r="N81" s="936">
        <f t="shared" si="13"/>
        <v>0</v>
      </c>
      <c r="O81" s="936">
        <f t="shared" si="14"/>
        <v>0</v>
      </c>
      <c r="P81" s="937">
        <f t="shared" si="15"/>
        <v>0</v>
      </c>
      <c r="Q81" s="938"/>
      <c r="R81" s="938"/>
      <c r="S81" s="939">
        <f t="shared" si="16"/>
        <v>272339</v>
      </c>
    </row>
    <row r="82" spans="1:20" ht="30" customHeight="1" x14ac:dyDescent="0.45">
      <c r="A82" s="933"/>
      <c r="C82" s="934">
        <f t="shared" si="17"/>
        <v>76</v>
      </c>
      <c r="D82" s="934"/>
      <c r="E82" s="934"/>
      <c r="F82" s="943" t="s">
        <v>2718</v>
      </c>
      <c r="G82" s="946">
        <v>44276</v>
      </c>
      <c r="H82" s="936">
        <v>229551</v>
      </c>
      <c r="I82" s="934"/>
      <c r="J82" s="935">
        <f t="shared" si="9"/>
        <v>44276</v>
      </c>
      <c r="K82" s="936">
        <f t="shared" si="10"/>
        <v>11</v>
      </c>
      <c r="L82" s="936">
        <f t="shared" si="11"/>
        <v>229551</v>
      </c>
      <c r="M82" s="936">
        <f t="shared" si="12"/>
        <v>0</v>
      </c>
      <c r="N82" s="936">
        <f t="shared" si="13"/>
        <v>0</v>
      </c>
      <c r="O82" s="936">
        <f t="shared" si="14"/>
        <v>0</v>
      </c>
      <c r="P82" s="937">
        <f t="shared" si="15"/>
        <v>0</v>
      </c>
      <c r="Q82" s="938"/>
      <c r="R82" s="938"/>
      <c r="S82" s="939">
        <f t="shared" si="16"/>
        <v>229551</v>
      </c>
    </row>
    <row r="83" spans="1:20" ht="30" customHeight="1" x14ac:dyDescent="0.45">
      <c r="A83" s="933"/>
      <c r="C83" s="934">
        <f t="shared" si="17"/>
        <v>77</v>
      </c>
      <c r="D83" s="934"/>
      <c r="E83" s="934"/>
      <c r="F83" s="943" t="s">
        <v>2719</v>
      </c>
      <c r="G83" s="946">
        <v>44276</v>
      </c>
      <c r="H83" s="936">
        <v>227311</v>
      </c>
      <c r="I83" s="934"/>
      <c r="J83" s="935">
        <f t="shared" si="9"/>
        <v>44276</v>
      </c>
      <c r="K83" s="936">
        <f t="shared" si="10"/>
        <v>11</v>
      </c>
      <c r="L83" s="936">
        <f t="shared" si="11"/>
        <v>227311</v>
      </c>
      <c r="M83" s="936">
        <f t="shared" si="12"/>
        <v>0</v>
      </c>
      <c r="N83" s="936">
        <f t="shared" si="13"/>
        <v>0</v>
      </c>
      <c r="O83" s="936">
        <f t="shared" si="14"/>
        <v>0</v>
      </c>
      <c r="P83" s="937">
        <f t="shared" si="15"/>
        <v>0</v>
      </c>
      <c r="Q83" s="938"/>
      <c r="R83" s="938"/>
      <c r="S83" s="939">
        <f t="shared" si="16"/>
        <v>227311</v>
      </c>
    </row>
    <row r="84" spans="1:20" ht="30" customHeight="1" x14ac:dyDescent="0.45">
      <c r="A84" s="933"/>
      <c r="C84" s="934">
        <f t="shared" si="17"/>
        <v>78</v>
      </c>
      <c r="D84" s="934"/>
      <c r="E84" s="934"/>
      <c r="F84" s="943" t="s">
        <v>2720</v>
      </c>
      <c r="G84" s="946">
        <v>44281</v>
      </c>
      <c r="H84" s="936">
        <v>183276</v>
      </c>
      <c r="I84" s="934"/>
      <c r="J84" s="935">
        <f t="shared" si="9"/>
        <v>44281</v>
      </c>
      <c r="K84" s="936">
        <f t="shared" si="10"/>
        <v>6</v>
      </c>
      <c r="L84" s="936">
        <f t="shared" si="11"/>
        <v>183276</v>
      </c>
      <c r="M84" s="936">
        <f t="shared" si="12"/>
        <v>0</v>
      </c>
      <c r="N84" s="936">
        <f t="shared" si="13"/>
        <v>0</v>
      </c>
      <c r="O84" s="936">
        <f t="shared" si="14"/>
        <v>0</v>
      </c>
      <c r="P84" s="937">
        <f t="shared" si="15"/>
        <v>0</v>
      </c>
      <c r="Q84" s="938"/>
      <c r="R84" s="938"/>
      <c r="S84" s="939">
        <f t="shared" si="16"/>
        <v>183276</v>
      </c>
    </row>
    <row r="85" spans="1:20" ht="30" customHeight="1" x14ac:dyDescent="0.45">
      <c r="A85" s="933"/>
      <c r="C85" s="934">
        <f t="shared" si="17"/>
        <v>79</v>
      </c>
      <c r="D85" s="934"/>
      <c r="E85" s="934"/>
      <c r="F85" s="943" t="s">
        <v>2721</v>
      </c>
      <c r="G85" s="946">
        <v>44282</v>
      </c>
      <c r="H85" s="936">
        <v>300957</v>
      </c>
      <c r="I85" s="934"/>
      <c r="J85" s="935">
        <f t="shared" si="9"/>
        <v>44282</v>
      </c>
      <c r="K85" s="936">
        <f t="shared" si="10"/>
        <v>5</v>
      </c>
      <c r="L85" s="936">
        <f t="shared" si="11"/>
        <v>300957</v>
      </c>
      <c r="M85" s="936">
        <f t="shared" si="12"/>
        <v>0</v>
      </c>
      <c r="N85" s="936">
        <f t="shared" si="13"/>
        <v>0</v>
      </c>
      <c r="O85" s="936">
        <f t="shared" si="14"/>
        <v>0</v>
      </c>
      <c r="P85" s="937">
        <f t="shared" si="15"/>
        <v>0</v>
      </c>
      <c r="Q85" s="938"/>
      <c r="R85" s="938"/>
      <c r="S85" s="939">
        <f t="shared" si="16"/>
        <v>300957</v>
      </c>
    </row>
    <row r="86" spans="1:20" ht="30" customHeight="1" x14ac:dyDescent="0.45">
      <c r="A86" s="933"/>
      <c r="C86" s="934">
        <f t="shared" si="17"/>
        <v>80</v>
      </c>
      <c r="D86" s="934"/>
      <c r="E86" s="934"/>
      <c r="F86" s="943" t="s">
        <v>2722</v>
      </c>
      <c r="G86" s="946">
        <v>44282</v>
      </c>
      <c r="H86" s="936">
        <v>251890</v>
      </c>
      <c r="I86" s="934"/>
      <c r="J86" s="935">
        <f t="shared" si="9"/>
        <v>44282</v>
      </c>
      <c r="K86" s="936">
        <f t="shared" si="10"/>
        <v>5</v>
      </c>
      <c r="L86" s="936">
        <f t="shared" si="11"/>
        <v>251890</v>
      </c>
      <c r="M86" s="936">
        <f t="shared" si="12"/>
        <v>0</v>
      </c>
      <c r="N86" s="936">
        <f t="shared" si="13"/>
        <v>0</v>
      </c>
      <c r="O86" s="936">
        <f t="shared" si="14"/>
        <v>0</v>
      </c>
      <c r="P86" s="937">
        <f t="shared" si="15"/>
        <v>0</v>
      </c>
      <c r="Q86" s="938"/>
      <c r="R86" s="938"/>
      <c r="S86" s="939">
        <f t="shared" si="16"/>
        <v>251890</v>
      </c>
    </row>
    <row r="87" spans="1:20" ht="30" customHeight="1" x14ac:dyDescent="0.45">
      <c r="A87" s="933"/>
      <c r="C87" s="934">
        <f t="shared" si="17"/>
        <v>81</v>
      </c>
      <c r="D87" s="934"/>
      <c r="E87" s="934"/>
      <c r="F87" s="943" t="s">
        <v>2723</v>
      </c>
      <c r="G87" s="946">
        <v>44283</v>
      </c>
      <c r="H87" s="936">
        <v>194490</v>
      </c>
      <c r="I87" s="934"/>
      <c r="J87" s="935">
        <f t="shared" si="9"/>
        <v>44283</v>
      </c>
      <c r="K87" s="936">
        <f t="shared" si="10"/>
        <v>4</v>
      </c>
      <c r="L87" s="936">
        <f t="shared" si="11"/>
        <v>194490</v>
      </c>
      <c r="M87" s="936">
        <f t="shared" si="12"/>
        <v>0</v>
      </c>
      <c r="N87" s="936">
        <f t="shared" si="13"/>
        <v>0</v>
      </c>
      <c r="O87" s="936">
        <f t="shared" si="14"/>
        <v>0</v>
      </c>
      <c r="P87" s="937">
        <f t="shared" si="15"/>
        <v>0</v>
      </c>
      <c r="Q87" s="938"/>
      <c r="R87" s="938"/>
      <c r="S87" s="939">
        <f t="shared" si="16"/>
        <v>194490</v>
      </c>
    </row>
    <row r="88" spans="1:20" ht="30" customHeight="1" x14ac:dyDescent="0.45">
      <c r="A88" s="933"/>
      <c r="C88" s="934">
        <f t="shared" si="17"/>
        <v>82</v>
      </c>
      <c r="D88" s="934"/>
      <c r="E88" s="934"/>
      <c r="F88" s="943" t="s">
        <v>2724</v>
      </c>
      <c r="G88" s="946">
        <v>44283</v>
      </c>
      <c r="H88" s="936">
        <v>290064</v>
      </c>
      <c r="I88" s="934"/>
      <c r="J88" s="935">
        <f t="shared" si="9"/>
        <v>44283</v>
      </c>
      <c r="K88" s="936">
        <f t="shared" si="10"/>
        <v>4</v>
      </c>
      <c r="L88" s="936">
        <f t="shared" si="11"/>
        <v>290064</v>
      </c>
      <c r="M88" s="936">
        <f t="shared" si="12"/>
        <v>0</v>
      </c>
      <c r="N88" s="936">
        <f t="shared" si="13"/>
        <v>0</v>
      </c>
      <c r="O88" s="936">
        <f t="shared" si="14"/>
        <v>0</v>
      </c>
      <c r="P88" s="937">
        <f t="shared" si="15"/>
        <v>0</v>
      </c>
      <c r="Q88" s="938"/>
      <c r="R88" s="938"/>
      <c r="S88" s="939">
        <f t="shared" si="16"/>
        <v>290064</v>
      </c>
    </row>
    <row r="89" spans="1:20" ht="30" customHeight="1" x14ac:dyDescent="0.45">
      <c r="A89" s="933"/>
      <c r="C89" s="934">
        <f t="shared" si="17"/>
        <v>83</v>
      </c>
      <c r="D89" s="934"/>
      <c r="E89" s="934"/>
      <c r="F89" s="943" t="s">
        <v>2725</v>
      </c>
      <c r="G89" s="946">
        <v>44283</v>
      </c>
      <c r="H89" s="936">
        <v>299975</v>
      </c>
      <c r="I89" s="934"/>
      <c r="J89" s="935">
        <f t="shared" si="9"/>
        <v>44283</v>
      </c>
      <c r="K89" s="936">
        <f t="shared" si="10"/>
        <v>4</v>
      </c>
      <c r="L89" s="936">
        <f t="shared" si="11"/>
        <v>299975</v>
      </c>
      <c r="M89" s="936">
        <f t="shared" si="12"/>
        <v>0</v>
      </c>
      <c r="N89" s="936">
        <f t="shared" si="13"/>
        <v>0</v>
      </c>
      <c r="O89" s="936">
        <f t="shared" si="14"/>
        <v>0</v>
      </c>
      <c r="P89" s="937">
        <f t="shared" si="15"/>
        <v>0</v>
      </c>
      <c r="Q89" s="938"/>
      <c r="R89" s="938"/>
      <c r="S89" s="939">
        <f t="shared" si="16"/>
        <v>299975</v>
      </c>
    </row>
    <row r="90" spans="1:20" ht="30" customHeight="1" x14ac:dyDescent="0.45">
      <c r="A90" s="933"/>
      <c r="C90" s="934">
        <f t="shared" si="17"/>
        <v>84</v>
      </c>
      <c r="D90" s="934"/>
      <c r="E90" s="934"/>
      <c r="F90" s="943" t="s">
        <v>2726</v>
      </c>
      <c r="G90" s="946">
        <v>44286</v>
      </c>
      <c r="H90" s="936">
        <v>358428</v>
      </c>
      <c r="I90" s="934"/>
      <c r="J90" s="935">
        <f t="shared" si="9"/>
        <v>44286</v>
      </c>
      <c r="K90" s="936">
        <f t="shared" si="10"/>
        <v>1</v>
      </c>
      <c r="L90" s="936">
        <f t="shared" si="11"/>
        <v>358428</v>
      </c>
      <c r="M90" s="936">
        <f t="shared" si="12"/>
        <v>0</v>
      </c>
      <c r="N90" s="936">
        <f t="shared" si="13"/>
        <v>0</v>
      </c>
      <c r="O90" s="936">
        <f t="shared" si="14"/>
        <v>0</v>
      </c>
      <c r="P90" s="937">
        <f t="shared" si="15"/>
        <v>0</v>
      </c>
      <c r="Q90" s="938"/>
      <c r="R90" s="938"/>
      <c r="S90" s="939">
        <f t="shared" si="16"/>
        <v>358428</v>
      </c>
    </row>
    <row r="91" spans="1:20" ht="30" customHeight="1" x14ac:dyDescent="0.45">
      <c r="A91" s="933"/>
      <c r="C91" s="934">
        <f t="shared" si="17"/>
        <v>85</v>
      </c>
      <c r="D91" s="934"/>
      <c r="E91" s="934"/>
      <c r="F91" s="943" t="s">
        <v>2727</v>
      </c>
      <c r="G91" s="946">
        <v>44286</v>
      </c>
      <c r="H91" s="936">
        <v>310035</v>
      </c>
      <c r="I91" s="934"/>
      <c r="J91" s="935">
        <f t="shared" si="9"/>
        <v>44286</v>
      </c>
      <c r="K91" s="936">
        <f t="shared" si="10"/>
        <v>1</v>
      </c>
      <c r="L91" s="936">
        <f t="shared" si="11"/>
        <v>310035</v>
      </c>
      <c r="M91" s="936">
        <f t="shared" si="12"/>
        <v>0</v>
      </c>
      <c r="N91" s="936">
        <f t="shared" si="13"/>
        <v>0</v>
      </c>
      <c r="O91" s="936">
        <f t="shared" si="14"/>
        <v>0</v>
      </c>
      <c r="P91" s="937">
        <f t="shared" si="15"/>
        <v>0</v>
      </c>
      <c r="Q91" s="938"/>
      <c r="R91" s="938"/>
      <c r="S91" s="939">
        <f t="shared" si="16"/>
        <v>310035</v>
      </c>
    </row>
    <row r="92" spans="1:20" ht="30" customHeight="1" x14ac:dyDescent="0.45">
      <c r="A92" s="933"/>
      <c r="C92" s="934">
        <f t="shared" si="17"/>
        <v>86</v>
      </c>
      <c r="D92" s="934"/>
      <c r="E92" s="934"/>
      <c r="F92" s="943" t="s">
        <v>2728</v>
      </c>
      <c r="G92" s="946">
        <v>44286</v>
      </c>
      <c r="H92" s="936">
        <v>277778</v>
      </c>
      <c r="I92" s="934"/>
      <c r="J92" s="935">
        <f t="shared" si="9"/>
        <v>44286</v>
      </c>
      <c r="K92" s="936">
        <f t="shared" si="10"/>
        <v>1</v>
      </c>
      <c r="L92" s="936">
        <f t="shared" si="11"/>
        <v>277778</v>
      </c>
      <c r="M92" s="936">
        <f t="shared" si="12"/>
        <v>0</v>
      </c>
      <c r="N92" s="936">
        <f t="shared" si="13"/>
        <v>0</v>
      </c>
      <c r="O92" s="936">
        <f t="shared" si="14"/>
        <v>0</v>
      </c>
      <c r="P92" s="937">
        <f t="shared" si="15"/>
        <v>0</v>
      </c>
      <c r="Q92" s="938"/>
      <c r="R92" s="938"/>
      <c r="S92" s="939">
        <f t="shared" si="16"/>
        <v>277778</v>
      </c>
      <c r="T92" s="948">
        <f>+SUM(S7:S92)</f>
        <v>19377618</v>
      </c>
    </row>
    <row r="93" spans="1:20" ht="30" customHeight="1" x14ac:dyDescent="0.45">
      <c r="A93" s="933"/>
      <c r="C93" s="934"/>
      <c r="D93" s="934"/>
      <c r="E93" s="934"/>
      <c r="F93" s="949"/>
      <c r="G93" s="935"/>
      <c r="H93" s="936"/>
      <c r="I93" s="934"/>
      <c r="J93" s="935"/>
      <c r="K93" s="936"/>
      <c r="L93" s="936"/>
      <c r="M93" s="936"/>
      <c r="N93" s="936"/>
      <c r="O93" s="936"/>
      <c r="P93" s="937"/>
      <c r="Q93" s="938"/>
      <c r="R93" s="938"/>
      <c r="S93" s="939"/>
    </row>
    <row r="94" spans="1:20" ht="30" customHeight="1" x14ac:dyDescent="0.45">
      <c r="A94" s="933"/>
      <c r="C94" s="934"/>
      <c r="D94" s="934"/>
      <c r="E94" s="934"/>
      <c r="F94" s="949"/>
      <c r="G94" s="935"/>
      <c r="H94" s="936"/>
      <c r="I94" s="934"/>
      <c r="J94" s="935"/>
      <c r="K94" s="936"/>
      <c r="L94" s="936"/>
      <c r="M94" s="936"/>
      <c r="N94" s="936"/>
      <c r="O94" s="936"/>
      <c r="P94" s="937"/>
      <c r="Q94" s="938"/>
      <c r="R94" s="938"/>
      <c r="S94" s="939"/>
    </row>
    <row r="95" spans="1:20" ht="30" customHeight="1" x14ac:dyDescent="0.45">
      <c r="A95" s="933"/>
      <c r="C95" s="934">
        <f>C92+1</f>
        <v>87</v>
      </c>
      <c r="D95" s="940" t="s">
        <v>74</v>
      </c>
      <c r="E95" s="934"/>
      <c r="F95" s="943" t="s">
        <v>2729</v>
      </c>
      <c r="G95" s="945">
        <v>44069</v>
      </c>
      <c r="H95" s="936">
        <v>-1</v>
      </c>
      <c r="I95" s="934"/>
      <c r="J95" s="935">
        <f t="shared" si="9"/>
        <v>44069</v>
      </c>
      <c r="K95" s="936">
        <f t="shared" si="10"/>
        <v>218</v>
      </c>
      <c r="L95" s="936">
        <f t="shared" si="11"/>
        <v>0</v>
      </c>
      <c r="M95" s="936">
        <f t="shared" si="12"/>
        <v>0</v>
      </c>
      <c r="N95" s="936">
        <f t="shared" si="13"/>
        <v>-1</v>
      </c>
      <c r="O95" s="936">
        <f t="shared" si="14"/>
        <v>0</v>
      </c>
      <c r="P95" s="937">
        <f t="shared" si="15"/>
        <v>0</v>
      </c>
      <c r="Q95" s="938"/>
      <c r="R95" s="938"/>
      <c r="S95" s="939">
        <f t="shared" si="16"/>
        <v>-1</v>
      </c>
    </row>
    <row r="96" spans="1:20" ht="30" customHeight="1" x14ac:dyDescent="0.45">
      <c r="A96" s="933"/>
      <c r="C96" s="934">
        <f t="shared" si="17"/>
        <v>88</v>
      </c>
      <c r="D96" s="934"/>
      <c r="E96" s="934"/>
      <c r="F96" s="943" t="s">
        <v>2730</v>
      </c>
      <c r="G96" s="945">
        <v>44079</v>
      </c>
      <c r="H96" s="936">
        <v>-1</v>
      </c>
      <c r="I96" s="934"/>
      <c r="J96" s="935">
        <f t="shared" si="9"/>
        <v>44079</v>
      </c>
      <c r="K96" s="936">
        <f t="shared" si="10"/>
        <v>208</v>
      </c>
      <c r="L96" s="936">
        <f t="shared" si="11"/>
        <v>0</v>
      </c>
      <c r="M96" s="936">
        <f t="shared" si="12"/>
        <v>0</v>
      </c>
      <c r="N96" s="936">
        <f t="shared" si="13"/>
        <v>-1</v>
      </c>
      <c r="O96" s="936">
        <f t="shared" si="14"/>
        <v>0</v>
      </c>
      <c r="P96" s="937">
        <f t="shared" si="15"/>
        <v>0</v>
      </c>
      <c r="Q96" s="938"/>
      <c r="R96" s="938"/>
      <c r="S96" s="939">
        <f t="shared" si="16"/>
        <v>-1</v>
      </c>
    </row>
    <row r="97" spans="1:20" ht="30" customHeight="1" x14ac:dyDescent="0.45">
      <c r="A97" s="933"/>
      <c r="C97" s="934">
        <f t="shared" si="17"/>
        <v>89</v>
      </c>
      <c r="D97" s="934"/>
      <c r="E97" s="934"/>
      <c r="F97" s="943" t="s">
        <v>2731</v>
      </c>
      <c r="G97" s="945">
        <v>44103</v>
      </c>
      <c r="H97" s="936">
        <v>-2</v>
      </c>
      <c r="I97" s="934"/>
      <c r="J97" s="935">
        <f t="shared" si="9"/>
        <v>44103</v>
      </c>
      <c r="K97" s="936">
        <f t="shared" si="10"/>
        <v>184</v>
      </c>
      <c r="L97" s="936">
        <f t="shared" si="11"/>
        <v>0</v>
      </c>
      <c r="M97" s="936">
        <f t="shared" si="12"/>
        <v>0</v>
      </c>
      <c r="N97" s="936">
        <f t="shared" si="13"/>
        <v>-2</v>
      </c>
      <c r="O97" s="936">
        <f t="shared" si="14"/>
        <v>0</v>
      </c>
      <c r="P97" s="937">
        <f t="shared" si="15"/>
        <v>0</v>
      </c>
      <c r="Q97" s="938"/>
      <c r="R97" s="938"/>
      <c r="S97" s="939">
        <f t="shared" si="16"/>
        <v>-2</v>
      </c>
    </row>
    <row r="98" spans="1:20" ht="30" customHeight="1" x14ac:dyDescent="0.45">
      <c r="A98" s="933"/>
      <c r="C98" s="934">
        <f t="shared" si="17"/>
        <v>90</v>
      </c>
      <c r="D98" s="934"/>
      <c r="E98" s="934"/>
      <c r="F98" s="943" t="s">
        <v>2732</v>
      </c>
      <c r="G98" s="946">
        <v>44209</v>
      </c>
      <c r="H98" s="936">
        <v>-1</v>
      </c>
      <c r="I98" s="934"/>
      <c r="J98" s="935">
        <f t="shared" si="9"/>
        <v>44209</v>
      </c>
      <c r="K98" s="936">
        <f t="shared" si="10"/>
        <v>78</v>
      </c>
      <c r="L98" s="936">
        <f t="shared" si="11"/>
        <v>-1</v>
      </c>
      <c r="M98" s="936">
        <f t="shared" si="12"/>
        <v>0</v>
      </c>
      <c r="N98" s="936">
        <f t="shared" si="13"/>
        <v>0</v>
      </c>
      <c r="O98" s="936">
        <f t="shared" si="14"/>
        <v>0</v>
      </c>
      <c r="P98" s="937">
        <f t="shared" si="15"/>
        <v>0</v>
      </c>
      <c r="Q98" s="938"/>
      <c r="R98" s="938"/>
      <c r="S98" s="939">
        <f t="shared" si="16"/>
        <v>-1</v>
      </c>
    </row>
    <row r="99" spans="1:20" ht="30" customHeight="1" x14ac:dyDescent="0.45">
      <c r="A99" s="933"/>
      <c r="C99" s="934">
        <f t="shared" si="17"/>
        <v>91</v>
      </c>
      <c r="D99" s="934"/>
      <c r="E99" s="934"/>
      <c r="F99" s="943" t="s">
        <v>2733</v>
      </c>
      <c r="G99" s="946">
        <v>44216</v>
      </c>
      <c r="H99" s="936">
        <v>-1</v>
      </c>
      <c r="I99" s="934"/>
      <c r="J99" s="935">
        <f t="shared" si="9"/>
        <v>44216</v>
      </c>
      <c r="K99" s="936">
        <f t="shared" si="10"/>
        <v>71</v>
      </c>
      <c r="L99" s="936">
        <f t="shared" si="11"/>
        <v>-1</v>
      </c>
      <c r="M99" s="936">
        <f t="shared" si="12"/>
        <v>0</v>
      </c>
      <c r="N99" s="936">
        <f t="shared" si="13"/>
        <v>0</v>
      </c>
      <c r="O99" s="936">
        <f t="shared" si="14"/>
        <v>0</v>
      </c>
      <c r="P99" s="937">
        <f t="shared" si="15"/>
        <v>0</v>
      </c>
      <c r="Q99" s="938"/>
      <c r="R99" s="938"/>
      <c r="S99" s="939">
        <f t="shared" si="16"/>
        <v>-1</v>
      </c>
    </row>
    <row r="100" spans="1:20" ht="30" customHeight="1" x14ac:dyDescent="0.45">
      <c r="A100" s="933"/>
      <c r="C100" s="934">
        <f t="shared" si="17"/>
        <v>92</v>
      </c>
      <c r="D100" s="934"/>
      <c r="E100" s="934"/>
      <c r="F100" s="943" t="s">
        <v>2734</v>
      </c>
      <c r="G100" s="946">
        <v>44240</v>
      </c>
      <c r="H100" s="936">
        <v>36480</v>
      </c>
      <c r="I100" s="934"/>
      <c r="J100" s="935">
        <f t="shared" si="9"/>
        <v>44240</v>
      </c>
      <c r="K100" s="936">
        <f t="shared" si="10"/>
        <v>47</v>
      </c>
      <c r="L100" s="936">
        <f t="shared" si="11"/>
        <v>36480</v>
      </c>
      <c r="M100" s="936">
        <f t="shared" si="12"/>
        <v>0</v>
      </c>
      <c r="N100" s="936">
        <f t="shared" si="13"/>
        <v>0</v>
      </c>
      <c r="O100" s="936">
        <f t="shared" si="14"/>
        <v>0</v>
      </c>
      <c r="P100" s="937">
        <f t="shared" si="15"/>
        <v>0</v>
      </c>
      <c r="Q100" s="938"/>
      <c r="R100" s="938"/>
      <c r="S100" s="939">
        <f t="shared" si="16"/>
        <v>36480</v>
      </c>
    </row>
    <row r="101" spans="1:20" ht="30" customHeight="1" x14ac:dyDescent="0.45">
      <c r="A101" s="933"/>
      <c r="C101" s="934">
        <f t="shared" si="17"/>
        <v>93</v>
      </c>
      <c r="D101" s="934"/>
      <c r="E101" s="934"/>
      <c r="F101" s="943" t="s">
        <v>2735</v>
      </c>
      <c r="G101" s="946">
        <v>44248</v>
      </c>
      <c r="H101" s="936">
        <v>377653</v>
      </c>
      <c r="I101" s="934"/>
      <c r="J101" s="935">
        <f t="shared" si="9"/>
        <v>44248</v>
      </c>
      <c r="K101" s="936">
        <f t="shared" si="10"/>
        <v>39</v>
      </c>
      <c r="L101" s="936">
        <f t="shared" si="11"/>
        <v>377653</v>
      </c>
      <c r="M101" s="936">
        <f t="shared" si="12"/>
        <v>0</v>
      </c>
      <c r="N101" s="936">
        <f t="shared" si="13"/>
        <v>0</v>
      </c>
      <c r="O101" s="936">
        <f t="shared" si="14"/>
        <v>0</v>
      </c>
      <c r="P101" s="937">
        <f t="shared" si="15"/>
        <v>0</v>
      </c>
      <c r="Q101" s="938"/>
      <c r="R101" s="938"/>
      <c r="S101" s="939">
        <f t="shared" si="16"/>
        <v>377653</v>
      </c>
    </row>
    <row r="102" spans="1:20" ht="30" customHeight="1" x14ac:dyDescent="0.45">
      <c r="A102" s="933"/>
      <c r="C102" s="934">
        <f t="shared" si="17"/>
        <v>94</v>
      </c>
      <c r="D102" s="934"/>
      <c r="E102" s="934"/>
      <c r="F102" s="943" t="s">
        <v>2736</v>
      </c>
      <c r="G102" s="945">
        <v>44172</v>
      </c>
      <c r="H102" s="936">
        <v>-1</v>
      </c>
      <c r="I102" s="934"/>
      <c r="J102" s="935">
        <f t="shared" si="9"/>
        <v>44172</v>
      </c>
      <c r="K102" s="936">
        <f t="shared" si="10"/>
        <v>115</v>
      </c>
      <c r="L102" s="936">
        <f t="shared" si="11"/>
        <v>0</v>
      </c>
      <c r="M102" s="936">
        <f t="shared" si="12"/>
        <v>-1</v>
      </c>
      <c r="N102" s="936">
        <f t="shared" si="13"/>
        <v>0</v>
      </c>
      <c r="O102" s="936">
        <f t="shared" si="14"/>
        <v>0</v>
      </c>
      <c r="P102" s="937">
        <f t="shared" si="15"/>
        <v>0</v>
      </c>
      <c r="Q102" s="938"/>
      <c r="R102" s="938"/>
      <c r="S102" s="939">
        <f t="shared" si="16"/>
        <v>-1</v>
      </c>
    </row>
    <row r="103" spans="1:20" ht="30" customHeight="1" x14ac:dyDescent="0.45">
      <c r="A103" s="933"/>
      <c r="C103" s="934">
        <f t="shared" si="17"/>
        <v>95</v>
      </c>
      <c r="D103" s="934"/>
      <c r="E103" s="934"/>
      <c r="F103" s="943" t="s">
        <v>2737</v>
      </c>
      <c r="G103" s="945">
        <v>44181</v>
      </c>
      <c r="H103" s="936">
        <v>-90</v>
      </c>
      <c r="I103" s="934"/>
      <c r="J103" s="935">
        <f t="shared" si="9"/>
        <v>44181</v>
      </c>
      <c r="K103" s="936">
        <f t="shared" si="10"/>
        <v>106</v>
      </c>
      <c r="L103" s="936">
        <f t="shared" si="11"/>
        <v>0</v>
      </c>
      <c r="M103" s="936">
        <f t="shared" si="12"/>
        <v>-90</v>
      </c>
      <c r="N103" s="936">
        <f t="shared" si="13"/>
        <v>0</v>
      </c>
      <c r="O103" s="936">
        <f t="shared" si="14"/>
        <v>0</v>
      </c>
      <c r="P103" s="937">
        <f t="shared" si="15"/>
        <v>0</v>
      </c>
      <c r="Q103" s="938"/>
      <c r="R103" s="938"/>
      <c r="S103" s="939">
        <f t="shared" si="16"/>
        <v>-90</v>
      </c>
    </row>
    <row r="104" spans="1:20" ht="30" customHeight="1" x14ac:dyDescent="0.45">
      <c r="A104" s="933"/>
      <c r="C104" s="934">
        <f t="shared" si="17"/>
        <v>96</v>
      </c>
      <c r="D104" s="934"/>
      <c r="E104" s="934"/>
      <c r="F104" s="943" t="s">
        <v>2738</v>
      </c>
      <c r="G104" s="945">
        <v>44187</v>
      </c>
      <c r="H104" s="936">
        <v>-2</v>
      </c>
      <c r="I104" s="934"/>
      <c r="J104" s="935">
        <f t="shared" si="9"/>
        <v>44187</v>
      </c>
      <c r="K104" s="936">
        <f t="shared" si="10"/>
        <v>100</v>
      </c>
      <c r="L104" s="936">
        <f t="shared" si="11"/>
        <v>0</v>
      </c>
      <c r="M104" s="936">
        <f t="shared" si="12"/>
        <v>-2</v>
      </c>
      <c r="N104" s="936">
        <f t="shared" si="13"/>
        <v>0</v>
      </c>
      <c r="O104" s="936">
        <f t="shared" si="14"/>
        <v>0</v>
      </c>
      <c r="P104" s="937">
        <f t="shared" si="15"/>
        <v>0</v>
      </c>
      <c r="Q104" s="938"/>
      <c r="R104" s="938"/>
      <c r="S104" s="939">
        <f t="shared" si="16"/>
        <v>-2</v>
      </c>
    </row>
    <row r="105" spans="1:20" ht="30" customHeight="1" x14ac:dyDescent="0.45">
      <c r="A105" s="933"/>
      <c r="C105" s="934">
        <f t="shared" si="17"/>
        <v>97</v>
      </c>
      <c r="D105" s="941" t="s">
        <v>2739</v>
      </c>
      <c r="E105" s="934"/>
      <c r="G105" s="944"/>
      <c r="H105" s="936">
        <v>-17728</v>
      </c>
      <c r="I105" s="934"/>
      <c r="J105" s="935">
        <f t="shared" si="9"/>
        <v>0</v>
      </c>
      <c r="K105" s="936">
        <f t="shared" si="10"/>
        <v>44287</v>
      </c>
      <c r="L105" s="936">
        <f t="shared" si="11"/>
        <v>0</v>
      </c>
      <c r="M105" s="936">
        <f t="shared" si="12"/>
        <v>0</v>
      </c>
      <c r="N105" s="936">
        <f t="shared" si="13"/>
        <v>0</v>
      </c>
      <c r="O105" s="936">
        <f t="shared" si="14"/>
        <v>0</v>
      </c>
      <c r="P105" s="937">
        <f t="shared" si="15"/>
        <v>-17728</v>
      </c>
      <c r="Q105" s="938"/>
      <c r="R105" s="938"/>
      <c r="S105" s="939">
        <f t="shared" si="16"/>
        <v>-17728</v>
      </c>
      <c r="T105" s="950">
        <f>+SUM(S95:S105)</f>
        <v>396306</v>
      </c>
    </row>
    <row r="106" spans="1:20" ht="30" customHeight="1" x14ac:dyDescent="0.45">
      <c r="A106" s="933"/>
      <c r="C106" s="934"/>
      <c r="D106" s="934"/>
      <c r="E106" s="934"/>
      <c r="F106" s="951"/>
      <c r="G106" s="952"/>
      <c r="H106" s="936"/>
      <c r="I106" s="934"/>
      <c r="J106" s="935"/>
      <c r="K106" s="936"/>
      <c r="L106" s="936"/>
      <c r="M106" s="936"/>
      <c r="N106" s="936"/>
      <c r="O106" s="936"/>
      <c r="P106" s="937"/>
      <c r="Q106" s="938"/>
      <c r="R106" s="938"/>
      <c r="S106" s="939"/>
    </row>
    <row r="107" spans="1:20" ht="30" customHeight="1" x14ac:dyDescent="0.45">
      <c r="A107" s="933"/>
      <c r="C107" s="934"/>
      <c r="D107" s="934"/>
      <c r="E107" s="934"/>
      <c r="F107" s="951"/>
      <c r="G107" s="952"/>
      <c r="H107" s="936"/>
      <c r="I107" s="934"/>
      <c r="J107" s="935"/>
      <c r="K107" s="936"/>
      <c r="L107" s="936"/>
      <c r="M107" s="936"/>
      <c r="N107" s="936"/>
      <c r="O107" s="936"/>
      <c r="P107" s="937"/>
      <c r="Q107" s="938"/>
      <c r="R107" s="938"/>
      <c r="S107" s="939"/>
    </row>
    <row r="108" spans="1:20" ht="30" customHeight="1" x14ac:dyDescent="0.45">
      <c r="A108" s="933"/>
      <c r="C108" s="934">
        <f>C105+1</f>
        <v>98</v>
      </c>
      <c r="D108" s="953" t="s">
        <v>78</v>
      </c>
      <c r="E108" s="934"/>
      <c r="F108" s="954" t="s">
        <v>2740</v>
      </c>
      <c r="G108" s="955">
        <v>43999</v>
      </c>
      <c r="H108" s="936">
        <v>2</v>
      </c>
      <c r="I108" s="934"/>
      <c r="J108" s="935">
        <f t="shared" si="9"/>
        <v>43999</v>
      </c>
      <c r="K108" s="936">
        <f t="shared" si="10"/>
        <v>288</v>
      </c>
      <c r="L108" s="936">
        <f t="shared" si="11"/>
        <v>0</v>
      </c>
      <c r="M108" s="936">
        <f t="shared" si="12"/>
        <v>0</v>
      </c>
      <c r="N108" s="936">
        <f t="shared" si="13"/>
        <v>2</v>
      </c>
      <c r="O108" s="936">
        <f t="shared" si="14"/>
        <v>0</v>
      </c>
      <c r="P108" s="937">
        <f t="shared" si="15"/>
        <v>0</v>
      </c>
      <c r="Q108" s="938"/>
      <c r="R108" s="938"/>
      <c r="S108" s="939">
        <f t="shared" si="16"/>
        <v>2</v>
      </c>
    </row>
    <row r="109" spans="1:20" ht="30" customHeight="1" x14ac:dyDescent="0.45">
      <c r="A109" s="933"/>
      <c r="C109" s="934">
        <f t="shared" si="17"/>
        <v>99</v>
      </c>
      <c r="D109" s="934"/>
      <c r="E109" s="934"/>
      <c r="F109" s="954" t="s">
        <v>2741</v>
      </c>
      <c r="G109" s="956">
        <v>44262</v>
      </c>
      <c r="H109" s="936">
        <v>136760</v>
      </c>
      <c r="I109" s="934"/>
      <c r="J109" s="935">
        <f t="shared" si="9"/>
        <v>44262</v>
      </c>
      <c r="K109" s="936">
        <f>+$Q$1-J109+1</f>
        <v>25</v>
      </c>
      <c r="L109" s="936">
        <f t="shared" si="11"/>
        <v>136760</v>
      </c>
      <c r="M109" s="936">
        <f t="shared" si="12"/>
        <v>0</v>
      </c>
      <c r="N109" s="936">
        <f t="shared" si="13"/>
        <v>0</v>
      </c>
      <c r="O109" s="936">
        <f t="shared" si="14"/>
        <v>0</v>
      </c>
      <c r="P109" s="937">
        <f t="shared" si="15"/>
        <v>0</v>
      </c>
      <c r="Q109" s="938"/>
      <c r="R109" s="938"/>
      <c r="S109" s="939">
        <f t="shared" si="16"/>
        <v>136760</v>
      </c>
    </row>
    <row r="110" spans="1:20" ht="30" customHeight="1" x14ac:dyDescent="0.45">
      <c r="A110" s="933"/>
      <c r="C110" s="934">
        <f t="shared" si="17"/>
        <v>100</v>
      </c>
      <c r="D110" s="934"/>
      <c r="E110" s="934"/>
      <c r="F110" s="954" t="s">
        <v>2742</v>
      </c>
      <c r="G110" s="956">
        <v>44265</v>
      </c>
      <c r="H110" s="936">
        <v>203345</v>
      </c>
      <c r="I110" s="934"/>
      <c r="J110" s="935">
        <f t="shared" si="9"/>
        <v>44265</v>
      </c>
      <c r="K110" s="936">
        <f t="shared" si="10"/>
        <v>22</v>
      </c>
      <c r="L110" s="936">
        <f t="shared" si="11"/>
        <v>203345</v>
      </c>
      <c r="M110" s="936">
        <f t="shared" si="12"/>
        <v>0</v>
      </c>
      <c r="N110" s="936">
        <f t="shared" si="13"/>
        <v>0</v>
      </c>
      <c r="O110" s="936">
        <f t="shared" si="14"/>
        <v>0</v>
      </c>
      <c r="P110" s="937">
        <f t="shared" si="15"/>
        <v>0</v>
      </c>
      <c r="Q110" s="938"/>
      <c r="R110" s="938"/>
      <c r="S110" s="939">
        <f t="shared" si="16"/>
        <v>203345</v>
      </c>
    </row>
    <row r="111" spans="1:20" ht="30" customHeight="1" x14ac:dyDescent="0.45">
      <c r="A111" s="933"/>
      <c r="C111" s="934">
        <f t="shared" si="17"/>
        <v>101</v>
      </c>
      <c r="D111" s="934"/>
      <c r="E111" s="934"/>
      <c r="F111" s="954" t="s">
        <v>2743</v>
      </c>
      <c r="G111" s="956">
        <v>44286</v>
      </c>
      <c r="H111" s="936">
        <v>274000</v>
      </c>
      <c r="I111" s="934"/>
      <c r="J111" s="935">
        <f t="shared" si="9"/>
        <v>44286</v>
      </c>
      <c r="K111" s="936">
        <f t="shared" si="10"/>
        <v>1</v>
      </c>
      <c r="L111" s="936">
        <f t="shared" si="11"/>
        <v>274000</v>
      </c>
      <c r="M111" s="936">
        <f t="shared" si="12"/>
        <v>0</v>
      </c>
      <c r="N111" s="936">
        <f t="shared" si="13"/>
        <v>0</v>
      </c>
      <c r="O111" s="936">
        <f t="shared" si="14"/>
        <v>0</v>
      </c>
      <c r="P111" s="937">
        <f t="shared" si="15"/>
        <v>0</v>
      </c>
      <c r="Q111" s="938"/>
      <c r="R111" s="938"/>
      <c r="S111" s="939">
        <f t="shared" si="16"/>
        <v>274000</v>
      </c>
    </row>
    <row r="112" spans="1:20" ht="30" customHeight="1" x14ac:dyDescent="0.45">
      <c r="A112" s="933"/>
      <c r="C112" s="934">
        <f t="shared" si="17"/>
        <v>102</v>
      </c>
      <c r="D112" s="934"/>
      <c r="E112" s="934"/>
      <c r="F112" s="934"/>
      <c r="G112" s="935"/>
      <c r="H112" s="936">
        <v>4</v>
      </c>
      <c r="I112" s="934"/>
      <c r="J112" s="935">
        <f t="shared" si="9"/>
        <v>0</v>
      </c>
      <c r="K112" s="936">
        <f t="shared" si="10"/>
        <v>44287</v>
      </c>
      <c r="L112" s="936">
        <f t="shared" si="11"/>
        <v>0</v>
      </c>
      <c r="M112" s="936">
        <f t="shared" si="12"/>
        <v>0</v>
      </c>
      <c r="N112" s="936">
        <f t="shared" si="13"/>
        <v>0</v>
      </c>
      <c r="O112" s="936">
        <f t="shared" si="14"/>
        <v>0</v>
      </c>
      <c r="P112" s="937">
        <f t="shared" si="15"/>
        <v>4</v>
      </c>
      <c r="Q112" s="938"/>
      <c r="R112" s="938"/>
      <c r="S112" s="939">
        <f t="shared" si="16"/>
        <v>4</v>
      </c>
      <c r="T112" s="950">
        <f>+SUM(S108:S112)</f>
        <v>614111</v>
      </c>
    </row>
    <row r="113" spans="1:20" ht="30" customHeight="1" x14ac:dyDescent="0.45">
      <c r="A113" s="933"/>
      <c r="C113" s="934"/>
      <c r="D113" s="934"/>
      <c r="E113" s="934"/>
      <c r="F113" s="934"/>
      <c r="G113" s="935"/>
      <c r="H113" s="936"/>
      <c r="I113" s="934"/>
      <c r="J113" s="935"/>
      <c r="K113" s="936"/>
      <c r="L113" s="936"/>
      <c r="M113" s="936"/>
      <c r="N113" s="936"/>
      <c r="O113" s="936"/>
      <c r="P113" s="937"/>
      <c r="Q113" s="938"/>
      <c r="R113" s="938"/>
      <c r="S113" s="939"/>
    </row>
    <row r="114" spans="1:20" ht="30" customHeight="1" x14ac:dyDescent="0.45">
      <c r="A114" s="933"/>
      <c r="C114" s="934"/>
      <c r="D114" s="934"/>
      <c r="E114" s="934"/>
      <c r="F114" s="934"/>
      <c r="G114" s="935"/>
      <c r="H114" s="936"/>
      <c r="I114" s="934"/>
      <c r="J114" s="935"/>
      <c r="K114" s="936"/>
      <c r="L114" s="936"/>
      <c r="M114" s="936"/>
      <c r="N114" s="936"/>
      <c r="O114" s="936"/>
      <c r="P114" s="937"/>
      <c r="Q114" s="938"/>
      <c r="R114" s="938"/>
      <c r="S114" s="939"/>
    </row>
    <row r="115" spans="1:20" ht="30" customHeight="1" x14ac:dyDescent="0.45">
      <c r="A115" s="933"/>
      <c r="C115" s="934">
        <f>C112+1</f>
        <v>103</v>
      </c>
      <c r="D115" s="953" t="s">
        <v>17</v>
      </c>
      <c r="E115" s="934"/>
      <c r="F115" s="954" t="s">
        <v>2744</v>
      </c>
      <c r="G115" s="956">
        <v>44263</v>
      </c>
      <c r="H115" s="936">
        <v>766021</v>
      </c>
      <c r="I115" s="934"/>
      <c r="J115" s="935">
        <f>+G115+I115</f>
        <v>44263</v>
      </c>
      <c r="K115" s="936">
        <f t="shared" si="10"/>
        <v>24</v>
      </c>
      <c r="L115" s="936">
        <f>IF(K115&gt;90,0,H115)</f>
        <v>766021</v>
      </c>
      <c r="M115" s="936">
        <f>IF(K115&lt;=90,0,IF(K115&gt;180,0,H115))</f>
        <v>0</v>
      </c>
      <c r="N115" s="936">
        <f>IF(K115&lt;=180,0,IF(K115&gt;365,0,H115))</f>
        <v>0</v>
      </c>
      <c r="O115" s="936">
        <f>IF(K115&lt;=365,0,IF(K115&gt;730,0,H115))</f>
        <v>0</v>
      </c>
      <c r="P115" s="937">
        <f>IF(K115&lt;=730,0,H115)</f>
        <v>0</v>
      </c>
      <c r="Q115" s="938"/>
      <c r="R115" s="938"/>
      <c r="S115" s="939">
        <f>H115-R115</f>
        <v>766021</v>
      </c>
    </row>
    <row r="116" spans="1:20" ht="30" customHeight="1" x14ac:dyDescent="0.45">
      <c r="A116" s="933"/>
      <c r="C116" s="934">
        <f t="shared" si="17"/>
        <v>104</v>
      </c>
      <c r="D116" s="934"/>
      <c r="E116" s="934"/>
      <c r="F116" s="954" t="s">
        <v>2745</v>
      </c>
      <c r="G116" s="956">
        <v>44263</v>
      </c>
      <c r="H116" s="936">
        <v>715772</v>
      </c>
      <c r="I116" s="934"/>
      <c r="J116" s="935">
        <f>+G116+I116</f>
        <v>44263</v>
      </c>
      <c r="K116" s="936">
        <f t="shared" si="10"/>
        <v>24</v>
      </c>
      <c r="L116" s="936">
        <f>IF(K116&gt;90,0,H116)</f>
        <v>715772</v>
      </c>
      <c r="M116" s="936">
        <f>IF(K116&lt;=90,0,IF(K116&gt;180,0,H116))</f>
        <v>0</v>
      </c>
      <c r="N116" s="936">
        <f>IF(K116&lt;=180,0,IF(K116&gt;365,0,H116))</f>
        <v>0</v>
      </c>
      <c r="O116" s="936">
        <f>IF(K116&lt;=365,0,IF(K116&gt;730,0,H116))</f>
        <v>0</v>
      </c>
      <c r="P116" s="937">
        <f>IF(K116&lt;=730,0,H116)</f>
        <v>0</v>
      </c>
      <c r="Q116" s="938"/>
      <c r="R116" s="938"/>
      <c r="S116" s="939">
        <f>H116-R116</f>
        <v>715772</v>
      </c>
    </row>
    <row r="117" spans="1:20" ht="30" customHeight="1" x14ac:dyDescent="0.45">
      <c r="A117" s="933"/>
      <c r="C117" s="934">
        <f t="shared" si="17"/>
        <v>105</v>
      </c>
      <c r="D117" s="934"/>
      <c r="E117" s="934"/>
      <c r="F117" s="954" t="s">
        <v>2746</v>
      </c>
      <c r="G117" s="956">
        <v>44274</v>
      </c>
      <c r="H117" s="936">
        <v>651077</v>
      </c>
      <c r="I117" s="934"/>
      <c r="J117" s="935">
        <f>+G117+I117</f>
        <v>44274</v>
      </c>
      <c r="K117" s="936">
        <f t="shared" si="10"/>
        <v>13</v>
      </c>
      <c r="L117" s="936">
        <f>IF(K117&gt;90,0,H117)</f>
        <v>651077</v>
      </c>
      <c r="M117" s="936">
        <f>IF(K117&lt;=90,0,IF(K117&gt;180,0,H117))</f>
        <v>0</v>
      </c>
      <c r="N117" s="936">
        <f>IF(K117&lt;=180,0,IF(K117&gt;365,0,H117))</f>
        <v>0</v>
      </c>
      <c r="O117" s="936">
        <f>IF(K117&lt;=365,0,IF(K117&gt;730,0,H117))</f>
        <v>0</v>
      </c>
      <c r="P117" s="937">
        <f>IF(K117&lt;=730,0,H117)</f>
        <v>0</v>
      </c>
      <c r="Q117" s="938"/>
      <c r="R117" s="938"/>
      <c r="S117" s="939">
        <f>H117-R117</f>
        <v>651077</v>
      </c>
    </row>
    <row r="118" spans="1:20" ht="30" customHeight="1" x14ac:dyDescent="0.45">
      <c r="A118" s="933"/>
      <c r="C118" s="934">
        <f t="shared" si="17"/>
        <v>106</v>
      </c>
      <c r="D118" s="934"/>
      <c r="E118" s="934"/>
      <c r="F118" s="954" t="s">
        <v>2747</v>
      </c>
      <c r="G118" s="956">
        <v>44277</v>
      </c>
      <c r="H118" s="936">
        <v>803607</v>
      </c>
      <c r="I118" s="934"/>
      <c r="J118" s="935">
        <f>+G118+I118</f>
        <v>44277</v>
      </c>
      <c r="K118" s="936">
        <f t="shared" si="10"/>
        <v>10</v>
      </c>
      <c r="L118" s="936">
        <f>IF(K118&gt;90,0,H118)</f>
        <v>803607</v>
      </c>
      <c r="M118" s="936">
        <f>IF(K118&lt;=90,0,IF(K118&gt;180,0,H118))</f>
        <v>0</v>
      </c>
      <c r="N118" s="936">
        <f>IF(K118&lt;=180,0,IF(K118&gt;365,0,H118))</f>
        <v>0</v>
      </c>
      <c r="O118" s="936">
        <f>IF(K118&lt;=365,0,IF(K118&gt;730,0,H118))</f>
        <v>0</v>
      </c>
      <c r="P118" s="937">
        <f>IF(K118&lt;=730,0,H118)</f>
        <v>0</v>
      </c>
      <c r="Q118" s="938"/>
      <c r="R118" s="938"/>
      <c r="S118" s="939">
        <f>H118-R118</f>
        <v>803607</v>
      </c>
    </row>
    <row r="119" spans="1:20" ht="30" customHeight="1" x14ac:dyDescent="0.45">
      <c r="A119" s="933"/>
      <c r="C119" s="934">
        <f t="shared" si="17"/>
        <v>107</v>
      </c>
      <c r="D119" s="934"/>
      <c r="E119" s="934"/>
      <c r="F119" s="954" t="s">
        <v>2748</v>
      </c>
      <c r="G119" s="956">
        <v>44280</v>
      </c>
      <c r="H119" s="936">
        <v>888833</v>
      </c>
      <c r="I119" s="934"/>
      <c r="J119" s="935">
        <f>+G119+I119</f>
        <v>44280</v>
      </c>
      <c r="K119" s="936">
        <f t="shared" si="10"/>
        <v>7</v>
      </c>
      <c r="L119" s="936">
        <f>IF(K119&gt;90,0,H119)</f>
        <v>888833</v>
      </c>
      <c r="M119" s="936">
        <f>IF(K119&lt;=90,0,IF(K119&gt;180,0,H119))</f>
        <v>0</v>
      </c>
      <c r="N119" s="936">
        <f>IF(K119&lt;=180,0,IF(K119&gt;365,0,H119))</f>
        <v>0</v>
      </c>
      <c r="O119" s="936">
        <f>IF(K119&lt;=365,0,IF(K119&gt;730,0,H119))</f>
        <v>0</v>
      </c>
      <c r="P119" s="937">
        <f>IF(K119&lt;=730,0,H119)</f>
        <v>0</v>
      </c>
      <c r="Q119" s="938"/>
      <c r="R119" s="938"/>
      <c r="S119" s="939">
        <f>H119-R119</f>
        <v>888833</v>
      </c>
      <c r="T119" s="950"/>
    </row>
    <row r="120" spans="1:20" ht="30" customHeight="1" x14ac:dyDescent="0.45">
      <c r="A120" s="933"/>
      <c r="C120" s="934">
        <f t="shared" si="17"/>
        <v>108</v>
      </c>
      <c r="D120" s="934"/>
      <c r="E120" s="934"/>
      <c r="F120" s="934"/>
      <c r="G120" s="935"/>
      <c r="H120" s="936"/>
      <c r="I120" s="934"/>
      <c r="J120" s="935">
        <f t="shared" si="9"/>
        <v>0</v>
      </c>
      <c r="K120" s="936">
        <f t="shared" si="10"/>
        <v>44287</v>
      </c>
      <c r="L120" s="936">
        <f t="shared" si="11"/>
        <v>0</v>
      </c>
      <c r="M120" s="936">
        <f t="shared" si="12"/>
        <v>0</v>
      </c>
      <c r="N120" s="936">
        <f t="shared" si="13"/>
        <v>0</v>
      </c>
      <c r="O120" s="936">
        <f t="shared" si="14"/>
        <v>0</v>
      </c>
      <c r="P120" s="937">
        <f t="shared" si="15"/>
        <v>0</v>
      </c>
      <c r="Q120" s="938"/>
      <c r="R120" s="938"/>
      <c r="S120" s="939">
        <f t="shared" si="16"/>
        <v>0</v>
      </c>
    </row>
    <row r="121" spans="1:20" ht="30" customHeight="1" x14ac:dyDescent="0.45">
      <c r="A121" s="933"/>
      <c r="C121" s="934"/>
      <c r="D121" s="934"/>
      <c r="E121" s="934"/>
      <c r="F121" s="934"/>
      <c r="G121" s="935"/>
      <c r="H121" s="936"/>
      <c r="I121" s="934"/>
      <c r="J121" s="935"/>
      <c r="K121" s="936"/>
      <c r="L121" s="936"/>
      <c r="M121" s="936"/>
      <c r="N121" s="936"/>
      <c r="O121" s="936"/>
      <c r="P121" s="937"/>
      <c r="Q121" s="938"/>
      <c r="R121" s="938"/>
      <c r="S121" s="939"/>
    </row>
    <row r="122" spans="1:20" ht="30" customHeight="1" x14ac:dyDescent="0.45">
      <c r="A122" s="933"/>
      <c r="C122" s="934"/>
      <c r="D122" s="934"/>
      <c r="E122" s="934"/>
      <c r="F122" s="934"/>
      <c r="G122" s="935"/>
      <c r="H122" s="936"/>
      <c r="I122" s="934"/>
      <c r="J122" s="935"/>
      <c r="K122" s="936"/>
      <c r="L122" s="936"/>
      <c r="M122" s="936"/>
      <c r="N122" s="936"/>
      <c r="O122" s="936"/>
      <c r="P122" s="937"/>
      <c r="Q122" s="938"/>
      <c r="R122" s="938"/>
      <c r="S122" s="939"/>
    </row>
    <row r="123" spans="1:20" ht="30" customHeight="1" x14ac:dyDescent="0.45">
      <c r="A123" s="933"/>
      <c r="C123" s="934">
        <f>C120+1</f>
        <v>109</v>
      </c>
      <c r="D123" s="957" t="s">
        <v>24</v>
      </c>
      <c r="E123" s="934"/>
      <c r="F123" s="954" t="s">
        <v>2749</v>
      </c>
      <c r="G123" s="944">
        <v>44269</v>
      </c>
      <c r="H123" s="936">
        <v>753214</v>
      </c>
      <c r="I123" s="934"/>
      <c r="J123" s="935">
        <f t="shared" si="9"/>
        <v>44269</v>
      </c>
      <c r="K123" s="936">
        <f t="shared" si="10"/>
        <v>18</v>
      </c>
      <c r="L123" s="936">
        <f t="shared" si="11"/>
        <v>753214</v>
      </c>
      <c r="M123" s="936">
        <f t="shared" si="12"/>
        <v>0</v>
      </c>
      <c r="N123" s="936">
        <f t="shared" si="13"/>
        <v>0</v>
      </c>
      <c r="O123" s="936">
        <f t="shared" si="14"/>
        <v>0</v>
      </c>
      <c r="P123" s="937">
        <f t="shared" si="15"/>
        <v>0</v>
      </c>
      <c r="Q123" s="938"/>
      <c r="R123" s="938"/>
      <c r="S123" s="939">
        <f t="shared" si="16"/>
        <v>753214</v>
      </c>
    </row>
    <row r="124" spans="1:20" ht="30" customHeight="1" x14ac:dyDescent="0.45">
      <c r="A124" s="933"/>
      <c r="C124" s="934">
        <f t="shared" si="17"/>
        <v>110</v>
      </c>
      <c r="D124" s="934"/>
      <c r="E124" s="934"/>
      <c r="F124" s="954" t="s">
        <v>2750</v>
      </c>
      <c r="G124" s="944">
        <v>44275</v>
      </c>
      <c r="H124" s="936">
        <v>832450</v>
      </c>
      <c r="I124" s="934"/>
      <c r="J124" s="935">
        <f t="shared" si="9"/>
        <v>44275</v>
      </c>
      <c r="K124" s="936">
        <f t="shared" si="10"/>
        <v>12</v>
      </c>
      <c r="L124" s="936">
        <f t="shared" si="11"/>
        <v>832450</v>
      </c>
      <c r="M124" s="936">
        <f t="shared" si="12"/>
        <v>0</v>
      </c>
      <c r="N124" s="936">
        <f t="shared" si="13"/>
        <v>0</v>
      </c>
      <c r="O124" s="936">
        <f t="shared" si="14"/>
        <v>0</v>
      </c>
      <c r="P124" s="937">
        <f t="shared" si="15"/>
        <v>0</v>
      </c>
      <c r="Q124" s="938"/>
      <c r="R124" s="938"/>
      <c r="S124" s="939">
        <f t="shared" si="16"/>
        <v>832450</v>
      </c>
      <c r="T124" s="950"/>
    </row>
    <row r="125" spans="1:20" ht="30" customHeight="1" x14ac:dyDescent="0.45">
      <c r="A125" s="933"/>
      <c r="C125" s="934"/>
      <c r="D125" s="934"/>
      <c r="E125" s="934"/>
      <c r="F125" s="958"/>
      <c r="G125" s="952"/>
      <c r="H125" s="936"/>
      <c r="I125" s="934"/>
      <c r="J125" s="935"/>
      <c r="K125" s="936"/>
      <c r="L125" s="936"/>
      <c r="M125" s="936"/>
      <c r="N125" s="936"/>
      <c r="O125" s="936"/>
      <c r="P125" s="937"/>
      <c r="Q125" s="938"/>
      <c r="R125" s="938"/>
      <c r="S125" s="939"/>
    </row>
    <row r="126" spans="1:20" ht="30" customHeight="1" x14ac:dyDescent="0.45">
      <c r="A126" s="933"/>
      <c r="C126" s="934">
        <f>C124+1</f>
        <v>111</v>
      </c>
      <c r="D126" s="959" t="s">
        <v>203</v>
      </c>
      <c r="E126" s="960"/>
      <c r="F126" s="961" t="s">
        <v>2751</v>
      </c>
      <c r="G126" s="962">
        <v>44279</v>
      </c>
      <c r="H126" s="936">
        <v>78653</v>
      </c>
      <c r="I126" s="934"/>
      <c r="J126" s="935">
        <f t="shared" si="9"/>
        <v>44279</v>
      </c>
      <c r="K126" s="936">
        <f t="shared" si="10"/>
        <v>8</v>
      </c>
      <c r="L126" s="936">
        <f t="shared" si="11"/>
        <v>78653</v>
      </c>
      <c r="M126" s="936">
        <f t="shared" si="12"/>
        <v>0</v>
      </c>
      <c r="N126" s="936">
        <f t="shared" si="13"/>
        <v>0</v>
      </c>
      <c r="O126" s="936">
        <f t="shared" si="14"/>
        <v>0</v>
      </c>
      <c r="P126" s="937">
        <f t="shared" si="15"/>
        <v>0</v>
      </c>
      <c r="Q126" s="938"/>
      <c r="R126" s="938"/>
      <c r="S126" s="939">
        <f t="shared" si="16"/>
        <v>78653</v>
      </c>
    </row>
    <row r="127" spans="1:20" ht="30" customHeight="1" x14ac:dyDescent="0.45">
      <c r="A127" s="933"/>
      <c r="C127" s="934">
        <f t="shared" si="17"/>
        <v>112</v>
      </c>
      <c r="D127" s="960"/>
      <c r="E127" s="960"/>
      <c r="F127" s="961" t="s">
        <v>2752</v>
      </c>
      <c r="G127" s="962">
        <v>44283</v>
      </c>
      <c r="H127" s="936">
        <v>94125</v>
      </c>
      <c r="I127" s="934"/>
      <c r="J127" s="935">
        <f t="shared" si="9"/>
        <v>44283</v>
      </c>
      <c r="K127" s="936">
        <f t="shared" si="10"/>
        <v>4</v>
      </c>
      <c r="L127" s="936">
        <f t="shared" si="11"/>
        <v>94125</v>
      </c>
      <c r="M127" s="936">
        <f t="shared" si="12"/>
        <v>0</v>
      </c>
      <c r="N127" s="936">
        <f t="shared" si="13"/>
        <v>0</v>
      </c>
      <c r="O127" s="936">
        <f t="shared" si="14"/>
        <v>0</v>
      </c>
      <c r="P127" s="937">
        <f t="shared" si="15"/>
        <v>0</v>
      </c>
      <c r="Q127" s="938"/>
      <c r="R127" s="938"/>
      <c r="S127" s="939">
        <f t="shared" si="16"/>
        <v>94125</v>
      </c>
    </row>
    <row r="128" spans="1:20" ht="30" customHeight="1" x14ac:dyDescent="0.45">
      <c r="A128" s="933"/>
      <c r="C128" s="934"/>
      <c r="D128" s="963"/>
      <c r="E128" s="960"/>
      <c r="F128" s="961"/>
      <c r="G128" s="964"/>
      <c r="H128" s="965"/>
      <c r="I128" s="934"/>
      <c r="J128" s="935"/>
      <c r="K128" s="936"/>
      <c r="L128" s="936"/>
      <c r="M128" s="936"/>
      <c r="N128" s="936"/>
      <c r="O128" s="936"/>
      <c r="P128" s="937"/>
      <c r="Q128" s="938"/>
      <c r="R128" s="938"/>
      <c r="S128" s="939"/>
    </row>
    <row r="129" spans="1:19" ht="30" customHeight="1" x14ac:dyDescent="0.45">
      <c r="A129" s="933"/>
      <c r="C129" s="934">
        <f>C127+1</f>
        <v>113</v>
      </c>
      <c r="D129" s="953" t="s">
        <v>2753</v>
      </c>
      <c r="E129" s="934"/>
      <c r="F129" s="954" t="s">
        <v>2754</v>
      </c>
      <c r="G129" s="955">
        <v>44119</v>
      </c>
      <c r="H129" s="966">
        <v>4</v>
      </c>
      <c r="I129" s="967"/>
      <c r="J129" s="935">
        <f t="shared" si="9"/>
        <v>44119</v>
      </c>
      <c r="K129" s="936">
        <f t="shared" si="10"/>
        <v>168</v>
      </c>
      <c r="L129" s="936">
        <f t="shared" si="11"/>
        <v>0</v>
      </c>
      <c r="M129" s="936">
        <f t="shared" si="12"/>
        <v>4</v>
      </c>
      <c r="N129" s="936">
        <f t="shared" si="13"/>
        <v>0</v>
      </c>
      <c r="O129" s="936">
        <f t="shared" si="14"/>
        <v>0</v>
      </c>
      <c r="P129" s="937">
        <f t="shared" si="15"/>
        <v>0</v>
      </c>
      <c r="Q129" s="938"/>
      <c r="R129" s="938"/>
      <c r="S129" s="939">
        <f t="shared" si="16"/>
        <v>4</v>
      </c>
    </row>
    <row r="130" spans="1:19" ht="30" customHeight="1" x14ac:dyDescent="0.45">
      <c r="A130" s="933"/>
      <c r="C130" s="934">
        <f t="shared" si="17"/>
        <v>114</v>
      </c>
      <c r="D130" s="934"/>
      <c r="E130" s="934"/>
      <c r="F130" s="954" t="s">
        <v>2755</v>
      </c>
      <c r="G130" s="955">
        <v>44138</v>
      </c>
      <c r="H130" s="966">
        <v>3</v>
      </c>
      <c r="I130" s="967"/>
      <c r="J130" s="935">
        <f t="shared" si="9"/>
        <v>44138</v>
      </c>
      <c r="K130" s="936">
        <f t="shared" si="10"/>
        <v>149</v>
      </c>
      <c r="L130" s="936">
        <f t="shared" si="11"/>
        <v>0</v>
      </c>
      <c r="M130" s="936">
        <f t="shared" si="12"/>
        <v>3</v>
      </c>
      <c r="N130" s="936">
        <f t="shared" si="13"/>
        <v>0</v>
      </c>
      <c r="O130" s="936">
        <f t="shared" si="14"/>
        <v>0</v>
      </c>
      <c r="P130" s="937">
        <f t="shared" si="15"/>
        <v>0</v>
      </c>
      <c r="Q130" s="938"/>
      <c r="R130" s="938"/>
      <c r="S130" s="939">
        <f t="shared" si="16"/>
        <v>3</v>
      </c>
    </row>
    <row r="131" spans="1:19" ht="30" customHeight="1" x14ac:dyDescent="0.45">
      <c r="A131" s="933"/>
      <c r="C131" s="934">
        <f t="shared" si="17"/>
        <v>115</v>
      </c>
      <c r="D131" s="934"/>
      <c r="E131" s="934"/>
      <c r="F131" s="954" t="s">
        <v>2756</v>
      </c>
      <c r="G131" s="955">
        <v>44146</v>
      </c>
      <c r="H131" s="968">
        <v>2</v>
      </c>
      <c r="I131" s="967"/>
      <c r="J131" s="935">
        <f t="shared" si="9"/>
        <v>44146</v>
      </c>
      <c r="K131" s="936">
        <f t="shared" si="10"/>
        <v>141</v>
      </c>
      <c r="L131" s="936">
        <f t="shared" si="11"/>
        <v>0</v>
      </c>
      <c r="M131" s="936">
        <f t="shared" si="12"/>
        <v>2</v>
      </c>
      <c r="N131" s="936">
        <f t="shared" si="13"/>
        <v>0</v>
      </c>
      <c r="O131" s="936">
        <f t="shared" si="14"/>
        <v>0</v>
      </c>
      <c r="P131" s="937">
        <f t="shared" si="15"/>
        <v>0</v>
      </c>
      <c r="Q131" s="938"/>
      <c r="R131" s="938"/>
      <c r="S131" s="939">
        <f t="shared" si="16"/>
        <v>2</v>
      </c>
    </row>
    <row r="132" spans="1:19" ht="30" customHeight="1" x14ac:dyDescent="0.45">
      <c r="A132" s="933"/>
      <c r="C132" s="934">
        <f t="shared" si="17"/>
        <v>116</v>
      </c>
      <c r="D132" s="934"/>
      <c r="E132" s="934"/>
      <c r="F132" s="954" t="s">
        <v>2757</v>
      </c>
      <c r="G132" s="956">
        <v>44200</v>
      </c>
      <c r="H132" s="968">
        <v>5</v>
      </c>
      <c r="I132" s="967"/>
      <c r="J132" s="935">
        <f t="shared" si="9"/>
        <v>44200</v>
      </c>
      <c r="K132" s="936">
        <f t="shared" si="10"/>
        <v>87</v>
      </c>
      <c r="L132" s="936">
        <f t="shared" si="11"/>
        <v>5</v>
      </c>
      <c r="M132" s="936">
        <f t="shared" si="12"/>
        <v>0</v>
      </c>
      <c r="N132" s="936">
        <f t="shared" si="13"/>
        <v>0</v>
      </c>
      <c r="O132" s="936">
        <f t="shared" si="14"/>
        <v>0</v>
      </c>
      <c r="P132" s="937">
        <f t="shared" si="15"/>
        <v>0</v>
      </c>
      <c r="Q132" s="938"/>
      <c r="R132" s="938"/>
      <c r="S132" s="939">
        <f t="shared" si="16"/>
        <v>5</v>
      </c>
    </row>
    <row r="133" spans="1:19" ht="30" customHeight="1" x14ac:dyDescent="0.45">
      <c r="A133" s="933"/>
      <c r="C133" s="934">
        <f t="shared" si="17"/>
        <v>117</v>
      </c>
      <c r="D133" s="934"/>
      <c r="E133" s="934"/>
      <c r="F133" s="954" t="s">
        <v>2758</v>
      </c>
      <c r="G133" s="956">
        <v>44239</v>
      </c>
      <c r="H133" s="966">
        <v>524096</v>
      </c>
      <c r="I133" s="967"/>
      <c r="J133" s="935">
        <f t="shared" si="9"/>
        <v>44239</v>
      </c>
      <c r="K133" s="936">
        <f t="shared" si="10"/>
        <v>48</v>
      </c>
      <c r="L133" s="936">
        <f t="shared" si="11"/>
        <v>524096</v>
      </c>
      <c r="M133" s="936">
        <f t="shared" si="12"/>
        <v>0</v>
      </c>
      <c r="N133" s="936">
        <f t="shared" si="13"/>
        <v>0</v>
      </c>
      <c r="O133" s="936">
        <f t="shared" si="14"/>
        <v>0</v>
      </c>
      <c r="P133" s="937">
        <f t="shared" si="15"/>
        <v>0</v>
      </c>
      <c r="Q133" s="938"/>
      <c r="R133" s="938"/>
      <c r="S133" s="939">
        <f t="shared" si="16"/>
        <v>524096</v>
      </c>
    </row>
    <row r="134" spans="1:19" ht="30" customHeight="1" x14ac:dyDescent="0.45">
      <c r="A134" s="933"/>
      <c r="C134" s="934">
        <f t="shared" si="17"/>
        <v>118</v>
      </c>
      <c r="D134" s="934"/>
      <c r="E134" s="934"/>
      <c r="F134" s="954" t="s">
        <v>2759</v>
      </c>
      <c r="G134" s="956">
        <v>44240</v>
      </c>
      <c r="H134" s="966">
        <v>680694</v>
      </c>
      <c r="I134" s="967"/>
      <c r="J134" s="935">
        <f t="shared" si="9"/>
        <v>44240</v>
      </c>
      <c r="K134" s="936">
        <f t="shared" si="10"/>
        <v>47</v>
      </c>
      <c r="L134" s="936">
        <f t="shared" si="11"/>
        <v>680694</v>
      </c>
      <c r="M134" s="936">
        <f t="shared" si="12"/>
        <v>0</v>
      </c>
      <c r="N134" s="936">
        <f t="shared" si="13"/>
        <v>0</v>
      </c>
      <c r="O134" s="936">
        <f t="shared" si="14"/>
        <v>0</v>
      </c>
      <c r="P134" s="937">
        <f t="shared" si="15"/>
        <v>0</v>
      </c>
      <c r="Q134" s="938"/>
      <c r="R134" s="938"/>
      <c r="S134" s="939">
        <f t="shared" si="16"/>
        <v>680694</v>
      </c>
    </row>
    <row r="135" spans="1:19" ht="30" customHeight="1" x14ac:dyDescent="0.45">
      <c r="A135" s="933"/>
      <c r="C135" s="934">
        <f t="shared" si="17"/>
        <v>119</v>
      </c>
      <c r="D135" s="934"/>
      <c r="E135" s="934"/>
      <c r="F135" s="954" t="s">
        <v>2760</v>
      </c>
      <c r="G135" s="956">
        <v>44240</v>
      </c>
      <c r="H135" s="966">
        <v>550943</v>
      </c>
      <c r="I135" s="967"/>
      <c r="J135" s="935">
        <f t="shared" si="9"/>
        <v>44240</v>
      </c>
      <c r="K135" s="936">
        <f t="shared" si="10"/>
        <v>47</v>
      </c>
      <c r="L135" s="936">
        <f t="shared" si="11"/>
        <v>550943</v>
      </c>
      <c r="M135" s="936">
        <f t="shared" si="12"/>
        <v>0</v>
      </c>
      <c r="N135" s="936">
        <f t="shared" si="13"/>
        <v>0</v>
      </c>
      <c r="O135" s="936">
        <f t="shared" si="14"/>
        <v>0</v>
      </c>
      <c r="P135" s="937">
        <f t="shared" si="15"/>
        <v>0</v>
      </c>
      <c r="Q135" s="938"/>
      <c r="R135" s="938"/>
      <c r="S135" s="939">
        <f t="shared" si="16"/>
        <v>550943</v>
      </c>
    </row>
    <row r="136" spans="1:19" ht="30" customHeight="1" x14ac:dyDescent="0.45">
      <c r="A136" s="933"/>
      <c r="C136" s="934">
        <f t="shared" si="17"/>
        <v>120</v>
      </c>
      <c r="D136" s="934"/>
      <c r="E136" s="934"/>
      <c r="F136" s="954" t="s">
        <v>2761</v>
      </c>
      <c r="G136" s="956">
        <v>44241</v>
      </c>
      <c r="H136" s="966">
        <v>549232</v>
      </c>
      <c r="I136" s="967"/>
      <c r="J136" s="935">
        <f t="shared" si="9"/>
        <v>44241</v>
      </c>
      <c r="K136" s="936">
        <f t="shared" si="10"/>
        <v>46</v>
      </c>
      <c r="L136" s="936">
        <f t="shared" si="11"/>
        <v>549232</v>
      </c>
      <c r="M136" s="936">
        <f t="shared" si="12"/>
        <v>0</v>
      </c>
      <c r="N136" s="936">
        <f t="shared" si="13"/>
        <v>0</v>
      </c>
      <c r="O136" s="936">
        <f t="shared" si="14"/>
        <v>0</v>
      </c>
      <c r="P136" s="937">
        <f t="shared" si="15"/>
        <v>0</v>
      </c>
      <c r="Q136" s="938"/>
      <c r="R136" s="938"/>
      <c r="S136" s="939">
        <f t="shared" si="16"/>
        <v>549232</v>
      </c>
    </row>
    <row r="137" spans="1:19" ht="30" customHeight="1" x14ac:dyDescent="0.45">
      <c r="A137" s="933"/>
      <c r="C137" s="934">
        <f t="shared" ref="C137:C149" si="18">C136+1</f>
        <v>121</v>
      </c>
      <c r="D137" s="934"/>
      <c r="E137" s="934"/>
      <c r="F137" s="954" t="s">
        <v>2762</v>
      </c>
      <c r="G137" s="956">
        <v>44242</v>
      </c>
      <c r="H137" s="966">
        <v>535560</v>
      </c>
      <c r="I137" s="967"/>
      <c r="J137" s="935">
        <f t="shared" si="9"/>
        <v>44242</v>
      </c>
      <c r="K137" s="936">
        <f t="shared" si="10"/>
        <v>45</v>
      </c>
      <c r="L137" s="936">
        <f t="shared" si="11"/>
        <v>535560</v>
      </c>
      <c r="M137" s="936">
        <f t="shared" si="12"/>
        <v>0</v>
      </c>
      <c r="N137" s="936">
        <f t="shared" si="13"/>
        <v>0</v>
      </c>
      <c r="O137" s="936">
        <f t="shared" si="14"/>
        <v>0</v>
      </c>
      <c r="P137" s="937">
        <f t="shared" si="15"/>
        <v>0</v>
      </c>
      <c r="Q137" s="938"/>
      <c r="R137" s="938"/>
      <c r="S137" s="939">
        <f t="shared" si="16"/>
        <v>535560</v>
      </c>
    </row>
    <row r="138" spans="1:19" ht="30" customHeight="1" x14ac:dyDescent="0.45">
      <c r="A138" s="933"/>
      <c r="C138" s="934">
        <f t="shared" si="18"/>
        <v>122</v>
      </c>
      <c r="D138" s="934"/>
      <c r="E138" s="934"/>
      <c r="F138" s="954" t="s">
        <v>2763</v>
      </c>
      <c r="G138" s="956">
        <v>44242</v>
      </c>
      <c r="H138" s="966">
        <v>559301</v>
      </c>
      <c r="I138" s="967"/>
      <c r="J138" s="935">
        <f t="shared" si="9"/>
        <v>44242</v>
      </c>
      <c r="K138" s="936">
        <f t="shared" si="10"/>
        <v>45</v>
      </c>
      <c r="L138" s="936">
        <f t="shared" si="11"/>
        <v>559301</v>
      </c>
      <c r="M138" s="936">
        <f t="shared" si="12"/>
        <v>0</v>
      </c>
      <c r="N138" s="936">
        <f t="shared" si="13"/>
        <v>0</v>
      </c>
      <c r="O138" s="936">
        <f t="shared" si="14"/>
        <v>0</v>
      </c>
      <c r="P138" s="937">
        <f t="shared" si="15"/>
        <v>0</v>
      </c>
      <c r="Q138" s="938"/>
      <c r="R138" s="938"/>
      <c r="S138" s="939">
        <f t="shared" si="16"/>
        <v>559301</v>
      </c>
    </row>
    <row r="139" spans="1:19" ht="30" customHeight="1" x14ac:dyDescent="0.45">
      <c r="A139" s="933"/>
      <c r="C139" s="934">
        <f t="shared" si="18"/>
        <v>123</v>
      </c>
      <c r="D139" s="934"/>
      <c r="E139" s="934"/>
      <c r="F139" s="954" t="s">
        <v>2764</v>
      </c>
      <c r="G139" s="956">
        <v>44242</v>
      </c>
      <c r="H139" s="966">
        <v>216333</v>
      </c>
      <c r="I139" s="967"/>
      <c r="J139" s="935">
        <f t="shared" si="9"/>
        <v>44242</v>
      </c>
      <c r="K139" s="936">
        <f t="shared" si="10"/>
        <v>45</v>
      </c>
      <c r="L139" s="936">
        <f t="shared" si="11"/>
        <v>216333</v>
      </c>
      <c r="M139" s="936">
        <f t="shared" si="12"/>
        <v>0</v>
      </c>
      <c r="N139" s="936">
        <f t="shared" si="13"/>
        <v>0</v>
      </c>
      <c r="O139" s="936">
        <f t="shared" si="14"/>
        <v>0</v>
      </c>
      <c r="P139" s="937">
        <f t="shared" si="15"/>
        <v>0</v>
      </c>
      <c r="Q139" s="938"/>
      <c r="R139" s="938"/>
      <c r="S139" s="939">
        <f t="shared" si="16"/>
        <v>216333</v>
      </c>
    </row>
    <row r="140" spans="1:19" ht="30" customHeight="1" x14ac:dyDescent="0.45">
      <c r="A140" s="933"/>
      <c r="C140" s="934">
        <f t="shared" si="18"/>
        <v>124</v>
      </c>
      <c r="D140" s="934"/>
      <c r="E140" s="934"/>
      <c r="F140" s="954" t="s">
        <v>2765</v>
      </c>
      <c r="G140" s="956">
        <v>44242</v>
      </c>
      <c r="H140" s="966">
        <v>331140</v>
      </c>
      <c r="I140" s="967"/>
      <c r="J140" s="935">
        <f t="shared" si="9"/>
        <v>44242</v>
      </c>
      <c r="K140" s="936">
        <f t="shared" si="10"/>
        <v>45</v>
      </c>
      <c r="L140" s="936">
        <f t="shared" si="11"/>
        <v>331140</v>
      </c>
      <c r="M140" s="936">
        <f t="shared" si="12"/>
        <v>0</v>
      </c>
      <c r="N140" s="936">
        <f t="shared" si="13"/>
        <v>0</v>
      </c>
      <c r="O140" s="936">
        <f t="shared" si="14"/>
        <v>0</v>
      </c>
      <c r="P140" s="937">
        <f t="shared" si="15"/>
        <v>0</v>
      </c>
      <c r="Q140" s="938"/>
      <c r="R140" s="938"/>
      <c r="S140" s="939">
        <f t="shared" si="16"/>
        <v>331140</v>
      </c>
    </row>
    <row r="141" spans="1:19" ht="30" customHeight="1" x14ac:dyDescent="0.45">
      <c r="A141" s="933"/>
      <c r="C141" s="934">
        <f t="shared" si="18"/>
        <v>125</v>
      </c>
      <c r="D141" s="934"/>
      <c r="E141" s="934"/>
      <c r="F141" s="954" t="s">
        <v>2766</v>
      </c>
      <c r="G141" s="956">
        <v>44242</v>
      </c>
      <c r="H141" s="966">
        <v>841291</v>
      </c>
      <c r="I141" s="967"/>
      <c r="J141" s="935">
        <f t="shared" si="9"/>
        <v>44242</v>
      </c>
      <c r="K141" s="936">
        <f t="shared" si="10"/>
        <v>45</v>
      </c>
      <c r="L141" s="936">
        <f t="shared" si="11"/>
        <v>841291</v>
      </c>
      <c r="M141" s="936">
        <f t="shared" si="12"/>
        <v>0</v>
      </c>
      <c r="N141" s="936">
        <f t="shared" si="13"/>
        <v>0</v>
      </c>
      <c r="O141" s="936">
        <f t="shared" si="14"/>
        <v>0</v>
      </c>
      <c r="P141" s="937">
        <f t="shared" si="15"/>
        <v>0</v>
      </c>
      <c r="Q141" s="938"/>
      <c r="R141" s="938"/>
      <c r="S141" s="939">
        <f t="shared" si="16"/>
        <v>841291</v>
      </c>
    </row>
    <row r="142" spans="1:19" ht="30" customHeight="1" x14ac:dyDescent="0.45">
      <c r="A142" s="933"/>
      <c r="C142" s="934">
        <f t="shared" si="18"/>
        <v>126</v>
      </c>
      <c r="D142" s="934"/>
      <c r="E142" s="934"/>
      <c r="F142" s="954" t="s">
        <v>2767</v>
      </c>
      <c r="G142" s="956">
        <v>44243</v>
      </c>
      <c r="H142" s="966">
        <v>547341</v>
      </c>
      <c r="I142" s="967"/>
      <c r="J142" s="935">
        <f t="shared" si="9"/>
        <v>44243</v>
      </c>
      <c r="K142" s="936">
        <f t="shared" si="10"/>
        <v>44</v>
      </c>
      <c r="L142" s="936">
        <f t="shared" si="11"/>
        <v>547341</v>
      </c>
      <c r="M142" s="936">
        <f t="shared" si="12"/>
        <v>0</v>
      </c>
      <c r="N142" s="936">
        <f t="shared" si="13"/>
        <v>0</v>
      </c>
      <c r="O142" s="936">
        <f t="shared" si="14"/>
        <v>0</v>
      </c>
      <c r="P142" s="937">
        <f t="shared" si="15"/>
        <v>0</v>
      </c>
      <c r="Q142" s="938"/>
      <c r="R142" s="938"/>
      <c r="S142" s="939">
        <f t="shared" si="16"/>
        <v>547341</v>
      </c>
    </row>
    <row r="143" spans="1:19" ht="30" customHeight="1" x14ac:dyDescent="0.45">
      <c r="A143" s="933"/>
      <c r="C143" s="934">
        <f t="shared" si="18"/>
        <v>127</v>
      </c>
      <c r="D143" s="934"/>
      <c r="E143" s="934"/>
      <c r="F143" s="954" t="s">
        <v>2768</v>
      </c>
      <c r="G143" s="956">
        <v>44243</v>
      </c>
      <c r="H143" s="966">
        <v>669752</v>
      </c>
      <c r="I143" s="967"/>
      <c r="J143" s="935">
        <f t="shared" si="9"/>
        <v>44243</v>
      </c>
      <c r="K143" s="936">
        <f t="shared" si="10"/>
        <v>44</v>
      </c>
      <c r="L143" s="936">
        <f t="shared" si="11"/>
        <v>669752</v>
      </c>
      <c r="M143" s="936">
        <f t="shared" si="12"/>
        <v>0</v>
      </c>
      <c r="N143" s="936">
        <f t="shared" si="13"/>
        <v>0</v>
      </c>
      <c r="O143" s="936">
        <f t="shared" si="14"/>
        <v>0</v>
      </c>
      <c r="P143" s="937">
        <f t="shared" si="15"/>
        <v>0</v>
      </c>
      <c r="Q143" s="938"/>
      <c r="R143" s="938"/>
      <c r="S143" s="939">
        <f t="shared" si="16"/>
        <v>669752</v>
      </c>
    </row>
    <row r="144" spans="1:19" ht="30" customHeight="1" x14ac:dyDescent="0.45">
      <c r="A144" s="933"/>
      <c r="C144" s="934">
        <f t="shared" si="18"/>
        <v>128</v>
      </c>
      <c r="D144" s="934"/>
      <c r="E144" s="934"/>
      <c r="F144" s="954" t="s">
        <v>2769</v>
      </c>
      <c r="G144" s="956">
        <v>44245</v>
      </c>
      <c r="H144" s="966">
        <v>250047</v>
      </c>
      <c r="I144" s="967"/>
      <c r="J144" s="935">
        <f t="shared" si="9"/>
        <v>44245</v>
      </c>
      <c r="K144" s="936">
        <f t="shared" si="10"/>
        <v>42</v>
      </c>
      <c r="L144" s="936">
        <f t="shared" si="11"/>
        <v>250047</v>
      </c>
      <c r="M144" s="936">
        <f t="shared" si="12"/>
        <v>0</v>
      </c>
      <c r="N144" s="936">
        <f t="shared" si="13"/>
        <v>0</v>
      </c>
      <c r="O144" s="936">
        <f t="shared" si="14"/>
        <v>0</v>
      </c>
      <c r="P144" s="937">
        <f t="shared" si="15"/>
        <v>0</v>
      </c>
      <c r="Q144" s="938"/>
      <c r="R144" s="938"/>
      <c r="S144" s="939">
        <f t="shared" si="16"/>
        <v>250047</v>
      </c>
    </row>
    <row r="145" spans="1:19" ht="30" customHeight="1" x14ac:dyDescent="0.45">
      <c r="A145" s="933"/>
      <c r="C145" s="934">
        <f t="shared" si="18"/>
        <v>129</v>
      </c>
      <c r="D145" s="934"/>
      <c r="E145" s="934"/>
      <c r="F145" s="954" t="s">
        <v>2770</v>
      </c>
      <c r="G145" s="956">
        <v>44245</v>
      </c>
      <c r="H145" s="966">
        <v>335840</v>
      </c>
      <c r="I145" s="967"/>
      <c r="J145" s="935">
        <f t="shared" ref="J145:J208" si="19">+G145+I145</f>
        <v>44245</v>
      </c>
      <c r="K145" s="936">
        <f t="shared" ref="K145:K208" si="20">+$Q$1-J145+1</f>
        <v>42</v>
      </c>
      <c r="L145" s="936">
        <f t="shared" si="11"/>
        <v>335840</v>
      </c>
      <c r="M145" s="936">
        <f t="shared" si="12"/>
        <v>0</v>
      </c>
      <c r="N145" s="936">
        <f t="shared" si="13"/>
        <v>0</v>
      </c>
      <c r="O145" s="936">
        <f t="shared" si="14"/>
        <v>0</v>
      </c>
      <c r="P145" s="937">
        <f t="shared" si="15"/>
        <v>0</v>
      </c>
      <c r="Q145" s="938"/>
      <c r="R145" s="938"/>
      <c r="S145" s="939">
        <f t="shared" si="16"/>
        <v>335840</v>
      </c>
    </row>
    <row r="146" spans="1:19" ht="30" customHeight="1" x14ac:dyDescent="0.45">
      <c r="A146" s="933"/>
      <c r="C146" s="934">
        <f t="shared" si="18"/>
        <v>130</v>
      </c>
      <c r="D146" s="934"/>
      <c r="E146" s="934"/>
      <c r="F146" s="954" t="s">
        <v>2771</v>
      </c>
      <c r="G146" s="956">
        <v>44245</v>
      </c>
      <c r="H146" s="966">
        <v>221059</v>
      </c>
      <c r="I146" s="967"/>
      <c r="J146" s="935">
        <f t="shared" si="19"/>
        <v>44245</v>
      </c>
      <c r="K146" s="936">
        <f t="shared" si="20"/>
        <v>42</v>
      </c>
      <c r="L146" s="936">
        <f t="shared" ref="L146:L209" si="21">IF(K146&gt;90,0,H146)</f>
        <v>221059</v>
      </c>
      <c r="M146" s="936">
        <f t="shared" ref="M146:M209" si="22">IF(K146&lt;=90,0,IF(K146&gt;180,0,H146))</f>
        <v>0</v>
      </c>
      <c r="N146" s="936">
        <f t="shared" ref="N146:N209" si="23">IF(K146&lt;=180,0,IF(K146&gt;365,0,H146))</f>
        <v>0</v>
      </c>
      <c r="O146" s="936">
        <f t="shared" ref="O146:O209" si="24">IF(K146&lt;=365,0,IF(K146&gt;730,0,H146))</f>
        <v>0</v>
      </c>
      <c r="P146" s="937">
        <f t="shared" ref="P146:P209" si="25">IF(K146&lt;=730,0,H146)</f>
        <v>0</v>
      </c>
      <c r="Q146" s="938"/>
      <c r="R146" s="938"/>
      <c r="S146" s="939">
        <f t="shared" ref="S146:S209" si="26">H146-R146</f>
        <v>221059</v>
      </c>
    </row>
    <row r="147" spans="1:19" ht="30" customHeight="1" x14ac:dyDescent="0.45">
      <c r="A147" s="933"/>
      <c r="C147" s="934">
        <f t="shared" si="18"/>
        <v>131</v>
      </c>
      <c r="D147" s="934"/>
      <c r="E147" s="934"/>
      <c r="F147" s="954" t="s">
        <v>2772</v>
      </c>
      <c r="G147" s="956">
        <v>44245</v>
      </c>
      <c r="H147" s="966">
        <v>551810</v>
      </c>
      <c r="I147" s="967"/>
      <c r="J147" s="935">
        <f t="shared" si="19"/>
        <v>44245</v>
      </c>
      <c r="K147" s="936">
        <f t="shared" si="20"/>
        <v>42</v>
      </c>
      <c r="L147" s="936">
        <f t="shared" si="21"/>
        <v>551810</v>
      </c>
      <c r="M147" s="936">
        <f t="shared" si="22"/>
        <v>0</v>
      </c>
      <c r="N147" s="936">
        <f t="shared" si="23"/>
        <v>0</v>
      </c>
      <c r="O147" s="936">
        <f t="shared" si="24"/>
        <v>0</v>
      </c>
      <c r="P147" s="937">
        <f t="shared" si="25"/>
        <v>0</v>
      </c>
      <c r="Q147" s="938"/>
      <c r="R147" s="938"/>
      <c r="S147" s="939">
        <f t="shared" si="26"/>
        <v>551810</v>
      </c>
    </row>
    <row r="148" spans="1:19" ht="30" customHeight="1" x14ac:dyDescent="0.45">
      <c r="A148" s="933"/>
      <c r="C148" s="934">
        <f t="shared" si="18"/>
        <v>132</v>
      </c>
      <c r="D148" s="934"/>
      <c r="E148" s="934"/>
      <c r="F148" s="954" t="s">
        <v>2773</v>
      </c>
      <c r="G148" s="956">
        <v>44246</v>
      </c>
      <c r="H148" s="966">
        <v>351601</v>
      </c>
      <c r="I148" s="967"/>
      <c r="J148" s="935">
        <f t="shared" si="19"/>
        <v>44246</v>
      </c>
      <c r="K148" s="936">
        <f t="shared" si="20"/>
        <v>41</v>
      </c>
      <c r="L148" s="936">
        <f t="shared" si="21"/>
        <v>351601</v>
      </c>
      <c r="M148" s="936">
        <f t="shared" si="22"/>
        <v>0</v>
      </c>
      <c r="N148" s="936">
        <f t="shared" si="23"/>
        <v>0</v>
      </c>
      <c r="O148" s="936">
        <f t="shared" si="24"/>
        <v>0</v>
      </c>
      <c r="P148" s="937">
        <f t="shared" si="25"/>
        <v>0</v>
      </c>
      <c r="Q148" s="938"/>
      <c r="R148" s="938"/>
      <c r="S148" s="939">
        <f t="shared" si="26"/>
        <v>351601</v>
      </c>
    </row>
    <row r="149" spans="1:19" ht="30" customHeight="1" x14ac:dyDescent="0.45">
      <c r="A149" s="933"/>
      <c r="C149" s="934">
        <f t="shared" si="18"/>
        <v>133</v>
      </c>
      <c r="D149" s="934"/>
      <c r="E149" s="934"/>
      <c r="F149" s="954" t="s">
        <v>2774</v>
      </c>
      <c r="G149" s="956">
        <v>44246</v>
      </c>
      <c r="H149" s="966">
        <v>198587</v>
      </c>
      <c r="I149" s="967"/>
      <c r="J149" s="935">
        <f t="shared" si="19"/>
        <v>44246</v>
      </c>
      <c r="K149" s="936">
        <f t="shared" si="20"/>
        <v>41</v>
      </c>
      <c r="L149" s="936">
        <f t="shared" si="21"/>
        <v>198587</v>
      </c>
      <c r="M149" s="936">
        <f t="shared" si="22"/>
        <v>0</v>
      </c>
      <c r="N149" s="936">
        <f t="shared" si="23"/>
        <v>0</v>
      </c>
      <c r="O149" s="936">
        <f t="shared" si="24"/>
        <v>0</v>
      </c>
      <c r="P149" s="937">
        <f t="shared" si="25"/>
        <v>0</v>
      </c>
      <c r="Q149" s="938"/>
      <c r="R149" s="938"/>
      <c r="S149" s="939">
        <f t="shared" si="26"/>
        <v>198587</v>
      </c>
    </row>
    <row r="150" spans="1:19" ht="30" customHeight="1" x14ac:dyDescent="0.45">
      <c r="A150" s="933"/>
      <c r="C150" s="934"/>
      <c r="D150" s="934"/>
      <c r="E150" s="934"/>
      <c r="F150" s="954" t="s">
        <v>2775</v>
      </c>
      <c r="G150" s="956">
        <v>44246</v>
      </c>
      <c r="H150" s="966">
        <v>538555</v>
      </c>
      <c r="I150" s="967"/>
      <c r="J150" s="935">
        <f t="shared" si="19"/>
        <v>44246</v>
      </c>
      <c r="K150" s="936">
        <f t="shared" si="20"/>
        <v>41</v>
      </c>
      <c r="L150" s="936">
        <f t="shared" si="21"/>
        <v>538555</v>
      </c>
      <c r="M150" s="936">
        <f t="shared" si="22"/>
        <v>0</v>
      </c>
      <c r="N150" s="936">
        <f t="shared" si="23"/>
        <v>0</v>
      </c>
      <c r="O150" s="936">
        <f t="shared" si="24"/>
        <v>0</v>
      </c>
      <c r="P150" s="937">
        <f t="shared" si="25"/>
        <v>0</v>
      </c>
      <c r="Q150" s="938"/>
      <c r="R150" s="938"/>
      <c r="S150" s="939">
        <f t="shared" si="26"/>
        <v>538555</v>
      </c>
    </row>
    <row r="151" spans="1:19" ht="30" customHeight="1" x14ac:dyDescent="0.45">
      <c r="A151" s="933"/>
      <c r="C151" s="934"/>
      <c r="D151" s="934"/>
      <c r="E151" s="934"/>
      <c r="F151" s="954" t="s">
        <v>2776</v>
      </c>
      <c r="G151" s="956">
        <v>44247</v>
      </c>
      <c r="H151" s="966">
        <v>593604</v>
      </c>
      <c r="I151" s="967"/>
      <c r="J151" s="935">
        <f t="shared" si="19"/>
        <v>44247</v>
      </c>
      <c r="K151" s="936">
        <f t="shared" si="20"/>
        <v>40</v>
      </c>
      <c r="L151" s="936">
        <f t="shared" si="21"/>
        <v>593604</v>
      </c>
      <c r="M151" s="936">
        <f t="shared" si="22"/>
        <v>0</v>
      </c>
      <c r="N151" s="936">
        <f t="shared" si="23"/>
        <v>0</v>
      </c>
      <c r="O151" s="936">
        <f t="shared" si="24"/>
        <v>0</v>
      </c>
      <c r="P151" s="937">
        <f t="shared" si="25"/>
        <v>0</v>
      </c>
      <c r="Q151" s="938"/>
      <c r="R151" s="938"/>
      <c r="S151" s="939">
        <f t="shared" si="26"/>
        <v>593604</v>
      </c>
    </row>
    <row r="152" spans="1:19" ht="30" customHeight="1" x14ac:dyDescent="0.45">
      <c r="A152" s="933"/>
      <c r="C152" s="934"/>
      <c r="D152" s="934"/>
      <c r="E152" s="934"/>
      <c r="F152" s="954" t="s">
        <v>2777</v>
      </c>
      <c r="G152" s="956">
        <v>44247</v>
      </c>
      <c r="H152" s="966">
        <v>581039</v>
      </c>
      <c r="I152" s="967"/>
      <c r="J152" s="935">
        <f t="shared" si="19"/>
        <v>44247</v>
      </c>
      <c r="K152" s="936">
        <f t="shared" si="20"/>
        <v>40</v>
      </c>
      <c r="L152" s="936">
        <f t="shared" si="21"/>
        <v>581039</v>
      </c>
      <c r="M152" s="936">
        <f t="shared" si="22"/>
        <v>0</v>
      </c>
      <c r="N152" s="936">
        <f t="shared" si="23"/>
        <v>0</v>
      </c>
      <c r="O152" s="936">
        <f t="shared" si="24"/>
        <v>0</v>
      </c>
      <c r="P152" s="937">
        <f t="shared" si="25"/>
        <v>0</v>
      </c>
      <c r="Q152" s="938"/>
      <c r="R152" s="938"/>
      <c r="S152" s="939">
        <f t="shared" si="26"/>
        <v>581039</v>
      </c>
    </row>
    <row r="153" spans="1:19" ht="30" customHeight="1" x14ac:dyDescent="0.45">
      <c r="A153" s="933"/>
      <c r="C153" s="934"/>
      <c r="D153" s="934"/>
      <c r="E153" s="934"/>
      <c r="F153" s="954" t="s">
        <v>2778</v>
      </c>
      <c r="G153" s="956">
        <v>44247</v>
      </c>
      <c r="H153" s="966">
        <v>203782</v>
      </c>
      <c r="I153" s="967"/>
      <c r="J153" s="935">
        <f t="shared" si="19"/>
        <v>44247</v>
      </c>
      <c r="K153" s="936">
        <f t="shared" si="20"/>
        <v>40</v>
      </c>
      <c r="L153" s="936">
        <f t="shared" si="21"/>
        <v>203782</v>
      </c>
      <c r="M153" s="936">
        <f t="shared" si="22"/>
        <v>0</v>
      </c>
      <c r="N153" s="936">
        <f t="shared" si="23"/>
        <v>0</v>
      </c>
      <c r="O153" s="936">
        <f t="shared" si="24"/>
        <v>0</v>
      </c>
      <c r="P153" s="937">
        <f t="shared" si="25"/>
        <v>0</v>
      </c>
      <c r="Q153" s="938"/>
      <c r="R153" s="938"/>
      <c r="S153" s="939">
        <f t="shared" si="26"/>
        <v>203782</v>
      </c>
    </row>
    <row r="154" spans="1:19" ht="30" customHeight="1" x14ac:dyDescent="0.45">
      <c r="A154" s="933"/>
      <c r="C154" s="934"/>
      <c r="D154" s="934"/>
      <c r="E154" s="934"/>
      <c r="F154" s="954" t="s">
        <v>2779</v>
      </c>
      <c r="G154" s="956">
        <v>44248</v>
      </c>
      <c r="H154" s="966">
        <v>530659</v>
      </c>
      <c r="I154" s="967"/>
      <c r="J154" s="935">
        <f t="shared" si="19"/>
        <v>44248</v>
      </c>
      <c r="K154" s="936">
        <f t="shared" si="20"/>
        <v>39</v>
      </c>
      <c r="L154" s="936">
        <f t="shared" si="21"/>
        <v>530659</v>
      </c>
      <c r="M154" s="936">
        <f t="shared" si="22"/>
        <v>0</v>
      </c>
      <c r="N154" s="936">
        <f t="shared" si="23"/>
        <v>0</v>
      </c>
      <c r="O154" s="936">
        <f t="shared" si="24"/>
        <v>0</v>
      </c>
      <c r="P154" s="937">
        <f t="shared" si="25"/>
        <v>0</v>
      </c>
      <c r="Q154" s="938"/>
      <c r="R154" s="938"/>
      <c r="S154" s="939">
        <f t="shared" si="26"/>
        <v>530659</v>
      </c>
    </row>
    <row r="155" spans="1:19" ht="30" customHeight="1" x14ac:dyDescent="0.45">
      <c r="A155" s="933"/>
      <c r="C155" s="934"/>
      <c r="D155" s="934"/>
      <c r="E155" s="934"/>
      <c r="F155" s="954" t="s">
        <v>2780</v>
      </c>
      <c r="G155" s="956">
        <v>44248</v>
      </c>
      <c r="H155" s="966">
        <v>316186</v>
      </c>
      <c r="I155" s="967"/>
      <c r="J155" s="935">
        <f t="shared" si="19"/>
        <v>44248</v>
      </c>
      <c r="K155" s="936">
        <f t="shared" si="20"/>
        <v>39</v>
      </c>
      <c r="L155" s="936">
        <f t="shared" si="21"/>
        <v>316186</v>
      </c>
      <c r="M155" s="936">
        <f t="shared" si="22"/>
        <v>0</v>
      </c>
      <c r="N155" s="936">
        <f t="shared" si="23"/>
        <v>0</v>
      </c>
      <c r="O155" s="936">
        <f t="shared" si="24"/>
        <v>0</v>
      </c>
      <c r="P155" s="937">
        <f t="shared" si="25"/>
        <v>0</v>
      </c>
      <c r="Q155" s="938"/>
      <c r="R155" s="938"/>
      <c r="S155" s="939">
        <f t="shared" si="26"/>
        <v>316186</v>
      </c>
    </row>
    <row r="156" spans="1:19" ht="30" customHeight="1" x14ac:dyDescent="0.45">
      <c r="A156" s="933"/>
      <c r="C156" s="934"/>
      <c r="D156" s="934"/>
      <c r="E156" s="934"/>
      <c r="F156" s="954" t="s">
        <v>2781</v>
      </c>
      <c r="G156" s="956">
        <v>44248</v>
      </c>
      <c r="H156" s="966">
        <v>109192</v>
      </c>
      <c r="I156" s="967"/>
      <c r="J156" s="935">
        <f t="shared" si="19"/>
        <v>44248</v>
      </c>
      <c r="K156" s="936">
        <f t="shared" si="20"/>
        <v>39</v>
      </c>
      <c r="L156" s="936">
        <f t="shared" si="21"/>
        <v>109192</v>
      </c>
      <c r="M156" s="936">
        <f t="shared" si="22"/>
        <v>0</v>
      </c>
      <c r="N156" s="936">
        <f t="shared" si="23"/>
        <v>0</v>
      </c>
      <c r="O156" s="936">
        <f t="shared" si="24"/>
        <v>0</v>
      </c>
      <c r="P156" s="937">
        <f t="shared" si="25"/>
        <v>0</v>
      </c>
      <c r="Q156" s="938"/>
      <c r="R156" s="938"/>
      <c r="S156" s="939">
        <f t="shared" si="26"/>
        <v>109192</v>
      </c>
    </row>
    <row r="157" spans="1:19" ht="30" customHeight="1" x14ac:dyDescent="0.45">
      <c r="A157" s="933"/>
      <c r="C157" s="934"/>
      <c r="D157" s="934"/>
      <c r="E157" s="934"/>
      <c r="F157" s="954" t="s">
        <v>2782</v>
      </c>
      <c r="G157" s="956">
        <v>44248</v>
      </c>
      <c r="H157" s="966">
        <v>217207</v>
      </c>
      <c r="I157" s="967"/>
      <c r="J157" s="935">
        <f t="shared" si="19"/>
        <v>44248</v>
      </c>
      <c r="K157" s="936">
        <f t="shared" si="20"/>
        <v>39</v>
      </c>
      <c r="L157" s="936">
        <f t="shared" si="21"/>
        <v>217207</v>
      </c>
      <c r="M157" s="936">
        <f t="shared" si="22"/>
        <v>0</v>
      </c>
      <c r="N157" s="936">
        <f t="shared" si="23"/>
        <v>0</v>
      </c>
      <c r="O157" s="936">
        <f t="shared" si="24"/>
        <v>0</v>
      </c>
      <c r="P157" s="937">
        <f t="shared" si="25"/>
        <v>0</v>
      </c>
      <c r="Q157" s="938"/>
      <c r="R157" s="938"/>
      <c r="S157" s="939">
        <f t="shared" si="26"/>
        <v>217207</v>
      </c>
    </row>
    <row r="158" spans="1:19" ht="30" customHeight="1" x14ac:dyDescent="0.45">
      <c r="A158" s="933"/>
      <c r="C158" s="934"/>
      <c r="D158" s="934"/>
      <c r="E158" s="934"/>
      <c r="F158" s="954" t="s">
        <v>2783</v>
      </c>
      <c r="G158" s="956">
        <v>44248</v>
      </c>
      <c r="H158" s="966">
        <v>554610</v>
      </c>
      <c r="I158" s="967"/>
      <c r="J158" s="935">
        <f t="shared" si="19"/>
        <v>44248</v>
      </c>
      <c r="K158" s="936">
        <f t="shared" si="20"/>
        <v>39</v>
      </c>
      <c r="L158" s="936">
        <f t="shared" si="21"/>
        <v>554610</v>
      </c>
      <c r="M158" s="936">
        <f t="shared" si="22"/>
        <v>0</v>
      </c>
      <c r="N158" s="936">
        <f t="shared" si="23"/>
        <v>0</v>
      </c>
      <c r="O158" s="936">
        <f t="shared" si="24"/>
        <v>0</v>
      </c>
      <c r="P158" s="937">
        <f t="shared" si="25"/>
        <v>0</v>
      </c>
      <c r="Q158" s="938"/>
      <c r="R158" s="938"/>
      <c r="S158" s="939">
        <f t="shared" si="26"/>
        <v>554610</v>
      </c>
    </row>
    <row r="159" spans="1:19" ht="30" customHeight="1" x14ac:dyDescent="0.45">
      <c r="A159" s="933"/>
      <c r="C159" s="934"/>
      <c r="D159" s="934"/>
      <c r="E159" s="934"/>
      <c r="F159" s="954" t="s">
        <v>2784</v>
      </c>
      <c r="G159" s="956">
        <v>44250</v>
      </c>
      <c r="H159" s="966">
        <v>530611</v>
      </c>
      <c r="I159" s="967"/>
      <c r="J159" s="935">
        <f t="shared" si="19"/>
        <v>44250</v>
      </c>
      <c r="K159" s="936">
        <f t="shared" si="20"/>
        <v>37</v>
      </c>
      <c r="L159" s="936">
        <f t="shared" si="21"/>
        <v>530611</v>
      </c>
      <c r="M159" s="936">
        <f t="shared" si="22"/>
        <v>0</v>
      </c>
      <c r="N159" s="936">
        <f t="shared" si="23"/>
        <v>0</v>
      </c>
      <c r="O159" s="936">
        <f t="shared" si="24"/>
        <v>0</v>
      </c>
      <c r="P159" s="937">
        <f t="shared" si="25"/>
        <v>0</v>
      </c>
      <c r="Q159" s="938"/>
      <c r="R159" s="938"/>
      <c r="S159" s="939">
        <f t="shared" si="26"/>
        <v>530611</v>
      </c>
    </row>
    <row r="160" spans="1:19" ht="30" customHeight="1" x14ac:dyDescent="0.45">
      <c r="A160" s="933"/>
      <c r="C160" s="934"/>
      <c r="D160" s="934"/>
      <c r="E160" s="934"/>
      <c r="F160" s="954" t="s">
        <v>2785</v>
      </c>
      <c r="G160" s="956">
        <v>44251</v>
      </c>
      <c r="H160" s="966">
        <v>148558</v>
      </c>
      <c r="I160" s="967"/>
      <c r="J160" s="935">
        <f t="shared" si="19"/>
        <v>44251</v>
      </c>
      <c r="K160" s="936">
        <f t="shared" si="20"/>
        <v>36</v>
      </c>
      <c r="L160" s="936">
        <f t="shared" si="21"/>
        <v>148558</v>
      </c>
      <c r="M160" s="936">
        <f t="shared" si="22"/>
        <v>0</v>
      </c>
      <c r="N160" s="936">
        <f t="shared" si="23"/>
        <v>0</v>
      </c>
      <c r="O160" s="936">
        <f t="shared" si="24"/>
        <v>0</v>
      </c>
      <c r="P160" s="937">
        <f t="shared" si="25"/>
        <v>0</v>
      </c>
      <c r="Q160" s="938"/>
      <c r="R160" s="938"/>
      <c r="S160" s="939">
        <f t="shared" si="26"/>
        <v>148558</v>
      </c>
    </row>
    <row r="161" spans="1:19" ht="30" customHeight="1" x14ac:dyDescent="0.45">
      <c r="A161" s="933"/>
      <c r="C161" s="934"/>
      <c r="D161" s="934"/>
      <c r="E161" s="934"/>
      <c r="F161" s="954" t="s">
        <v>2786</v>
      </c>
      <c r="G161" s="956">
        <v>44251</v>
      </c>
      <c r="H161" s="966">
        <v>210815</v>
      </c>
      <c r="I161" s="967"/>
      <c r="J161" s="935">
        <f t="shared" si="19"/>
        <v>44251</v>
      </c>
      <c r="K161" s="936">
        <f t="shared" si="20"/>
        <v>36</v>
      </c>
      <c r="L161" s="936">
        <f t="shared" si="21"/>
        <v>210815</v>
      </c>
      <c r="M161" s="936">
        <f t="shared" si="22"/>
        <v>0</v>
      </c>
      <c r="N161" s="936">
        <f t="shared" si="23"/>
        <v>0</v>
      </c>
      <c r="O161" s="936">
        <f t="shared" si="24"/>
        <v>0</v>
      </c>
      <c r="P161" s="937">
        <f t="shared" si="25"/>
        <v>0</v>
      </c>
      <c r="Q161" s="938"/>
      <c r="R161" s="938"/>
      <c r="S161" s="939">
        <f t="shared" si="26"/>
        <v>210815</v>
      </c>
    </row>
    <row r="162" spans="1:19" ht="30" customHeight="1" x14ac:dyDescent="0.45">
      <c r="A162" s="933"/>
      <c r="C162" s="934"/>
      <c r="D162" s="934"/>
      <c r="E162" s="934"/>
      <c r="F162" s="954" t="s">
        <v>2787</v>
      </c>
      <c r="G162" s="956">
        <v>44251</v>
      </c>
      <c r="H162" s="966">
        <v>554151</v>
      </c>
      <c r="I162" s="967"/>
      <c r="J162" s="935">
        <f t="shared" si="19"/>
        <v>44251</v>
      </c>
      <c r="K162" s="936">
        <f t="shared" si="20"/>
        <v>36</v>
      </c>
      <c r="L162" s="936">
        <f t="shared" si="21"/>
        <v>554151</v>
      </c>
      <c r="M162" s="936">
        <f t="shared" si="22"/>
        <v>0</v>
      </c>
      <c r="N162" s="936">
        <f t="shared" si="23"/>
        <v>0</v>
      </c>
      <c r="O162" s="936">
        <f t="shared" si="24"/>
        <v>0</v>
      </c>
      <c r="P162" s="937">
        <f t="shared" si="25"/>
        <v>0</v>
      </c>
      <c r="Q162" s="938"/>
      <c r="R162" s="938"/>
      <c r="S162" s="939">
        <f t="shared" si="26"/>
        <v>554151</v>
      </c>
    </row>
    <row r="163" spans="1:19" ht="30" customHeight="1" x14ac:dyDescent="0.45">
      <c r="A163" s="933"/>
      <c r="C163" s="934"/>
      <c r="D163" s="934"/>
      <c r="E163" s="934"/>
      <c r="F163" s="954" t="s">
        <v>2788</v>
      </c>
      <c r="G163" s="956">
        <v>44252</v>
      </c>
      <c r="H163" s="966">
        <v>562412</v>
      </c>
      <c r="I163" s="967"/>
      <c r="J163" s="935">
        <f t="shared" si="19"/>
        <v>44252</v>
      </c>
      <c r="K163" s="936">
        <f t="shared" si="20"/>
        <v>35</v>
      </c>
      <c r="L163" s="936">
        <f t="shared" si="21"/>
        <v>562412</v>
      </c>
      <c r="M163" s="936">
        <f t="shared" si="22"/>
        <v>0</v>
      </c>
      <c r="N163" s="936">
        <f t="shared" si="23"/>
        <v>0</v>
      </c>
      <c r="O163" s="936">
        <f t="shared" si="24"/>
        <v>0</v>
      </c>
      <c r="P163" s="937">
        <f t="shared" si="25"/>
        <v>0</v>
      </c>
      <c r="Q163" s="938"/>
      <c r="R163" s="938"/>
      <c r="S163" s="939">
        <f t="shared" si="26"/>
        <v>562412</v>
      </c>
    </row>
    <row r="164" spans="1:19" ht="30" customHeight="1" x14ac:dyDescent="0.45">
      <c r="A164" s="933"/>
      <c r="C164" s="934"/>
      <c r="D164" s="934"/>
      <c r="E164" s="934"/>
      <c r="F164" s="954" t="s">
        <v>2789</v>
      </c>
      <c r="G164" s="956">
        <v>44252</v>
      </c>
      <c r="H164" s="966">
        <v>523921</v>
      </c>
      <c r="I164" s="967"/>
      <c r="J164" s="935">
        <f t="shared" si="19"/>
        <v>44252</v>
      </c>
      <c r="K164" s="936">
        <f t="shared" si="20"/>
        <v>35</v>
      </c>
      <c r="L164" s="936">
        <f t="shared" si="21"/>
        <v>523921</v>
      </c>
      <c r="M164" s="936">
        <f t="shared" si="22"/>
        <v>0</v>
      </c>
      <c r="N164" s="936">
        <f t="shared" si="23"/>
        <v>0</v>
      </c>
      <c r="O164" s="936">
        <f t="shared" si="24"/>
        <v>0</v>
      </c>
      <c r="P164" s="937">
        <f t="shared" si="25"/>
        <v>0</v>
      </c>
      <c r="Q164" s="938"/>
      <c r="R164" s="938"/>
      <c r="S164" s="939">
        <f t="shared" si="26"/>
        <v>523921</v>
      </c>
    </row>
    <row r="165" spans="1:19" ht="30" customHeight="1" x14ac:dyDescent="0.45">
      <c r="A165" s="933"/>
      <c r="C165" s="934"/>
      <c r="D165" s="934"/>
      <c r="E165" s="934"/>
      <c r="F165" s="954" t="s">
        <v>2790</v>
      </c>
      <c r="G165" s="956">
        <v>44253</v>
      </c>
      <c r="H165" s="966">
        <v>351369</v>
      </c>
      <c r="I165" s="967"/>
      <c r="J165" s="935">
        <f t="shared" si="19"/>
        <v>44253</v>
      </c>
      <c r="K165" s="936">
        <f t="shared" si="20"/>
        <v>34</v>
      </c>
      <c r="L165" s="936">
        <f t="shared" si="21"/>
        <v>351369</v>
      </c>
      <c r="M165" s="936">
        <f t="shared" si="22"/>
        <v>0</v>
      </c>
      <c r="N165" s="936">
        <f t="shared" si="23"/>
        <v>0</v>
      </c>
      <c r="O165" s="936">
        <f t="shared" si="24"/>
        <v>0</v>
      </c>
      <c r="P165" s="937">
        <f t="shared" si="25"/>
        <v>0</v>
      </c>
      <c r="Q165" s="938"/>
      <c r="R165" s="938"/>
      <c r="S165" s="939">
        <f t="shared" si="26"/>
        <v>351369</v>
      </c>
    </row>
    <row r="166" spans="1:19" ht="30" customHeight="1" x14ac:dyDescent="0.45">
      <c r="A166" s="933"/>
      <c r="C166" s="934"/>
      <c r="D166" s="934"/>
      <c r="E166" s="934"/>
      <c r="F166" s="954" t="s">
        <v>2791</v>
      </c>
      <c r="G166" s="956">
        <v>44253</v>
      </c>
      <c r="H166" s="966">
        <v>249448</v>
      </c>
      <c r="I166" s="967"/>
      <c r="J166" s="935">
        <f t="shared" si="19"/>
        <v>44253</v>
      </c>
      <c r="K166" s="936">
        <f t="shared" si="20"/>
        <v>34</v>
      </c>
      <c r="L166" s="936">
        <f t="shared" si="21"/>
        <v>249448</v>
      </c>
      <c r="M166" s="936">
        <f t="shared" si="22"/>
        <v>0</v>
      </c>
      <c r="N166" s="936">
        <f t="shared" si="23"/>
        <v>0</v>
      </c>
      <c r="O166" s="936">
        <f t="shared" si="24"/>
        <v>0</v>
      </c>
      <c r="P166" s="937">
        <f t="shared" si="25"/>
        <v>0</v>
      </c>
      <c r="Q166" s="938"/>
      <c r="R166" s="938"/>
      <c r="S166" s="939">
        <f t="shared" si="26"/>
        <v>249448</v>
      </c>
    </row>
    <row r="167" spans="1:19" ht="30" customHeight="1" x14ac:dyDescent="0.45">
      <c r="A167" s="933"/>
      <c r="C167" s="934"/>
      <c r="D167" s="934"/>
      <c r="E167" s="934"/>
      <c r="F167" s="954" t="s">
        <v>2792</v>
      </c>
      <c r="G167" s="956">
        <v>44254</v>
      </c>
      <c r="H167" s="966">
        <v>313789</v>
      </c>
      <c r="I167" s="967"/>
      <c r="J167" s="935">
        <f t="shared" si="19"/>
        <v>44254</v>
      </c>
      <c r="K167" s="936">
        <f t="shared" si="20"/>
        <v>33</v>
      </c>
      <c r="L167" s="936">
        <f t="shared" si="21"/>
        <v>313789</v>
      </c>
      <c r="M167" s="936">
        <f t="shared" si="22"/>
        <v>0</v>
      </c>
      <c r="N167" s="936">
        <f t="shared" si="23"/>
        <v>0</v>
      </c>
      <c r="O167" s="936">
        <f t="shared" si="24"/>
        <v>0</v>
      </c>
      <c r="P167" s="937">
        <f t="shared" si="25"/>
        <v>0</v>
      </c>
      <c r="Q167" s="938"/>
      <c r="R167" s="938"/>
      <c r="S167" s="939">
        <f t="shared" si="26"/>
        <v>313789</v>
      </c>
    </row>
    <row r="168" spans="1:19" ht="30" customHeight="1" x14ac:dyDescent="0.45">
      <c r="A168" s="933"/>
      <c r="C168" s="934"/>
      <c r="D168" s="934"/>
      <c r="E168" s="934"/>
      <c r="F168" s="954" t="s">
        <v>2793</v>
      </c>
      <c r="G168" s="956">
        <v>44254</v>
      </c>
      <c r="H168" s="966">
        <v>293297</v>
      </c>
      <c r="I168" s="967"/>
      <c r="J168" s="935">
        <f t="shared" si="19"/>
        <v>44254</v>
      </c>
      <c r="K168" s="936">
        <f t="shared" si="20"/>
        <v>33</v>
      </c>
      <c r="L168" s="936">
        <f t="shared" si="21"/>
        <v>293297</v>
      </c>
      <c r="M168" s="936">
        <f t="shared" si="22"/>
        <v>0</v>
      </c>
      <c r="N168" s="936">
        <f t="shared" si="23"/>
        <v>0</v>
      </c>
      <c r="O168" s="936">
        <f t="shared" si="24"/>
        <v>0</v>
      </c>
      <c r="P168" s="937">
        <f t="shared" si="25"/>
        <v>0</v>
      </c>
      <c r="Q168" s="938"/>
      <c r="R168" s="938"/>
      <c r="S168" s="939">
        <f t="shared" si="26"/>
        <v>293297</v>
      </c>
    </row>
    <row r="169" spans="1:19" ht="30" customHeight="1" x14ac:dyDescent="0.45">
      <c r="A169" s="933"/>
      <c r="C169" s="934"/>
      <c r="D169" s="934"/>
      <c r="E169" s="934"/>
      <c r="F169" s="954" t="s">
        <v>2794</v>
      </c>
      <c r="G169" s="956">
        <v>44255</v>
      </c>
      <c r="H169" s="966">
        <v>541955</v>
      </c>
      <c r="I169" s="967"/>
      <c r="J169" s="935">
        <f t="shared" si="19"/>
        <v>44255</v>
      </c>
      <c r="K169" s="936">
        <f t="shared" si="20"/>
        <v>32</v>
      </c>
      <c r="L169" s="936">
        <f t="shared" si="21"/>
        <v>541955</v>
      </c>
      <c r="M169" s="936">
        <f t="shared" si="22"/>
        <v>0</v>
      </c>
      <c r="N169" s="936">
        <f t="shared" si="23"/>
        <v>0</v>
      </c>
      <c r="O169" s="936">
        <f t="shared" si="24"/>
        <v>0</v>
      </c>
      <c r="P169" s="937">
        <f t="shared" si="25"/>
        <v>0</v>
      </c>
      <c r="Q169" s="938"/>
      <c r="R169" s="938"/>
      <c r="S169" s="939">
        <f t="shared" si="26"/>
        <v>541955</v>
      </c>
    </row>
    <row r="170" spans="1:19" ht="30" customHeight="1" x14ac:dyDescent="0.45">
      <c r="A170" s="933"/>
      <c r="C170" s="934"/>
      <c r="D170" s="934"/>
      <c r="E170" s="934"/>
      <c r="F170" s="954" t="s">
        <v>2795</v>
      </c>
      <c r="G170" s="956">
        <v>44255</v>
      </c>
      <c r="H170" s="966">
        <v>571839</v>
      </c>
      <c r="I170" s="967"/>
      <c r="J170" s="935">
        <f t="shared" si="19"/>
        <v>44255</v>
      </c>
      <c r="K170" s="936">
        <f t="shared" si="20"/>
        <v>32</v>
      </c>
      <c r="L170" s="936">
        <f t="shared" si="21"/>
        <v>571839</v>
      </c>
      <c r="M170" s="936">
        <f t="shared" si="22"/>
        <v>0</v>
      </c>
      <c r="N170" s="936">
        <f t="shared" si="23"/>
        <v>0</v>
      </c>
      <c r="O170" s="936">
        <f t="shared" si="24"/>
        <v>0</v>
      </c>
      <c r="P170" s="937">
        <f t="shared" si="25"/>
        <v>0</v>
      </c>
      <c r="Q170" s="938"/>
      <c r="R170" s="938"/>
      <c r="S170" s="939">
        <f t="shared" si="26"/>
        <v>571839</v>
      </c>
    </row>
    <row r="171" spans="1:19" ht="30" customHeight="1" x14ac:dyDescent="0.45">
      <c r="A171" s="933"/>
      <c r="C171" s="934"/>
      <c r="D171" s="934"/>
      <c r="E171" s="934"/>
      <c r="F171" s="954" t="s">
        <v>2796</v>
      </c>
      <c r="G171" s="956">
        <v>44256</v>
      </c>
      <c r="H171" s="966">
        <v>278481</v>
      </c>
      <c r="I171" s="967"/>
      <c r="J171" s="935">
        <f t="shared" si="19"/>
        <v>44256</v>
      </c>
      <c r="K171" s="936">
        <f t="shared" si="20"/>
        <v>31</v>
      </c>
      <c r="L171" s="936">
        <f t="shared" si="21"/>
        <v>278481</v>
      </c>
      <c r="M171" s="936">
        <f t="shared" si="22"/>
        <v>0</v>
      </c>
      <c r="N171" s="936">
        <f t="shared" si="23"/>
        <v>0</v>
      </c>
      <c r="O171" s="936">
        <f t="shared" si="24"/>
        <v>0</v>
      </c>
      <c r="P171" s="937">
        <f t="shared" si="25"/>
        <v>0</v>
      </c>
      <c r="Q171" s="938"/>
      <c r="R171" s="938"/>
      <c r="S171" s="939">
        <f t="shared" si="26"/>
        <v>278481</v>
      </c>
    </row>
    <row r="172" spans="1:19" ht="30" customHeight="1" x14ac:dyDescent="0.45">
      <c r="A172" s="933"/>
      <c r="C172" s="934"/>
      <c r="D172" s="934"/>
      <c r="E172" s="934"/>
      <c r="F172" s="954" t="s">
        <v>2797</v>
      </c>
      <c r="G172" s="956">
        <v>44256</v>
      </c>
      <c r="H172" s="966">
        <v>311300</v>
      </c>
      <c r="I172" s="967"/>
      <c r="J172" s="935">
        <f t="shared" si="19"/>
        <v>44256</v>
      </c>
      <c r="K172" s="936">
        <f t="shared" si="20"/>
        <v>31</v>
      </c>
      <c r="L172" s="936">
        <f t="shared" si="21"/>
        <v>311300</v>
      </c>
      <c r="M172" s="936">
        <f t="shared" si="22"/>
        <v>0</v>
      </c>
      <c r="N172" s="936">
        <f t="shared" si="23"/>
        <v>0</v>
      </c>
      <c r="O172" s="936">
        <f t="shared" si="24"/>
        <v>0</v>
      </c>
      <c r="P172" s="937">
        <f t="shared" si="25"/>
        <v>0</v>
      </c>
      <c r="Q172" s="938"/>
      <c r="R172" s="938"/>
      <c r="S172" s="939">
        <f t="shared" si="26"/>
        <v>311300</v>
      </c>
    </row>
    <row r="173" spans="1:19" ht="30" customHeight="1" x14ac:dyDescent="0.45">
      <c r="A173" s="933"/>
      <c r="C173" s="934"/>
      <c r="D173" s="934"/>
      <c r="E173" s="934"/>
      <c r="F173" s="954" t="s">
        <v>2798</v>
      </c>
      <c r="G173" s="956">
        <v>44256</v>
      </c>
      <c r="H173" s="966">
        <v>228919</v>
      </c>
      <c r="I173" s="967"/>
      <c r="J173" s="935">
        <f t="shared" si="19"/>
        <v>44256</v>
      </c>
      <c r="K173" s="936">
        <f t="shared" si="20"/>
        <v>31</v>
      </c>
      <c r="L173" s="936">
        <f t="shared" si="21"/>
        <v>228919</v>
      </c>
      <c r="M173" s="936">
        <f t="shared" si="22"/>
        <v>0</v>
      </c>
      <c r="N173" s="936">
        <f t="shared" si="23"/>
        <v>0</v>
      </c>
      <c r="O173" s="936">
        <f t="shared" si="24"/>
        <v>0</v>
      </c>
      <c r="P173" s="937">
        <f t="shared" si="25"/>
        <v>0</v>
      </c>
      <c r="Q173" s="938"/>
      <c r="R173" s="938"/>
      <c r="S173" s="939">
        <f t="shared" si="26"/>
        <v>228919</v>
      </c>
    </row>
    <row r="174" spans="1:19" ht="30" customHeight="1" x14ac:dyDescent="0.45">
      <c r="A174" s="933"/>
      <c r="C174" s="934"/>
      <c r="D174" s="934"/>
      <c r="E174" s="934"/>
      <c r="F174" s="954" t="s">
        <v>2799</v>
      </c>
      <c r="G174" s="956">
        <v>44256</v>
      </c>
      <c r="H174" s="966">
        <v>584463</v>
      </c>
      <c r="I174" s="967"/>
      <c r="J174" s="935">
        <f t="shared" si="19"/>
        <v>44256</v>
      </c>
      <c r="K174" s="936">
        <f t="shared" si="20"/>
        <v>31</v>
      </c>
      <c r="L174" s="936">
        <f t="shared" si="21"/>
        <v>584463</v>
      </c>
      <c r="M174" s="936">
        <f t="shared" si="22"/>
        <v>0</v>
      </c>
      <c r="N174" s="936">
        <f t="shared" si="23"/>
        <v>0</v>
      </c>
      <c r="O174" s="936">
        <f t="shared" si="24"/>
        <v>0</v>
      </c>
      <c r="P174" s="937">
        <f t="shared" si="25"/>
        <v>0</v>
      </c>
      <c r="Q174" s="938"/>
      <c r="R174" s="938"/>
      <c r="S174" s="939">
        <f t="shared" si="26"/>
        <v>584463</v>
      </c>
    </row>
    <row r="175" spans="1:19" ht="30" customHeight="1" x14ac:dyDescent="0.45">
      <c r="A175" s="933"/>
      <c r="C175" s="934"/>
      <c r="D175" s="934"/>
      <c r="E175" s="934"/>
      <c r="F175" s="954" t="s">
        <v>2800</v>
      </c>
      <c r="G175" s="956">
        <v>44256</v>
      </c>
      <c r="H175" s="966">
        <v>234637</v>
      </c>
      <c r="I175" s="967"/>
      <c r="J175" s="935">
        <f t="shared" si="19"/>
        <v>44256</v>
      </c>
      <c r="K175" s="936">
        <f t="shared" si="20"/>
        <v>31</v>
      </c>
      <c r="L175" s="936">
        <f t="shared" si="21"/>
        <v>234637</v>
      </c>
      <c r="M175" s="936">
        <f t="shared" si="22"/>
        <v>0</v>
      </c>
      <c r="N175" s="936">
        <f t="shared" si="23"/>
        <v>0</v>
      </c>
      <c r="O175" s="936">
        <f t="shared" si="24"/>
        <v>0</v>
      </c>
      <c r="P175" s="937">
        <f t="shared" si="25"/>
        <v>0</v>
      </c>
      <c r="Q175" s="938"/>
      <c r="R175" s="938"/>
      <c r="S175" s="939">
        <f t="shared" si="26"/>
        <v>234637</v>
      </c>
    </row>
    <row r="176" spans="1:19" ht="30" customHeight="1" x14ac:dyDescent="0.45">
      <c r="A176" s="933"/>
      <c r="C176" s="934"/>
      <c r="D176" s="934"/>
      <c r="E176" s="934"/>
      <c r="F176" s="954" t="s">
        <v>2801</v>
      </c>
      <c r="G176" s="956">
        <v>44258</v>
      </c>
      <c r="H176" s="966">
        <v>554549</v>
      </c>
      <c r="I176" s="967"/>
      <c r="J176" s="935">
        <f t="shared" si="19"/>
        <v>44258</v>
      </c>
      <c r="K176" s="936">
        <f t="shared" si="20"/>
        <v>29</v>
      </c>
      <c r="L176" s="936">
        <f t="shared" si="21"/>
        <v>554549</v>
      </c>
      <c r="M176" s="936">
        <f t="shared" si="22"/>
        <v>0</v>
      </c>
      <c r="N176" s="936">
        <f t="shared" si="23"/>
        <v>0</v>
      </c>
      <c r="O176" s="936">
        <f t="shared" si="24"/>
        <v>0</v>
      </c>
      <c r="P176" s="937">
        <f t="shared" si="25"/>
        <v>0</v>
      </c>
      <c r="Q176" s="938"/>
      <c r="R176" s="938"/>
      <c r="S176" s="939">
        <f t="shared" si="26"/>
        <v>554549</v>
      </c>
    </row>
    <row r="177" spans="1:19" ht="30" customHeight="1" x14ac:dyDescent="0.45">
      <c r="A177" s="933"/>
      <c r="C177" s="934"/>
      <c r="D177" s="934"/>
      <c r="E177" s="934"/>
      <c r="F177" s="954" t="s">
        <v>2802</v>
      </c>
      <c r="G177" s="956">
        <v>44258</v>
      </c>
      <c r="H177" s="966">
        <v>56388</v>
      </c>
      <c r="I177" s="967"/>
      <c r="J177" s="935">
        <f t="shared" si="19"/>
        <v>44258</v>
      </c>
      <c r="K177" s="936">
        <f t="shared" si="20"/>
        <v>29</v>
      </c>
      <c r="L177" s="936">
        <f t="shared" si="21"/>
        <v>56388</v>
      </c>
      <c r="M177" s="936">
        <f t="shared" si="22"/>
        <v>0</v>
      </c>
      <c r="N177" s="936">
        <f t="shared" si="23"/>
        <v>0</v>
      </c>
      <c r="O177" s="936">
        <f t="shared" si="24"/>
        <v>0</v>
      </c>
      <c r="P177" s="937">
        <f t="shared" si="25"/>
        <v>0</v>
      </c>
      <c r="Q177" s="938"/>
      <c r="R177" s="938"/>
      <c r="S177" s="939">
        <f t="shared" si="26"/>
        <v>56388</v>
      </c>
    </row>
    <row r="178" spans="1:19" ht="30" customHeight="1" x14ac:dyDescent="0.45">
      <c r="A178" s="933"/>
      <c r="C178" s="934"/>
      <c r="D178" s="934"/>
      <c r="E178" s="934"/>
      <c r="F178" s="954" t="s">
        <v>2803</v>
      </c>
      <c r="G178" s="956">
        <v>44258</v>
      </c>
      <c r="H178" s="966">
        <v>526260</v>
      </c>
      <c r="I178" s="967"/>
      <c r="J178" s="935">
        <f t="shared" si="19"/>
        <v>44258</v>
      </c>
      <c r="K178" s="936">
        <f t="shared" si="20"/>
        <v>29</v>
      </c>
      <c r="L178" s="936">
        <f t="shared" si="21"/>
        <v>526260</v>
      </c>
      <c r="M178" s="936">
        <f t="shared" si="22"/>
        <v>0</v>
      </c>
      <c r="N178" s="936">
        <f t="shared" si="23"/>
        <v>0</v>
      </c>
      <c r="O178" s="936">
        <f t="shared" si="24"/>
        <v>0</v>
      </c>
      <c r="P178" s="937">
        <f t="shared" si="25"/>
        <v>0</v>
      </c>
      <c r="Q178" s="938"/>
      <c r="R178" s="938"/>
      <c r="S178" s="939">
        <f t="shared" si="26"/>
        <v>526260</v>
      </c>
    </row>
    <row r="179" spans="1:19" ht="30" customHeight="1" x14ac:dyDescent="0.45">
      <c r="A179" s="933"/>
      <c r="C179" s="934"/>
      <c r="D179" s="934"/>
      <c r="E179" s="934"/>
      <c r="F179" s="954" t="s">
        <v>2804</v>
      </c>
      <c r="G179" s="956">
        <v>44259</v>
      </c>
      <c r="H179" s="966">
        <v>251298</v>
      </c>
      <c r="I179" s="967"/>
      <c r="J179" s="935">
        <f t="shared" si="19"/>
        <v>44259</v>
      </c>
      <c r="K179" s="936">
        <f t="shared" si="20"/>
        <v>28</v>
      </c>
      <c r="L179" s="936">
        <f t="shared" si="21"/>
        <v>251298</v>
      </c>
      <c r="M179" s="936">
        <f t="shared" si="22"/>
        <v>0</v>
      </c>
      <c r="N179" s="936">
        <f t="shared" si="23"/>
        <v>0</v>
      </c>
      <c r="O179" s="936">
        <f t="shared" si="24"/>
        <v>0</v>
      </c>
      <c r="P179" s="937">
        <f t="shared" si="25"/>
        <v>0</v>
      </c>
      <c r="Q179" s="938"/>
      <c r="R179" s="938"/>
      <c r="S179" s="939">
        <f t="shared" si="26"/>
        <v>251298</v>
      </c>
    </row>
    <row r="180" spans="1:19" ht="30" customHeight="1" x14ac:dyDescent="0.45">
      <c r="A180" s="933"/>
      <c r="C180" s="934"/>
      <c r="D180" s="934"/>
      <c r="E180" s="934"/>
      <c r="F180" s="954" t="s">
        <v>2805</v>
      </c>
      <c r="G180" s="956">
        <v>44259</v>
      </c>
      <c r="H180" s="966">
        <v>646120</v>
      </c>
      <c r="I180" s="967"/>
      <c r="J180" s="935">
        <f t="shared" si="19"/>
        <v>44259</v>
      </c>
      <c r="K180" s="936">
        <f t="shared" si="20"/>
        <v>28</v>
      </c>
      <c r="L180" s="936">
        <f t="shared" si="21"/>
        <v>646120</v>
      </c>
      <c r="M180" s="936">
        <f t="shared" si="22"/>
        <v>0</v>
      </c>
      <c r="N180" s="936">
        <f t="shared" si="23"/>
        <v>0</v>
      </c>
      <c r="O180" s="936">
        <f t="shared" si="24"/>
        <v>0</v>
      </c>
      <c r="P180" s="937">
        <f t="shared" si="25"/>
        <v>0</v>
      </c>
      <c r="Q180" s="938"/>
      <c r="R180" s="938"/>
      <c r="S180" s="939">
        <f t="shared" si="26"/>
        <v>646120</v>
      </c>
    </row>
    <row r="181" spans="1:19" ht="30" customHeight="1" x14ac:dyDescent="0.45">
      <c r="A181" s="933"/>
      <c r="C181" s="934"/>
      <c r="D181" s="934"/>
      <c r="E181" s="934"/>
      <c r="F181" s="954" t="s">
        <v>2806</v>
      </c>
      <c r="G181" s="956">
        <v>44259</v>
      </c>
      <c r="H181" s="966">
        <v>764620</v>
      </c>
      <c r="I181" s="967"/>
      <c r="J181" s="935">
        <f t="shared" si="19"/>
        <v>44259</v>
      </c>
      <c r="K181" s="936">
        <f t="shared" si="20"/>
        <v>28</v>
      </c>
      <c r="L181" s="936">
        <f t="shared" si="21"/>
        <v>764620</v>
      </c>
      <c r="M181" s="936">
        <f t="shared" si="22"/>
        <v>0</v>
      </c>
      <c r="N181" s="936">
        <f t="shared" si="23"/>
        <v>0</v>
      </c>
      <c r="O181" s="936">
        <f t="shared" si="24"/>
        <v>0</v>
      </c>
      <c r="P181" s="937">
        <f t="shared" si="25"/>
        <v>0</v>
      </c>
      <c r="Q181" s="938"/>
      <c r="R181" s="938"/>
      <c r="S181" s="939">
        <f t="shared" si="26"/>
        <v>764620</v>
      </c>
    </row>
    <row r="182" spans="1:19" ht="30" customHeight="1" x14ac:dyDescent="0.45">
      <c r="A182" s="933"/>
      <c r="C182" s="934"/>
      <c r="D182" s="934"/>
      <c r="E182" s="934"/>
      <c r="F182" s="954" t="s">
        <v>2807</v>
      </c>
      <c r="G182" s="956">
        <v>44260</v>
      </c>
      <c r="H182" s="966">
        <v>245242</v>
      </c>
      <c r="I182" s="967"/>
      <c r="J182" s="935">
        <f t="shared" si="19"/>
        <v>44260</v>
      </c>
      <c r="K182" s="936">
        <f t="shared" si="20"/>
        <v>27</v>
      </c>
      <c r="L182" s="936">
        <f t="shared" si="21"/>
        <v>245242</v>
      </c>
      <c r="M182" s="936">
        <f t="shared" si="22"/>
        <v>0</v>
      </c>
      <c r="N182" s="936">
        <f t="shared" si="23"/>
        <v>0</v>
      </c>
      <c r="O182" s="936">
        <f t="shared" si="24"/>
        <v>0</v>
      </c>
      <c r="P182" s="937">
        <f t="shared" si="25"/>
        <v>0</v>
      </c>
      <c r="Q182" s="938"/>
      <c r="R182" s="938"/>
      <c r="S182" s="939">
        <f t="shared" si="26"/>
        <v>245242</v>
      </c>
    </row>
    <row r="183" spans="1:19" ht="30" customHeight="1" x14ac:dyDescent="0.45">
      <c r="A183" s="933"/>
      <c r="C183" s="934"/>
      <c r="D183" s="934"/>
      <c r="E183" s="934"/>
      <c r="F183" s="954" t="s">
        <v>2808</v>
      </c>
      <c r="G183" s="956">
        <v>44261</v>
      </c>
      <c r="H183" s="966">
        <v>353949</v>
      </c>
      <c r="I183" s="967"/>
      <c r="J183" s="935">
        <f t="shared" si="19"/>
        <v>44261</v>
      </c>
      <c r="K183" s="936">
        <f t="shared" si="20"/>
        <v>26</v>
      </c>
      <c r="L183" s="936">
        <f t="shared" si="21"/>
        <v>353949</v>
      </c>
      <c r="M183" s="936">
        <f t="shared" si="22"/>
        <v>0</v>
      </c>
      <c r="N183" s="936">
        <f t="shared" si="23"/>
        <v>0</v>
      </c>
      <c r="O183" s="936">
        <f t="shared" si="24"/>
        <v>0</v>
      </c>
      <c r="P183" s="937">
        <f t="shared" si="25"/>
        <v>0</v>
      </c>
      <c r="Q183" s="938"/>
      <c r="R183" s="938"/>
      <c r="S183" s="939">
        <f t="shared" si="26"/>
        <v>353949</v>
      </c>
    </row>
    <row r="184" spans="1:19" ht="30" customHeight="1" x14ac:dyDescent="0.45">
      <c r="A184" s="933"/>
      <c r="C184" s="934"/>
      <c r="D184" s="934"/>
      <c r="E184" s="934"/>
      <c r="F184" s="954" t="s">
        <v>2809</v>
      </c>
      <c r="G184" s="956">
        <v>44262</v>
      </c>
      <c r="H184" s="966">
        <v>601167</v>
      </c>
      <c r="I184" s="967"/>
      <c r="J184" s="935">
        <f t="shared" si="19"/>
        <v>44262</v>
      </c>
      <c r="K184" s="936">
        <f t="shared" si="20"/>
        <v>25</v>
      </c>
      <c r="L184" s="936">
        <f t="shared" si="21"/>
        <v>601167</v>
      </c>
      <c r="M184" s="936">
        <f t="shared" si="22"/>
        <v>0</v>
      </c>
      <c r="N184" s="936">
        <f t="shared" si="23"/>
        <v>0</v>
      </c>
      <c r="O184" s="936">
        <f t="shared" si="24"/>
        <v>0</v>
      </c>
      <c r="P184" s="937">
        <f t="shared" si="25"/>
        <v>0</v>
      </c>
      <c r="Q184" s="938"/>
      <c r="R184" s="938"/>
      <c r="S184" s="939">
        <f t="shared" si="26"/>
        <v>601167</v>
      </c>
    </row>
    <row r="185" spans="1:19" ht="30" customHeight="1" x14ac:dyDescent="0.45">
      <c r="A185" s="933"/>
      <c r="C185" s="934"/>
      <c r="D185" s="934"/>
      <c r="E185" s="934"/>
      <c r="F185" s="954" t="s">
        <v>2810</v>
      </c>
      <c r="G185" s="956">
        <v>44262</v>
      </c>
      <c r="H185" s="966">
        <v>768622</v>
      </c>
      <c r="I185" s="967"/>
      <c r="J185" s="935">
        <f t="shared" si="19"/>
        <v>44262</v>
      </c>
      <c r="K185" s="936">
        <f t="shared" si="20"/>
        <v>25</v>
      </c>
      <c r="L185" s="936">
        <f t="shared" si="21"/>
        <v>768622</v>
      </c>
      <c r="M185" s="936">
        <f t="shared" si="22"/>
        <v>0</v>
      </c>
      <c r="N185" s="936">
        <f t="shared" si="23"/>
        <v>0</v>
      </c>
      <c r="O185" s="936">
        <f t="shared" si="24"/>
        <v>0</v>
      </c>
      <c r="P185" s="937">
        <f t="shared" si="25"/>
        <v>0</v>
      </c>
      <c r="Q185" s="938"/>
      <c r="R185" s="938"/>
      <c r="S185" s="939">
        <f t="shared" si="26"/>
        <v>768622</v>
      </c>
    </row>
    <row r="186" spans="1:19" ht="30" customHeight="1" x14ac:dyDescent="0.45">
      <c r="A186" s="933"/>
      <c r="C186" s="934"/>
      <c r="D186" s="934"/>
      <c r="E186" s="934"/>
      <c r="F186" s="954" t="s">
        <v>2811</v>
      </c>
      <c r="G186" s="956">
        <v>44262</v>
      </c>
      <c r="H186" s="966">
        <v>229917</v>
      </c>
      <c r="I186" s="967"/>
      <c r="J186" s="935">
        <f t="shared" si="19"/>
        <v>44262</v>
      </c>
      <c r="K186" s="936">
        <f t="shared" si="20"/>
        <v>25</v>
      </c>
      <c r="L186" s="936">
        <f t="shared" si="21"/>
        <v>229917</v>
      </c>
      <c r="M186" s="936">
        <f t="shared" si="22"/>
        <v>0</v>
      </c>
      <c r="N186" s="936">
        <f t="shared" si="23"/>
        <v>0</v>
      </c>
      <c r="O186" s="936">
        <f t="shared" si="24"/>
        <v>0</v>
      </c>
      <c r="P186" s="937">
        <f t="shared" si="25"/>
        <v>0</v>
      </c>
      <c r="Q186" s="938"/>
      <c r="R186" s="938"/>
      <c r="S186" s="939">
        <f t="shared" si="26"/>
        <v>229917</v>
      </c>
    </row>
    <row r="187" spans="1:19" ht="30" customHeight="1" x14ac:dyDescent="0.45">
      <c r="A187" s="933"/>
      <c r="C187" s="934"/>
      <c r="D187" s="934"/>
      <c r="E187" s="934"/>
      <c r="F187" s="954" t="s">
        <v>2812</v>
      </c>
      <c r="G187" s="956">
        <v>44262</v>
      </c>
      <c r="H187" s="966">
        <v>311175</v>
      </c>
      <c r="I187" s="967"/>
      <c r="J187" s="935">
        <f t="shared" si="19"/>
        <v>44262</v>
      </c>
      <c r="K187" s="936">
        <f t="shared" si="20"/>
        <v>25</v>
      </c>
      <c r="L187" s="936">
        <f t="shared" si="21"/>
        <v>311175</v>
      </c>
      <c r="M187" s="936">
        <f t="shared" si="22"/>
        <v>0</v>
      </c>
      <c r="N187" s="936">
        <f t="shared" si="23"/>
        <v>0</v>
      </c>
      <c r="O187" s="936">
        <f t="shared" si="24"/>
        <v>0</v>
      </c>
      <c r="P187" s="937">
        <f t="shared" si="25"/>
        <v>0</v>
      </c>
      <c r="Q187" s="938"/>
      <c r="R187" s="938"/>
      <c r="S187" s="939">
        <f t="shared" si="26"/>
        <v>311175</v>
      </c>
    </row>
    <row r="188" spans="1:19" ht="30" customHeight="1" x14ac:dyDescent="0.45">
      <c r="A188" s="933"/>
      <c r="C188" s="934"/>
      <c r="D188" s="934"/>
      <c r="E188" s="934"/>
      <c r="F188" s="954" t="s">
        <v>2813</v>
      </c>
      <c r="G188" s="956">
        <v>44263</v>
      </c>
      <c r="H188" s="966">
        <v>384921</v>
      </c>
      <c r="I188" s="967"/>
      <c r="J188" s="935">
        <f t="shared" si="19"/>
        <v>44263</v>
      </c>
      <c r="K188" s="936">
        <f t="shared" si="20"/>
        <v>24</v>
      </c>
      <c r="L188" s="936">
        <f t="shared" si="21"/>
        <v>384921</v>
      </c>
      <c r="M188" s="936">
        <f t="shared" si="22"/>
        <v>0</v>
      </c>
      <c r="N188" s="936">
        <f t="shared" si="23"/>
        <v>0</v>
      </c>
      <c r="O188" s="936">
        <f t="shared" si="24"/>
        <v>0</v>
      </c>
      <c r="P188" s="937">
        <f t="shared" si="25"/>
        <v>0</v>
      </c>
      <c r="Q188" s="938"/>
      <c r="R188" s="938"/>
      <c r="S188" s="939">
        <f t="shared" si="26"/>
        <v>384921</v>
      </c>
    </row>
    <row r="189" spans="1:19" ht="30" customHeight="1" x14ac:dyDescent="0.45">
      <c r="A189" s="933"/>
      <c r="C189" s="934"/>
      <c r="D189" s="934"/>
      <c r="E189" s="934"/>
      <c r="F189" s="954" t="s">
        <v>2814</v>
      </c>
      <c r="G189" s="956">
        <v>44264</v>
      </c>
      <c r="H189" s="966">
        <v>258475</v>
      </c>
      <c r="I189" s="967"/>
      <c r="J189" s="935">
        <f t="shared" si="19"/>
        <v>44264</v>
      </c>
      <c r="K189" s="936">
        <f t="shared" si="20"/>
        <v>23</v>
      </c>
      <c r="L189" s="936">
        <f t="shared" si="21"/>
        <v>258475</v>
      </c>
      <c r="M189" s="936">
        <f t="shared" si="22"/>
        <v>0</v>
      </c>
      <c r="N189" s="936">
        <f t="shared" si="23"/>
        <v>0</v>
      </c>
      <c r="O189" s="936">
        <f t="shared" si="24"/>
        <v>0</v>
      </c>
      <c r="P189" s="937">
        <f t="shared" si="25"/>
        <v>0</v>
      </c>
      <c r="Q189" s="938"/>
      <c r="R189" s="938"/>
      <c r="S189" s="939">
        <f t="shared" si="26"/>
        <v>258475</v>
      </c>
    </row>
    <row r="190" spans="1:19" ht="30" customHeight="1" x14ac:dyDescent="0.45">
      <c r="A190" s="933"/>
      <c r="C190" s="934"/>
      <c r="D190" s="934"/>
      <c r="E190" s="934"/>
      <c r="F190" s="954" t="s">
        <v>2815</v>
      </c>
      <c r="G190" s="956">
        <v>44266</v>
      </c>
      <c r="H190" s="966">
        <v>585230</v>
      </c>
      <c r="I190" s="967"/>
      <c r="J190" s="935">
        <f t="shared" si="19"/>
        <v>44266</v>
      </c>
      <c r="K190" s="936">
        <f t="shared" si="20"/>
        <v>21</v>
      </c>
      <c r="L190" s="936">
        <f t="shared" si="21"/>
        <v>585230</v>
      </c>
      <c r="M190" s="936">
        <f t="shared" si="22"/>
        <v>0</v>
      </c>
      <c r="N190" s="936">
        <f t="shared" si="23"/>
        <v>0</v>
      </c>
      <c r="O190" s="936">
        <f t="shared" si="24"/>
        <v>0</v>
      </c>
      <c r="P190" s="937">
        <f t="shared" si="25"/>
        <v>0</v>
      </c>
      <c r="Q190" s="938"/>
      <c r="R190" s="938"/>
      <c r="S190" s="939">
        <f t="shared" si="26"/>
        <v>585230</v>
      </c>
    </row>
    <row r="191" spans="1:19" ht="30" customHeight="1" x14ac:dyDescent="0.45">
      <c r="A191" s="933"/>
      <c r="C191" s="934"/>
      <c r="D191" s="934"/>
      <c r="E191" s="934"/>
      <c r="F191" s="954" t="s">
        <v>2816</v>
      </c>
      <c r="G191" s="956">
        <v>44266</v>
      </c>
      <c r="H191" s="966">
        <v>248819</v>
      </c>
      <c r="I191" s="967"/>
      <c r="J191" s="935">
        <f t="shared" si="19"/>
        <v>44266</v>
      </c>
      <c r="K191" s="936">
        <f t="shared" si="20"/>
        <v>21</v>
      </c>
      <c r="L191" s="936">
        <f t="shared" si="21"/>
        <v>248819</v>
      </c>
      <c r="M191" s="936">
        <f t="shared" si="22"/>
        <v>0</v>
      </c>
      <c r="N191" s="936">
        <f t="shared" si="23"/>
        <v>0</v>
      </c>
      <c r="O191" s="936">
        <f t="shared" si="24"/>
        <v>0</v>
      </c>
      <c r="P191" s="937">
        <f t="shared" si="25"/>
        <v>0</v>
      </c>
      <c r="Q191" s="938"/>
      <c r="R191" s="938"/>
      <c r="S191" s="939">
        <f t="shared" si="26"/>
        <v>248819</v>
      </c>
    </row>
    <row r="192" spans="1:19" ht="30" customHeight="1" x14ac:dyDescent="0.45">
      <c r="A192" s="933"/>
      <c r="C192" s="934"/>
      <c r="D192" s="934"/>
      <c r="E192" s="934"/>
      <c r="F192" s="954" t="s">
        <v>2817</v>
      </c>
      <c r="G192" s="956">
        <v>44266</v>
      </c>
      <c r="H192" s="966">
        <v>14981</v>
      </c>
      <c r="I192" s="967"/>
      <c r="J192" s="935">
        <f t="shared" si="19"/>
        <v>44266</v>
      </c>
      <c r="K192" s="936">
        <f t="shared" si="20"/>
        <v>21</v>
      </c>
      <c r="L192" s="936">
        <f t="shared" si="21"/>
        <v>14981</v>
      </c>
      <c r="M192" s="936">
        <f t="shared" si="22"/>
        <v>0</v>
      </c>
      <c r="N192" s="936">
        <f t="shared" si="23"/>
        <v>0</v>
      </c>
      <c r="O192" s="936">
        <f t="shared" si="24"/>
        <v>0</v>
      </c>
      <c r="P192" s="937">
        <f t="shared" si="25"/>
        <v>0</v>
      </c>
      <c r="Q192" s="938"/>
      <c r="R192" s="938"/>
      <c r="S192" s="939">
        <f t="shared" si="26"/>
        <v>14981</v>
      </c>
    </row>
    <row r="193" spans="1:19" ht="30" customHeight="1" x14ac:dyDescent="0.45">
      <c r="A193" s="933"/>
      <c r="C193" s="934"/>
      <c r="D193" s="934"/>
      <c r="E193" s="934"/>
      <c r="F193" s="954" t="s">
        <v>2818</v>
      </c>
      <c r="G193" s="956">
        <v>44266</v>
      </c>
      <c r="H193" s="966">
        <v>168997</v>
      </c>
      <c r="I193" s="967"/>
      <c r="J193" s="935">
        <f t="shared" si="19"/>
        <v>44266</v>
      </c>
      <c r="K193" s="936">
        <f t="shared" si="20"/>
        <v>21</v>
      </c>
      <c r="L193" s="936">
        <f t="shared" si="21"/>
        <v>168997</v>
      </c>
      <c r="M193" s="936">
        <f t="shared" si="22"/>
        <v>0</v>
      </c>
      <c r="N193" s="936">
        <f t="shared" si="23"/>
        <v>0</v>
      </c>
      <c r="O193" s="936">
        <f t="shared" si="24"/>
        <v>0</v>
      </c>
      <c r="P193" s="937">
        <f t="shared" si="25"/>
        <v>0</v>
      </c>
      <c r="Q193" s="938"/>
      <c r="R193" s="938"/>
      <c r="S193" s="939">
        <f t="shared" si="26"/>
        <v>168997</v>
      </c>
    </row>
    <row r="194" spans="1:19" ht="30" customHeight="1" x14ac:dyDescent="0.45">
      <c r="A194" s="933"/>
      <c r="C194" s="934"/>
      <c r="D194" s="934"/>
      <c r="E194" s="934"/>
      <c r="F194" s="954" t="s">
        <v>2819</v>
      </c>
      <c r="G194" s="956">
        <v>44266</v>
      </c>
      <c r="H194" s="966">
        <v>407952</v>
      </c>
      <c r="I194" s="967"/>
      <c r="J194" s="935">
        <f t="shared" si="19"/>
        <v>44266</v>
      </c>
      <c r="K194" s="936">
        <f t="shared" si="20"/>
        <v>21</v>
      </c>
      <c r="L194" s="936">
        <f t="shared" si="21"/>
        <v>407952</v>
      </c>
      <c r="M194" s="936">
        <f t="shared" si="22"/>
        <v>0</v>
      </c>
      <c r="N194" s="936">
        <f t="shared" si="23"/>
        <v>0</v>
      </c>
      <c r="O194" s="936">
        <f t="shared" si="24"/>
        <v>0</v>
      </c>
      <c r="P194" s="937">
        <f t="shared" si="25"/>
        <v>0</v>
      </c>
      <c r="Q194" s="938"/>
      <c r="R194" s="938"/>
      <c r="S194" s="939">
        <f t="shared" si="26"/>
        <v>407952</v>
      </c>
    </row>
    <row r="195" spans="1:19" ht="30" customHeight="1" x14ac:dyDescent="0.45">
      <c r="A195" s="933"/>
      <c r="C195" s="934"/>
      <c r="D195" s="934"/>
      <c r="E195" s="934"/>
      <c r="F195" s="954" t="s">
        <v>2820</v>
      </c>
      <c r="G195" s="956">
        <v>44266</v>
      </c>
      <c r="H195" s="966">
        <v>323351</v>
      </c>
      <c r="I195" s="967"/>
      <c r="J195" s="935">
        <f t="shared" si="19"/>
        <v>44266</v>
      </c>
      <c r="K195" s="936">
        <f t="shared" si="20"/>
        <v>21</v>
      </c>
      <c r="L195" s="936">
        <f t="shared" si="21"/>
        <v>323351</v>
      </c>
      <c r="M195" s="936">
        <f t="shared" si="22"/>
        <v>0</v>
      </c>
      <c r="N195" s="936">
        <f t="shared" si="23"/>
        <v>0</v>
      </c>
      <c r="O195" s="936">
        <f t="shared" si="24"/>
        <v>0</v>
      </c>
      <c r="P195" s="937">
        <f t="shared" si="25"/>
        <v>0</v>
      </c>
      <c r="Q195" s="938"/>
      <c r="R195" s="938"/>
      <c r="S195" s="939">
        <f t="shared" si="26"/>
        <v>323351</v>
      </c>
    </row>
    <row r="196" spans="1:19" ht="30" customHeight="1" x14ac:dyDescent="0.45">
      <c r="A196" s="933"/>
      <c r="C196" s="934"/>
      <c r="D196" s="934"/>
      <c r="E196" s="934"/>
      <c r="F196" s="954" t="s">
        <v>2821</v>
      </c>
      <c r="G196" s="956">
        <v>44267</v>
      </c>
      <c r="H196" s="966">
        <v>264860</v>
      </c>
      <c r="I196" s="967"/>
      <c r="J196" s="935">
        <f t="shared" si="19"/>
        <v>44267</v>
      </c>
      <c r="K196" s="936">
        <f t="shared" si="20"/>
        <v>20</v>
      </c>
      <c r="L196" s="936">
        <f t="shared" si="21"/>
        <v>264860</v>
      </c>
      <c r="M196" s="936">
        <f t="shared" si="22"/>
        <v>0</v>
      </c>
      <c r="N196" s="936">
        <f t="shared" si="23"/>
        <v>0</v>
      </c>
      <c r="O196" s="936">
        <f t="shared" si="24"/>
        <v>0</v>
      </c>
      <c r="P196" s="937">
        <f t="shared" si="25"/>
        <v>0</v>
      </c>
      <c r="Q196" s="938"/>
      <c r="R196" s="938"/>
      <c r="S196" s="939">
        <f t="shared" si="26"/>
        <v>264860</v>
      </c>
    </row>
    <row r="197" spans="1:19" ht="30" customHeight="1" x14ac:dyDescent="0.45">
      <c r="A197" s="933"/>
      <c r="C197" s="934"/>
      <c r="D197" s="934"/>
      <c r="E197" s="934"/>
      <c r="F197" s="954" t="s">
        <v>2822</v>
      </c>
      <c r="G197" s="956">
        <v>44267</v>
      </c>
      <c r="H197" s="966">
        <v>157862</v>
      </c>
      <c r="I197" s="967"/>
      <c r="J197" s="935">
        <f t="shared" si="19"/>
        <v>44267</v>
      </c>
      <c r="K197" s="936">
        <f t="shared" si="20"/>
        <v>20</v>
      </c>
      <c r="L197" s="936">
        <f t="shared" si="21"/>
        <v>157862</v>
      </c>
      <c r="M197" s="936">
        <f t="shared" si="22"/>
        <v>0</v>
      </c>
      <c r="N197" s="936">
        <f t="shared" si="23"/>
        <v>0</v>
      </c>
      <c r="O197" s="936">
        <f t="shared" si="24"/>
        <v>0</v>
      </c>
      <c r="P197" s="937">
        <f t="shared" si="25"/>
        <v>0</v>
      </c>
      <c r="Q197" s="938"/>
      <c r="R197" s="938"/>
      <c r="S197" s="939">
        <f t="shared" si="26"/>
        <v>157862</v>
      </c>
    </row>
    <row r="198" spans="1:19" ht="30" customHeight="1" x14ac:dyDescent="0.45">
      <c r="A198" s="933"/>
      <c r="C198" s="934"/>
      <c r="D198" s="934"/>
      <c r="E198" s="934"/>
      <c r="F198" s="954" t="s">
        <v>2823</v>
      </c>
      <c r="G198" s="956">
        <v>44268</v>
      </c>
      <c r="H198" s="966">
        <v>161301</v>
      </c>
      <c r="I198" s="967"/>
      <c r="J198" s="935">
        <f t="shared" si="19"/>
        <v>44268</v>
      </c>
      <c r="K198" s="936">
        <f t="shared" si="20"/>
        <v>19</v>
      </c>
      <c r="L198" s="936">
        <f t="shared" si="21"/>
        <v>161301</v>
      </c>
      <c r="M198" s="936">
        <f t="shared" si="22"/>
        <v>0</v>
      </c>
      <c r="N198" s="936">
        <f t="shared" si="23"/>
        <v>0</v>
      </c>
      <c r="O198" s="936">
        <f t="shared" si="24"/>
        <v>0</v>
      </c>
      <c r="P198" s="937">
        <f t="shared" si="25"/>
        <v>0</v>
      </c>
      <c r="Q198" s="938"/>
      <c r="R198" s="938"/>
      <c r="S198" s="939">
        <f t="shared" si="26"/>
        <v>161301</v>
      </c>
    </row>
    <row r="199" spans="1:19" ht="30" customHeight="1" x14ac:dyDescent="0.45">
      <c r="A199" s="933"/>
      <c r="C199" s="934"/>
      <c r="D199" s="934"/>
      <c r="E199" s="934"/>
      <c r="F199" s="954" t="s">
        <v>2824</v>
      </c>
      <c r="G199" s="956">
        <v>44268</v>
      </c>
      <c r="H199" s="966">
        <v>626667</v>
      </c>
      <c r="I199" s="967"/>
      <c r="J199" s="935">
        <f t="shared" si="19"/>
        <v>44268</v>
      </c>
      <c r="K199" s="936">
        <f t="shared" si="20"/>
        <v>19</v>
      </c>
      <c r="L199" s="936">
        <f t="shared" si="21"/>
        <v>626667</v>
      </c>
      <c r="M199" s="936">
        <f t="shared" si="22"/>
        <v>0</v>
      </c>
      <c r="N199" s="936">
        <f t="shared" si="23"/>
        <v>0</v>
      </c>
      <c r="O199" s="936">
        <f t="shared" si="24"/>
        <v>0</v>
      </c>
      <c r="P199" s="937">
        <f t="shared" si="25"/>
        <v>0</v>
      </c>
      <c r="Q199" s="938"/>
      <c r="R199" s="938"/>
      <c r="S199" s="939">
        <f t="shared" si="26"/>
        <v>626667</v>
      </c>
    </row>
    <row r="200" spans="1:19" ht="30" customHeight="1" x14ac:dyDescent="0.45">
      <c r="A200" s="933"/>
      <c r="C200" s="934"/>
      <c r="D200" s="934"/>
      <c r="E200" s="934"/>
      <c r="F200" s="954" t="s">
        <v>2825</v>
      </c>
      <c r="G200" s="956">
        <v>44268</v>
      </c>
      <c r="H200" s="966">
        <v>281380</v>
      </c>
      <c r="I200" s="967"/>
      <c r="J200" s="935">
        <f t="shared" si="19"/>
        <v>44268</v>
      </c>
      <c r="K200" s="936">
        <f t="shared" si="20"/>
        <v>19</v>
      </c>
      <c r="L200" s="936">
        <f t="shared" si="21"/>
        <v>281380</v>
      </c>
      <c r="M200" s="936">
        <f t="shared" si="22"/>
        <v>0</v>
      </c>
      <c r="N200" s="936">
        <f t="shared" si="23"/>
        <v>0</v>
      </c>
      <c r="O200" s="936">
        <f t="shared" si="24"/>
        <v>0</v>
      </c>
      <c r="P200" s="937">
        <f t="shared" si="25"/>
        <v>0</v>
      </c>
      <c r="Q200" s="938"/>
      <c r="R200" s="938"/>
      <c r="S200" s="939">
        <f t="shared" si="26"/>
        <v>281380</v>
      </c>
    </row>
    <row r="201" spans="1:19" ht="30" customHeight="1" x14ac:dyDescent="0.45">
      <c r="A201" s="933"/>
      <c r="C201" s="934"/>
      <c r="D201" s="934"/>
      <c r="E201" s="934"/>
      <c r="F201" s="954" t="s">
        <v>2826</v>
      </c>
      <c r="G201" s="956">
        <v>44269</v>
      </c>
      <c r="H201" s="966">
        <v>246985</v>
      </c>
      <c r="I201" s="967"/>
      <c r="J201" s="935">
        <f t="shared" si="19"/>
        <v>44269</v>
      </c>
      <c r="K201" s="936">
        <f t="shared" si="20"/>
        <v>18</v>
      </c>
      <c r="L201" s="936">
        <f t="shared" si="21"/>
        <v>246985</v>
      </c>
      <c r="M201" s="936">
        <f t="shared" si="22"/>
        <v>0</v>
      </c>
      <c r="N201" s="936">
        <f t="shared" si="23"/>
        <v>0</v>
      </c>
      <c r="O201" s="936">
        <f t="shared" si="24"/>
        <v>0</v>
      </c>
      <c r="P201" s="937">
        <f t="shared" si="25"/>
        <v>0</v>
      </c>
      <c r="Q201" s="938"/>
      <c r="R201" s="938"/>
      <c r="S201" s="939">
        <f t="shared" si="26"/>
        <v>246985</v>
      </c>
    </row>
    <row r="202" spans="1:19" ht="30" customHeight="1" x14ac:dyDescent="0.45">
      <c r="A202" s="933"/>
      <c r="C202" s="934"/>
      <c r="D202" s="934"/>
      <c r="E202" s="934"/>
      <c r="F202" s="954" t="s">
        <v>2827</v>
      </c>
      <c r="G202" s="956">
        <v>44269</v>
      </c>
      <c r="H202" s="966">
        <v>527756</v>
      </c>
      <c r="I202" s="967"/>
      <c r="J202" s="935">
        <f t="shared" si="19"/>
        <v>44269</v>
      </c>
      <c r="K202" s="936">
        <f t="shared" si="20"/>
        <v>18</v>
      </c>
      <c r="L202" s="936">
        <f t="shared" si="21"/>
        <v>527756</v>
      </c>
      <c r="M202" s="936">
        <f t="shared" si="22"/>
        <v>0</v>
      </c>
      <c r="N202" s="936">
        <f t="shared" si="23"/>
        <v>0</v>
      </c>
      <c r="O202" s="936">
        <f t="shared" si="24"/>
        <v>0</v>
      </c>
      <c r="P202" s="937">
        <f t="shared" si="25"/>
        <v>0</v>
      </c>
      <c r="Q202" s="938"/>
      <c r="R202" s="938"/>
      <c r="S202" s="939">
        <f t="shared" si="26"/>
        <v>527756</v>
      </c>
    </row>
    <row r="203" spans="1:19" ht="30" customHeight="1" x14ac:dyDescent="0.45">
      <c r="A203" s="933"/>
      <c r="C203" s="934"/>
      <c r="D203" s="934"/>
      <c r="E203" s="934"/>
      <c r="F203" s="954" t="s">
        <v>2828</v>
      </c>
      <c r="G203" s="956">
        <v>44270</v>
      </c>
      <c r="H203" s="966">
        <v>807771</v>
      </c>
      <c r="I203" s="967"/>
      <c r="J203" s="935">
        <f t="shared" si="19"/>
        <v>44270</v>
      </c>
      <c r="K203" s="936">
        <f t="shared" si="20"/>
        <v>17</v>
      </c>
      <c r="L203" s="936">
        <f t="shared" si="21"/>
        <v>807771</v>
      </c>
      <c r="M203" s="936">
        <f t="shared" si="22"/>
        <v>0</v>
      </c>
      <c r="N203" s="936">
        <f t="shared" si="23"/>
        <v>0</v>
      </c>
      <c r="O203" s="936">
        <f t="shared" si="24"/>
        <v>0</v>
      </c>
      <c r="P203" s="937">
        <f t="shared" si="25"/>
        <v>0</v>
      </c>
      <c r="Q203" s="938"/>
      <c r="R203" s="938"/>
      <c r="S203" s="939">
        <f t="shared" si="26"/>
        <v>807771</v>
      </c>
    </row>
    <row r="204" spans="1:19" ht="30" customHeight="1" x14ac:dyDescent="0.45">
      <c r="A204" s="933"/>
      <c r="C204" s="934"/>
      <c r="D204" s="934"/>
      <c r="E204" s="934"/>
      <c r="F204" s="954" t="s">
        <v>2829</v>
      </c>
      <c r="G204" s="956">
        <v>44270</v>
      </c>
      <c r="H204" s="966">
        <v>277744</v>
      </c>
      <c r="I204" s="967"/>
      <c r="J204" s="935">
        <f t="shared" si="19"/>
        <v>44270</v>
      </c>
      <c r="K204" s="936">
        <f t="shared" si="20"/>
        <v>17</v>
      </c>
      <c r="L204" s="936">
        <f t="shared" si="21"/>
        <v>277744</v>
      </c>
      <c r="M204" s="936">
        <f t="shared" si="22"/>
        <v>0</v>
      </c>
      <c r="N204" s="936">
        <f t="shared" si="23"/>
        <v>0</v>
      </c>
      <c r="O204" s="936">
        <f t="shared" si="24"/>
        <v>0</v>
      </c>
      <c r="P204" s="937">
        <f t="shared" si="25"/>
        <v>0</v>
      </c>
      <c r="Q204" s="938"/>
      <c r="R204" s="938"/>
      <c r="S204" s="939">
        <f t="shared" si="26"/>
        <v>277744</v>
      </c>
    </row>
    <row r="205" spans="1:19" ht="30" customHeight="1" x14ac:dyDescent="0.45">
      <c r="A205" s="933"/>
      <c r="C205" s="934"/>
      <c r="D205" s="934"/>
      <c r="E205" s="934"/>
      <c r="F205" s="954" t="s">
        <v>2830</v>
      </c>
      <c r="G205" s="956">
        <v>44270</v>
      </c>
      <c r="H205" s="966">
        <v>627219</v>
      </c>
      <c r="I205" s="967"/>
      <c r="J205" s="935">
        <f t="shared" si="19"/>
        <v>44270</v>
      </c>
      <c r="K205" s="936">
        <f t="shared" si="20"/>
        <v>17</v>
      </c>
      <c r="L205" s="936">
        <f t="shared" si="21"/>
        <v>627219</v>
      </c>
      <c r="M205" s="936">
        <f t="shared" si="22"/>
        <v>0</v>
      </c>
      <c r="N205" s="936">
        <f t="shared" si="23"/>
        <v>0</v>
      </c>
      <c r="O205" s="936">
        <f t="shared" si="24"/>
        <v>0</v>
      </c>
      <c r="P205" s="937">
        <f t="shared" si="25"/>
        <v>0</v>
      </c>
      <c r="Q205" s="938"/>
      <c r="R205" s="938"/>
      <c r="S205" s="939">
        <f t="shared" si="26"/>
        <v>627219</v>
      </c>
    </row>
    <row r="206" spans="1:19" ht="30" customHeight="1" x14ac:dyDescent="0.45">
      <c r="A206" s="933"/>
      <c r="C206" s="934"/>
      <c r="D206" s="934"/>
      <c r="E206" s="934"/>
      <c r="F206" s="954" t="s">
        <v>2831</v>
      </c>
      <c r="G206" s="956">
        <v>44270</v>
      </c>
      <c r="H206" s="966">
        <v>613862</v>
      </c>
      <c r="I206" s="967"/>
      <c r="J206" s="935">
        <f t="shared" si="19"/>
        <v>44270</v>
      </c>
      <c r="K206" s="936">
        <f t="shared" si="20"/>
        <v>17</v>
      </c>
      <c r="L206" s="936">
        <f t="shared" si="21"/>
        <v>613862</v>
      </c>
      <c r="M206" s="936">
        <f t="shared" si="22"/>
        <v>0</v>
      </c>
      <c r="N206" s="936">
        <f t="shared" si="23"/>
        <v>0</v>
      </c>
      <c r="O206" s="936">
        <f t="shared" si="24"/>
        <v>0</v>
      </c>
      <c r="P206" s="937">
        <f t="shared" si="25"/>
        <v>0</v>
      </c>
      <c r="Q206" s="938"/>
      <c r="R206" s="938"/>
      <c r="S206" s="939">
        <f t="shared" si="26"/>
        <v>613862</v>
      </c>
    </row>
    <row r="207" spans="1:19" ht="30" customHeight="1" x14ac:dyDescent="0.45">
      <c r="A207" s="933"/>
      <c r="C207" s="934"/>
      <c r="D207" s="934"/>
      <c r="E207" s="934"/>
      <c r="F207" s="954" t="s">
        <v>2832</v>
      </c>
      <c r="G207" s="956">
        <v>44271</v>
      </c>
      <c r="H207" s="966">
        <v>644982</v>
      </c>
      <c r="I207" s="967"/>
      <c r="J207" s="935">
        <f t="shared" si="19"/>
        <v>44271</v>
      </c>
      <c r="K207" s="936">
        <f t="shared" si="20"/>
        <v>16</v>
      </c>
      <c r="L207" s="936">
        <f t="shared" si="21"/>
        <v>644982</v>
      </c>
      <c r="M207" s="936">
        <f t="shared" si="22"/>
        <v>0</v>
      </c>
      <c r="N207" s="936">
        <f t="shared" si="23"/>
        <v>0</v>
      </c>
      <c r="O207" s="936">
        <f t="shared" si="24"/>
        <v>0</v>
      </c>
      <c r="P207" s="937">
        <f t="shared" si="25"/>
        <v>0</v>
      </c>
      <c r="Q207" s="938"/>
      <c r="R207" s="938"/>
      <c r="S207" s="939">
        <f t="shared" si="26"/>
        <v>644982</v>
      </c>
    </row>
    <row r="208" spans="1:19" ht="30" customHeight="1" x14ac:dyDescent="0.45">
      <c r="A208" s="933"/>
      <c r="C208" s="934"/>
      <c r="D208" s="934"/>
      <c r="E208" s="934"/>
      <c r="F208" s="954" t="s">
        <v>2833</v>
      </c>
      <c r="G208" s="956">
        <v>44271</v>
      </c>
      <c r="H208" s="966">
        <v>232214</v>
      </c>
      <c r="I208" s="967"/>
      <c r="J208" s="935">
        <f t="shared" si="19"/>
        <v>44271</v>
      </c>
      <c r="K208" s="936">
        <f t="shared" si="20"/>
        <v>16</v>
      </c>
      <c r="L208" s="936">
        <f t="shared" si="21"/>
        <v>232214</v>
      </c>
      <c r="M208" s="936">
        <f t="shared" si="22"/>
        <v>0</v>
      </c>
      <c r="N208" s="936">
        <f t="shared" si="23"/>
        <v>0</v>
      </c>
      <c r="O208" s="936">
        <f t="shared" si="24"/>
        <v>0</v>
      </c>
      <c r="P208" s="937">
        <f t="shared" si="25"/>
        <v>0</v>
      </c>
      <c r="Q208" s="938"/>
      <c r="R208" s="938"/>
      <c r="S208" s="939">
        <f t="shared" si="26"/>
        <v>232214</v>
      </c>
    </row>
    <row r="209" spans="1:19" ht="30" customHeight="1" x14ac:dyDescent="0.45">
      <c r="A209" s="933"/>
      <c r="C209" s="934"/>
      <c r="D209" s="934"/>
      <c r="E209" s="934"/>
      <c r="F209" s="954" t="s">
        <v>2834</v>
      </c>
      <c r="G209" s="956">
        <v>44271</v>
      </c>
      <c r="H209" s="966">
        <v>291604</v>
      </c>
      <c r="I209" s="967"/>
      <c r="J209" s="935">
        <f t="shared" ref="J209:J240" si="27">+G209+I209</f>
        <v>44271</v>
      </c>
      <c r="K209" s="936">
        <f t="shared" ref="K209:K240" si="28">+$Q$1-J209+1</f>
        <v>16</v>
      </c>
      <c r="L209" s="936">
        <f t="shared" si="21"/>
        <v>291604</v>
      </c>
      <c r="M209" s="936">
        <f t="shared" si="22"/>
        <v>0</v>
      </c>
      <c r="N209" s="936">
        <f t="shared" si="23"/>
        <v>0</v>
      </c>
      <c r="O209" s="936">
        <f t="shared" si="24"/>
        <v>0</v>
      </c>
      <c r="P209" s="937">
        <f t="shared" si="25"/>
        <v>0</v>
      </c>
      <c r="Q209" s="938"/>
      <c r="R209" s="938"/>
      <c r="S209" s="939">
        <f t="shared" si="26"/>
        <v>291604</v>
      </c>
    </row>
    <row r="210" spans="1:19" ht="30" customHeight="1" x14ac:dyDescent="0.45">
      <c r="A210" s="933"/>
      <c r="C210" s="934"/>
      <c r="D210" s="934"/>
      <c r="E210" s="934"/>
      <c r="F210" s="954" t="s">
        <v>2835</v>
      </c>
      <c r="G210" s="956">
        <v>44272</v>
      </c>
      <c r="H210" s="966">
        <v>415652</v>
      </c>
      <c r="I210" s="967"/>
      <c r="J210" s="935">
        <f t="shared" si="27"/>
        <v>44272</v>
      </c>
      <c r="K210" s="936">
        <f t="shared" si="28"/>
        <v>15</v>
      </c>
      <c r="L210" s="936">
        <f t="shared" ref="L210:L240" si="29">IF(K210&gt;90,0,H210)</f>
        <v>415652</v>
      </c>
      <c r="M210" s="936">
        <f t="shared" ref="M210:M240" si="30">IF(K210&lt;=90,0,IF(K210&gt;180,0,H210))</f>
        <v>0</v>
      </c>
      <c r="N210" s="936">
        <f t="shared" ref="N210:N240" si="31">IF(K210&lt;=180,0,IF(K210&gt;365,0,H210))</f>
        <v>0</v>
      </c>
      <c r="O210" s="936">
        <f t="shared" ref="O210:O240" si="32">IF(K210&lt;=365,0,IF(K210&gt;730,0,H210))</f>
        <v>0</v>
      </c>
      <c r="P210" s="937">
        <f t="shared" ref="P210:P240" si="33">IF(K210&lt;=730,0,H210)</f>
        <v>0</v>
      </c>
      <c r="Q210" s="938"/>
      <c r="R210" s="938"/>
      <c r="S210" s="939">
        <f t="shared" ref="S210:S240" si="34">H210-R210</f>
        <v>415652</v>
      </c>
    </row>
    <row r="211" spans="1:19" ht="30" customHeight="1" x14ac:dyDescent="0.45">
      <c r="A211" s="933"/>
      <c r="C211" s="934"/>
      <c r="D211" s="934"/>
      <c r="E211" s="934"/>
      <c r="F211" s="954" t="s">
        <v>2836</v>
      </c>
      <c r="G211" s="956">
        <v>44272</v>
      </c>
      <c r="H211" s="966">
        <v>854334</v>
      </c>
      <c r="I211" s="967"/>
      <c r="J211" s="935">
        <f t="shared" si="27"/>
        <v>44272</v>
      </c>
      <c r="K211" s="936">
        <f t="shared" si="28"/>
        <v>15</v>
      </c>
      <c r="L211" s="936">
        <f t="shared" si="29"/>
        <v>854334</v>
      </c>
      <c r="M211" s="936">
        <f t="shared" si="30"/>
        <v>0</v>
      </c>
      <c r="N211" s="936">
        <f t="shared" si="31"/>
        <v>0</v>
      </c>
      <c r="O211" s="936">
        <f t="shared" si="32"/>
        <v>0</v>
      </c>
      <c r="P211" s="937">
        <f t="shared" si="33"/>
        <v>0</v>
      </c>
      <c r="Q211" s="938"/>
      <c r="R211" s="938"/>
      <c r="S211" s="939">
        <f t="shared" si="34"/>
        <v>854334</v>
      </c>
    </row>
    <row r="212" spans="1:19" ht="30" customHeight="1" x14ac:dyDescent="0.45">
      <c r="A212" s="933"/>
      <c r="C212" s="934"/>
      <c r="D212" s="934"/>
      <c r="E212" s="934"/>
      <c r="F212" s="954" t="s">
        <v>2837</v>
      </c>
      <c r="G212" s="956">
        <v>44273</v>
      </c>
      <c r="H212" s="966">
        <v>291225</v>
      </c>
      <c r="I212" s="967"/>
      <c r="J212" s="935">
        <f t="shared" si="27"/>
        <v>44273</v>
      </c>
      <c r="K212" s="936">
        <f t="shared" si="28"/>
        <v>14</v>
      </c>
      <c r="L212" s="936">
        <f t="shared" si="29"/>
        <v>291225</v>
      </c>
      <c r="M212" s="936">
        <f t="shared" si="30"/>
        <v>0</v>
      </c>
      <c r="N212" s="936">
        <f t="shared" si="31"/>
        <v>0</v>
      </c>
      <c r="O212" s="936">
        <f t="shared" si="32"/>
        <v>0</v>
      </c>
      <c r="P212" s="937">
        <f t="shared" si="33"/>
        <v>0</v>
      </c>
      <c r="Q212" s="938"/>
      <c r="R212" s="938"/>
      <c r="S212" s="939">
        <f t="shared" si="34"/>
        <v>291225</v>
      </c>
    </row>
    <row r="213" spans="1:19" ht="30" customHeight="1" x14ac:dyDescent="0.45">
      <c r="A213" s="933"/>
      <c r="C213" s="934"/>
      <c r="D213" s="934"/>
      <c r="E213" s="934"/>
      <c r="F213" s="954" t="s">
        <v>2838</v>
      </c>
      <c r="G213" s="956">
        <v>44274</v>
      </c>
      <c r="H213" s="966">
        <v>775598</v>
      </c>
      <c r="I213" s="967"/>
      <c r="J213" s="935">
        <f t="shared" si="27"/>
        <v>44274</v>
      </c>
      <c r="K213" s="936">
        <f t="shared" si="28"/>
        <v>13</v>
      </c>
      <c r="L213" s="936">
        <f t="shared" si="29"/>
        <v>775598</v>
      </c>
      <c r="M213" s="936">
        <f t="shared" si="30"/>
        <v>0</v>
      </c>
      <c r="N213" s="936">
        <f t="shared" si="31"/>
        <v>0</v>
      </c>
      <c r="O213" s="936">
        <f t="shared" si="32"/>
        <v>0</v>
      </c>
      <c r="P213" s="937">
        <f t="shared" si="33"/>
        <v>0</v>
      </c>
      <c r="Q213" s="938"/>
      <c r="R213" s="938"/>
      <c r="S213" s="939">
        <f t="shared" si="34"/>
        <v>775598</v>
      </c>
    </row>
    <row r="214" spans="1:19" ht="30" customHeight="1" x14ac:dyDescent="0.45">
      <c r="A214" s="933"/>
      <c r="C214" s="934"/>
      <c r="D214" s="934"/>
      <c r="E214" s="934"/>
      <c r="F214" s="954" t="s">
        <v>2839</v>
      </c>
      <c r="G214" s="956">
        <v>44275</v>
      </c>
      <c r="H214" s="966">
        <v>828083</v>
      </c>
      <c r="I214" s="967"/>
      <c r="J214" s="935">
        <f t="shared" si="27"/>
        <v>44275</v>
      </c>
      <c r="K214" s="936">
        <f t="shared" si="28"/>
        <v>12</v>
      </c>
      <c r="L214" s="936">
        <f t="shared" si="29"/>
        <v>828083</v>
      </c>
      <c r="M214" s="936">
        <f t="shared" si="30"/>
        <v>0</v>
      </c>
      <c r="N214" s="936">
        <f t="shared" si="31"/>
        <v>0</v>
      </c>
      <c r="O214" s="936">
        <f t="shared" si="32"/>
        <v>0</v>
      </c>
      <c r="P214" s="937">
        <f t="shared" si="33"/>
        <v>0</v>
      </c>
      <c r="Q214" s="938"/>
      <c r="R214" s="938"/>
      <c r="S214" s="939">
        <f t="shared" si="34"/>
        <v>828083</v>
      </c>
    </row>
    <row r="215" spans="1:19" ht="30" customHeight="1" x14ac:dyDescent="0.45">
      <c r="A215" s="933"/>
      <c r="C215" s="934"/>
      <c r="D215" s="934"/>
      <c r="E215" s="934"/>
      <c r="F215" s="954" t="s">
        <v>2840</v>
      </c>
      <c r="G215" s="956">
        <v>44275</v>
      </c>
      <c r="H215" s="966">
        <v>660139</v>
      </c>
      <c r="I215" s="967"/>
      <c r="J215" s="935">
        <f t="shared" si="27"/>
        <v>44275</v>
      </c>
      <c r="K215" s="936">
        <f t="shared" si="28"/>
        <v>12</v>
      </c>
      <c r="L215" s="936">
        <f t="shared" si="29"/>
        <v>660139</v>
      </c>
      <c r="M215" s="936">
        <f t="shared" si="30"/>
        <v>0</v>
      </c>
      <c r="N215" s="936">
        <f t="shared" si="31"/>
        <v>0</v>
      </c>
      <c r="O215" s="936">
        <f t="shared" si="32"/>
        <v>0</v>
      </c>
      <c r="P215" s="937">
        <f t="shared" si="33"/>
        <v>0</v>
      </c>
      <c r="Q215" s="938"/>
      <c r="R215" s="938"/>
      <c r="S215" s="939">
        <f t="shared" si="34"/>
        <v>660139</v>
      </c>
    </row>
    <row r="216" spans="1:19" ht="30" customHeight="1" x14ac:dyDescent="0.45">
      <c r="A216" s="933"/>
      <c r="C216" s="934"/>
      <c r="D216" s="934"/>
      <c r="E216" s="934"/>
      <c r="F216" s="954" t="s">
        <v>2841</v>
      </c>
      <c r="G216" s="956">
        <v>44275</v>
      </c>
      <c r="H216" s="966">
        <v>350917</v>
      </c>
      <c r="I216" s="967"/>
      <c r="J216" s="935">
        <f t="shared" si="27"/>
        <v>44275</v>
      </c>
      <c r="K216" s="936">
        <f t="shared" si="28"/>
        <v>12</v>
      </c>
      <c r="L216" s="936">
        <f t="shared" si="29"/>
        <v>350917</v>
      </c>
      <c r="M216" s="936">
        <f t="shared" si="30"/>
        <v>0</v>
      </c>
      <c r="N216" s="936">
        <f t="shared" si="31"/>
        <v>0</v>
      </c>
      <c r="O216" s="936">
        <f t="shared" si="32"/>
        <v>0</v>
      </c>
      <c r="P216" s="937">
        <f t="shared" si="33"/>
        <v>0</v>
      </c>
      <c r="Q216" s="938"/>
      <c r="R216" s="938"/>
      <c r="S216" s="939">
        <f t="shared" si="34"/>
        <v>350917</v>
      </c>
    </row>
    <row r="217" spans="1:19" ht="30" customHeight="1" x14ac:dyDescent="0.45">
      <c r="A217" s="933"/>
      <c r="C217" s="934"/>
      <c r="D217" s="934"/>
      <c r="E217" s="934"/>
      <c r="F217" s="954" t="s">
        <v>2842</v>
      </c>
      <c r="G217" s="956">
        <v>44275</v>
      </c>
      <c r="H217" s="966">
        <v>375155</v>
      </c>
      <c r="I217" s="967"/>
      <c r="J217" s="935">
        <f t="shared" si="27"/>
        <v>44275</v>
      </c>
      <c r="K217" s="936">
        <f t="shared" si="28"/>
        <v>12</v>
      </c>
      <c r="L217" s="936">
        <f t="shared" si="29"/>
        <v>375155</v>
      </c>
      <c r="M217" s="936">
        <f t="shared" si="30"/>
        <v>0</v>
      </c>
      <c r="N217" s="936">
        <f t="shared" si="31"/>
        <v>0</v>
      </c>
      <c r="O217" s="936">
        <f t="shared" si="32"/>
        <v>0</v>
      </c>
      <c r="P217" s="937">
        <f t="shared" si="33"/>
        <v>0</v>
      </c>
      <c r="Q217" s="938"/>
      <c r="R217" s="938"/>
      <c r="S217" s="939">
        <f t="shared" si="34"/>
        <v>375155</v>
      </c>
    </row>
    <row r="218" spans="1:19" ht="30" customHeight="1" x14ac:dyDescent="0.45">
      <c r="A218" s="933"/>
      <c r="C218" s="934"/>
      <c r="D218" s="934"/>
      <c r="E218" s="934"/>
      <c r="F218" s="954" t="s">
        <v>2843</v>
      </c>
      <c r="G218" s="956">
        <v>44275</v>
      </c>
      <c r="H218" s="966">
        <v>289529</v>
      </c>
      <c r="I218" s="967"/>
      <c r="J218" s="935">
        <f t="shared" si="27"/>
        <v>44275</v>
      </c>
      <c r="K218" s="936">
        <f t="shared" si="28"/>
        <v>12</v>
      </c>
      <c r="L218" s="936">
        <f t="shared" si="29"/>
        <v>289529</v>
      </c>
      <c r="M218" s="936">
        <f t="shared" si="30"/>
        <v>0</v>
      </c>
      <c r="N218" s="936">
        <f t="shared" si="31"/>
        <v>0</v>
      </c>
      <c r="O218" s="936">
        <f t="shared" si="32"/>
        <v>0</v>
      </c>
      <c r="P218" s="937">
        <f t="shared" si="33"/>
        <v>0</v>
      </c>
      <c r="Q218" s="938"/>
      <c r="R218" s="938"/>
      <c r="S218" s="939">
        <f t="shared" si="34"/>
        <v>289529</v>
      </c>
    </row>
    <row r="219" spans="1:19" ht="30" customHeight="1" x14ac:dyDescent="0.45">
      <c r="A219" s="933"/>
      <c r="C219" s="934"/>
      <c r="D219" s="934"/>
      <c r="E219" s="934"/>
      <c r="F219" s="954" t="s">
        <v>2844</v>
      </c>
      <c r="G219" s="956">
        <v>44276</v>
      </c>
      <c r="H219" s="966">
        <v>665048</v>
      </c>
      <c r="I219" s="967"/>
      <c r="J219" s="935">
        <f t="shared" si="27"/>
        <v>44276</v>
      </c>
      <c r="K219" s="936">
        <f t="shared" si="28"/>
        <v>11</v>
      </c>
      <c r="L219" s="936">
        <f t="shared" si="29"/>
        <v>665048</v>
      </c>
      <c r="M219" s="936">
        <f t="shared" si="30"/>
        <v>0</v>
      </c>
      <c r="N219" s="936">
        <f t="shared" si="31"/>
        <v>0</v>
      </c>
      <c r="O219" s="936">
        <f t="shared" si="32"/>
        <v>0</v>
      </c>
      <c r="P219" s="937">
        <f t="shared" si="33"/>
        <v>0</v>
      </c>
      <c r="Q219" s="938"/>
      <c r="R219" s="938"/>
      <c r="S219" s="939">
        <f t="shared" si="34"/>
        <v>665048</v>
      </c>
    </row>
    <row r="220" spans="1:19" ht="30" customHeight="1" x14ac:dyDescent="0.45">
      <c r="A220" s="933"/>
      <c r="C220" s="934"/>
      <c r="D220" s="934"/>
      <c r="E220" s="934"/>
      <c r="F220" s="954" t="s">
        <v>2845</v>
      </c>
      <c r="G220" s="956">
        <v>44277</v>
      </c>
      <c r="H220" s="966">
        <v>214473</v>
      </c>
      <c r="I220" s="967"/>
      <c r="J220" s="935">
        <f t="shared" si="27"/>
        <v>44277</v>
      </c>
      <c r="K220" s="936">
        <f t="shared" si="28"/>
        <v>10</v>
      </c>
      <c r="L220" s="936">
        <f t="shared" si="29"/>
        <v>214473</v>
      </c>
      <c r="M220" s="936">
        <f t="shared" si="30"/>
        <v>0</v>
      </c>
      <c r="N220" s="936">
        <f t="shared" si="31"/>
        <v>0</v>
      </c>
      <c r="O220" s="936">
        <f t="shared" si="32"/>
        <v>0</v>
      </c>
      <c r="P220" s="937">
        <f t="shared" si="33"/>
        <v>0</v>
      </c>
      <c r="Q220" s="938"/>
      <c r="R220" s="938"/>
      <c r="S220" s="939">
        <f t="shared" si="34"/>
        <v>214473</v>
      </c>
    </row>
    <row r="221" spans="1:19" ht="30" customHeight="1" x14ac:dyDescent="0.45">
      <c r="A221" s="933"/>
      <c r="C221" s="934"/>
      <c r="D221" s="934"/>
      <c r="E221" s="934"/>
      <c r="F221" s="954" t="s">
        <v>2846</v>
      </c>
      <c r="G221" s="956">
        <v>44278</v>
      </c>
      <c r="H221" s="966">
        <v>704990</v>
      </c>
      <c r="I221" s="967"/>
      <c r="J221" s="935">
        <f t="shared" si="27"/>
        <v>44278</v>
      </c>
      <c r="K221" s="936">
        <f t="shared" si="28"/>
        <v>9</v>
      </c>
      <c r="L221" s="936">
        <f t="shared" si="29"/>
        <v>704990</v>
      </c>
      <c r="M221" s="936">
        <f t="shared" si="30"/>
        <v>0</v>
      </c>
      <c r="N221" s="936">
        <f t="shared" si="31"/>
        <v>0</v>
      </c>
      <c r="O221" s="936">
        <f t="shared" si="32"/>
        <v>0</v>
      </c>
      <c r="P221" s="937">
        <f t="shared" si="33"/>
        <v>0</v>
      </c>
      <c r="Q221" s="938"/>
      <c r="R221" s="938"/>
      <c r="S221" s="939">
        <f t="shared" si="34"/>
        <v>704990</v>
      </c>
    </row>
    <row r="222" spans="1:19" ht="30" customHeight="1" x14ac:dyDescent="0.45">
      <c r="A222" s="933"/>
      <c r="C222" s="934"/>
      <c r="D222" s="934"/>
      <c r="E222" s="934"/>
      <c r="F222" s="954" t="s">
        <v>2847</v>
      </c>
      <c r="G222" s="956">
        <v>44278</v>
      </c>
      <c r="H222" s="966">
        <v>242334</v>
      </c>
      <c r="I222" s="967"/>
      <c r="J222" s="935">
        <f t="shared" si="27"/>
        <v>44278</v>
      </c>
      <c r="K222" s="936">
        <f t="shared" si="28"/>
        <v>9</v>
      </c>
      <c r="L222" s="936">
        <f t="shared" si="29"/>
        <v>242334</v>
      </c>
      <c r="M222" s="936">
        <f t="shared" si="30"/>
        <v>0</v>
      </c>
      <c r="N222" s="936">
        <f t="shared" si="31"/>
        <v>0</v>
      </c>
      <c r="O222" s="936">
        <f t="shared" si="32"/>
        <v>0</v>
      </c>
      <c r="P222" s="937">
        <f t="shared" si="33"/>
        <v>0</v>
      </c>
      <c r="Q222" s="938"/>
      <c r="R222" s="938"/>
      <c r="S222" s="939">
        <f t="shared" si="34"/>
        <v>242334</v>
      </c>
    </row>
    <row r="223" spans="1:19" ht="30" customHeight="1" x14ac:dyDescent="0.45">
      <c r="A223" s="933"/>
      <c r="C223" s="934"/>
      <c r="D223" s="934"/>
      <c r="E223" s="934"/>
      <c r="F223" s="954" t="s">
        <v>2848</v>
      </c>
      <c r="G223" s="956">
        <v>44279</v>
      </c>
      <c r="H223" s="966">
        <v>293002</v>
      </c>
      <c r="I223" s="967"/>
      <c r="J223" s="935">
        <f t="shared" si="27"/>
        <v>44279</v>
      </c>
      <c r="K223" s="936">
        <f t="shared" si="28"/>
        <v>8</v>
      </c>
      <c r="L223" s="936">
        <f t="shared" si="29"/>
        <v>293002</v>
      </c>
      <c r="M223" s="936">
        <f t="shared" si="30"/>
        <v>0</v>
      </c>
      <c r="N223" s="936">
        <f t="shared" si="31"/>
        <v>0</v>
      </c>
      <c r="O223" s="936">
        <f t="shared" si="32"/>
        <v>0</v>
      </c>
      <c r="P223" s="937">
        <f t="shared" si="33"/>
        <v>0</v>
      </c>
      <c r="Q223" s="938"/>
      <c r="R223" s="938"/>
      <c r="S223" s="939">
        <f t="shared" si="34"/>
        <v>293002</v>
      </c>
    </row>
    <row r="224" spans="1:19" ht="30" customHeight="1" x14ac:dyDescent="0.45">
      <c r="A224" s="933"/>
      <c r="C224" s="934"/>
      <c r="D224" s="934"/>
      <c r="E224" s="934"/>
      <c r="F224" s="954" t="s">
        <v>2849</v>
      </c>
      <c r="G224" s="956">
        <v>44279</v>
      </c>
      <c r="H224" s="966">
        <v>1031895</v>
      </c>
      <c r="I224" s="967"/>
      <c r="J224" s="935">
        <f t="shared" si="27"/>
        <v>44279</v>
      </c>
      <c r="K224" s="936">
        <f t="shared" si="28"/>
        <v>8</v>
      </c>
      <c r="L224" s="936">
        <f t="shared" si="29"/>
        <v>1031895</v>
      </c>
      <c r="M224" s="936">
        <f t="shared" si="30"/>
        <v>0</v>
      </c>
      <c r="N224" s="936">
        <f t="shared" si="31"/>
        <v>0</v>
      </c>
      <c r="O224" s="936">
        <f t="shared" si="32"/>
        <v>0</v>
      </c>
      <c r="P224" s="937">
        <f t="shared" si="33"/>
        <v>0</v>
      </c>
      <c r="Q224" s="938"/>
      <c r="R224" s="938"/>
      <c r="S224" s="939">
        <f t="shared" si="34"/>
        <v>1031895</v>
      </c>
    </row>
    <row r="225" spans="1:19" ht="30" customHeight="1" x14ac:dyDescent="0.45">
      <c r="A225" s="933"/>
      <c r="C225" s="934"/>
      <c r="D225" s="934"/>
      <c r="E225" s="934"/>
      <c r="F225" s="954" t="s">
        <v>2850</v>
      </c>
      <c r="G225" s="956">
        <v>44279</v>
      </c>
      <c r="H225" s="966">
        <v>170948</v>
      </c>
      <c r="I225" s="967"/>
      <c r="J225" s="935">
        <f t="shared" si="27"/>
        <v>44279</v>
      </c>
      <c r="K225" s="936">
        <f t="shared" si="28"/>
        <v>8</v>
      </c>
      <c r="L225" s="936">
        <f t="shared" si="29"/>
        <v>170948</v>
      </c>
      <c r="M225" s="936">
        <f t="shared" si="30"/>
        <v>0</v>
      </c>
      <c r="N225" s="936">
        <f t="shared" si="31"/>
        <v>0</v>
      </c>
      <c r="O225" s="936">
        <f t="shared" si="32"/>
        <v>0</v>
      </c>
      <c r="P225" s="937">
        <f t="shared" si="33"/>
        <v>0</v>
      </c>
      <c r="Q225" s="938"/>
      <c r="R225" s="938"/>
      <c r="S225" s="939">
        <f t="shared" si="34"/>
        <v>170948</v>
      </c>
    </row>
    <row r="226" spans="1:19" ht="30" customHeight="1" x14ac:dyDescent="0.45">
      <c r="A226" s="933"/>
      <c r="C226" s="934"/>
      <c r="D226" s="934"/>
      <c r="E226" s="934"/>
      <c r="F226" s="954" t="s">
        <v>2851</v>
      </c>
      <c r="G226" s="956">
        <v>44279</v>
      </c>
      <c r="H226" s="966">
        <v>669774</v>
      </c>
      <c r="I226" s="967"/>
      <c r="J226" s="935">
        <f t="shared" si="27"/>
        <v>44279</v>
      </c>
      <c r="K226" s="936">
        <f t="shared" si="28"/>
        <v>8</v>
      </c>
      <c r="L226" s="936">
        <f t="shared" si="29"/>
        <v>669774</v>
      </c>
      <c r="M226" s="936">
        <f t="shared" si="30"/>
        <v>0</v>
      </c>
      <c r="N226" s="936">
        <f t="shared" si="31"/>
        <v>0</v>
      </c>
      <c r="O226" s="936">
        <f t="shared" si="32"/>
        <v>0</v>
      </c>
      <c r="P226" s="937">
        <f t="shared" si="33"/>
        <v>0</v>
      </c>
      <c r="Q226" s="938"/>
      <c r="R226" s="938"/>
      <c r="S226" s="939">
        <f t="shared" si="34"/>
        <v>669774</v>
      </c>
    </row>
    <row r="227" spans="1:19" ht="30" customHeight="1" x14ac:dyDescent="0.45">
      <c r="A227" s="933"/>
      <c r="C227" s="934"/>
      <c r="D227" s="934"/>
      <c r="E227" s="934"/>
      <c r="F227" s="954" t="s">
        <v>2852</v>
      </c>
      <c r="G227" s="956">
        <v>44281</v>
      </c>
      <c r="H227" s="966">
        <v>205520</v>
      </c>
      <c r="I227" s="967"/>
      <c r="J227" s="935">
        <f t="shared" si="27"/>
        <v>44281</v>
      </c>
      <c r="K227" s="936">
        <f t="shared" si="28"/>
        <v>6</v>
      </c>
      <c r="L227" s="936">
        <f t="shared" si="29"/>
        <v>205520</v>
      </c>
      <c r="M227" s="936">
        <f t="shared" si="30"/>
        <v>0</v>
      </c>
      <c r="N227" s="936">
        <f t="shared" si="31"/>
        <v>0</v>
      </c>
      <c r="O227" s="936">
        <f t="shared" si="32"/>
        <v>0</v>
      </c>
      <c r="P227" s="937">
        <f t="shared" si="33"/>
        <v>0</v>
      </c>
      <c r="Q227" s="938"/>
      <c r="R227" s="938"/>
      <c r="S227" s="939">
        <f t="shared" si="34"/>
        <v>205520</v>
      </c>
    </row>
    <row r="228" spans="1:19" ht="30" customHeight="1" x14ac:dyDescent="0.45">
      <c r="A228" s="933"/>
      <c r="C228" s="934"/>
      <c r="D228" s="934"/>
      <c r="E228" s="934"/>
      <c r="F228" s="954" t="s">
        <v>2853</v>
      </c>
      <c r="G228" s="956">
        <v>44282</v>
      </c>
      <c r="H228" s="966">
        <v>275867</v>
      </c>
      <c r="I228" s="967"/>
      <c r="J228" s="935">
        <f t="shared" si="27"/>
        <v>44282</v>
      </c>
      <c r="K228" s="936">
        <f t="shared" si="28"/>
        <v>5</v>
      </c>
      <c r="L228" s="936">
        <f t="shared" si="29"/>
        <v>275867</v>
      </c>
      <c r="M228" s="936">
        <f t="shared" si="30"/>
        <v>0</v>
      </c>
      <c r="N228" s="936">
        <f t="shared" si="31"/>
        <v>0</v>
      </c>
      <c r="O228" s="936">
        <f t="shared" si="32"/>
        <v>0</v>
      </c>
      <c r="P228" s="937">
        <f t="shared" si="33"/>
        <v>0</v>
      </c>
      <c r="Q228" s="938"/>
      <c r="R228" s="938"/>
      <c r="S228" s="939">
        <f t="shared" si="34"/>
        <v>275867</v>
      </c>
    </row>
    <row r="229" spans="1:19" ht="30" customHeight="1" x14ac:dyDescent="0.45">
      <c r="A229" s="933"/>
      <c r="C229" s="934"/>
      <c r="D229" s="934"/>
      <c r="E229" s="934"/>
      <c r="F229" s="954" t="s">
        <v>2854</v>
      </c>
      <c r="G229" s="956">
        <v>44282</v>
      </c>
      <c r="H229" s="966">
        <v>267267</v>
      </c>
      <c r="I229" s="967"/>
      <c r="J229" s="935">
        <f t="shared" si="27"/>
        <v>44282</v>
      </c>
      <c r="K229" s="936">
        <f t="shared" si="28"/>
        <v>5</v>
      </c>
      <c r="L229" s="936">
        <f t="shared" si="29"/>
        <v>267267</v>
      </c>
      <c r="M229" s="936">
        <f t="shared" si="30"/>
        <v>0</v>
      </c>
      <c r="N229" s="936">
        <f t="shared" si="31"/>
        <v>0</v>
      </c>
      <c r="O229" s="936">
        <f t="shared" si="32"/>
        <v>0</v>
      </c>
      <c r="P229" s="937">
        <f t="shared" si="33"/>
        <v>0</v>
      </c>
      <c r="Q229" s="938"/>
      <c r="R229" s="938"/>
      <c r="S229" s="939">
        <f t="shared" si="34"/>
        <v>267267</v>
      </c>
    </row>
    <row r="230" spans="1:19" ht="30" customHeight="1" x14ac:dyDescent="0.45">
      <c r="A230" s="933"/>
      <c r="C230" s="934"/>
      <c r="D230" s="934"/>
      <c r="E230" s="934"/>
      <c r="F230" s="954" t="s">
        <v>2855</v>
      </c>
      <c r="G230" s="956">
        <v>44283</v>
      </c>
      <c r="H230" s="966">
        <v>305396</v>
      </c>
      <c r="I230" s="967"/>
      <c r="J230" s="935">
        <f t="shared" si="27"/>
        <v>44283</v>
      </c>
      <c r="K230" s="936">
        <f t="shared" si="28"/>
        <v>4</v>
      </c>
      <c r="L230" s="936">
        <f t="shared" si="29"/>
        <v>305396</v>
      </c>
      <c r="M230" s="936">
        <f t="shared" si="30"/>
        <v>0</v>
      </c>
      <c r="N230" s="936">
        <f t="shared" si="31"/>
        <v>0</v>
      </c>
      <c r="O230" s="936">
        <f t="shared" si="32"/>
        <v>0</v>
      </c>
      <c r="P230" s="937">
        <f t="shared" si="33"/>
        <v>0</v>
      </c>
      <c r="Q230" s="938"/>
      <c r="R230" s="938"/>
      <c r="S230" s="939">
        <f t="shared" si="34"/>
        <v>305396</v>
      </c>
    </row>
    <row r="231" spans="1:19" ht="30" customHeight="1" x14ac:dyDescent="0.45">
      <c r="A231" s="933"/>
      <c r="C231" s="934"/>
      <c r="D231" s="934"/>
      <c r="E231" s="934"/>
      <c r="F231" s="954" t="s">
        <v>2856</v>
      </c>
      <c r="G231" s="956">
        <v>44283</v>
      </c>
      <c r="H231" s="966">
        <v>265752</v>
      </c>
      <c r="I231" s="967"/>
      <c r="J231" s="935">
        <f t="shared" si="27"/>
        <v>44283</v>
      </c>
      <c r="K231" s="936">
        <f t="shared" si="28"/>
        <v>4</v>
      </c>
      <c r="L231" s="936">
        <f t="shared" si="29"/>
        <v>265752</v>
      </c>
      <c r="M231" s="936">
        <f t="shared" si="30"/>
        <v>0</v>
      </c>
      <c r="N231" s="936">
        <f t="shared" si="31"/>
        <v>0</v>
      </c>
      <c r="O231" s="936">
        <f t="shared" si="32"/>
        <v>0</v>
      </c>
      <c r="P231" s="937">
        <f t="shared" si="33"/>
        <v>0</v>
      </c>
      <c r="Q231" s="938"/>
      <c r="R231" s="938"/>
      <c r="S231" s="939">
        <f t="shared" si="34"/>
        <v>265752</v>
      </c>
    </row>
    <row r="232" spans="1:19" ht="30" customHeight="1" x14ac:dyDescent="0.45">
      <c r="A232" s="933"/>
      <c r="C232" s="934"/>
      <c r="D232" s="934"/>
      <c r="E232" s="934"/>
      <c r="F232" s="954" t="s">
        <v>2857</v>
      </c>
      <c r="G232" s="956">
        <v>44285</v>
      </c>
      <c r="H232" s="966">
        <v>393339</v>
      </c>
      <c r="I232" s="967"/>
      <c r="J232" s="935">
        <f t="shared" si="27"/>
        <v>44285</v>
      </c>
      <c r="K232" s="936">
        <f t="shared" si="28"/>
        <v>2</v>
      </c>
      <c r="L232" s="936">
        <f t="shared" si="29"/>
        <v>393339</v>
      </c>
      <c r="M232" s="936">
        <f t="shared" si="30"/>
        <v>0</v>
      </c>
      <c r="N232" s="936">
        <f t="shared" si="31"/>
        <v>0</v>
      </c>
      <c r="O232" s="936">
        <f t="shared" si="32"/>
        <v>0</v>
      </c>
      <c r="P232" s="937">
        <f t="shared" si="33"/>
        <v>0</v>
      </c>
      <c r="Q232" s="938"/>
      <c r="R232" s="938"/>
      <c r="S232" s="939">
        <f t="shared" si="34"/>
        <v>393339</v>
      </c>
    </row>
    <row r="233" spans="1:19" ht="30" customHeight="1" x14ac:dyDescent="0.45">
      <c r="A233" s="933"/>
      <c r="C233" s="934"/>
      <c r="D233" s="934"/>
      <c r="E233" s="934"/>
      <c r="F233" s="954" t="s">
        <v>2858</v>
      </c>
      <c r="G233" s="956">
        <v>44285</v>
      </c>
      <c r="H233" s="966">
        <v>307745</v>
      </c>
      <c r="I233" s="967"/>
      <c r="J233" s="935">
        <f t="shared" si="27"/>
        <v>44285</v>
      </c>
      <c r="K233" s="936">
        <f t="shared" si="28"/>
        <v>2</v>
      </c>
      <c r="L233" s="936">
        <f t="shared" si="29"/>
        <v>307745</v>
      </c>
      <c r="M233" s="936">
        <f t="shared" si="30"/>
        <v>0</v>
      </c>
      <c r="N233" s="936">
        <f t="shared" si="31"/>
        <v>0</v>
      </c>
      <c r="O233" s="936">
        <f t="shared" si="32"/>
        <v>0</v>
      </c>
      <c r="P233" s="937">
        <f t="shared" si="33"/>
        <v>0</v>
      </c>
      <c r="Q233" s="938"/>
      <c r="R233" s="938"/>
      <c r="S233" s="939">
        <f t="shared" si="34"/>
        <v>307745</v>
      </c>
    </row>
    <row r="234" spans="1:19" ht="30" customHeight="1" x14ac:dyDescent="0.45">
      <c r="A234" s="933"/>
      <c r="C234" s="934"/>
      <c r="D234" s="934"/>
      <c r="E234" s="934"/>
      <c r="F234" s="954" t="s">
        <v>2859</v>
      </c>
      <c r="G234" s="956">
        <v>44285</v>
      </c>
      <c r="H234" s="966">
        <v>292583</v>
      </c>
      <c r="I234" s="967"/>
      <c r="J234" s="935">
        <f t="shared" si="27"/>
        <v>44285</v>
      </c>
      <c r="K234" s="936">
        <f t="shared" si="28"/>
        <v>2</v>
      </c>
      <c r="L234" s="936">
        <f t="shared" si="29"/>
        <v>292583</v>
      </c>
      <c r="M234" s="936">
        <f t="shared" si="30"/>
        <v>0</v>
      </c>
      <c r="N234" s="936">
        <f t="shared" si="31"/>
        <v>0</v>
      </c>
      <c r="O234" s="936">
        <f t="shared" si="32"/>
        <v>0</v>
      </c>
      <c r="P234" s="937">
        <f t="shared" si="33"/>
        <v>0</v>
      </c>
      <c r="Q234" s="938"/>
      <c r="R234" s="938"/>
      <c r="S234" s="939">
        <f t="shared" si="34"/>
        <v>292583</v>
      </c>
    </row>
    <row r="235" spans="1:19" ht="30" customHeight="1" x14ac:dyDescent="0.45">
      <c r="A235" s="933"/>
      <c r="C235" s="934"/>
      <c r="D235" s="934"/>
      <c r="E235" s="934"/>
      <c r="F235" s="954" t="s">
        <v>2860</v>
      </c>
      <c r="G235" s="956">
        <v>44286</v>
      </c>
      <c r="H235" s="966">
        <v>779310</v>
      </c>
      <c r="I235" s="967"/>
      <c r="J235" s="935">
        <f t="shared" si="27"/>
        <v>44286</v>
      </c>
      <c r="K235" s="936">
        <f t="shared" si="28"/>
        <v>1</v>
      </c>
      <c r="L235" s="936">
        <f t="shared" si="29"/>
        <v>779310</v>
      </c>
      <c r="M235" s="936">
        <f t="shared" si="30"/>
        <v>0</v>
      </c>
      <c r="N235" s="936">
        <f t="shared" si="31"/>
        <v>0</v>
      </c>
      <c r="O235" s="936">
        <f t="shared" si="32"/>
        <v>0</v>
      </c>
      <c r="P235" s="937">
        <f t="shared" si="33"/>
        <v>0</v>
      </c>
      <c r="Q235" s="938"/>
      <c r="R235" s="938"/>
      <c r="S235" s="939">
        <f t="shared" si="34"/>
        <v>779310</v>
      </c>
    </row>
    <row r="236" spans="1:19" ht="30" customHeight="1" x14ac:dyDescent="0.45">
      <c r="A236" s="933"/>
      <c r="C236" s="934"/>
      <c r="D236" s="934"/>
      <c r="E236" s="934"/>
      <c r="F236" s="954" t="s">
        <v>2861</v>
      </c>
      <c r="G236" s="956">
        <v>44286</v>
      </c>
      <c r="H236" s="966">
        <v>296427</v>
      </c>
      <c r="I236" s="967"/>
      <c r="J236" s="935">
        <f t="shared" si="27"/>
        <v>44286</v>
      </c>
      <c r="K236" s="936">
        <f t="shared" si="28"/>
        <v>1</v>
      </c>
      <c r="L236" s="936">
        <f t="shared" si="29"/>
        <v>296427</v>
      </c>
      <c r="M236" s="936">
        <f t="shared" si="30"/>
        <v>0</v>
      </c>
      <c r="N236" s="936">
        <f t="shared" si="31"/>
        <v>0</v>
      </c>
      <c r="O236" s="936">
        <f t="shared" si="32"/>
        <v>0</v>
      </c>
      <c r="P236" s="937">
        <f t="shared" si="33"/>
        <v>0</v>
      </c>
      <c r="Q236" s="938"/>
      <c r="R236" s="938"/>
      <c r="S236" s="939">
        <f t="shared" si="34"/>
        <v>296427</v>
      </c>
    </row>
    <row r="237" spans="1:19" ht="30" customHeight="1" x14ac:dyDescent="0.45">
      <c r="A237" s="933"/>
      <c r="C237" s="934"/>
      <c r="D237" s="934"/>
      <c r="E237" s="934"/>
      <c r="F237" s="954" t="s">
        <v>2862</v>
      </c>
      <c r="G237" s="956">
        <v>44286</v>
      </c>
      <c r="H237" s="966">
        <v>284731</v>
      </c>
      <c r="I237" s="967"/>
      <c r="J237" s="935">
        <f t="shared" si="27"/>
        <v>44286</v>
      </c>
      <c r="K237" s="936">
        <f t="shared" si="28"/>
        <v>1</v>
      </c>
      <c r="L237" s="936">
        <f t="shared" si="29"/>
        <v>284731</v>
      </c>
      <c r="M237" s="936">
        <f t="shared" si="30"/>
        <v>0</v>
      </c>
      <c r="N237" s="936">
        <f t="shared" si="31"/>
        <v>0</v>
      </c>
      <c r="O237" s="936">
        <f t="shared" si="32"/>
        <v>0</v>
      </c>
      <c r="P237" s="937">
        <f t="shared" si="33"/>
        <v>0</v>
      </c>
      <c r="Q237" s="938"/>
      <c r="R237" s="938"/>
      <c r="S237" s="939">
        <f t="shared" si="34"/>
        <v>284731</v>
      </c>
    </row>
    <row r="238" spans="1:19" ht="30" customHeight="1" x14ac:dyDescent="0.45">
      <c r="A238" s="933"/>
      <c r="C238" s="934"/>
      <c r="D238" s="934"/>
      <c r="E238" s="934"/>
      <c r="F238" s="954" t="s">
        <v>2863</v>
      </c>
      <c r="G238" s="956">
        <v>44286</v>
      </c>
      <c r="H238" s="966">
        <v>319350</v>
      </c>
      <c r="I238" s="967"/>
      <c r="J238" s="935">
        <f t="shared" si="27"/>
        <v>44286</v>
      </c>
      <c r="K238" s="936">
        <f t="shared" si="28"/>
        <v>1</v>
      </c>
      <c r="L238" s="936">
        <f t="shared" si="29"/>
        <v>319350</v>
      </c>
      <c r="M238" s="936">
        <f t="shared" si="30"/>
        <v>0</v>
      </c>
      <c r="N238" s="936">
        <f t="shared" si="31"/>
        <v>0</v>
      </c>
      <c r="O238" s="936">
        <f t="shared" si="32"/>
        <v>0</v>
      </c>
      <c r="P238" s="937">
        <f t="shared" si="33"/>
        <v>0</v>
      </c>
      <c r="Q238" s="938"/>
      <c r="R238" s="938"/>
      <c r="S238" s="939">
        <f t="shared" si="34"/>
        <v>319350</v>
      </c>
    </row>
    <row r="239" spans="1:19" ht="30" customHeight="1" x14ac:dyDescent="0.45">
      <c r="A239" s="933"/>
      <c r="C239" s="934"/>
      <c r="D239" s="934"/>
      <c r="E239" s="934"/>
      <c r="F239" s="954" t="s">
        <v>2864</v>
      </c>
      <c r="G239" s="956">
        <v>44286</v>
      </c>
      <c r="H239" s="966">
        <v>741544</v>
      </c>
      <c r="I239" s="967"/>
      <c r="J239" s="935">
        <f t="shared" si="27"/>
        <v>44286</v>
      </c>
      <c r="K239" s="936">
        <f t="shared" si="28"/>
        <v>1</v>
      </c>
      <c r="L239" s="936">
        <f t="shared" si="29"/>
        <v>741544</v>
      </c>
      <c r="M239" s="936">
        <f t="shared" si="30"/>
        <v>0</v>
      </c>
      <c r="N239" s="936">
        <f t="shared" si="31"/>
        <v>0</v>
      </c>
      <c r="O239" s="936">
        <f t="shared" si="32"/>
        <v>0</v>
      </c>
      <c r="P239" s="937">
        <f t="shared" si="33"/>
        <v>0</v>
      </c>
      <c r="Q239" s="938"/>
      <c r="R239" s="938"/>
      <c r="S239" s="939">
        <f t="shared" si="34"/>
        <v>741544</v>
      </c>
    </row>
    <row r="240" spans="1:19" ht="30" customHeight="1" x14ac:dyDescent="0.45">
      <c r="A240" s="933"/>
      <c r="C240" s="934"/>
      <c r="D240" s="934"/>
      <c r="E240" s="934"/>
      <c r="F240" s="954" t="s">
        <v>2865</v>
      </c>
      <c r="G240" s="956">
        <v>44286</v>
      </c>
      <c r="H240" s="966">
        <v>149148</v>
      </c>
      <c r="I240" s="967"/>
      <c r="J240" s="935">
        <f t="shared" si="27"/>
        <v>44286</v>
      </c>
      <c r="K240" s="936">
        <f t="shared" si="28"/>
        <v>1</v>
      </c>
      <c r="L240" s="936">
        <f t="shared" si="29"/>
        <v>149148</v>
      </c>
      <c r="M240" s="936">
        <f t="shared" si="30"/>
        <v>0</v>
      </c>
      <c r="N240" s="936">
        <f t="shared" si="31"/>
        <v>0</v>
      </c>
      <c r="O240" s="936">
        <f t="shared" si="32"/>
        <v>0</v>
      </c>
      <c r="P240" s="937">
        <f t="shared" si="33"/>
        <v>0</v>
      </c>
      <c r="Q240" s="938"/>
      <c r="R240" s="938"/>
      <c r="S240" s="939">
        <f t="shared" si="34"/>
        <v>149148</v>
      </c>
    </row>
    <row r="241" spans="1:19" ht="30" customHeight="1" x14ac:dyDescent="0.45">
      <c r="A241" s="933"/>
      <c r="C241" s="934"/>
      <c r="D241" s="934"/>
      <c r="E241" s="934"/>
      <c r="F241" s="934"/>
      <c r="G241" s="935"/>
      <c r="H241" s="969"/>
      <c r="I241" s="934"/>
      <c r="J241" s="935"/>
      <c r="K241" s="936"/>
      <c r="L241" s="936"/>
      <c r="M241" s="936"/>
      <c r="N241" s="936"/>
      <c r="O241" s="936"/>
      <c r="P241" s="937"/>
      <c r="Q241" s="938"/>
      <c r="R241" s="938"/>
      <c r="S241" s="939"/>
    </row>
    <row r="242" spans="1:19" ht="30" customHeight="1" x14ac:dyDescent="0.45">
      <c r="A242" s="933"/>
      <c r="C242" s="934"/>
      <c r="D242" s="970" t="s">
        <v>259</v>
      </c>
      <c r="E242" s="934"/>
      <c r="F242" s="954" t="s">
        <v>2866</v>
      </c>
      <c r="G242" s="955">
        <v>44198</v>
      </c>
      <c r="H242" s="936">
        <v>100636</v>
      </c>
      <c r="I242" s="934"/>
      <c r="J242" s="935">
        <f t="shared" ref="J242:J305" si="35">+G242+I242</f>
        <v>44198</v>
      </c>
      <c r="K242" s="936">
        <f t="shared" ref="K242:K305" si="36">+$Q$1-J242+1</f>
        <v>89</v>
      </c>
      <c r="L242" s="936">
        <f t="shared" ref="L242:L305" si="37">IF(K242&gt;90,0,H242)</f>
        <v>100636</v>
      </c>
      <c r="M242" s="936">
        <f t="shared" ref="M242:M305" si="38">IF(K242&lt;=90,0,IF(K242&gt;180,0,H242))</f>
        <v>0</v>
      </c>
      <c r="N242" s="936">
        <f t="shared" ref="N242:N305" si="39">IF(K242&lt;=180,0,IF(K242&gt;365,0,H242))</f>
        <v>0</v>
      </c>
      <c r="O242" s="936">
        <f t="shared" ref="O242:O305" si="40">IF(K242&lt;=365,0,IF(K242&gt;730,0,H242))</f>
        <v>0</v>
      </c>
      <c r="P242" s="937">
        <f t="shared" ref="P242:P305" si="41">IF(K242&lt;=730,0,H242)</f>
        <v>0</v>
      </c>
      <c r="Q242" s="938"/>
      <c r="R242" s="938"/>
      <c r="S242" s="939">
        <f t="shared" ref="S242:S305" si="42">H242-R242</f>
        <v>100636</v>
      </c>
    </row>
    <row r="243" spans="1:19" ht="30" customHeight="1" x14ac:dyDescent="0.45">
      <c r="A243" s="933"/>
      <c r="C243" s="934"/>
      <c r="D243" s="934"/>
      <c r="E243" s="934"/>
      <c r="F243" s="954" t="s">
        <v>2867</v>
      </c>
      <c r="G243" s="955">
        <v>44256</v>
      </c>
      <c r="H243" s="936">
        <v>88412</v>
      </c>
      <c r="I243" s="934"/>
      <c r="J243" s="935">
        <f t="shared" si="35"/>
        <v>44256</v>
      </c>
      <c r="K243" s="936">
        <f t="shared" si="36"/>
        <v>31</v>
      </c>
      <c r="L243" s="936">
        <f t="shared" si="37"/>
        <v>88412</v>
      </c>
      <c r="M243" s="936">
        <f t="shared" si="38"/>
        <v>0</v>
      </c>
      <c r="N243" s="936">
        <f t="shared" si="39"/>
        <v>0</v>
      </c>
      <c r="O243" s="936">
        <f t="shared" si="40"/>
        <v>0</v>
      </c>
      <c r="P243" s="937">
        <f t="shared" si="41"/>
        <v>0</v>
      </c>
      <c r="Q243" s="938"/>
      <c r="R243" s="938"/>
      <c r="S243" s="939">
        <f t="shared" si="42"/>
        <v>88412</v>
      </c>
    </row>
    <row r="244" spans="1:19" ht="30" customHeight="1" x14ac:dyDescent="0.45">
      <c r="A244" s="933"/>
      <c r="C244" s="934"/>
      <c r="D244" s="934"/>
      <c r="E244" s="934"/>
      <c r="F244" s="934"/>
      <c r="G244" s="935"/>
      <c r="H244" s="936"/>
      <c r="I244" s="934"/>
      <c r="J244" s="935">
        <f t="shared" si="35"/>
        <v>0</v>
      </c>
      <c r="K244" s="936">
        <f t="shared" si="36"/>
        <v>44287</v>
      </c>
      <c r="L244" s="936">
        <f t="shared" si="37"/>
        <v>0</v>
      </c>
      <c r="M244" s="936">
        <f t="shared" si="38"/>
        <v>0</v>
      </c>
      <c r="N244" s="936">
        <f t="shared" si="39"/>
        <v>0</v>
      </c>
      <c r="O244" s="936">
        <f t="shared" si="40"/>
        <v>0</v>
      </c>
      <c r="P244" s="937">
        <f t="shared" si="41"/>
        <v>0</v>
      </c>
      <c r="Q244" s="938"/>
      <c r="R244" s="938"/>
      <c r="S244" s="939">
        <f t="shared" si="42"/>
        <v>0</v>
      </c>
    </row>
    <row r="245" spans="1:19" ht="30" customHeight="1" x14ac:dyDescent="0.45">
      <c r="A245" s="933"/>
      <c r="C245" s="934"/>
      <c r="D245" s="970" t="s">
        <v>314</v>
      </c>
      <c r="E245" s="934"/>
      <c r="F245" s="954" t="s">
        <v>2868</v>
      </c>
      <c r="G245" s="955">
        <v>44135</v>
      </c>
      <c r="H245" s="936">
        <v>4025</v>
      </c>
      <c r="I245" s="934"/>
      <c r="J245" s="935">
        <f t="shared" si="35"/>
        <v>44135</v>
      </c>
      <c r="K245" s="936">
        <f t="shared" si="36"/>
        <v>152</v>
      </c>
      <c r="L245" s="936">
        <f t="shared" si="37"/>
        <v>0</v>
      </c>
      <c r="M245" s="936">
        <f t="shared" si="38"/>
        <v>4025</v>
      </c>
      <c r="N245" s="936">
        <f t="shared" si="39"/>
        <v>0</v>
      </c>
      <c r="O245" s="936">
        <f t="shared" si="40"/>
        <v>0</v>
      </c>
      <c r="P245" s="937">
        <f t="shared" si="41"/>
        <v>0</v>
      </c>
      <c r="Q245" s="938"/>
      <c r="R245" s="938"/>
      <c r="S245" s="939">
        <f t="shared" si="42"/>
        <v>4025</v>
      </c>
    </row>
    <row r="246" spans="1:19" ht="30" customHeight="1" x14ac:dyDescent="0.45">
      <c r="A246" s="933"/>
      <c r="C246" s="934"/>
      <c r="D246" s="934"/>
      <c r="E246" s="934"/>
      <c r="F246" s="954" t="s">
        <v>2869</v>
      </c>
      <c r="G246" s="956">
        <v>44226</v>
      </c>
      <c r="H246" s="936">
        <v>532552</v>
      </c>
      <c r="I246" s="934"/>
      <c r="J246" s="935">
        <f t="shared" si="35"/>
        <v>44226</v>
      </c>
      <c r="K246" s="936">
        <f t="shared" si="36"/>
        <v>61</v>
      </c>
      <c r="L246" s="936">
        <f t="shared" si="37"/>
        <v>532552</v>
      </c>
      <c r="M246" s="936">
        <f t="shared" si="38"/>
        <v>0</v>
      </c>
      <c r="N246" s="936">
        <f t="shared" si="39"/>
        <v>0</v>
      </c>
      <c r="O246" s="936">
        <f t="shared" si="40"/>
        <v>0</v>
      </c>
      <c r="P246" s="937">
        <f t="shared" si="41"/>
        <v>0</v>
      </c>
      <c r="Q246" s="938"/>
      <c r="R246" s="938"/>
      <c r="S246" s="939">
        <f t="shared" si="42"/>
        <v>532552</v>
      </c>
    </row>
    <row r="247" spans="1:19" ht="30" customHeight="1" x14ac:dyDescent="0.45">
      <c r="A247" s="933"/>
      <c r="C247" s="934"/>
      <c r="D247" s="934"/>
      <c r="E247" s="934"/>
      <c r="F247" s="954" t="s">
        <v>2870</v>
      </c>
      <c r="G247" s="956">
        <v>44234</v>
      </c>
      <c r="H247" s="936">
        <v>524250</v>
      </c>
      <c r="I247" s="934"/>
      <c r="J247" s="935">
        <f t="shared" si="35"/>
        <v>44234</v>
      </c>
      <c r="K247" s="936">
        <f t="shared" si="36"/>
        <v>53</v>
      </c>
      <c r="L247" s="936">
        <f t="shared" si="37"/>
        <v>524250</v>
      </c>
      <c r="M247" s="936">
        <f t="shared" si="38"/>
        <v>0</v>
      </c>
      <c r="N247" s="936">
        <f t="shared" si="39"/>
        <v>0</v>
      </c>
      <c r="O247" s="936">
        <f t="shared" si="40"/>
        <v>0</v>
      </c>
      <c r="P247" s="937">
        <f t="shared" si="41"/>
        <v>0</v>
      </c>
      <c r="Q247" s="938"/>
      <c r="R247" s="938"/>
      <c r="S247" s="939">
        <f t="shared" si="42"/>
        <v>524250</v>
      </c>
    </row>
    <row r="248" spans="1:19" ht="30" customHeight="1" x14ac:dyDescent="0.45">
      <c r="A248" s="933"/>
      <c r="C248" s="934"/>
      <c r="D248" s="934"/>
      <c r="E248" s="934"/>
      <c r="F248" s="954" t="s">
        <v>2871</v>
      </c>
      <c r="G248" s="956">
        <v>44253</v>
      </c>
      <c r="H248" s="936">
        <v>186762</v>
      </c>
      <c r="I248" s="934"/>
      <c r="J248" s="935">
        <f t="shared" si="35"/>
        <v>44253</v>
      </c>
      <c r="K248" s="936">
        <f t="shared" si="36"/>
        <v>34</v>
      </c>
      <c r="L248" s="936">
        <f t="shared" si="37"/>
        <v>186762</v>
      </c>
      <c r="M248" s="936">
        <f t="shared" si="38"/>
        <v>0</v>
      </c>
      <c r="N248" s="936">
        <f t="shared" si="39"/>
        <v>0</v>
      </c>
      <c r="O248" s="936">
        <f t="shared" si="40"/>
        <v>0</v>
      </c>
      <c r="P248" s="937">
        <f t="shared" si="41"/>
        <v>0</v>
      </c>
      <c r="Q248" s="938"/>
      <c r="R248" s="938"/>
      <c r="S248" s="939">
        <f t="shared" si="42"/>
        <v>186762</v>
      </c>
    </row>
    <row r="249" spans="1:19" ht="30" customHeight="1" x14ac:dyDescent="0.45">
      <c r="A249" s="933"/>
      <c r="C249" s="934"/>
      <c r="D249" s="934"/>
      <c r="E249" s="934"/>
      <c r="F249" s="954" t="s">
        <v>2872</v>
      </c>
      <c r="G249" s="956">
        <v>44253</v>
      </c>
      <c r="H249" s="936">
        <v>545505</v>
      </c>
      <c r="I249" s="934"/>
      <c r="J249" s="935">
        <f t="shared" si="35"/>
        <v>44253</v>
      </c>
      <c r="K249" s="936">
        <f t="shared" si="36"/>
        <v>34</v>
      </c>
      <c r="L249" s="936">
        <f t="shared" si="37"/>
        <v>545505</v>
      </c>
      <c r="M249" s="936">
        <f t="shared" si="38"/>
        <v>0</v>
      </c>
      <c r="N249" s="936">
        <f t="shared" si="39"/>
        <v>0</v>
      </c>
      <c r="O249" s="936">
        <f t="shared" si="40"/>
        <v>0</v>
      </c>
      <c r="P249" s="937">
        <f t="shared" si="41"/>
        <v>0</v>
      </c>
      <c r="Q249" s="938"/>
      <c r="R249" s="938"/>
      <c r="S249" s="939">
        <f t="shared" si="42"/>
        <v>545505</v>
      </c>
    </row>
    <row r="250" spans="1:19" ht="30" customHeight="1" x14ac:dyDescent="0.45">
      <c r="A250" s="933"/>
      <c r="C250" s="934"/>
      <c r="D250" s="934"/>
      <c r="E250" s="934"/>
      <c r="F250" s="954" t="s">
        <v>2873</v>
      </c>
      <c r="G250" s="956">
        <v>44263</v>
      </c>
      <c r="H250" s="936">
        <v>666219</v>
      </c>
      <c r="I250" s="934"/>
      <c r="J250" s="935">
        <f t="shared" si="35"/>
        <v>44263</v>
      </c>
      <c r="K250" s="936">
        <f t="shared" si="36"/>
        <v>24</v>
      </c>
      <c r="L250" s="936">
        <f t="shared" si="37"/>
        <v>666219</v>
      </c>
      <c r="M250" s="936">
        <f t="shared" si="38"/>
        <v>0</v>
      </c>
      <c r="N250" s="936">
        <f t="shared" si="39"/>
        <v>0</v>
      </c>
      <c r="O250" s="936">
        <f t="shared" si="40"/>
        <v>0</v>
      </c>
      <c r="P250" s="937">
        <f t="shared" si="41"/>
        <v>0</v>
      </c>
      <c r="Q250" s="938"/>
      <c r="R250" s="938"/>
      <c r="S250" s="939">
        <f t="shared" si="42"/>
        <v>666219</v>
      </c>
    </row>
    <row r="251" spans="1:19" ht="30" customHeight="1" x14ac:dyDescent="0.45">
      <c r="A251" s="933"/>
      <c r="C251" s="934"/>
      <c r="D251" s="934"/>
      <c r="E251" s="934"/>
      <c r="F251" s="954" t="s">
        <v>2874</v>
      </c>
      <c r="G251" s="956">
        <v>44271</v>
      </c>
      <c r="H251" s="936">
        <v>222885</v>
      </c>
      <c r="I251" s="934"/>
      <c r="J251" s="935">
        <f t="shared" si="35"/>
        <v>44271</v>
      </c>
      <c r="K251" s="936">
        <f t="shared" si="36"/>
        <v>16</v>
      </c>
      <c r="L251" s="936">
        <f t="shared" si="37"/>
        <v>222885</v>
      </c>
      <c r="M251" s="936">
        <f t="shared" si="38"/>
        <v>0</v>
      </c>
      <c r="N251" s="936">
        <f t="shared" si="39"/>
        <v>0</v>
      </c>
      <c r="O251" s="936">
        <f t="shared" si="40"/>
        <v>0</v>
      </c>
      <c r="P251" s="937">
        <f t="shared" si="41"/>
        <v>0</v>
      </c>
      <c r="Q251" s="938"/>
      <c r="R251" s="938"/>
      <c r="S251" s="939">
        <f t="shared" si="42"/>
        <v>222885</v>
      </c>
    </row>
    <row r="252" spans="1:19" ht="30" customHeight="1" x14ac:dyDescent="0.45">
      <c r="A252" s="933"/>
      <c r="C252" s="934"/>
      <c r="D252" s="934"/>
      <c r="E252" s="934"/>
      <c r="F252" s="954" t="s">
        <v>2875</v>
      </c>
      <c r="G252" s="956">
        <v>44286</v>
      </c>
      <c r="H252" s="936">
        <v>677756</v>
      </c>
      <c r="I252" s="934"/>
      <c r="J252" s="935">
        <f t="shared" si="35"/>
        <v>44286</v>
      </c>
      <c r="K252" s="936">
        <f t="shared" si="36"/>
        <v>1</v>
      </c>
      <c r="L252" s="936">
        <f t="shared" si="37"/>
        <v>677756</v>
      </c>
      <c r="M252" s="936">
        <f t="shared" si="38"/>
        <v>0</v>
      </c>
      <c r="N252" s="936">
        <f t="shared" si="39"/>
        <v>0</v>
      </c>
      <c r="O252" s="936">
        <f t="shared" si="40"/>
        <v>0</v>
      </c>
      <c r="P252" s="937">
        <f t="shared" si="41"/>
        <v>0</v>
      </c>
      <c r="Q252" s="938"/>
      <c r="R252" s="938"/>
      <c r="S252" s="939">
        <f t="shared" si="42"/>
        <v>677756</v>
      </c>
    </row>
    <row r="253" spans="1:19" ht="30" customHeight="1" x14ac:dyDescent="0.45">
      <c r="A253" s="933"/>
      <c r="C253" s="934"/>
      <c r="D253" s="934"/>
      <c r="E253" s="934"/>
      <c r="F253" s="934"/>
      <c r="G253" s="935"/>
      <c r="H253" s="936">
        <v>1</v>
      </c>
      <c r="I253" s="934"/>
      <c r="J253" s="935">
        <f t="shared" si="35"/>
        <v>0</v>
      </c>
      <c r="K253" s="936">
        <f t="shared" si="36"/>
        <v>44287</v>
      </c>
      <c r="L253" s="936">
        <f t="shared" si="37"/>
        <v>0</v>
      </c>
      <c r="M253" s="936">
        <f t="shared" si="38"/>
        <v>0</v>
      </c>
      <c r="N253" s="936">
        <f t="shared" si="39"/>
        <v>0</v>
      </c>
      <c r="O253" s="936">
        <f t="shared" si="40"/>
        <v>0</v>
      </c>
      <c r="P253" s="937">
        <f t="shared" si="41"/>
        <v>1</v>
      </c>
      <c r="Q253" s="938"/>
      <c r="R253" s="938"/>
      <c r="S253" s="939">
        <f t="shared" si="42"/>
        <v>1</v>
      </c>
    </row>
    <row r="254" spans="1:19" ht="30" customHeight="1" x14ac:dyDescent="0.45">
      <c r="A254" s="933"/>
      <c r="C254" s="934"/>
      <c r="D254" s="934"/>
      <c r="E254" s="934"/>
      <c r="F254" s="934"/>
      <c r="G254" s="935"/>
      <c r="H254" s="965"/>
      <c r="I254" s="934"/>
      <c r="J254" s="935">
        <f t="shared" si="35"/>
        <v>0</v>
      </c>
      <c r="K254" s="936">
        <f t="shared" si="36"/>
        <v>44287</v>
      </c>
      <c r="L254" s="936">
        <f t="shared" si="37"/>
        <v>0</v>
      </c>
      <c r="M254" s="936">
        <f t="shared" si="38"/>
        <v>0</v>
      </c>
      <c r="N254" s="936">
        <f t="shared" si="39"/>
        <v>0</v>
      </c>
      <c r="O254" s="936">
        <f t="shared" si="40"/>
        <v>0</v>
      </c>
      <c r="P254" s="937">
        <f t="shared" si="41"/>
        <v>0</v>
      </c>
      <c r="Q254" s="938"/>
      <c r="R254" s="938"/>
      <c r="S254" s="939">
        <f t="shared" si="42"/>
        <v>0</v>
      </c>
    </row>
    <row r="255" spans="1:19" ht="30" customHeight="1" x14ac:dyDescent="0.45">
      <c r="A255" s="933"/>
      <c r="C255" s="934"/>
      <c r="D255" s="940" t="s">
        <v>326</v>
      </c>
      <c r="E255" s="934"/>
      <c r="F255" s="971">
        <v>2617</v>
      </c>
      <c r="G255" s="972">
        <v>43898</v>
      </c>
      <c r="H255" s="973">
        <v>-77</v>
      </c>
      <c r="I255" s="967"/>
      <c r="J255" s="935">
        <f t="shared" si="35"/>
        <v>43898</v>
      </c>
      <c r="K255" s="936">
        <f t="shared" si="36"/>
        <v>389</v>
      </c>
      <c r="L255" s="936">
        <f t="shared" si="37"/>
        <v>0</v>
      </c>
      <c r="M255" s="936">
        <f t="shared" si="38"/>
        <v>0</v>
      </c>
      <c r="N255" s="936">
        <f t="shared" si="39"/>
        <v>0</v>
      </c>
      <c r="O255" s="936">
        <f t="shared" si="40"/>
        <v>-77</v>
      </c>
      <c r="P255" s="937">
        <f t="shared" si="41"/>
        <v>0</v>
      </c>
      <c r="Q255" s="938"/>
      <c r="R255" s="938"/>
      <c r="S255" s="939">
        <f t="shared" si="42"/>
        <v>-77</v>
      </c>
    </row>
    <row r="256" spans="1:19" ht="30" customHeight="1" x14ac:dyDescent="0.45">
      <c r="A256" s="933"/>
      <c r="C256" s="934"/>
      <c r="D256" s="934"/>
      <c r="E256" s="934"/>
      <c r="F256" s="954" t="s">
        <v>2876</v>
      </c>
      <c r="G256" s="955">
        <v>44135</v>
      </c>
      <c r="H256" s="973">
        <v>12199</v>
      </c>
      <c r="I256" s="967"/>
      <c r="J256" s="935">
        <f t="shared" si="35"/>
        <v>44135</v>
      </c>
      <c r="K256" s="936">
        <f t="shared" si="36"/>
        <v>152</v>
      </c>
      <c r="L256" s="936">
        <f t="shared" si="37"/>
        <v>0</v>
      </c>
      <c r="M256" s="936">
        <f t="shared" si="38"/>
        <v>12199</v>
      </c>
      <c r="N256" s="936">
        <f t="shared" si="39"/>
        <v>0</v>
      </c>
      <c r="O256" s="936">
        <f t="shared" si="40"/>
        <v>0</v>
      </c>
      <c r="P256" s="937">
        <f t="shared" si="41"/>
        <v>0</v>
      </c>
      <c r="Q256" s="938"/>
      <c r="R256" s="938"/>
      <c r="S256" s="939">
        <f t="shared" si="42"/>
        <v>12199</v>
      </c>
    </row>
    <row r="257" spans="1:19" ht="30" customHeight="1" x14ac:dyDescent="0.45">
      <c r="A257" s="933"/>
      <c r="C257" s="934"/>
      <c r="D257" s="934"/>
      <c r="E257" s="934"/>
      <c r="F257" s="954" t="s">
        <v>2877</v>
      </c>
      <c r="G257" s="956">
        <v>44228</v>
      </c>
      <c r="H257" s="973">
        <v>-11810</v>
      </c>
      <c r="I257" s="967"/>
      <c r="J257" s="935">
        <f t="shared" si="35"/>
        <v>44228</v>
      </c>
      <c r="K257" s="936">
        <f t="shared" si="36"/>
        <v>59</v>
      </c>
      <c r="L257" s="936">
        <f t="shared" si="37"/>
        <v>-11810</v>
      </c>
      <c r="M257" s="936">
        <f t="shared" si="38"/>
        <v>0</v>
      </c>
      <c r="N257" s="936">
        <f t="shared" si="39"/>
        <v>0</v>
      </c>
      <c r="O257" s="936">
        <f t="shared" si="40"/>
        <v>0</v>
      </c>
      <c r="P257" s="937">
        <f t="shared" si="41"/>
        <v>0</v>
      </c>
      <c r="Q257" s="938"/>
      <c r="R257" s="938"/>
      <c r="S257" s="939">
        <f t="shared" si="42"/>
        <v>-11810</v>
      </c>
    </row>
    <row r="258" spans="1:19" ht="30" customHeight="1" x14ac:dyDescent="0.45">
      <c r="A258" s="933"/>
      <c r="C258" s="934"/>
      <c r="D258" s="934"/>
      <c r="E258" s="934"/>
      <c r="F258" s="954" t="s">
        <v>2878</v>
      </c>
      <c r="G258" s="956">
        <v>44229</v>
      </c>
      <c r="H258" s="973">
        <v>-12333</v>
      </c>
      <c r="I258" s="967"/>
      <c r="J258" s="935">
        <f t="shared" si="35"/>
        <v>44229</v>
      </c>
      <c r="K258" s="936">
        <f t="shared" si="36"/>
        <v>58</v>
      </c>
      <c r="L258" s="936">
        <f t="shared" si="37"/>
        <v>-12333</v>
      </c>
      <c r="M258" s="936">
        <f t="shared" si="38"/>
        <v>0</v>
      </c>
      <c r="N258" s="936">
        <f t="shared" si="39"/>
        <v>0</v>
      </c>
      <c r="O258" s="936">
        <f t="shared" si="40"/>
        <v>0</v>
      </c>
      <c r="P258" s="937">
        <f t="shared" si="41"/>
        <v>0</v>
      </c>
      <c r="Q258" s="938"/>
      <c r="R258" s="938"/>
      <c r="S258" s="939">
        <f t="shared" si="42"/>
        <v>-12333</v>
      </c>
    </row>
    <row r="259" spans="1:19" ht="30" customHeight="1" x14ac:dyDescent="0.45">
      <c r="A259" s="933"/>
      <c r="C259" s="934"/>
      <c r="D259" s="934"/>
      <c r="E259" s="934"/>
      <c r="F259" s="954" t="s">
        <v>2879</v>
      </c>
      <c r="G259" s="956">
        <v>44231</v>
      </c>
      <c r="H259" s="973">
        <v>-18569</v>
      </c>
      <c r="I259" s="967"/>
      <c r="J259" s="935">
        <f t="shared" si="35"/>
        <v>44231</v>
      </c>
      <c r="K259" s="936">
        <f t="shared" si="36"/>
        <v>56</v>
      </c>
      <c r="L259" s="936">
        <f t="shared" si="37"/>
        <v>-18569</v>
      </c>
      <c r="M259" s="936">
        <f t="shared" si="38"/>
        <v>0</v>
      </c>
      <c r="N259" s="936">
        <f t="shared" si="39"/>
        <v>0</v>
      </c>
      <c r="O259" s="936">
        <f t="shared" si="40"/>
        <v>0</v>
      </c>
      <c r="P259" s="937">
        <f t="shared" si="41"/>
        <v>0</v>
      </c>
      <c r="Q259" s="938"/>
      <c r="R259" s="938"/>
      <c r="S259" s="939">
        <f t="shared" si="42"/>
        <v>-18569</v>
      </c>
    </row>
    <row r="260" spans="1:19" ht="30" customHeight="1" x14ac:dyDescent="0.45">
      <c r="A260" s="933"/>
      <c r="C260" s="934"/>
      <c r="D260" s="934"/>
      <c r="E260" s="934"/>
      <c r="F260" s="954" t="s">
        <v>2880</v>
      </c>
      <c r="G260" s="956">
        <v>44233</v>
      </c>
      <c r="H260" s="973">
        <v>-6460</v>
      </c>
      <c r="I260" s="967"/>
      <c r="J260" s="935">
        <f t="shared" si="35"/>
        <v>44233</v>
      </c>
      <c r="K260" s="936">
        <f t="shared" si="36"/>
        <v>54</v>
      </c>
      <c r="L260" s="936">
        <f t="shared" si="37"/>
        <v>-6460</v>
      </c>
      <c r="M260" s="936">
        <f t="shared" si="38"/>
        <v>0</v>
      </c>
      <c r="N260" s="936">
        <f t="shared" si="39"/>
        <v>0</v>
      </c>
      <c r="O260" s="936">
        <f t="shared" si="40"/>
        <v>0</v>
      </c>
      <c r="P260" s="937">
        <f t="shared" si="41"/>
        <v>0</v>
      </c>
      <c r="Q260" s="938"/>
      <c r="R260" s="938"/>
      <c r="S260" s="939">
        <f t="shared" si="42"/>
        <v>-6460</v>
      </c>
    </row>
    <row r="261" spans="1:19" ht="30" customHeight="1" x14ac:dyDescent="0.45">
      <c r="A261" s="933"/>
      <c r="C261" s="934"/>
      <c r="D261" s="934"/>
      <c r="E261" s="934"/>
      <c r="F261" s="954" t="s">
        <v>2881</v>
      </c>
      <c r="G261" s="956">
        <v>44234</v>
      </c>
      <c r="H261" s="973">
        <v>-13764</v>
      </c>
      <c r="I261" s="967"/>
      <c r="J261" s="935">
        <f t="shared" si="35"/>
        <v>44234</v>
      </c>
      <c r="K261" s="936">
        <f t="shared" si="36"/>
        <v>53</v>
      </c>
      <c r="L261" s="936">
        <f t="shared" si="37"/>
        <v>-13764</v>
      </c>
      <c r="M261" s="936">
        <f t="shared" si="38"/>
        <v>0</v>
      </c>
      <c r="N261" s="936">
        <f t="shared" si="39"/>
        <v>0</v>
      </c>
      <c r="O261" s="936">
        <f t="shared" si="40"/>
        <v>0</v>
      </c>
      <c r="P261" s="937">
        <f t="shared" si="41"/>
        <v>0</v>
      </c>
      <c r="Q261" s="938"/>
      <c r="R261" s="938"/>
      <c r="S261" s="939">
        <f t="shared" si="42"/>
        <v>-13764</v>
      </c>
    </row>
    <row r="262" spans="1:19" ht="30" customHeight="1" x14ac:dyDescent="0.45">
      <c r="A262" s="933"/>
      <c r="C262" s="934"/>
      <c r="D262" s="934"/>
      <c r="E262" s="934"/>
      <c r="F262" s="954" t="s">
        <v>2882</v>
      </c>
      <c r="G262" s="956">
        <v>44235</v>
      </c>
      <c r="H262" s="973">
        <v>262552</v>
      </c>
      <c r="I262" s="967"/>
      <c r="J262" s="935">
        <f t="shared" si="35"/>
        <v>44235</v>
      </c>
      <c r="K262" s="936">
        <f t="shared" si="36"/>
        <v>52</v>
      </c>
      <c r="L262" s="936">
        <f t="shared" si="37"/>
        <v>262552</v>
      </c>
      <c r="M262" s="936">
        <f t="shared" si="38"/>
        <v>0</v>
      </c>
      <c r="N262" s="936">
        <f t="shared" si="39"/>
        <v>0</v>
      </c>
      <c r="O262" s="936">
        <f t="shared" si="40"/>
        <v>0</v>
      </c>
      <c r="P262" s="937">
        <f t="shared" si="41"/>
        <v>0</v>
      </c>
      <c r="Q262" s="938"/>
      <c r="R262" s="938"/>
      <c r="S262" s="939">
        <f t="shared" si="42"/>
        <v>262552</v>
      </c>
    </row>
    <row r="263" spans="1:19" ht="30" customHeight="1" x14ac:dyDescent="0.45">
      <c r="A263" s="933"/>
      <c r="C263" s="934"/>
      <c r="D263" s="934"/>
      <c r="E263" s="934"/>
      <c r="F263" s="954" t="s">
        <v>2883</v>
      </c>
      <c r="G263" s="956">
        <v>44236</v>
      </c>
      <c r="H263" s="973">
        <v>313214</v>
      </c>
      <c r="I263" s="967"/>
      <c r="J263" s="935">
        <f t="shared" si="35"/>
        <v>44236</v>
      </c>
      <c r="K263" s="936">
        <f t="shared" si="36"/>
        <v>51</v>
      </c>
      <c r="L263" s="936">
        <f t="shared" si="37"/>
        <v>313214</v>
      </c>
      <c r="M263" s="936">
        <f t="shared" si="38"/>
        <v>0</v>
      </c>
      <c r="N263" s="936">
        <f t="shared" si="39"/>
        <v>0</v>
      </c>
      <c r="O263" s="936">
        <f t="shared" si="40"/>
        <v>0</v>
      </c>
      <c r="P263" s="937">
        <f t="shared" si="41"/>
        <v>0</v>
      </c>
      <c r="Q263" s="938"/>
      <c r="R263" s="938"/>
      <c r="S263" s="939">
        <f t="shared" si="42"/>
        <v>313214</v>
      </c>
    </row>
    <row r="264" spans="1:19" ht="30" customHeight="1" x14ac:dyDescent="0.45">
      <c r="A264" s="933"/>
      <c r="C264" s="934"/>
      <c r="D264" s="934"/>
      <c r="E264" s="934"/>
      <c r="F264" s="954" t="s">
        <v>2884</v>
      </c>
      <c r="G264" s="956">
        <v>44238</v>
      </c>
      <c r="H264" s="973">
        <v>727570</v>
      </c>
      <c r="I264" s="967"/>
      <c r="J264" s="935">
        <f t="shared" si="35"/>
        <v>44238</v>
      </c>
      <c r="K264" s="936">
        <f t="shared" si="36"/>
        <v>49</v>
      </c>
      <c r="L264" s="936">
        <f t="shared" si="37"/>
        <v>727570</v>
      </c>
      <c r="M264" s="936">
        <f t="shared" si="38"/>
        <v>0</v>
      </c>
      <c r="N264" s="936">
        <f t="shared" si="39"/>
        <v>0</v>
      </c>
      <c r="O264" s="936">
        <f t="shared" si="40"/>
        <v>0</v>
      </c>
      <c r="P264" s="937">
        <f t="shared" si="41"/>
        <v>0</v>
      </c>
      <c r="Q264" s="938"/>
      <c r="R264" s="938"/>
      <c r="S264" s="939">
        <f t="shared" si="42"/>
        <v>727570</v>
      </c>
    </row>
    <row r="265" spans="1:19" ht="30" customHeight="1" x14ac:dyDescent="0.45">
      <c r="A265" s="933"/>
      <c r="C265" s="934"/>
      <c r="D265" s="934"/>
      <c r="E265" s="934"/>
      <c r="F265" s="954" t="s">
        <v>2885</v>
      </c>
      <c r="G265" s="956">
        <v>44238</v>
      </c>
      <c r="H265" s="973">
        <v>549215</v>
      </c>
      <c r="I265" s="967"/>
      <c r="J265" s="935">
        <f t="shared" si="35"/>
        <v>44238</v>
      </c>
      <c r="K265" s="936">
        <f t="shared" si="36"/>
        <v>49</v>
      </c>
      <c r="L265" s="936">
        <f t="shared" si="37"/>
        <v>549215</v>
      </c>
      <c r="M265" s="936">
        <f t="shared" si="38"/>
        <v>0</v>
      </c>
      <c r="N265" s="936">
        <f t="shared" si="39"/>
        <v>0</v>
      </c>
      <c r="O265" s="936">
        <f t="shared" si="40"/>
        <v>0</v>
      </c>
      <c r="P265" s="937">
        <f t="shared" si="41"/>
        <v>0</v>
      </c>
      <c r="Q265" s="938"/>
      <c r="R265" s="938"/>
      <c r="S265" s="939">
        <f t="shared" si="42"/>
        <v>549215</v>
      </c>
    </row>
    <row r="266" spans="1:19" ht="30" customHeight="1" x14ac:dyDescent="0.45">
      <c r="A266" s="933"/>
      <c r="C266" s="934"/>
      <c r="D266" s="934"/>
      <c r="E266" s="934"/>
      <c r="F266" s="954" t="s">
        <v>2886</v>
      </c>
      <c r="G266" s="956">
        <v>44240</v>
      </c>
      <c r="H266" s="973">
        <v>307686</v>
      </c>
      <c r="I266" s="967"/>
      <c r="J266" s="935">
        <f t="shared" si="35"/>
        <v>44240</v>
      </c>
      <c r="K266" s="936">
        <f t="shared" si="36"/>
        <v>47</v>
      </c>
      <c r="L266" s="936">
        <f t="shared" si="37"/>
        <v>307686</v>
      </c>
      <c r="M266" s="936">
        <f t="shared" si="38"/>
        <v>0</v>
      </c>
      <c r="N266" s="936">
        <f t="shared" si="39"/>
        <v>0</v>
      </c>
      <c r="O266" s="936">
        <f t="shared" si="40"/>
        <v>0</v>
      </c>
      <c r="P266" s="937">
        <f t="shared" si="41"/>
        <v>0</v>
      </c>
      <c r="Q266" s="938"/>
      <c r="R266" s="938"/>
      <c r="S266" s="939">
        <f t="shared" si="42"/>
        <v>307686</v>
      </c>
    </row>
    <row r="267" spans="1:19" ht="30" customHeight="1" x14ac:dyDescent="0.45">
      <c r="A267" s="933"/>
      <c r="C267" s="934"/>
      <c r="D267" s="934"/>
      <c r="E267" s="934"/>
      <c r="F267" s="954" t="s">
        <v>2887</v>
      </c>
      <c r="G267" s="956">
        <v>44240</v>
      </c>
      <c r="H267" s="973">
        <v>165692</v>
      </c>
      <c r="I267" s="967"/>
      <c r="J267" s="935">
        <f t="shared" si="35"/>
        <v>44240</v>
      </c>
      <c r="K267" s="936">
        <f t="shared" si="36"/>
        <v>47</v>
      </c>
      <c r="L267" s="936">
        <f t="shared" si="37"/>
        <v>165692</v>
      </c>
      <c r="M267" s="936">
        <f t="shared" si="38"/>
        <v>0</v>
      </c>
      <c r="N267" s="936">
        <f t="shared" si="39"/>
        <v>0</v>
      </c>
      <c r="O267" s="936">
        <f t="shared" si="40"/>
        <v>0</v>
      </c>
      <c r="P267" s="937">
        <f t="shared" si="41"/>
        <v>0</v>
      </c>
      <c r="Q267" s="938"/>
      <c r="R267" s="938"/>
      <c r="S267" s="939">
        <f t="shared" si="42"/>
        <v>165692</v>
      </c>
    </row>
    <row r="268" spans="1:19" ht="30" customHeight="1" x14ac:dyDescent="0.45">
      <c r="A268" s="933"/>
      <c r="C268" s="934"/>
      <c r="D268" s="934"/>
      <c r="E268" s="934"/>
      <c r="F268" s="954" t="s">
        <v>2888</v>
      </c>
      <c r="G268" s="956">
        <v>44243</v>
      </c>
      <c r="H268" s="973">
        <v>589519</v>
      </c>
      <c r="I268" s="967"/>
      <c r="J268" s="935">
        <f t="shared" si="35"/>
        <v>44243</v>
      </c>
      <c r="K268" s="936">
        <f t="shared" si="36"/>
        <v>44</v>
      </c>
      <c r="L268" s="936">
        <f t="shared" si="37"/>
        <v>589519</v>
      </c>
      <c r="M268" s="936">
        <f t="shared" si="38"/>
        <v>0</v>
      </c>
      <c r="N268" s="936">
        <f t="shared" si="39"/>
        <v>0</v>
      </c>
      <c r="O268" s="936">
        <f t="shared" si="40"/>
        <v>0</v>
      </c>
      <c r="P268" s="937">
        <f t="shared" si="41"/>
        <v>0</v>
      </c>
      <c r="Q268" s="938"/>
      <c r="R268" s="938"/>
      <c r="S268" s="939">
        <f t="shared" si="42"/>
        <v>589519</v>
      </c>
    </row>
    <row r="269" spans="1:19" ht="30" customHeight="1" x14ac:dyDescent="0.45">
      <c r="A269" s="933"/>
      <c r="C269" s="934"/>
      <c r="D269" s="934"/>
      <c r="E269" s="934"/>
      <c r="F269" s="954" t="s">
        <v>2889</v>
      </c>
      <c r="G269" s="956">
        <v>44243</v>
      </c>
      <c r="H269" s="973">
        <v>272874</v>
      </c>
      <c r="I269" s="967"/>
      <c r="J269" s="935">
        <f t="shared" si="35"/>
        <v>44243</v>
      </c>
      <c r="K269" s="936">
        <f t="shared" si="36"/>
        <v>44</v>
      </c>
      <c r="L269" s="936">
        <f t="shared" si="37"/>
        <v>272874</v>
      </c>
      <c r="M269" s="936">
        <f t="shared" si="38"/>
        <v>0</v>
      </c>
      <c r="N269" s="936">
        <f t="shared" si="39"/>
        <v>0</v>
      </c>
      <c r="O269" s="936">
        <f t="shared" si="40"/>
        <v>0</v>
      </c>
      <c r="P269" s="937">
        <f t="shared" si="41"/>
        <v>0</v>
      </c>
      <c r="Q269" s="938"/>
      <c r="R269" s="938"/>
      <c r="S269" s="939">
        <f t="shared" si="42"/>
        <v>272874</v>
      </c>
    </row>
    <row r="270" spans="1:19" ht="30" customHeight="1" x14ac:dyDescent="0.45">
      <c r="A270" s="933"/>
      <c r="C270" s="934"/>
      <c r="D270" s="934"/>
      <c r="E270" s="934"/>
      <c r="F270" s="954" t="s">
        <v>2890</v>
      </c>
      <c r="G270" s="956">
        <v>44245</v>
      </c>
      <c r="H270" s="973">
        <v>551474</v>
      </c>
      <c r="I270" s="967"/>
      <c r="J270" s="935">
        <f t="shared" si="35"/>
        <v>44245</v>
      </c>
      <c r="K270" s="936">
        <f t="shared" si="36"/>
        <v>42</v>
      </c>
      <c r="L270" s="936">
        <f t="shared" si="37"/>
        <v>551474</v>
      </c>
      <c r="M270" s="936">
        <f t="shared" si="38"/>
        <v>0</v>
      </c>
      <c r="N270" s="936">
        <f t="shared" si="39"/>
        <v>0</v>
      </c>
      <c r="O270" s="936">
        <f t="shared" si="40"/>
        <v>0</v>
      </c>
      <c r="P270" s="937">
        <f t="shared" si="41"/>
        <v>0</v>
      </c>
      <c r="Q270" s="938"/>
      <c r="R270" s="938"/>
      <c r="S270" s="939">
        <f t="shared" si="42"/>
        <v>551474</v>
      </c>
    </row>
    <row r="271" spans="1:19" ht="30" customHeight="1" x14ac:dyDescent="0.45">
      <c r="A271" s="933"/>
      <c r="C271" s="934"/>
      <c r="D271" s="934"/>
      <c r="E271" s="934"/>
      <c r="F271" s="954" t="s">
        <v>2891</v>
      </c>
      <c r="G271" s="956">
        <v>44245</v>
      </c>
      <c r="H271" s="973">
        <v>569708</v>
      </c>
      <c r="I271" s="967"/>
      <c r="J271" s="935">
        <f t="shared" si="35"/>
        <v>44245</v>
      </c>
      <c r="K271" s="936">
        <f t="shared" si="36"/>
        <v>42</v>
      </c>
      <c r="L271" s="936">
        <f t="shared" si="37"/>
        <v>569708</v>
      </c>
      <c r="M271" s="936">
        <f t="shared" si="38"/>
        <v>0</v>
      </c>
      <c r="N271" s="936">
        <f t="shared" si="39"/>
        <v>0</v>
      </c>
      <c r="O271" s="936">
        <f t="shared" si="40"/>
        <v>0</v>
      </c>
      <c r="P271" s="937">
        <f t="shared" si="41"/>
        <v>0</v>
      </c>
      <c r="Q271" s="938"/>
      <c r="R271" s="938"/>
      <c r="S271" s="939">
        <f t="shared" si="42"/>
        <v>569708</v>
      </c>
    </row>
    <row r="272" spans="1:19" ht="30" customHeight="1" x14ac:dyDescent="0.45">
      <c r="A272" s="933"/>
      <c r="C272" s="934"/>
      <c r="D272" s="934"/>
      <c r="E272" s="934"/>
      <c r="F272" s="954" t="s">
        <v>2892</v>
      </c>
      <c r="G272" s="956">
        <v>44246</v>
      </c>
      <c r="H272" s="973">
        <v>171026</v>
      </c>
      <c r="I272" s="967"/>
      <c r="J272" s="935">
        <f t="shared" si="35"/>
        <v>44246</v>
      </c>
      <c r="K272" s="936">
        <f t="shared" si="36"/>
        <v>41</v>
      </c>
      <c r="L272" s="936">
        <f t="shared" si="37"/>
        <v>171026</v>
      </c>
      <c r="M272" s="936">
        <f t="shared" si="38"/>
        <v>0</v>
      </c>
      <c r="N272" s="936">
        <f t="shared" si="39"/>
        <v>0</v>
      </c>
      <c r="O272" s="936">
        <f t="shared" si="40"/>
        <v>0</v>
      </c>
      <c r="P272" s="937">
        <f t="shared" si="41"/>
        <v>0</v>
      </c>
      <c r="Q272" s="938"/>
      <c r="R272" s="938"/>
      <c r="S272" s="939">
        <f t="shared" si="42"/>
        <v>171026</v>
      </c>
    </row>
    <row r="273" spans="1:19" ht="30" customHeight="1" x14ac:dyDescent="0.45">
      <c r="A273" s="933"/>
      <c r="C273" s="934"/>
      <c r="D273" s="934"/>
      <c r="E273" s="934"/>
      <c r="F273" s="954" t="s">
        <v>2893</v>
      </c>
      <c r="G273" s="956">
        <v>44247</v>
      </c>
      <c r="H273" s="973">
        <v>283400</v>
      </c>
      <c r="I273" s="967"/>
      <c r="J273" s="935">
        <f t="shared" si="35"/>
        <v>44247</v>
      </c>
      <c r="K273" s="936">
        <f t="shared" si="36"/>
        <v>40</v>
      </c>
      <c r="L273" s="936">
        <f t="shared" si="37"/>
        <v>283400</v>
      </c>
      <c r="M273" s="936">
        <f t="shared" si="38"/>
        <v>0</v>
      </c>
      <c r="N273" s="936">
        <f t="shared" si="39"/>
        <v>0</v>
      </c>
      <c r="O273" s="936">
        <f t="shared" si="40"/>
        <v>0</v>
      </c>
      <c r="P273" s="937">
        <f t="shared" si="41"/>
        <v>0</v>
      </c>
      <c r="Q273" s="938"/>
      <c r="R273" s="938"/>
      <c r="S273" s="939">
        <f t="shared" si="42"/>
        <v>283400</v>
      </c>
    </row>
    <row r="274" spans="1:19" ht="30" customHeight="1" x14ac:dyDescent="0.45">
      <c r="A274" s="933"/>
      <c r="C274" s="934"/>
      <c r="D274" s="934"/>
      <c r="E274" s="934"/>
      <c r="F274" s="954" t="s">
        <v>2894</v>
      </c>
      <c r="G274" s="956">
        <v>44247</v>
      </c>
      <c r="H274" s="973">
        <v>60829</v>
      </c>
      <c r="I274" s="967"/>
      <c r="J274" s="935">
        <f t="shared" si="35"/>
        <v>44247</v>
      </c>
      <c r="K274" s="936">
        <f t="shared" si="36"/>
        <v>40</v>
      </c>
      <c r="L274" s="936">
        <f t="shared" si="37"/>
        <v>60829</v>
      </c>
      <c r="M274" s="936">
        <f t="shared" si="38"/>
        <v>0</v>
      </c>
      <c r="N274" s="936">
        <f t="shared" si="39"/>
        <v>0</v>
      </c>
      <c r="O274" s="936">
        <f t="shared" si="40"/>
        <v>0</v>
      </c>
      <c r="P274" s="937">
        <f t="shared" si="41"/>
        <v>0</v>
      </c>
      <c r="Q274" s="938"/>
      <c r="R274" s="938"/>
      <c r="S274" s="939">
        <f t="shared" si="42"/>
        <v>60829</v>
      </c>
    </row>
    <row r="275" spans="1:19" ht="30" customHeight="1" x14ac:dyDescent="0.45">
      <c r="A275" s="933"/>
      <c r="C275" s="934"/>
      <c r="D275" s="934"/>
      <c r="E275" s="934"/>
      <c r="F275" s="954" t="s">
        <v>2895</v>
      </c>
      <c r="G275" s="956">
        <v>44247</v>
      </c>
      <c r="H275" s="973">
        <v>380156</v>
      </c>
      <c r="I275" s="967"/>
      <c r="J275" s="935">
        <f t="shared" si="35"/>
        <v>44247</v>
      </c>
      <c r="K275" s="936">
        <f t="shared" si="36"/>
        <v>40</v>
      </c>
      <c r="L275" s="936">
        <f t="shared" si="37"/>
        <v>380156</v>
      </c>
      <c r="M275" s="936">
        <f t="shared" si="38"/>
        <v>0</v>
      </c>
      <c r="N275" s="936">
        <f t="shared" si="39"/>
        <v>0</v>
      </c>
      <c r="O275" s="936">
        <f t="shared" si="40"/>
        <v>0</v>
      </c>
      <c r="P275" s="937">
        <f t="shared" si="41"/>
        <v>0</v>
      </c>
      <c r="Q275" s="938"/>
      <c r="R275" s="938"/>
      <c r="S275" s="939">
        <f t="shared" si="42"/>
        <v>380156</v>
      </c>
    </row>
    <row r="276" spans="1:19" ht="30" customHeight="1" x14ac:dyDescent="0.45">
      <c r="A276" s="933"/>
      <c r="C276" s="934"/>
      <c r="D276" s="934"/>
      <c r="E276" s="934"/>
      <c r="F276" s="954" t="s">
        <v>2896</v>
      </c>
      <c r="G276" s="956">
        <v>44248</v>
      </c>
      <c r="H276" s="973">
        <v>267224</v>
      </c>
      <c r="I276" s="967"/>
      <c r="J276" s="935">
        <f t="shared" si="35"/>
        <v>44248</v>
      </c>
      <c r="K276" s="936">
        <f t="shared" si="36"/>
        <v>39</v>
      </c>
      <c r="L276" s="936">
        <f t="shared" si="37"/>
        <v>267224</v>
      </c>
      <c r="M276" s="936">
        <f t="shared" si="38"/>
        <v>0</v>
      </c>
      <c r="N276" s="936">
        <f t="shared" si="39"/>
        <v>0</v>
      </c>
      <c r="O276" s="936">
        <f t="shared" si="40"/>
        <v>0</v>
      </c>
      <c r="P276" s="937">
        <f t="shared" si="41"/>
        <v>0</v>
      </c>
      <c r="Q276" s="938"/>
      <c r="R276" s="938"/>
      <c r="S276" s="939">
        <f t="shared" si="42"/>
        <v>267224</v>
      </c>
    </row>
    <row r="277" spans="1:19" ht="30" customHeight="1" x14ac:dyDescent="0.45">
      <c r="A277" s="933"/>
      <c r="C277" s="934"/>
      <c r="D277" s="934"/>
      <c r="E277" s="934"/>
      <c r="F277" s="954" t="s">
        <v>2897</v>
      </c>
      <c r="G277" s="956">
        <v>44248</v>
      </c>
      <c r="H277" s="973">
        <v>344382</v>
      </c>
      <c r="I277" s="967"/>
      <c r="J277" s="935">
        <f t="shared" si="35"/>
        <v>44248</v>
      </c>
      <c r="K277" s="936">
        <f t="shared" si="36"/>
        <v>39</v>
      </c>
      <c r="L277" s="936">
        <f t="shared" si="37"/>
        <v>344382</v>
      </c>
      <c r="M277" s="936">
        <f t="shared" si="38"/>
        <v>0</v>
      </c>
      <c r="N277" s="936">
        <f t="shared" si="39"/>
        <v>0</v>
      </c>
      <c r="O277" s="936">
        <f t="shared" si="40"/>
        <v>0</v>
      </c>
      <c r="P277" s="937">
        <f t="shared" si="41"/>
        <v>0</v>
      </c>
      <c r="Q277" s="938"/>
      <c r="R277" s="938"/>
      <c r="S277" s="939">
        <f t="shared" si="42"/>
        <v>344382</v>
      </c>
    </row>
    <row r="278" spans="1:19" ht="30" customHeight="1" x14ac:dyDescent="0.45">
      <c r="A278" s="933"/>
      <c r="C278" s="934"/>
      <c r="D278" s="934"/>
      <c r="E278" s="934"/>
      <c r="F278" s="954" t="s">
        <v>2898</v>
      </c>
      <c r="G278" s="956">
        <v>44249</v>
      </c>
      <c r="H278" s="973">
        <v>569126</v>
      </c>
      <c r="I278" s="967"/>
      <c r="J278" s="935">
        <f t="shared" si="35"/>
        <v>44249</v>
      </c>
      <c r="K278" s="936">
        <f t="shared" si="36"/>
        <v>38</v>
      </c>
      <c r="L278" s="936">
        <f t="shared" si="37"/>
        <v>569126</v>
      </c>
      <c r="M278" s="936">
        <f t="shared" si="38"/>
        <v>0</v>
      </c>
      <c r="N278" s="936">
        <f t="shared" si="39"/>
        <v>0</v>
      </c>
      <c r="O278" s="936">
        <f t="shared" si="40"/>
        <v>0</v>
      </c>
      <c r="P278" s="937">
        <f t="shared" si="41"/>
        <v>0</v>
      </c>
      <c r="Q278" s="938"/>
      <c r="R278" s="938"/>
      <c r="S278" s="939">
        <f t="shared" si="42"/>
        <v>569126</v>
      </c>
    </row>
    <row r="279" spans="1:19" ht="30" customHeight="1" x14ac:dyDescent="0.45">
      <c r="A279" s="933"/>
      <c r="C279" s="934"/>
      <c r="D279" s="934"/>
      <c r="E279" s="934"/>
      <c r="F279" s="954" t="s">
        <v>2899</v>
      </c>
      <c r="G279" s="956">
        <v>44250</v>
      </c>
      <c r="H279" s="973">
        <v>274138</v>
      </c>
      <c r="I279" s="967"/>
      <c r="J279" s="935">
        <f t="shared" si="35"/>
        <v>44250</v>
      </c>
      <c r="K279" s="936">
        <f t="shared" si="36"/>
        <v>37</v>
      </c>
      <c r="L279" s="936">
        <f t="shared" si="37"/>
        <v>274138</v>
      </c>
      <c r="M279" s="936">
        <f t="shared" si="38"/>
        <v>0</v>
      </c>
      <c r="N279" s="936">
        <f t="shared" si="39"/>
        <v>0</v>
      </c>
      <c r="O279" s="936">
        <f t="shared" si="40"/>
        <v>0</v>
      </c>
      <c r="P279" s="937">
        <f t="shared" si="41"/>
        <v>0</v>
      </c>
      <c r="Q279" s="938"/>
      <c r="R279" s="938"/>
      <c r="S279" s="939">
        <f t="shared" si="42"/>
        <v>274138</v>
      </c>
    </row>
    <row r="280" spans="1:19" ht="30" customHeight="1" x14ac:dyDescent="0.45">
      <c r="A280" s="933"/>
      <c r="C280" s="934"/>
      <c r="D280" s="934"/>
      <c r="E280" s="934"/>
      <c r="F280" s="954" t="s">
        <v>2900</v>
      </c>
      <c r="G280" s="956">
        <v>44250</v>
      </c>
      <c r="H280" s="973">
        <v>339443</v>
      </c>
      <c r="I280" s="967"/>
      <c r="J280" s="935">
        <f t="shared" si="35"/>
        <v>44250</v>
      </c>
      <c r="K280" s="936">
        <f t="shared" si="36"/>
        <v>37</v>
      </c>
      <c r="L280" s="936">
        <f t="shared" si="37"/>
        <v>339443</v>
      </c>
      <c r="M280" s="936">
        <f t="shared" si="38"/>
        <v>0</v>
      </c>
      <c r="N280" s="936">
        <f t="shared" si="39"/>
        <v>0</v>
      </c>
      <c r="O280" s="936">
        <f t="shared" si="40"/>
        <v>0</v>
      </c>
      <c r="P280" s="937">
        <f t="shared" si="41"/>
        <v>0</v>
      </c>
      <c r="Q280" s="938"/>
      <c r="R280" s="938"/>
      <c r="S280" s="939">
        <f t="shared" si="42"/>
        <v>339443</v>
      </c>
    </row>
    <row r="281" spans="1:19" ht="30" customHeight="1" x14ac:dyDescent="0.45">
      <c r="A281" s="933"/>
      <c r="C281" s="934"/>
      <c r="D281" s="934"/>
      <c r="E281" s="934"/>
      <c r="F281" s="954" t="s">
        <v>2901</v>
      </c>
      <c r="G281" s="956">
        <v>44251</v>
      </c>
      <c r="H281" s="973">
        <v>276001</v>
      </c>
      <c r="I281" s="967"/>
      <c r="J281" s="935">
        <f t="shared" si="35"/>
        <v>44251</v>
      </c>
      <c r="K281" s="936">
        <f t="shared" si="36"/>
        <v>36</v>
      </c>
      <c r="L281" s="936">
        <f t="shared" si="37"/>
        <v>276001</v>
      </c>
      <c r="M281" s="936">
        <f t="shared" si="38"/>
        <v>0</v>
      </c>
      <c r="N281" s="936">
        <f t="shared" si="39"/>
        <v>0</v>
      </c>
      <c r="O281" s="936">
        <f t="shared" si="40"/>
        <v>0</v>
      </c>
      <c r="P281" s="937">
        <f t="shared" si="41"/>
        <v>0</v>
      </c>
      <c r="Q281" s="938"/>
      <c r="R281" s="938"/>
      <c r="S281" s="939">
        <f t="shared" si="42"/>
        <v>276001</v>
      </c>
    </row>
    <row r="282" spans="1:19" ht="30" customHeight="1" x14ac:dyDescent="0.45">
      <c r="A282" s="933"/>
      <c r="C282" s="934"/>
      <c r="D282" s="934"/>
      <c r="E282" s="934"/>
      <c r="F282" s="954" t="s">
        <v>2902</v>
      </c>
      <c r="G282" s="956">
        <v>44251</v>
      </c>
      <c r="H282" s="973">
        <v>321113</v>
      </c>
      <c r="I282" s="967"/>
      <c r="J282" s="935">
        <f t="shared" si="35"/>
        <v>44251</v>
      </c>
      <c r="K282" s="936">
        <f t="shared" si="36"/>
        <v>36</v>
      </c>
      <c r="L282" s="936">
        <f t="shared" si="37"/>
        <v>321113</v>
      </c>
      <c r="M282" s="936">
        <f t="shared" si="38"/>
        <v>0</v>
      </c>
      <c r="N282" s="936">
        <f t="shared" si="39"/>
        <v>0</v>
      </c>
      <c r="O282" s="936">
        <f t="shared" si="40"/>
        <v>0</v>
      </c>
      <c r="P282" s="937">
        <f t="shared" si="41"/>
        <v>0</v>
      </c>
      <c r="Q282" s="938"/>
      <c r="R282" s="938"/>
      <c r="S282" s="939">
        <f t="shared" si="42"/>
        <v>321113</v>
      </c>
    </row>
    <row r="283" spans="1:19" ht="30" customHeight="1" x14ac:dyDescent="0.45">
      <c r="A283" s="933"/>
      <c r="C283" s="934"/>
      <c r="D283" s="934"/>
      <c r="E283" s="934"/>
      <c r="F283" s="954" t="s">
        <v>2903</v>
      </c>
      <c r="G283" s="956">
        <v>44252</v>
      </c>
      <c r="H283" s="973">
        <v>703952</v>
      </c>
      <c r="I283" s="967"/>
      <c r="J283" s="935">
        <f t="shared" si="35"/>
        <v>44252</v>
      </c>
      <c r="K283" s="936">
        <f t="shared" si="36"/>
        <v>35</v>
      </c>
      <c r="L283" s="936">
        <f t="shared" si="37"/>
        <v>703952</v>
      </c>
      <c r="M283" s="936">
        <f t="shared" si="38"/>
        <v>0</v>
      </c>
      <c r="N283" s="936">
        <f t="shared" si="39"/>
        <v>0</v>
      </c>
      <c r="O283" s="936">
        <f t="shared" si="40"/>
        <v>0</v>
      </c>
      <c r="P283" s="937">
        <f t="shared" si="41"/>
        <v>0</v>
      </c>
      <c r="Q283" s="938"/>
      <c r="R283" s="938"/>
      <c r="S283" s="939">
        <f t="shared" si="42"/>
        <v>703952</v>
      </c>
    </row>
    <row r="284" spans="1:19" ht="30" customHeight="1" x14ac:dyDescent="0.45">
      <c r="A284" s="933"/>
      <c r="C284" s="934"/>
      <c r="D284" s="934"/>
      <c r="E284" s="934"/>
      <c r="F284" s="954" t="s">
        <v>2904</v>
      </c>
      <c r="G284" s="956">
        <v>44252</v>
      </c>
      <c r="H284" s="973">
        <v>645754</v>
      </c>
      <c r="I284" s="967"/>
      <c r="J284" s="935">
        <f t="shared" si="35"/>
        <v>44252</v>
      </c>
      <c r="K284" s="936">
        <f t="shared" si="36"/>
        <v>35</v>
      </c>
      <c r="L284" s="936">
        <f t="shared" si="37"/>
        <v>645754</v>
      </c>
      <c r="M284" s="936">
        <f t="shared" si="38"/>
        <v>0</v>
      </c>
      <c r="N284" s="936">
        <f t="shared" si="39"/>
        <v>0</v>
      </c>
      <c r="O284" s="936">
        <f t="shared" si="40"/>
        <v>0</v>
      </c>
      <c r="P284" s="937">
        <f t="shared" si="41"/>
        <v>0</v>
      </c>
      <c r="Q284" s="938"/>
      <c r="R284" s="938"/>
      <c r="S284" s="939">
        <f t="shared" si="42"/>
        <v>645754</v>
      </c>
    </row>
    <row r="285" spans="1:19" ht="30" customHeight="1" x14ac:dyDescent="0.45">
      <c r="A285" s="933"/>
      <c r="C285" s="934"/>
      <c r="D285" s="934"/>
      <c r="E285" s="934"/>
      <c r="F285" s="954" t="s">
        <v>2905</v>
      </c>
      <c r="G285" s="956">
        <v>44253</v>
      </c>
      <c r="H285" s="973">
        <v>515211</v>
      </c>
      <c r="I285" s="967"/>
      <c r="J285" s="935">
        <f t="shared" si="35"/>
        <v>44253</v>
      </c>
      <c r="K285" s="936">
        <f t="shared" si="36"/>
        <v>34</v>
      </c>
      <c r="L285" s="936">
        <f t="shared" si="37"/>
        <v>515211</v>
      </c>
      <c r="M285" s="936">
        <f t="shared" si="38"/>
        <v>0</v>
      </c>
      <c r="N285" s="936">
        <f t="shared" si="39"/>
        <v>0</v>
      </c>
      <c r="O285" s="936">
        <f t="shared" si="40"/>
        <v>0</v>
      </c>
      <c r="P285" s="937">
        <f t="shared" si="41"/>
        <v>0</v>
      </c>
      <c r="Q285" s="938"/>
      <c r="R285" s="938"/>
      <c r="S285" s="939">
        <f t="shared" si="42"/>
        <v>515211</v>
      </c>
    </row>
    <row r="286" spans="1:19" ht="30" customHeight="1" x14ac:dyDescent="0.45">
      <c r="A286" s="933"/>
      <c r="C286" s="934"/>
      <c r="D286" s="934"/>
      <c r="E286" s="934"/>
      <c r="F286" s="954" t="s">
        <v>2906</v>
      </c>
      <c r="G286" s="956">
        <v>44254</v>
      </c>
      <c r="H286" s="973">
        <v>614286</v>
      </c>
      <c r="I286" s="967"/>
      <c r="J286" s="935">
        <f t="shared" si="35"/>
        <v>44254</v>
      </c>
      <c r="K286" s="936">
        <f t="shared" si="36"/>
        <v>33</v>
      </c>
      <c r="L286" s="936">
        <f t="shared" si="37"/>
        <v>614286</v>
      </c>
      <c r="M286" s="936">
        <f t="shared" si="38"/>
        <v>0</v>
      </c>
      <c r="N286" s="936">
        <f t="shared" si="39"/>
        <v>0</v>
      </c>
      <c r="O286" s="936">
        <f t="shared" si="40"/>
        <v>0</v>
      </c>
      <c r="P286" s="937">
        <f t="shared" si="41"/>
        <v>0</v>
      </c>
      <c r="Q286" s="938"/>
      <c r="R286" s="938"/>
      <c r="S286" s="939">
        <f t="shared" si="42"/>
        <v>614286</v>
      </c>
    </row>
    <row r="287" spans="1:19" ht="30" customHeight="1" x14ac:dyDescent="0.45">
      <c r="A287" s="933"/>
      <c r="C287" s="934"/>
      <c r="D287" s="934"/>
      <c r="E287" s="934"/>
      <c r="F287" s="954" t="s">
        <v>2907</v>
      </c>
      <c r="G287" s="956">
        <v>44254</v>
      </c>
      <c r="H287" s="973">
        <v>696703</v>
      </c>
      <c r="I287" s="967"/>
      <c r="J287" s="935">
        <f t="shared" si="35"/>
        <v>44254</v>
      </c>
      <c r="K287" s="936">
        <f t="shared" si="36"/>
        <v>33</v>
      </c>
      <c r="L287" s="936">
        <f t="shared" si="37"/>
        <v>696703</v>
      </c>
      <c r="M287" s="936">
        <f t="shared" si="38"/>
        <v>0</v>
      </c>
      <c r="N287" s="936">
        <f t="shared" si="39"/>
        <v>0</v>
      </c>
      <c r="O287" s="936">
        <f t="shared" si="40"/>
        <v>0</v>
      </c>
      <c r="P287" s="937">
        <f t="shared" si="41"/>
        <v>0</v>
      </c>
      <c r="Q287" s="938"/>
      <c r="R287" s="938"/>
      <c r="S287" s="939">
        <f t="shared" si="42"/>
        <v>696703</v>
      </c>
    </row>
    <row r="288" spans="1:19" ht="30" customHeight="1" x14ac:dyDescent="0.45">
      <c r="A288" s="933"/>
      <c r="C288" s="934"/>
      <c r="D288" s="934" t="s">
        <v>2908</v>
      </c>
      <c r="E288" s="934"/>
      <c r="F288" s="954" t="s">
        <v>2909</v>
      </c>
      <c r="G288" s="956">
        <v>44255</v>
      </c>
      <c r="H288" s="973">
        <v>-3542</v>
      </c>
      <c r="I288" s="967"/>
      <c r="J288" s="935">
        <f t="shared" si="35"/>
        <v>44255</v>
      </c>
      <c r="K288" s="936">
        <f t="shared" si="36"/>
        <v>32</v>
      </c>
      <c r="L288" s="936">
        <f t="shared" si="37"/>
        <v>-3542</v>
      </c>
      <c r="M288" s="936">
        <f t="shared" si="38"/>
        <v>0</v>
      </c>
      <c r="N288" s="936">
        <f t="shared" si="39"/>
        <v>0</v>
      </c>
      <c r="O288" s="936">
        <f t="shared" si="40"/>
        <v>0</v>
      </c>
      <c r="P288" s="937">
        <f t="shared" si="41"/>
        <v>0</v>
      </c>
      <c r="Q288" s="938"/>
      <c r="R288" s="938"/>
      <c r="S288" s="939">
        <f t="shared" si="42"/>
        <v>-3542</v>
      </c>
    </row>
    <row r="289" spans="1:19" ht="30" customHeight="1" x14ac:dyDescent="0.45">
      <c r="A289" s="933"/>
      <c r="C289" s="934"/>
      <c r="D289" s="934"/>
      <c r="E289" s="934"/>
      <c r="F289" s="954" t="s">
        <v>2910</v>
      </c>
      <c r="G289" s="956">
        <v>44256</v>
      </c>
      <c r="H289" s="973">
        <v>531267</v>
      </c>
      <c r="I289" s="967"/>
      <c r="J289" s="935">
        <f t="shared" si="35"/>
        <v>44256</v>
      </c>
      <c r="K289" s="936">
        <f t="shared" si="36"/>
        <v>31</v>
      </c>
      <c r="L289" s="936">
        <f t="shared" si="37"/>
        <v>531267</v>
      </c>
      <c r="M289" s="936">
        <f t="shared" si="38"/>
        <v>0</v>
      </c>
      <c r="N289" s="936">
        <f t="shared" si="39"/>
        <v>0</v>
      </c>
      <c r="O289" s="936">
        <f t="shared" si="40"/>
        <v>0</v>
      </c>
      <c r="P289" s="937">
        <f t="shared" si="41"/>
        <v>0</v>
      </c>
      <c r="Q289" s="938"/>
      <c r="R289" s="938"/>
      <c r="S289" s="939">
        <f t="shared" si="42"/>
        <v>531267</v>
      </c>
    </row>
    <row r="290" spans="1:19" ht="30" customHeight="1" x14ac:dyDescent="0.45">
      <c r="A290" s="933"/>
      <c r="C290" s="934"/>
      <c r="D290" s="934"/>
      <c r="E290" s="934"/>
      <c r="F290" s="954" t="s">
        <v>2911</v>
      </c>
      <c r="G290" s="956">
        <v>44257</v>
      </c>
      <c r="H290" s="973">
        <v>241744</v>
      </c>
      <c r="I290" s="967"/>
      <c r="J290" s="935">
        <f t="shared" si="35"/>
        <v>44257</v>
      </c>
      <c r="K290" s="936">
        <f t="shared" si="36"/>
        <v>30</v>
      </c>
      <c r="L290" s="936">
        <f t="shared" si="37"/>
        <v>241744</v>
      </c>
      <c r="M290" s="936">
        <f t="shared" si="38"/>
        <v>0</v>
      </c>
      <c r="N290" s="936">
        <f t="shared" si="39"/>
        <v>0</v>
      </c>
      <c r="O290" s="936">
        <f t="shared" si="40"/>
        <v>0</v>
      </c>
      <c r="P290" s="937">
        <f t="shared" si="41"/>
        <v>0</v>
      </c>
      <c r="Q290" s="938"/>
      <c r="R290" s="938"/>
      <c r="S290" s="939">
        <f t="shared" si="42"/>
        <v>241744</v>
      </c>
    </row>
    <row r="291" spans="1:19" ht="30" customHeight="1" x14ac:dyDescent="0.45">
      <c r="A291" s="933"/>
      <c r="C291" s="934"/>
      <c r="D291" s="934"/>
      <c r="E291" s="934"/>
      <c r="F291" s="954" t="s">
        <v>2912</v>
      </c>
      <c r="G291" s="956">
        <v>44257</v>
      </c>
      <c r="H291" s="973">
        <v>296278</v>
      </c>
      <c r="I291" s="967"/>
      <c r="J291" s="935">
        <f t="shared" si="35"/>
        <v>44257</v>
      </c>
      <c r="K291" s="936">
        <f t="shared" si="36"/>
        <v>30</v>
      </c>
      <c r="L291" s="936">
        <f t="shared" si="37"/>
        <v>296278</v>
      </c>
      <c r="M291" s="936">
        <f t="shared" si="38"/>
        <v>0</v>
      </c>
      <c r="N291" s="936">
        <f t="shared" si="39"/>
        <v>0</v>
      </c>
      <c r="O291" s="936">
        <f t="shared" si="40"/>
        <v>0</v>
      </c>
      <c r="P291" s="937">
        <f t="shared" si="41"/>
        <v>0</v>
      </c>
      <c r="Q291" s="938"/>
      <c r="R291" s="938"/>
      <c r="S291" s="939">
        <f t="shared" si="42"/>
        <v>296278</v>
      </c>
    </row>
    <row r="292" spans="1:19" ht="30" customHeight="1" x14ac:dyDescent="0.45">
      <c r="A292" s="933"/>
      <c r="C292" s="934"/>
      <c r="D292" s="934"/>
      <c r="E292" s="934"/>
      <c r="F292" s="954" t="s">
        <v>2913</v>
      </c>
      <c r="G292" s="956">
        <v>44257</v>
      </c>
      <c r="H292" s="973">
        <v>627995</v>
      </c>
      <c r="I292" s="967"/>
      <c r="J292" s="935">
        <f t="shared" si="35"/>
        <v>44257</v>
      </c>
      <c r="K292" s="936">
        <f t="shared" si="36"/>
        <v>30</v>
      </c>
      <c r="L292" s="936">
        <f t="shared" si="37"/>
        <v>627995</v>
      </c>
      <c r="M292" s="936">
        <f t="shared" si="38"/>
        <v>0</v>
      </c>
      <c r="N292" s="936">
        <f t="shared" si="39"/>
        <v>0</v>
      </c>
      <c r="O292" s="936">
        <f t="shared" si="40"/>
        <v>0</v>
      </c>
      <c r="P292" s="937">
        <f t="shared" si="41"/>
        <v>0</v>
      </c>
      <c r="Q292" s="938"/>
      <c r="R292" s="938"/>
      <c r="S292" s="939">
        <f t="shared" si="42"/>
        <v>627995</v>
      </c>
    </row>
    <row r="293" spans="1:19" ht="30" customHeight="1" x14ac:dyDescent="0.45">
      <c r="A293" s="933"/>
      <c r="C293" s="934"/>
      <c r="D293" s="934"/>
      <c r="E293" s="934"/>
      <c r="F293" s="954" t="s">
        <v>2914</v>
      </c>
      <c r="G293" s="956">
        <v>44258</v>
      </c>
      <c r="H293" s="973">
        <v>216163</v>
      </c>
      <c r="I293" s="967"/>
      <c r="J293" s="935">
        <f t="shared" si="35"/>
        <v>44258</v>
      </c>
      <c r="K293" s="936">
        <f t="shared" si="36"/>
        <v>29</v>
      </c>
      <c r="L293" s="936">
        <f t="shared" si="37"/>
        <v>216163</v>
      </c>
      <c r="M293" s="936">
        <f t="shared" si="38"/>
        <v>0</v>
      </c>
      <c r="N293" s="936">
        <f t="shared" si="39"/>
        <v>0</v>
      </c>
      <c r="O293" s="936">
        <f t="shared" si="40"/>
        <v>0</v>
      </c>
      <c r="P293" s="937">
        <f t="shared" si="41"/>
        <v>0</v>
      </c>
      <c r="Q293" s="938"/>
      <c r="R293" s="938"/>
      <c r="S293" s="939">
        <f t="shared" si="42"/>
        <v>216163</v>
      </c>
    </row>
    <row r="294" spans="1:19" ht="30" customHeight="1" x14ac:dyDescent="0.45">
      <c r="A294" s="933"/>
      <c r="C294" s="934"/>
      <c r="D294" s="934"/>
      <c r="E294" s="934"/>
      <c r="F294" s="954" t="s">
        <v>2915</v>
      </c>
      <c r="G294" s="956">
        <v>44259</v>
      </c>
      <c r="H294" s="973">
        <v>441933</v>
      </c>
      <c r="I294" s="967"/>
      <c r="J294" s="935">
        <f t="shared" si="35"/>
        <v>44259</v>
      </c>
      <c r="K294" s="936">
        <f t="shared" si="36"/>
        <v>28</v>
      </c>
      <c r="L294" s="936">
        <f t="shared" si="37"/>
        <v>441933</v>
      </c>
      <c r="M294" s="936">
        <f t="shared" si="38"/>
        <v>0</v>
      </c>
      <c r="N294" s="936">
        <f t="shared" si="39"/>
        <v>0</v>
      </c>
      <c r="O294" s="936">
        <f t="shared" si="40"/>
        <v>0</v>
      </c>
      <c r="P294" s="937">
        <f t="shared" si="41"/>
        <v>0</v>
      </c>
      <c r="Q294" s="938"/>
      <c r="R294" s="938"/>
      <c r="S294" s="939">
        <f t="shared" si="42"/>
        <v>441933</v>
      </c>
    </row>
    <row r="295" spans="1:19" ht="30" customHeight="1" x14ac:dyDescent="0.45">
      <c r="A295" s="933"/>
      <c r="C295" s="934"/>
      <c r="D295" s="934"/>
      <c r="E295" s="934"/>
      <c r="F295" s="954" t="s">
        <v>2916</v>
      </c>
      <c r="G295" s="956">
        <v>44260</v>
      </c>
      <c r="H295" s="973">
        <v>82211</v>
      </c>
      <c r="I295" s="967"/>
      <c r="J295" s="935">
        <f t="shared" si="35"/>
        <v>44260</v>
      </c>
      <c r="K295" s="936">
        <f t="shared" si="36"/>
        <v>27</v>
      </c>
      <c r="L295" s="936">
        <f t="shared" si="37"/>
        <v>82211</v>
      </c>
      <c r="M295" s="936">
        <f t="shared" si="38"/>
        <v>0</v>
      </c>
      <c r="N295" s="936">
        <f t="shared" si="39"/>
        <v>0</v>
      </c>
      <c r="O295" s="936">
        <f t="shared" si="40"/>
        <v>0</v>
      </c>
      <c r="P295" s="937">
        <f t="shared" si="41"/>
        <v>0</v>
      </c>
      <c r="Q295" s="938"/>
      <c r="R295" s="938"/>
      <c r="S295" s="939">
        <f t="shared" si="42"/>
        <v>82211</v>
      </c>
    </row>
    <row r="296" spans="1:19" ht="30" customHeight="1" x14ac:dyDescent="0.45">
      <c r="A296" s="933"/>
      <c r="C296" s="934"/>
      <c r="D296" s="934"/>
      <c r="E296" s="934"/>
      <c r="F296" s="954" t="s">
        <v>2917</v>
      </c>
      <c r="G296" s="956">
        <v>44261</v>
      </c>
      <c r="H296" s="973">
        <v>554845</v>
      </c>
      <c r="I296" s="967"/>
      <c r="J296" s="935">
        <f t="shared" si="35"/>
        <v>44261</v>
      </c>
      <c r="K296" s="936">
        <f t="shared" si="36"/>
        <v>26</v>
      </c>
      <c r="L296" s="936">
        <f t="shared" si="37"/>
        <v>554845</v>
      </c>
      <c r="M296" s="936">
        <f t="shared" si="38"/>
        <v>0</v>
      </c>
      <c r="N296" s="936">
        <f t="shared" si="39"/>
        <v>0</v>
      </c>
      <c r="O296" s="936">
        <f t="shared" si="40"/>
        <v>0</v>
      </c>
      <c r="P296" s="937">
        <f t="shared" si="41"/>
        <v>0</v>
      </c>
      <c r="Q296" s="938"/>
      <c r="R296" s="938"/>
      <c r="S296" s="939">
        <f t="shared" si="42"/>
        <v>554845</v>
      </c>
    </row>
    <row r="297" spans="1:19" ht="30" customHeight="1" x14ac:dyDescent="0.45">
      <c r="A297" s="933"/>
      <c r="C297" s="934"/>
      <c r="D297" s="934"/>
      <c r="E297" s="934"/>
      <c r="F297" s="954" t="s">
        <v>2918</v>
      </c>
      <c r="G297" s="956">
        <v>44261</v>
      </c>
      <c r="H297" s="973">
        <v>454351</v>
      </c>
      <c r="I297" s="967"/>
      <c r="J297" s="935">
        <f t="shared" si="35"/>
        <v>44261</v>
      </c>
      <c r="K297" s="936">
        <f t="shared" si="36"/>
        <v>26</v>
      </c>
      <c r="L297" s="936">
        <f t="shared" si="37"/>
        <v>454351</v>
      </c>
      <c r="M297" s="936">
        <f t="shared" si="38"/>
        <v>0</v>
      </c>
      <c r="N297" s="936">
        <f t="shared" si="39"/>
        <v>0</v>
      </c>
      <c r="O297" s="936">
        <f t="shared" si="40"/>
        <v>0</v>
      </c>
      <c r="P297" s="937">
        <f t="shared" si="41"/>
        <v>0</v>
      </c>
      <c r="Q297" s="938"/>
      <c r="R297" s="938"/>
      <c r="S297" s="939">
        <f t="shared" si="42"/>
        <v>454351</v>
      </c>
    </row>
    <row r="298" spans="1:19" ht="30" customHeight="1" x14ac:dyDescent="0.45">
      <c r="A298" s="933"/>
      <c r="C298" s="934"/>
      <c r="D298" s="934"/>
      <c r="E298" s="934"/>
      <c r="F298" s="954" t="s">
        <v>2919</v>
      </c>
      <c r="G298" s="956">
        <v>44263</v>
      </c>
      <c r="H298" s="973">
        <v>507248</v>
      </c>
      <c r="I298" s="967"/>
      <c r="J298" s="935">
        <f t="shared" si="35"/>
        <v>44263</v>
      </c>
      <c r="K298" s="936">
        <f t="shared" si="36"/>
        <v>24</v>
      </c>
      <c r="L298" s="936">
        <f t="shared" si="37"/>
        <v>507248</v>
      </c>
      <c r="M298" s="936">
        <f t="shared" si="38"/>
        <v>0</v>
      </c>
      <c r="N298" s="936">
        <f t="shared" si="39"/>
        <v>0</v>
      </c>
      <c r="O298" s="936">
        <f t="shared" si="40"/>
        <v>0</v>
      </c>
      <c r="P298" s="937">
        <f t="shared" si="41"/>
        <v>0</v>
      </c>
      <c r="Q298" s="938"/>
      <c r="R298" s="938"/>
      <c r="S298" s="939">
        <f t="shared" si="42"/>
        <v>507248</v>
      </c>
    </row>
    <row r="299" spans="1:19" ht="30" customHeight="1" x14ac:dyDescent="0.45">
      <c r="A299" s="933"/>
      <c r="C299" s="934"/>
      <c r="D299" s="934"/>
      <c r="E299" s="934"/>
      <c r="F299" s="954" t="s">
        <v>2920</v>
      </c>
      <c r="G299" s="956">
        <v>44264</v>
      </c>
      <c r="H299" s="973">
        <v>585559</v>
      </c>
      <c r="I299" s="967"/>
      <c r="J299" s="935">
        <f t="shared" si="35"/>
        <v>44264</v>
      </c>
      <c r="K299" s="936">
        <f t="shared" si="36"/>
        <v>23</v>
      </c>
      <c r="L299" s="936">
        <f t="shared" si="37"/>
        <v>585559</v>
      </c>
      <c r="M299" s="936">
        <f t="shared" si="38"/>
        <v>0</v>
      </c>
      <c r="N299" s="936">
        <f t="shared" si="39"/>
        <v>0</v>
      </c>
      <c r="O299" s="936">
        <f t="shared" si="40"/>
        <v>0</v>
      </c>
      <c r="P299" s="937">
        <f t="shared" si="41"/>
        <v>0</v>
      </c>
      <c r="Q299" s="938"/>
      <c r="R299" s="938"/>
      <c r="S299" s="939">
        <f t="shared" si="42"/>
        <v>585559</v>
      </c>
    </row>
    <row r="300" spans="1:19" ht="30" customHeight="1" x14ac:dyDescent="0.45">
      <c r="A300" s="933"/>
      <c r="C300" s="934"/>
      <c r="D300" s="934"/>
      <c r="E300" s="934"/>
      <c r="F300" s="954" t="s">
        <v>2921</v>
      </c>
      <c r="G300" s="956">
        <v>44264</v>
      </c>
      <c r="H300" s="973">
        <v>324107</v>
      </c>
      <c r="I300" s="967"/>
      <c r="J300" s="935">
        <f t="shared" si="35"/>
        <v>44264</v>
      </c>
      <c r="K300" s="936">
        <f t="shared" si="36"/>
        <v>23</v>
      </c>
      <c r="L300" s="936">
        <f t="shared" si="37"/>
        <v>324107</v>
      </c>
      <c r="M300" s="936">
        <f t="shared" si="38"/>
        <v>0</v>
      </c>
      <c r="N300" s="936">
        <f t="shared" si="39"/>
        <v>0</v>
      </c>
      <c r="O300" s="936">
        <f t="shared" si="40"/>
        <v>0</v>
      </c>
      <c r="P300" s="937">
        <f t="shared" si="41"/>
        <v>0</v>
      </c>
      <c r="Q300" s="938"/>
      <c r="R300" s="938"/>
      <c r="S300" s="939">
        <f t="shared" si="42"/>
        <v>324107</v>
      </c>
    </row>
    <row r="301" spans="1:19" ht="30" customHeight="1" x14ac:dyDescent="0.45">
      <c r="A301" s="933"/>
      <c r="C301" s="934"/>
      <c r="D301" s="934"/>
      <c r="E301" s="934"/>
      <c r="F301" s="954" t="s">
        <v>2922</v>
      </c>
      <c r="G301" s="956">
        <v>44267</v>
      </c>
      <c r="H301" s="973">
        <v>601479</v>
      </c>
      <c r="I301" s="967"/>
      <c r="J301" s="935">
        <f t="shared" si="35"/>
        <v>44267</v>
      </c>
      <c r="K301" s="936">
        <f t="shared" si="36"/>
        <v>20</v>
      </c>
      <c r="L301" s="936">
        <f t="shared" si="37"/>
        <v>601479</v>
      </c>
      <c r="M301" s="936">
        <f t="shared" si="38"/>
        <v>0</v>
      </c>
      <c r="N301" s="936">
        <f t="shared" si="39"/>
        <v>0</v>
      </c>
      <c r="O301" s="936">
        <f t="shared" si="40"/>
        <v>0</v>
      </c>
      <c r="P301" s="937">
        <f t="shared" si="41"/>
        <v>0</v>
      </c>
      <c r="Q301" s="938"/>
      <c r="R301" s="938"/>
      <c r="S301" s="939">
        <f t="shared" si="42"/>
        <v>601479</v>
      </c>
    </row>
    <row r="302" spans="1:19" ht="30" customHeight="1" x14ac:dyDescent="0.45">
      <c r="A302" s="933"/>
      <c r="C302" s="934"/>
      <c r="D302" s="934"/>
      <c r="E302" s="934"/>
      <c r="F302" s="954" t="s">
        <v>2923</v>
      </c>
      <c r="G302" s="956">
        <v>44270</v>
      </c>
      <c r="H302" s="973">
        <v>355338</v>
      </c>
      <c r="I302" s="967"/>
      <c r="J302" s="935">
        <f t="shared" si="35"/>
        <v>44270</v>
      </c>
      <c r="K302" s="936">
        <f t="shared" si="36"/>
        <v>17</v>
      </c>
      <c r="L302" s="936">
        <f t="shared" si="37"/>
        <v>355338</v>
      </c>
      <c r="M302" s="936">
        <f t="shared" si="38"/>
        <v>0</v>
      </c>
      <c r="N302" s="936">
        <f t="shared" si="39"/>
        <v>0</v>
      </c>
      <c r="O302" s="936">
        <f t="shared" si="40"/>
        <v>0</v>
      </c>
      <c r="P302" s="937">
        <f t="shared" si="41"/>
        <v>0</v>
      </c>
      <c r="Q302" s="938"/>
      <c r="R302" s="938"/>
      <c r="S302" s="939">
        <f t="shared" si="42"/>
        <v>355338</v>
      </c>
    </row>
    <row r="303" spans="1:19" ht="30" customHeight="1" x14ac:dyDescent="0.45">
      <c r="A303" s="933"/>
      <c r="C303" s="934"/>
      <c r="D303" s="934"/>
      <c r="E303" s="934"/>
      <c r="F303" s="954" t="s">
        <v>2924</v>
      </c>
      <c r="G303" s="956">
        <v>44270</v>
      </c>
      <c r="H303" s="973">
        <v>206021</v>
      </c>
      <c r="I303" s="967"/>
      <c r="J303" s="935">
        <f t="shared" si="35"/>
        <v>44270</v>
      </c>
      <c r="K303" s="936">
        <f t="shared" si="36"/>
        <v>17</v>
      </c>
      <c r="L303" s="936">
        <f t="shared" si="37"/>
        <v>206021</v>
      </c>
      <c r="M303" s="936">
        <f t="shared" si="38"/>
        <v>0</v>
      </c>
      <c r="N303" s="936">
        <f t="shared" si="39"/>
        <v>0</v>
      </c>
      <c r="O303" s="936">
        <f t="shared" si="40"/>
        <v>0</v>
      </c>
      <c r="P303" s="937">
        <f t="shared" si="41"/>
        <v>0</v>
      </c>
      <c r="Q303" s="938"/>
      <c r="R303" s="938"/>
      <c r="S303" s="939">
        <f t="shared" si="42"/>
        <v>206021</v>
      </c>
    </row>
    <row r="304" spans="1:19" ht="30" customHeight="1" x14ac:dyDescent="0.45">
      <c r="A304" s="933"/>
      <c r="C304" s="934"/>
      <c r="D304" s="934"/>
      <c r="E304" s="934"/>
      <c r="F304" s="954" t="s">
        <v>2925</v>
      </c>
      <c r="G304" s="956">
        <v>44271</v>
      </c>
      <c r="H304" s="973">
        <v>285914</v>
      </c>
      <c r="I304" s="967"/>
      <c r="J304" s="935">
        <f t="shared" si="35"/>
        <v>44271</v>
      </c>
      <c r="K304" s="936">
        <f t="shared" si="36"/>
        <v>16</v>
      </c>
      <c r="L304" s="936">
        <f t="shared" si="37"/>
        <v>285914</v>
      </c>
      <c r="M304" s="936">
        <f t="shared" si="38"/>
        <v>0</v>
      </c>
      <c r="N304" s="936">
        <f t="shared" si="39"/>
        <v>0</v>
      </c>
      <c r="O304" s="936">
        <f t="shared" si="40"/>
        <v>0</v>
      </c>
      <c r="P304" s="937">
        <f t="shared" si="41"/>
        <v>0</v>
      </c>
      <c r="Q304" s="938"/>
      <c r="R304" s="938"/>
      <c r="S304" s="939">
        <f t="shared" si="42"/>
        <v>285914</v>
      </c>
    </row>
    <row r="305" spans="1:19" ht="30" customHeight="1" x14ac:dyDescent="0.45">
      <c r="A305" s="933"/>
      <c r="C305" s="934"/>
      <c r="D305" s="934"/>
      <c r="E305" s="934"/>
      <c r="F305" s="954" t="s">
        <v>2926</v>
      </c>
      <c r="G305" s="956">
        <v>44272</v>
      </c>
      <c r="H305" s="973">
        <v>289211</v>
      </c>
      <c r="I305" s="967"/>
      <c r="J305" s="935">
        <f t="shared" si="35"/>
        <v>44272</v>
      </c>
      <c r="K305" s="936">
        <f t="shared" si="36"/>
        <v>15</v>
      </c>
      <c r="L305" s="936">
        <f t="shared" si="37"/>
        <v>289211</v>
      </c>
      <c r="M305" s="936">
        <f t="shared" si="38"/>
        <v>0</v>
      </c>
      <c r="N305" s="936">
        <f t="shared" si="39"/>
        <v>0</v>
      </c>
      <c r="O305" s="936">
        <f t="shared" si="40"/>
        <v>0</v>
      </c>
      <c r="P305" s="937">
        <f t="shared" si="41"/>
        <v>0</v>
      </c>
      <c r="Q305" s="938"/>
      <c r="R305" s="938"/>
      <c r="S305" s="939">
        <f t="shared" si="42"/>
        <v>289211</v>
      </c>
    </row>
    <row r="306" spans="1:19" ht="30" customHeight="1" x14ac:dyDescent="0.45">
      <c r="A306" s="933"/>
      <c r="C306" s="934"/>
      <c r="D306" s="934"/>
      <c r="E306" s="934"/>
      <c r="F306" s="954" t="s">
        <v>2927</v>
      </c>
      <c r="G306" s="956">
        <v>44272</v>
      </c>
      <c r="H306" s="973">
        <v>591808</v>
      </c>
      <c r="I306" s="967"/>
      <c r="J306" s="935">
        <f t="shared" ref="J306:J557" si="43">+G306+I306</f>
        <v>44272</v>
      </c>
      <c r="K306" s="936">
        <f t="shared" ref="K306:K557" si="44">+$Q$1-J306+1</f>
        <v>15</v>
      </c>
      <c r="L306" s="936">
        <f t="shared" ref="L306:L557" si="45">IF(K306&gt;90,0,H306)</f>
        <v>591808</v>
      </c>
      <c r="M306" s="936">
        <f t="shared" ref="M306:M557" si="46">IF(K306&lt;=90,0,IF(K306&gt;180,0,H306))</f>
        <v>0</v>
      </c>
      <c r="N306" s="936">
        <f t="shared" ref="N306:N557" si="47">IF(K306&lt;=180,0,IF(K306&gt;365,0,H306))</f>
        <v>0</v>
      </c>
      <c r="O306" s="936">
        <f t="shared" ref="O306:O557" si="48">IF(K306&lt;=365,0,IF(K306&gt;730,0,H306))</f>
        <v>0</v>
      </c>
      <c r="P306" s="937">
        <f t="shared" ref="P306:P557" si="49">IF(K306&lt;=730,0,H306)</f>
        <v>0</v>
      </c>
      <c r="Q306" s="938"/>
      <c r="R306" s="938"/>
      <c r="S306" s="939">
        <f t="shared" ref="S306:S557" si="50">H306-R306</f>
        <v>591808</v>
      </c>
    </row>
    <row r="307" spans="1:19" ht="30" customHeight="1" x14ac:dyDescent="0.45">
      <c r="A307" s="933"/>
      <c r="C307" s="934"/>
      <c r="D307" s="934"/>
      <c r="E307" s="934"/>
      <c r="F307" s="954" t="s">
        <v>2928</v>
      </c>
      <c r="G307" s="956">
        <v>44273</v>
      </c>
      <c r="H307" s="973">
        <v>507086</v>
      </c>
      <c r="I307" s="967"/>
      <c r="J307" s="935">
        <f t="shared" si="43"/>
        <v>44273</v>
      </c>
      <c r="K307" s="936">
        <f t="shared" si="44"/>
        <v>14</v>
      </c>
      <c r="L307" s="936">
        <f t="shared" si="45"/>
        <v>507086</v>
      </c>
      <c r="M307" s="936">
        <f t="shared" si="46"/>
        <v>0</v>
      </c>
      <c r="N307" s="936">
        <f t="shared" si="47"/>
        <v>0</v>
      </c>
      <c r="O307" s="936">
        <f t="shared" si="48"/>
        <v>0</v>
      </c>
      <c r="P307" s="937">
        <f t="shared" si="49"/>
        <v>0</v>
      </c>
      <c r="Q307" s="938"/>
      <c r="R307" s="938"/>
      <c r="S307" s="939">
        <f t="shared" si="50"/>
        <v>507086</v>
      </c>
    </row>
    <row r="308" spans="1:19" ht="30" customHeight="1" x14ac:dyDescent="0.45">
      <c r="A308" s="933"/>
      <c r="C308" s="934"/>
      <c r="D308" s="934"/>
      <c r="E308" s="934"/>
      <c r="F308" s="954" t="s">
        <v>2929</v>
      </c>
      <c r="G308" s="956">
        <v>44273</v>
      </c>
      <c r="H308" s="973">
        <v>839771</v>
      </c>
      <c r="I308" s="967"/>
      <c r="J308" s="935">
        <f t="shared" si="43"/>
        <v>44273</v>
      </c>
      <c r="K308" s="936">
        <f t="shared" si="44"/>
        <v>14</v>
      </c>
      <c r="L308" s="936">
        <f t="shared" si="45"/>
        <v>839771</v>
      </c>
      <c r="M308" s="936">
        <f t="shared" si="46"/>
        <v>0</v>
      </c>
      <c r="N308" s="936">
        <f t="shared" si="47"/>
        <v>0</v>
      </c>
      <c r="O308" s="936">
        <f t="shared" si="48"/>
        <v>0</v>
      </c>
      <c r="P308" s="937">
        <f t="shared" si="49"/>
        <v>0</v>
      </c>
      <c r="Q308" s="938"/>
      <c r="R308" s="938"/>
      <c r="S308" s="939">
        <f t="shared" si="50"/>
        <v>839771</v>
      </c>
    </row>
    <row r="309" spans="1:19" ht="30" customHeight="1" x14ac:dyDescent="0.45">
      <c r="A309" s="933"/>
      <c r="C309" s="934"/>
      <c r="D309" s="934"/>
      <c r="E309" s="934"/>
      <c r="F309" s="954" t="s">
        <v>2930</v>
      </c>
      <c r="G309" s="956">
        <v>44274</v>
      </c>
      <c r="H309" s="973">
        <v>659387</v>
      </c>
      <c r="I309" s="967"/>
      <c r="J309" s="935">
        <f t="shared" si="43"/>
        <v>44274</v>
      </c>
      <c r="K309" s="936">
        <f t="shared" si="44"/>
        <v>13</v>
      </c>
      <c r="L309" s="936">
        <f t="shared" si="45"/>
        <v>659387</v>
      </c>
      <c r="M309" s="936">
        <f t="shared" si="46"/>
        <v>0</v>
      </c>
      <c r="N309" s="936">
        <f t="shared" si="47"/>
        <v>0</v>
      </c>
      <c r="O309" s="936">
        <f t="shared" si="48"/>
        <v>0</v>
      </c>
      <c r="P309" s="937">
        <f t="shared" si="49"/>
        <v>0</v>
      </c>
      <c r="Q309" s="938"/>
      <c r="R309" s="938"/>
      <c r="S309" s="939">
        <f t="shared" si="50"/>
        <v>659387</v>
      </c>
    </row>
    <row r="310" spans="1:19" ht="30" customHeight="1" x14ac:dyDescent="0.45">
      <c r="A310" s="933"/>
      <c r="C310" s="934"/>
      <c r="D310" s="934"/>
      <c r="E310" s="934"/>
      <c r="F310" s="954" t="s">
        <v>2931</v>
      </c>
      <c r="G310" s="956">
        <v>44274</v>
      </c>
      <c r="H310" s="973">
        <v>312479</v>
      </c>
      <c r="I310" s="967"/>
      <c r="J310" s="935">
        <f t="shared" si="43"/>
        <v>44274</v>
      </c>
      <c r="K310" s="936">
        <f t="shared" si="44"/>
        <v>13</v>
      </c>
      <c r="L310" s="936">
        <f t="shared" si="45"/>
        <v>312479</v>
      </c>
      <c r="M310" s="936">
        <f t="shared" si="46"/>
        <v>0</v>
      </c>
      <c r="N310" s="936">
        <f t="shared" si="47"/>
        <v>0</v>
      </c>
      <c r="O310" s="936">
        <f t="shared" si="48"/>
        <v>0</v>
      </c>
      <c r="P310" s="937">
        <f t="shared" si="49"/>
        <v>0</v>
      </c>
      <c r="Q310" s="938"/>
      <c r="R310" s="938"/>
      <c r="S310" s="939">
        <f t="shared" si="50"/>
        <v>312479</v>
      </c>
    </row>
    <row r="311" spans="1:19" ht="30" customHeight="1" x14ac:dyDescent="0.45">
      <c r="A311" s="933"/>
      <c r="C311" s="934"/>
      <c r="D311" s="934"/>
      <c r="E311" s="934"/>
      <c r="F311" s="954" t="s">
        <v>2932</v>
      </c>
      <c r="G311" s="956">
        <v>44274</v>
      </c>
      <c r="H311" s="973">
        <v>651307</v>
      </c>
      <c r="I311" s="967"/>
      <c r="J311" s="935">
        <f t="shared" si="43"/>
        <v>44274</v>
      </c>
      <c r="K311" s="936">
        <f t="shared" si="44"/>
        <v>13</v>
      </c>
      <c r="L311" s="936">
        <f t="shared" si="45"/>
        <v>651307</v>
      </c>
      <c r="M311" s="936">
        <f t="shared" si="46"/>
        <v>0</v>
      </c>
      <c r="N311" s="936">
        <f t="shared" si="47"/>
        <v>0</v>
      </c>
      <c r="O311" s="936">
        <f t="shared" si="48"/>
        <v>0</v>
      </c>
      <c r="P311" s="937">
        <f t="shared" si="49"/>
        <v>0</v>
      </c>
      <c r="Q311" s="938"/>
      <c r="R311" s="938"/>
      <c r="S311" s="939">
        <f t="shared" si="50"/>
        <v>651307</v>
      </c>
    </row>
    <row r="312" spans="1:19" ht="30" customHeight="1" x14ac:dyDescent="0.45">
      <c r="A312" s="933"/>
      <c r="C312" s="934"/>
      <c r="D312" s="934"/>
      <c r="E312" s="934"/>
      <c r="F312" s="954" t="s">
        <v>2933</v>
      </c>
      <c r="G312" s="956">
        <v>44279</v>
      </c>
      <c r="H312" s="973">
        <v>448560</v>
      </c>
      <c r="I312" s="967"/>
      <c r="J312" s="935">
        <f t="shared" si="43"/>
        <v>44279</v>
      </c>
      <c r="K312" s="936">
        <f t="shared" si="44"/>
        <v>8</v>
      </c>
      <c r="L312" s="936">
        <f t="shared" si="45"/>
        <v>448560</v>
      </c>
      <c r="M312" s="936">
        <f t="shared" si="46"/>
        <v>0</v>
      </c>
      <c r="N312" s="936">
        <f t="shared" si="47"/>
        <v>0</v>
      </c>
      <c r="O312" s="936">
        <f t="shared" si="48"/>
        <v>0</v>
      </c>
      <c r="P312" s="937">
        <f t="shared" si="49"/>
        <v>0</v>
      </c>
      <c r="Q312" s="938"/>
      <c r="R312" s="938"/>
      <c r="S312" s="939">
        <f t="shared" si="50"/>
        <v>448560</v>
      </c>
    </row>
    <row r="313" spans="1:19" ht="30" customHeight="1" x14ac:dyDescent="0.45">
      <c r="A313" s="933"/>
      <c r="C313" s="934"/>
      <c r="D313" s="934"/>
      <c r="E313" s="934"/>
      <c r="F313" s="954" t="s">
        <v>2934</v>
      </c>
      <c r="G313" s="956">
        <v>44279</v>
      </c>
      <c r="H313" s="973">
        <v>211217</v>
      </c>
      <c r="I313" s="967"/>
      <c r="J313" s="935">
        <f t="shared" si="43"/>
        <v>44279</v>
      </c>
      <c r="K313" s="936">
        <f t="shared" si="44"/>
        <v>8</v>
      </c>
      <c r="L313" s="936">
        <f t="shared" si="45"/>
        <v>211217</v>
      </c>
      <c r="M313" s="936">
        <f t="shared" si="46"/>
        <v>0</v>
      </c>
      <c r="N313" s="936">
        <f t="shared" si="47"/>
        <v>0</v>
      </c>
      <c r="O313" s="936">
        <f t="shared" si="48"/>
        <v>0</v>
      </c>
      <c r="P313" s="937">
        <f t="shared" si="49"/>
        <v>0</v>
      </c>
      <c r="Q313" s="938"/>
      <c r="R313" s="938"/>
      <c r="S313" s="939">
        <f t="shared" si="50"/>
        <v>211217</v>
      </c>
    </row>
    <row r="314" spans="1:19" ht="30" customHeight="1" x14ac:dyDescent="0.45">
      <c r="A314" s="933"/>
      <c r="C314" s="934"/>
      <c r="D314" s="934"/>
      <c r="E314" s="934"/>
      <c r="F314" s="954" t="s">
        <v>2935</v>
      </c>
      <c r="G314" s="956">
        <v>44280</v>
      </c>
      <c r="H314" s="973">
        <v>916226</v>
      </c>
      <c r="I314" s="967"/>
      <c r="J314" s="935">
        <f t="shared" si="43"/>
        <v>44280</v>
      </c>
      <c r="K314" s="936">
        <f t="shared" si="44"/>
        <v>7</v>
      </c>
      <c r="L314" s="936">
        <f t="shared" si="45"/>
        <v>916226</v>
      </c>
      <c r="M314" s="936">
        <f t="shared" si="46"/>
        <v>0</v>
      </c>
      <c r="N314" s="936">
        <f t="shared" si="47"/>
        <v>0</v>
      </c>
      <c r="O314" s="936">
        <f t="shared" si="48"/>
        <v>0</v>
      </c>
      <c r="P314" s="937">
        <f t="shared" si="49"/>
        <v>0</v>
      </c>
      <c r="Q314" s="938"/>
      <c r="R314" s="938"/>
      <c r="S314" s="939">
        <f t="shared" si="50"/>
        <v>916226</v>
      </c>
    </row>
    <row r="315" spans="1:19" ht="30" customHeight="1" x14ac:dyDescent="0.45">
      <c r="A315" s="933"/>
      <c r="C315" s="934"/>
      <c r="D315" s="934"/>
      <c r="E315" s="934"/>
      <c r="F315" s="954" t="s">
        <v>2936</v>
      </c>
      <c r="G315" s="956">
        <v>44282</v>
      </c>
      <c r="H315" s="973">
        <v>163896</v>
      </c>
      <c r="I315" s="967"/>
      <c r="J315" s="935">
        <f t="shared" si="43"/>
        <v>44282</v>
      </c>
      <c r="K315" s="936">
        <f t="shared" si="44"/>
        <v>5</v>
      </c>
      <c r="L315" s="936">
        <f t="shared" si="45"/>
        <v>163896</v>
      </c>
      <c r="M315" s="936">
        <f t="shared" si="46"/>
        <v>0</v>
      </c>
      <c r="N315" s="936">
        <f t="shared" si="47"/>
        <v>0</v>
      </c>
      <c r="O315" s="936">
        <f t="shared" si="48"/>
        <v>0</v>
      </c>
      <c r="P315" s="937">
        <f t="shared" si="49"/>
        <v>0</v>
      </c>
      <c r="Q315" s="938"/>
      <c r="R315" s="938"/>
      <c r="S315" s="939">
        <f t="shared" si="50"/>
        <v>163896</v>
      </c>
    </row>
    <row r="316" spans="1:19" ht="30" customHeight="1" x14ac:dyDescent="0.45">
      <c r="A316" s="933"/>
      <c r="C316" s="934"/>
      <c r="D316" s="934"/>
      <c r="E316" s="934"/>
      <c r="F316" s="954" t="s">
        <v>2937</v>
      </c>
      <c r="G316" s="956">
        <v>44283</v>
      </c>
      <c r="H316" s="973">
        <v>302834</v>
      </c>
      <c r="I316" s="967"/>
      <c r="J316" s="935">
        <f t="shared" si="43"/>
        <v>44283</v>
      </c>
      <c r="K316" s="936">
        <f t="shared" si="44"/>
        <v>4</v>
      </c>
      <c r="L316" s="936">
        <f t="shared" si="45"/>
        <v>302834</v>
      </c>
      <c r="M316" s="936">
        <f t="shared" si="46"/>
        <v>0</v>
      </c>
      <c r="N316" s="936">
        <f t="shared" si="47"/>
        <v>0</v>
      </c>
      <c r="O316" s="936">
        <f t="shared" si="48"/>
        <v>0</v>
      </c>
      <c r="P316" s="937">
        <f t="shared" si="49"/>
        <v>0</v>
      </c>
      <c r="Q316" s="938"/>
      <c r="R316" s="938"/>
      <c r="S316" s="939">
        <f t="shared" si="50"/>
        <v>302834</v>
      </c>
    </row>
    <row r="317" spans="1:19" ht="30" customHeight="1" x14ac:dyDescent="0.45">
      <c r="A317" s="933"/>
      <c r="C317" s="934"/>
      <c r="D317" s="934"/>
      <c r="E317" s="934"/>
      <c r="F317" s="954" t="s">
        <v>2938</v>
      </c>
      <c r="G317" s="956">
        <v>44285</v>
      </c>
      <c r="H317" s="973">
        <v>327667</v>
      </c>
      <c r="I317" s="967"/>
      <c r="J317" s="935">
        <f t="shared" si="43"/>
        <v>44285</v>
      </c>
      <c r="K317" s="936">
        <f t="shared" si="44"/>
        <v>2</v>
      </c>
      <c r="L317" s="936">
        <f t="shared" si="45"/>
        <v>327667</v>
      </c>
      <c r="M317" s="936">
        <f t="shared" si="46"/>
        <v>0</v>
      </c>
      <c r="N317" s="936">
        <f t="shared" si="47"/>
        <v>0</v>
      </c>
      <c r="O317" s="936">
        <f t="shared" si="48"/>
        <v>0</v>
      </c>
      <c r="P317" s="937">
        <f t="shared" si="49"/>
        <v>0</v>
      </c>
      <c r="Q317" s="938"/>
      <c r="R317" s="938"/>
      <c r="S317" s="939">
        <f t="shared" si="50"/>
        <v>327667</v>
      </c>
    </row>
    <row r="318" spans="1:19" ht="30" customHeight="1" x14ac:dyDescent="0.45">
      <c r="A318" s="933"/>
      <c r="C318" s="934"/>
      <c r="D318" s="934"/>
      <c r="E318" s="934"/>
      <c r="F318" s="954" t="s">
        <v>2939</v>
      </c>
      <c r="G318" s="956">
        <v>44285</v>
      </c>
      <c r="H318" s="973">
        <v>345209</v>
      </c>
      <c r="I318" s="967"/>
      <c r="J318" s="935">
        <f t="shared" si="43"/>
        <v>44285</v>
      </c>
      <c r="K318" s="936">
        <f t="shared" si="44"/>
        <v>2</v>
      </c>
      <c r="L318" s="936">
        <f t="shared" si="45"/>
        <v>345209</v>
      </c>
      <c r="M318" s="936">
        <f t="shared" si="46"/>
        <v>0</v>
      </c>
      <c r="N318" s="936">
        <f t="shared" si="47"/>
        <v>0</v>
      </c>
      <c r="O318" s="936">
        <f t="shared" si="48"/>
        <v>0</v>
      </c>
      <c r="P318" s="937">
        <f t="shared" si="49"/>
        <v>0</v>
      </c>
      <c r="Q318" s="938"/>
      <c r="R318" s="938"/>
      <c r="S318" s="939">
        <f t="shared" si="50"/>
        <v>345209</v>
      </c>
    </row>
    <row r="319" spans="1:19" ht="30" customHeight="1" x14ac:dyDescent="0.45">
      <c r="A319" s="933"/>
      <c r="C319" s="934"/>
      <c r="D319" s="934"/>
      <c r="E319" s="934"/>
      <c r="F319" s="954" t="s">
        <v>2940</v>
      </c>
      <c r="G319" s="956">
        <v>44286</v>
      </c>
      <c r="H319" s="973">
        <v>700113</v>
      </c>
      <c r="I319" s="967"/>
      <c r="J319" s="935">
        <f t="shared" si="43"/>
        <v>44286</v>
      </c>
      <c r="K319" s="936">
        <f t="shared" si="44"/>
        <v>1</v>
      </c>
      <c r="L319" s="936">
        <f t="shared" si="45"/>
        <v>700113</v>
      </c>
      <c r="M319" s="936">
        <f t="shared" si="46"/>
        <v>0</v>
      </c>
      <c r="N319" s="936">
        <f t="shared" si="47"/>
        <v>0</v>
      </c>
      <c r="O319" s="936">
        <f t="shared" si="48"/>
        <v>0</v>
      </c>
      <c r="P319" s="937">
        <f t="shared" si="49"/>
        <v>0</v>
      </c>
      <c r="Q319" s="938"/>
      <c r="R319" s="938"/>
      <c r="S319" s="939">
        <f t="shared" si="50"/>
        <v>700113</v>
      </c>
    </row>
    <row r="320" spans="1:19" ht="30" customHeight="1" x14ac:dyDescent="0.45">
      <c r="A320" s="933"/>
      <c r="C320" s="934"/>
      <c r="D320" s="934"/>
      <c r="E320" s="934"/>
      <c r="F320" s="954" t="s">
        <v>2941</v>
      </c>
      <c r="G320" s="956">
        <v>44286</v>
      </c>
      <c r="H320" s="973">
        <v>638694</v>
      </c>
      <c r="I320" s="967"/>
      <c r="J320" s="935">
        <f t="shared" si="43"/>
        <v>44286</v>
      </c>
      <c r="K320" s="936">
        <f t="shared" si="44"/>
        <v>1</v>
      </c>
      <c r="L320" s="936">
        <f t="shared" si="45"/>
        <v>638694</v>
      </c>
      <c r="M320" s="936">
        <f t="shared" si="46"/>
        <v>0</v>
      </c>
      <c r="N320" s="936">
        <f t="shared" si="47"/>
        <v>0</v>
      </c>
      <c r="O320" s="936">
        <f t="shared" si="48"/>
        <v>0</v>
      </c>
      <c r="P320" s="937">
        <f t="shared" si="49"/>
        <v>0</v>
      </c>
      <c r="Q320" s="938"/>
      <c r="R320" s="938"/>
      <c r="S320" s="939">
        <f t="shared" si="50"/>
        <v>638694</v>
      </c>
    </row>
    <row r="321" spans="1:19" ht="30" customHeight="1" x14ac:dyDescent="0.45">
      <c r="A321" s="933"/>
      <c r="C321" s="934"/>
      <c r="D321" s="934"/>
      <c r="E321" s="934"/>
      <c r="F321" s="954" t="s">
        <v>2942</v>
      </c>
      <c r="G321" s="956">
        <v>44286</v>
      </c>
      <c r="H321" s="973">
        <v>336933</v>
      </c>
      <c r="I321" s="967"/>
      <c r="J321" s="935">
        <f t="shared" si="43"/>
        <v>44286</v>
      </c>
      <c r="K321" s="936">
        <f t="shared" si="44"/>
        <v>1</v>
      </c>
      <c r="L321" s="936">
        <f t="shared" si="45"/>
        <v>336933</v>
      </c>
      <c r="M321" s="936">
        <f t="shared" si="46"/>
        <v>0</v>
      </c>
      <c r="N321" s="936">
        <f t="shared" si="47"/>
        <v>0</v>
      </c>
      <c r="O321" s="936">
        <f t="shared" si="48"/>
        <v>0</v>
      </c>
      <c r="P321" s="937">
        <f t="shared" si="49"/>
        <v>0</v>
      </c>
      <c r="Q321" s="938"/>
      <c r="R321" s="938"/>
      <c r="S321" s="939">
        <f t="shared" si="50"/>
        <v>336933</v>
      </c>
    </row>
    <row r="322" spans="1:19" ht="30" customHeight="1" x14ac:dyDescent="0.45">
      <c r="A322" s="933"/>
      <c r="C322" s="934"/>
      <c r="D322" s="934"/>
      <c r="E322" s="934"/>
      <c r="F322" s="934"/>
      <c r="G322" s="935"/>
      <c r="H322" s="969"/>
      <c r="I322" s="934"/>
      <c r="J322" s="935">
        <f t="shared" si="43"/>
        <v>0</v>
      </c>
      <c r="K322" s="936">
        <f t="shared" si="44"/>
        <v>44287</v>
      </c>
      <c r="L322" s="936">
        <f t="shared" si="45"/>
        <v>0</v>
      </c>
      <c r="M322" s="936">
        <f t="shared" si="46"/>
        <v>0</v>
      </c>
      <c r="N322" s="936">
        <f t="shared" si="47"/>
        <v>0</v>
      </c>
      <c r="O322" s="936">
        <f t="shared" si="48"/>
        <v>0</v>
      </c>
      <c r="P322" s="937">
        <f t="shared" si="49"/>
        <v>0</v>
      </c>
      <c r="Q322" s="938"/>
      <c r="R322" s="938"/>
      <c r="S322" s="939">
        <f t="shared" si="50"/>
        <v>0</v>
      </c>
    </row>
    <row r="323" spans="1:19" ht="30" customHeight="1" x14ac:dyDescent="0.45">
      <c r="A323" s="933"/>
      <c r="C323" s="934"/>
      <c r="D323" s="970" t="s">
        <v>328</v>
      </c>
      <c r="E323" s="934"/>
      <c r="F323" s="954" t="s">
        <v>2943</v>
      </c>
      <c r="G323" s="955">
        <v>44258</v>
      </c>
      <c r="H323" s="936">
        <v>347391</v>
      </c>
      <c r="I323" s="934"/>
      <c r="J323" s="935">
        <f t="shared" si="43"/>
        <v>44258</v>
      </c>
      <c r="K323" s="936">
        <f t="shared" si="44"/>
        <v>29</v>
      </c>
      <c r="L323" s="936">
        <f t="shared" si="45"/>
        <v>347391</v>
      </c>
      <c r="M323" s="936">
        <f t="shared" si="46"/>
        <v>0</v>
      </c>
      <c r="N323" s="936">
        <f t="shared" si="47"/>
        <v>0</v>
      </c>
      <c r="O323" s="936">
        <f t="shared" si="48"/>
        <v>0</v>
      </c>
      <c r="P323" s="937">
        <f t="shared" si="49"/>
        <v>0</v>
      </c>
      <c r="Q323" s="938"/>
      <c r="R323" s="938"/>
      <c r="S323" s="939">
        <f t="shared" si="50"/>
        <v>347391</v>
      </c>
    </row>
    <row r="324" spans="1:19" ht="30" customHeight="1" x14ac:dyDescent="0.45">
      <c r="A324" s="933"/>
      <c r="C324" s="934"/>
      <c r="D324" s="934"/>
      <c r="E324" s="934"/>
      <c r="F324" s="934"/>
      <c r="G324" s="935"/>
      <c r="H324" s="936">
        <v>-2</v>
      </c>
      <c r="I324" s="934"/>
      <c r="J324" s="935">
        <f t="shared" si="43"/>
        <v>0</v>
      </c>
      <c r="K324" s="936">
        <f t="shared" si="44"/>
        <v>44287</v>
      </c>
      <c r="L324" s="936">
        <f t="shared" si="45"/>
        <v>0</v>
      </c>
      <c r="M324" s="936">
        <f t="shared" si="46"/>
        <v>0</v>
      </c>
      <c r="N324" s="936">
        <f t="shared" si="47"/>
        <v>0</v>
      </c>
      <c r="O324" s="936">
        <f t="shared" si="48"/>
        <v>0</v>
      </c>
      <c r="P324" s="937">
        <f t="shared" si="49"/>
        <v>-2</v>
      </c>
      <c r="Q324" s="938"/>
      <c r="R324" s="938"/>
      <c r="S324" s="939">
        <f t="shared" si="50"/>
        <v>-2</v>
      </c>
    </row>
    <row r="325" spans="1:19" ht="30" customHeight="1" x14ac:dyDescent="0.45">
      <c r="A325" s="933"/>
      <c r="C325" s="934"/>
      <c r="D325" s="934"/>
      <c r="E325" s="934"/>
      <c r="F325" s="934"/>
      <c r="G325" s="935"/>
      <c r="H325" s="936"/>
      <c r="I325" s="934"/>
      <c r="J325" s="935">
        <f t="shared" si="43"/>
        <v>0</v>
      </c>
      <c r="K325" s="936">
        <f t="shared" si="44"/>
        <v>44287</v>
      </c>
      <c r="L325" s="936">
        <f t="shared" si="45"/>
        <v>0</v>
      </c>
      <c r="M325" s="936">
        <f t="shared" si="46"/>
        <v>0</v>
      </c>
      <c r="N325" s="936">
        <f t="shared" si="47"/>
        <v>0</v>
      </c>
      <c r="O325" s="936">
        <f t="shared" si="48"/>
        <v>0</v>
      </c>
      <c r="P325" s="937">
        <f t="shared" si="49"/>
        <v>0</v>
      </c>
      <c r="Q325" s="938"/>
      <c r="R325" s="938"/>
      <c r="S325" s="939">
        <f t="shared" si="50"/>
        <v>0</v>
      </c>
    </row>
    <row r="326" spans="1:19" ht="30" customHeight="1" x14ac:dyDescent="0.45">
      <c r="A326" s="933"/>
      <c r="C326" s="934"/>
      <c r="D326" s="970" t="s">
        <v>447</v>
      </c>
      <c r="E326" s="974" t="s">
        <v>2944</v>
      </c>
      <c r="F326" s="954" t="s">
        <v>2945</v>
      </c>
      <c r="G326" s="955">
        <v>43949</v>
      </c>
      <c r="H326" s="975">
        <v>10</v>
      </c>
      <c r="I326" s="934"/>
      <c r="J326" s="935">
        <f t="shared" si="43"/>
        <v>43949</v>
      </c>
      <c r="K326" s="936">
        <f t="shared" si="44"/>
        <v>338</v>
      </c>
      <c r="L326" s="936">
        <f t="shared" si="45"/>
        <v>0</v>
      </c>
      <c r="M326" s="936">
        <f t="shared" si="46"/>
        <v>0</v>
      </c>
      <c r="N326" s="936">
        <f t="shared" si="47"/>
        <v>10</v>
      </c>
      <c r="O326" s="936">
        <f t="shared" si="48"/>
        <v>0</v>
      </c>
      <c r="P326" s="937">
        <f t="shared" si="49"/>
        <v>0</v>
      </c>
      <c r="Q326" s="938"/>
      <c r="R326" s="938"/>
      <c r="S326" s="939">
        <f t="shared" si="50"/>
        <v>10</v>
      </c>
    </row>
    <row r="327" spans="1:19" ht="30" customHeight="1" x14ac:dyDescent="0.45">
      <c r="A327" s="933"/>
      <c r="C327" s="934"/>
      <c r="D327" s="934"/>
      <c r="E327" s="974" t="s">
        <v>2944</v>
      </c>
      <c r="F327" s="954" t="s">
        <v>2946</v>
      </c>
      <c r="G327" s="955">
        <v>44001</v>
      </c>
      <c r="H327" s="975">
        <v>1</v>
      </c>
      <c r="I327" s="934"/>
      <c r="J327" s="935">
        <f t="shared" si="43"/>
        <v>44001</v>
      </c>
      <c r="K327" s="936">
        <f t="shared" si="44"/>
        <v>286</v>
      </c>
      <c r="L327" s="936">
        <f t="shared" si="45"/>
        <v>0</v>
      </c>
      <c r="M327" s="936">
        <f t="shared" si="46"/>
        <v>0</v>
      </c>
      <c r="N327" s="936">
        <f t="shared" si="47"/>
        <v>1</v>
      </c>
      <c r="O327" s="936">
        <f t="shared" si="48"/>
        <v>0</v>
      </c>
      <c r="P327" s="937">
        <f t="shared" si="49"/>
        <v>0</v>
      </c>
      <c r="Q327" s="938"/>
      <c r="R327" s="938"/>
      <c r="S327" s="939">
        <f t="shared" si="50"/>
        <v>1</v>
      </c>
    </row>
    <row r="328" spans="1:19" ht="30" customHeight="1" x14ac:dyDescent="0.45">
      <c r="A328" s="933"/>
      <c r="C328" s="934"/>
      <c r="D328" s="934"/>
      <c r="E328" s="974" t="s">
        <v>2947</v>
      </c>
      <c r="F328" s="954" t="s">
        <v>2948</v>
      </c>
      <c r="G328" s="955">
        <v>44055</v>
      </c>
      <c r="H328" s="975">
        <v>-270</v>
      </c>
      <c r="I328" s="934"/>
      <c r="J328" s="935">
        <f t="shared" si="43"/>
        <v>44055</v>
      </c>
      <c r="K328" s="936">
        <f t="shared" si="44"/>
        <v>232</v>
      </c>
      <c r="L328" s="936">
        <f t="shared" si="45"/>
        <v>0</v>
      </c>
      <c r="M328" s="936">
        <f t="shared" si="46"/>
        <v>0</v>
      </c>
      <c r="N328" s="936">
        <f t="shared" si="47"/>
        <v>-270</v>
      </c>
      <c r="O328" s="936">
        <f t="shared" si="48"/>
        <v>0</v>
      </c>
      <c r="P328" s="937">
        <f t="shared" si="49"/>
        <v>0</v>
      </c>
      <c r="Q328" s="938"/>
      <c r="R328" s="938"/>
      <c r="S328" s="939">
        <f t="shared" si="50"/>
        <v>-270</v>
      </c>
    </row>
    <row r="329" spans="1:19" ht="30" customHeight="1" x14ac:dyDescent="0.45">
      <c r="A329" s="933"/>
      <c r="C329" s="934"/>
      <c r="D329" s="934"/>
      <c r="E329" s="974" t="s">
        <v>2944</v>
      </c>
      <c r="F329" s="954" t="s">
        <v>2949</v>
      </c>
      <c r="G329" s="955">
        <v>44067</v>
      </c>
      <c r="H329" s="975">
        <v>352</v>
      </c>
      <c r="I329" s="934"/>
      <c r="J329" s="935">
        <f t="shared" si="43"/>
        <v>44067</v>
      </c>
      <c r="K329" s="936">
        <f t="shared" si="44"/>
        <v>220</v>
      </c>
      <c r="L329" s="936">
        <f t="shared" si="45"/>
        <v>0</v>
      </c>
      <c r="M329" s="936">
        <f t="shared" si="46"/>
        <v>0</v>
      </c>
      <c r="N329" s="936">
        <f t="shared" si="47"/>
        <v>352</v>
      </c>
      <c r="O329" s="936">
        <f t="shared" si="48"/>
        <v>0</v>
      </c>
      <c r="P329" s="937">
        <f t="shared" si="49"/>
        <v>0</v>
      </c>
      <c r="Q329" s="938"/>
      <c r="R329" s="938"/>
      <c r="S329" s="939">
        <f t="shared" si="50"/>
        <v>352</v>
      </c>
    </row>
    <row r="330" spans="1:19" ht="30" customHeight="1" x14ac:dyDescent="0.45">
      <c r="A330" s="933"/>
      <c r="C330" s="934"/>
      <c r="D330" s="934"/>
      <c r="E330" s="934"/>
      <c r="F330" s="954" t="s">
        <v>2950</v>
      </c>
      <c r="G330" s="955">
        <v>44093</v>
      </c>
      <c r="H330" s="975">
        <v>2</v>
      </c>
      <c r="I330" s="934"/>
      <c r="J330" s="935">
        <f t="shared" si="43"/>
        <v>44093</v>
      </c>
      <c r="K330" s="936">
        <f t="shared" si="44"/>
        <v>194</v>
      </c>
      <c r="L330" s="936">
        <f t="shared" si="45"/>
        <v>0</v>
      </c>
      <c r="M330" s="936">
        <f t="shared" si="46"/>
        <v>0</v>
      </c>
      <c r="N330" s="936">
        <f t="shared" si="47"/>
        <v>2</v>
      </c>
      <c r="O330" s="936">
        <f t="shared" si="48"/>
        <v>0</v>
      </c>
      <c r="P330" s="937">
        <f t="shared" si="49"/>
        <v>0</v>
      </c>
      <c r="Q330" s="938"/>
      <c r="R330" s="938"/>
      <c r="S330" s="939">
        <f t="shared" si="50"/>
        <v>2</v>
      </c>
    </row>
    <row r="331" spans="1:19" ht="30" customHeight="1" x14ac:dyDescent="0.45">
      <c r="A331" s="933"/>
      <c r="C331" s="934"/>
      <c r="D331" s="934"/>
      <c r="E331" s="934"/>
      <c r="F331" s="954" t="s">
        <v>2951</v>
      </c>
      <c r="G331" s="955">
        <v>44101</v>
      </c>
      <c r="H331" s="975">
        <v>-3</v>
      </c>
      <c r="I331" s="934"/>
      <c r="J331" s="935">
        <f t="shared" si="43"/>
        <v>44101</v>
      </c>
      <c r="K331" s="936">
        <f t="shared" si="44"/>
        <v>186</v>
      </c>
      <c r="L331" s="936">
        <f t="shared" si="45"/>
        <v>0</v>
      </c>
      <c r="M331" s="936">
        <f t="shared" si="46"/>
        <v>0</v>
      </c>
      <c r="N331" s="936">
        <f t="shared" si="47"/>
        <v>-3</v>
      </c>
      <c r="O331" s="936">
        <f t="shared" si="48"/>
        <v>0</v>
      </c>
      <c r="P331" s="937">
        <f t="shared" si="49"/>
        <v>0</v>
      </c>
      <c r="Q331" s="938"/>
      <c r="R331" s="938"/>
      <c r="S331" s="939">
        <f t="shared" si="50"/>
        <v>-3</v>
      </c>
    </row>
    <row r="332" spans="1:19" ht="30" customHeight="1" x14ac:dyDescent="0.45">
      <c r="A332" s="933"/>
      <c r="C332" s="934"/>
      <c r="D332" s="934"/>
      <c r="E332" s="934"/>
      <c r="F332" s="954" t="s">
        <v>2952</v>
      </c>
      <c r="G332" s="955">
        <v>44107</v>
      </c>
      <c r="H332" s="975">
        <v>27</v>
      </c>
      <c r="I332" s="934"/>
      <c r="J332" s="935">
        <f t="shared" si="43"/>
        <v>44107</v>
      </c>
      <c r="K332" s="936">
        <f t="shared" si="44"/>
        <v>180</v>
      </c>
      <c r="L332" s="936">
        <f t="shared" si="45"/>
        <v>0</v>
      </c>
      <c r="M332" s="936">
        <f t="shared" si="46"/>
        <v>27</v>
      </c>
      <c r="N332" s="936">
        <f t="shared" si="47"/>
        <v>0</v>
      </c>
      <c r="O332" s="936">
        <f t="shared" si="48"/>
        <v>0</v>
      </c>
      <c r="P332" s="937">
        <f t="shared" si="49"/>
        <v>0</v>
      </c>
      <c r="Q332" s="938"/>
      <c r="R332" s="938"/>
      <c r="S332" s="939">
        <f t="shared" si="50"/>
        <v>27</v>
      </c>
    </row>
    <row r="333" spans="1:19" ht="30" customHeight="1" x14ac:dyDescent="0.45">
      <c r="A333" s="933"/>
      <c r="C333" s="934"/>
      <c r="D333" s="976" t="s">
        <v>2953</v>
      </c>
      <c r="E333" s="934"/>
      <c r="F333" s="954" t="s">
        <v>2954</v>
      </c>
      <c r="G333" s="955">
        <v>44135</v>
      </c>
      <c r="H333" s="975">
        <v>16404</v>
      </c>
      <c r="I333" s="934"/>
      <c r="J333" s="935">
        <f t="shared" si="43"/>
        <v>44135</v>
      </c>
      <c r="K333" s="936">
        <f t="shared" si="44"/>
        <v>152</v>
      </c>
      <c r="L333" s="936">
        <f t="shared" si="45"/>
        <v>0</v>
      </c>
      <c r="M333" s="936">
        <f t="shared" si="46"/>
        <v>16404</v>
      </c>
      <c r="N333" s="936">
        <f t="shared" si="47"/>
        <v>0</v>
      </c>
      <c r="O333" s="936">
        <f t="shared" si="48"/>
        <v>0</v>
      </c>
      <c r="P333" s="937">
        <f t="shared" si="49"/>
        <v>0</v>
      </c>
      <c r="Q333" s="938"/>
      <c r="R333" s="938"/>
      <c r="S333" s="939">
        <f t="shared" si="50"/>
        <v>16404</v>
      </c>
    </row>
    <row r="334" spans="1:19" ht="30" customHeight="1" x14ac:dyDescent="0.45">
      <c r="A334" s="933"/>
      <c r="C334" s="934"/>
      <c r="D334" s="934"/>
      <c r="E334" s="977" t="s">
        <v>2944</v>
      </c>
      <c r="F334" s="954" t="s">
        <v>2955</v>
      </c>
      <c r="G334" s="956">
        <v>44213</v>
      </c>
      <c r="H334" s="975">
        <v>2000</v>
      </c>
      <c r="I334" s="934"/>
      <c r="J334" s="935">
        <f t="shared" si="43"/>
        <v>44213</v>
      </c>
      <c r="K334" s="936">
        <f t="shared" si="44"/>
        <v>74</v>
      </c>
      <c r="L334" s="936">
        <f t="shared" si="45"/>
        <v>2000</v>
      </c>
      <c r="M334" s="936">
        <f t="shared" si="46"/>
        <v>0</v>
      </c>
      <c r="N334" s="936">
        <f t="shared" si="47"/>
        <v>0</v>
      </c>
      <c r="O334" s="936">
        <f t="shared" si="48"/>
        <v>0</v>
      </c>
      <c r="P334" s="937">
        <f t="shared" si="49"/>
        <v>0</v>
      </c>
      <c r="Q334" s="938"/>
      <c r="R334" s="938"/>
      <c r="S334" s="939">
        <f t="shared" si="50"/>
        <v>2000</v>
      </c>
    </row>
    <row r="335" spans="1:19" ht="30" customHeight="1" x14ac:dyDescent="0.45">
      <c r="A335" s="933"/>
      <c r="C335" s="934"/>
      <c r="D335" s="934"/>
      <c r="E335" s="934"/>
      <c r="F335" s="954" t="s">
        <v>2956</v>
      </c>
      <c r="G335" s="956">
        <v>44226</v>
      </c>
      <c r="H335" s="975">
        <v>251620</v>
      </c>
      <c r="I335" s="934"/>
      <c r="J335" s="935">
        <f t="shared" si="43"/>
        <v>44226</v>
      </c>
      <c r="K335" s="936">
        <f t="shared" si="44"/>
        <v>61</v>
      </c>
      <c r="L335" s="936">
        <f t="shared" si="45"/>
        <v>251620</v>
      </c>
      <c r="M335" s="936">
        <f t="shared" si="46"/>
        <v>0</v>
      </c>
      <c r="N335" s="936">
        <f t="shared" si="47"/>
        <v>0</v>
      </c>
      <c r="O335" s="936">
        <f t="shared" si="48"/>
        <v>0</v>
      </c>
      <c r="P335" s="937">
        <f t="shared" si="49"/>
        <v>0</v>
      </c>
      <c r="Q335" s="938"/>
      <c r="R335" s="938"/>
      <c r="S335" s="939">
        <f t="shared" si="50"/>
        <v>251620</v>
      </c>
    </row>
    <row r="336" spans="1:19" ht="30" customHeight="1" x14ac:dyDescent="0.45">
      <c r="A336" s="933"/>
      <c r="C336" s="934"/>
      <c r="D336" s="934"/>
      <c r="E336" s="934"/>
      <c r="F336" s="954" t="s">
        <v>2957</v>
      </c>
      <c r="G336" s="956">
        <v>44226</v>
      </c>
      <c r="H336" s="975">
        <v>514069</v>
      </c>
      <c r="I336" s="934"/>
      <c r="J336" s="935">
        <f t="shared" si="43"/>
        <v>44226</v>
      </c>
      <c r="K336" s="936">
        <f t="shared" si="44"/>
        <v>61</v>
      </c>
      <c r="L336" s="936">
        <f t="shared" si="45"/>
        <v>514069</v>
      </c>
      <c r="M336" s="936">
        <f t="shared" si="46"/>
        <v>0</v>
      </c>
      <c r="N336" s="936">
        <f t="shared" si="47"/>
        <v>0</v>
      </c>
      <c r="O336" s="936">
        <f t="shared" si="48"/>
        <v>0</v>
      </c>
      <c r="P336" s="937">
        <f t="shared" si="49"/>
        <v>0</v>
      </c>
      <c r="Q336" s="938"/>
      <c r="R336" s="938"/>
      <c r="S336" s="939">
        <f t="shared" si="50"/>
        <v>514069</v>
      </c>
    </row>
    <row r="337" spans="1:19" ht="30" customHeight="1" x14ac:dyDescent="0.45">
      <c r="A337" s="933"/>
      <c r="C337" s="934"/>
      <c r="D337" s="934"/>
      <c r="E337" s="934"/>
      <c r="F337" s="954" t="s">
        <v>2958</v>
      </c>
      <c r="G337" s="956">
        <v>44228</v>
      </c>
      <c r="H337" s="975">
        <v>536686</v>
      </c>
      <c r="I337" s="934"/>
      <c r="J337" s="935">
        <f t="shared" si="43"/>
        <v>44228</v>
      </c>
      <c r="K337" s="936">
        <f t="shared" si="44"/>
        <v>59</v>
      </c>
      <c r="L337" s="936">
        <f t="shared" si="45"/>
        <v>536686</v>
      </c>
      <c r="M337" s="936">
        <f t="shared" si="46"/>
        <v>0</v>
      </c>
      <c r="N337" s="936">
        <f t="shared" si="47"/>
        <v>0</v>
      </c>
      <c r="O337" s="936">
        <f t="shared" si="48"/>
        <v>0</v>
      </c>
      <c r="P337" s="937">
        <f t="shared" si="49"/>
        <v>0</v>
      </c>
      <c r="Q337" s="938"/>
      <c r="R337" s="938"/>
      <c r="S337" s="939">
        <f t="shared" si="50"/>
        <v>536686</v>
      </c>
    </row>
    <row r="338" spans="1:19" ht="30" customHeight="1" x14ac:dyDescent="0.45">
      <c r="A338" s="933"/>
      <c r="C338" s="934"/>
      <c r="D338" s="934"/>
      <c r="E338" s="934"/>
      <c r="F338" s="954" t="s">
        <v>2959</v>
      </c>
      <c r="G338" s="956">
        <v>44228</v>
      </c>
      <c r="H338" s="975">
        <v>667815</v>
      </c>
      <c r="I338" s="934"/>
      <c r="J338" s="935">
        <f t="shared" si="43"/>
        <v>44228</v>
      </c>
      <c r="K338" s="936">
        <f t="shared" si="44"/>
        <v>59</v>
      </c>
      <c r="L338" s="936">
        <f t="shared" si="45"/>
        <v>667815</v>
      </c>
      <c r="M338" s="936">
        <f t="shared" si="46"/>
        <v>0</v>
      </c>
      <c r="N338" s="936">
        <f t="shared" si="47"/>
        <v>0</v>
      </c>
      <c r="O338" s="936">
        <f t="shared" si="48"/>
        <v>0</v>
      </c>
      <c r="P338" s="937">
        <f t="shared" si="49"/>
        <v>0</v>
      </c>
      <c r="Q338" s="938"/>
      <c r="R338" s="938"/>
      <c r="S338" s="939">
        <f t="shared" si="50"/>
        <v>667815</v>
      </c>
    </row>
    <row r="339" spans="1:19" ht="30" customHeight="1" x14ac:dyDescent="0.45">
      <c r="A339" s="933"/>
      <c r="C339" s="934"/>
      <c r="D339" s="934"/>
      <c r="E339" s="934"/>
      <c r="F339" s="954" t="s">
        <v>2960</v>
      </c>
      <c r="G339" s="956">
        <v>44230</v>
      </c>
      <c r="H339" s="975">
        <v>547880</v>
      </c>
      <c r="I339" s="934"/>
      <c r="J339" s="935">
        <f t="shared" si="43"/>
        <v>44230</v>
      </c>
      <c r="K339" s="936">
        <f t="shared" si="44"/>
        <v>57</v>
      </c>
      <c r="L339" s="936">
        <f t="shared" si="45"/>
        <v>547880</v>
      </c>
      <c r="M339" s="936">
        <f t="shared" si="46"/>
        <v>0</v>
      </c>
      <c r="N339" s="936">
        <f t="shared" si="47"/>
        <v>0</v>
      </c>
      <c r="O339" s="936">
        <f t="shared" si="48"/>
        <v>0</v>
      </c>
      <c r="P339" s="937">
        <f t="shared" si="49"/>
        <v>0</v>
      </c>
      <c r="Q339" s="938"/>
      <c r="R339" s="938"/>
      <c r="S339" s="939">
        <f t="shared" si="50"/>
        <v>547880</v>
      </c>
    </row>
    <row r="340" spans="1:19" ht="30" customHeight="1" x14ac:dyDescent="0.45">
      <c r="A340" s="933"/>
      <c r="C340" s="934"/>
      <c r="D340" s="934"/>
      <c r="E340" s="934"/>
      <c r="F340" s="954" t="s">
        <v>2961</v>
      </c>
      <c r="G340" s="956">
        <v>44231</v>
      </c>
      <c r="H340" s="975">
        <v>535599</v>
      </c>
      <c r="I340" s="934"/>
      <c r="J340" s="935">
        <f t="shared" si="43"/>
        <v>44231</v>
      </c>
      <c r="K340" s="936">
        <f t="shared" si="44"/>
        <v>56</v>
      </c>
      <c r="L340" s="936">
        <f t="shared" si="45"/>
        <v>535599</v>
      </c>
      <c r="M340" s="936">
        <f t="shared" si="46"/>
        <v>0</v>
      </c>
      <c r="N340" s="936">
        <f t="shared" si="47"/>
        <v>0</v>
      </c>
      <c r="O340" s="936">
        <f t="shared" si="48"/>
        <v>0</v>
      </c>
      <c r="P340" s="937">
        <f t="shared" si="49"/>
        <v>0</v>
      </c>
      <c r="Q340" s="938"/>
      <c r="R340" s="938"/>
      <c r="S340" s="939">
        <f t="shared" si="50"/>
        <v>535599</v>
      </c>
    </row>
    <row r="341" spans="1:19" ht="30" customHeight="1" x14ac:dyDescent="0.45">
      <c r="A341" s="933"/>
      <c r="C341" s="934"/>
      <c r="D341" s="934"/>
      <c r="E341" s="934"/>
      <c r="F341" s="954" t="s">
        <v>2962</v>
      </c>
      <c r="G341" s="956">
        <v>44231</v>
      </c>
      <c r="H341" s="975">
        <v>553574</v>
      </c>
      <c r="I341" s="934"/>
      <c r="J341" s="935">
        <f t="shared" si="43"/>
        <v>44231</v>
      </c>
      <c r="K341" s="936">
        <f t="shared" si="44"/>
        <v>56</v>
      </c>
      <c r="L341" s="936">
        <f t="shared" si="45"/>
        <v>553574</v>
      </c>
      <c r="M341" s="936">
        <f t="shared" si="46"/>
        <v>0</v>
      </c>
      <c r="N341" s="936">
        <f t="shared" si="47"/>
        <v>0</v>
      </c>
      <c r="O341" s="936">
        <f t="shared" si="48"/>
        <v>0</v>
      </c>
      <c r="P341" s="937">
        <f t="shared" si="49"/>
        <v>0</v>
      </c>
      <c r="Q341" s="938"/>
      <c r="R341" s="938"/>
      <c r="S341" s="939">
        <f t="shared" si="50"/>
        <v>553574</v>
      </c>
    </row>
    <row r="342" spans="1:19" ht="30" customHeight="1" x14ac:dyDescent="0.45">
      <c r="A342" s="933"/>
      <c r="C342" s="934"/>
      <c r="D342" s="934"/>
      <c r="E342" s="934"/>
      <c r="F342" s="954" t="s">
        <v>2963</v>
      </c>
      <c r="G342" s="956">
        <v>44232</v>
      </c>
      <c r="H342" s="975">
        <v>559803</v>
      </c>
      <c r="I342" s="934"/>
      <c r="J342" s="935">
        <f t="shared" si="43"/>
        <v>44232</v>
      </c>
      <c r="K342" s="936">
        <f t="shared" si="44"/>
        <v>55</v>
      </c>
      <c r="L342" s="936">
        <f t="shared" si="45"/>
        <v>559803</v>
      </c>
      <c r="M342" s="936">
        <f t="shared" si="46"/>
        <v>0</v>
      </c>
      <c r="N342" s="936">
        <f t="shared" si="47"/>
        <v>0</v>
      </c>
      <c r="O342" s="936">
        <f t="shared" si="48"/>
        <v>0</v>
      </c>
      <c r="P342" s="937">
        <f t="shared" si="49"/>
        <v>0</v>
      </c>
      <c r="Q342" s="938"/>
      <c r="R342" s="938"/>
      <c r="S342" s="939">
        <f t="shared" si="50"/>
        <v>559803</v>
      </c>
    </row>
    <row r="343" spans="1:19" ht="30" customHeight="1" x14ac:dyDescent="0.45">
      <c r="A343" s="933"/>
      <c r="C343" s="934"/>
      <c r="D343" s="934"/>
      <c r="E343" s="934"/>
      <c r="F343" s="954" t="s">
        <v>2964</v>
      </c>
      <c r="G343" s="956">
        <v>44232</v>
      </c>
      <c r="H343" s="975">
        <v>516689</v>
      </c>
      <c r="I343" s="934"/>
      <c r="J343" s="935">
        <f t="shared" si="43"/>
        <v>44232</v>
      </c>
      <c r="K343" s="936">
        <f t="shared" si="44"/>
        <v>55</v>
      </c>
      <c r="L343" s="936">
        <f t="shared" si="45"/>
        <v>516689</v>
      </c>
      <c r="M343" s="936">
        <f t="shared" si="46"/>
        <v>0</v>
      </c>
      <c r="N343" s="936">
        <f t="shared" si="47"/>
        <v>0</v>
      </c>
      <c r="O343" s="936">
        <f t="shared" si="48"/>
        <v>0</v>
      </c>
      <c r="P343" s="937">
        <f t="shared" si="49"/>
        <v>0</v>
      </c>
      <c r="Q343" s="938"/>
      <c r="R343" s="938"/>
      <c r="S343" s="939">
        <f t="shared" si="50"/>
        <v>516689</v>
      </c>
    </row>
    <row r="344" spans="1:19" ht="30" customHeight="1" x14ac:dyDescent="0.45">
      <c r="A344" s="933"/>
      <c r="C344" s="934"/>
      <c r="D344" s="934"/>
      <c r="E344" s="934"/>
      <c r="F344" s="954" t="s">
        <v>2965</v>
      </c>
      <c r="G344" s="956">
        <v>44233</v>
      </c>
      <c r="H344" s="975">
        <v>271053</v>
      </c>
      <c r="I344" s="934"/>
      <c r="J344" s="935">
        <f t="shared" si="43"/>
        <v>44233</v>
      </c>
      <c r="K344" s="936">
        <f t="shared" si="44"/>
        <v>54</v>
      </c>
      <c r="L344" s="936">
        <f t="shared" si="45"/>
        <v>271053</v>
      </c>
      <c r="M344" s="936">
        <f t="shared" si="46"/>
        <v>0</v>
      </c>
      <c r="N344" s="936">
        <f t="shared" si="47"/>
        <v>0</v>
      </c>
      <c r="O344" s="936">
        <f t="shared" si="48"/>
        <v>0</v>
      </c>
      <c r="P344" s="937">
        <f t="shared" si="49"/>
        <v>0</v>
      </c>
      <c r="Q344" s="938"/>
      <c r="R344" s="938"/>
      <c r="S344" s="939">
        <f t="shared" si="50"/>
        <v>271053</v>
      </c>
    </row>
    <row r="345" spans="1:19" ht="30" customHeight="1" x14ac:dyDescent="0.45">
      <c r="A345" s="933"/>
      <c r="C345" s="934"/>
      <c r="D345" s="934"/>
      <c r="E345" s="934"/>
      <c r="F345" s="954" t="s">
        <v>2966</v>
      </c>
      <c r="G345" s="956">
        <v>44234</v>
      </c>
      <c r="H345" s="975">
        <v>677625</v>
      </c>
      <c r="I345" s="934"/>
      <c r="J345" s="935">
        <f t="shared" si="43"/>
        <v>44234</v>
      </c>
      <c r="K345" s="936">
        <f t="shared" si="44"/>
        <v>53</v>
      </c>
      <c r="L345" s="936">
        <f t="shared" si="45"/>
        <v>677625</v>
      </c>
      <c r="M345" s="936">
        <f t="shared" si="46"/>
        <v>0</v>
      </c>
      <c r="N345" s="936">
        <f t="shared" si="47"/>
        <v>0</v>
      </c>
      <c r="O345" s="936">
        <f t="shared" si="48"/>
        <v>0</v>
      </c>
      <c r="P345" s="937">
        <f t="shared" si="49"/>
        <v>0</v>
      </c>
      <c r="Q345" s="938"/>
      <c r="R345" s="938"/>
      <c r="S345" s="939">
        <f t="shared" si="50"/>
        <v>677625</v>
      </c>
    </row>
    <row r="346" spans="1:19" ht="30" customHeight="1" x14ac:dyDescent="0.45">
      <c r="A346" s="933"/>
      <c r="C346" s="934"/>
      <c r="D346" s="934"/>
      <c r="E346" s="934"/>
      <c r="F346" s="954" t="s">
        <v>2967</v>
      </c>
      <c r="G346" s="956">
        <v>44234</v>
      </c>
      <c r="H346" s="975">
        <v>536490</v>
      </c>
      <c r="I346" s="934"/>
      <c r="J346" s="935">
        <f t="shared" si="43"/>
        <v>44234</v>
      </c>
      <c r="K346" s="936">
        <f t="shared" si="44"/>
        <v>53</v>
      </c>
      <c r="L346" s="936">
        <f t="shared" si="45"/>
        <v>536490</v>
      </c>
      <c r="M346" s="936">
        <f t="shared" si="46"/>
        <v>0</v>
      </c>
      <c r="N346" s="936">
        <f t="shared" si="47"/>
        <v>0</v>
      </c>
      <c r="O346" s="936">
        <f t="shared" si="48"/>
        <v>0</v>
      </c>
      <c r="P346" s="937">
        <f t="shared" si="49"/>
        <v>0</v>
      </c>
      <c r="Q346" s="938"/>
      <c r="R346" s="938"/>
      <c r="S346" s="939">
        <f t="shared" si="50"/>
        <v>536490</v>
      </c>
    </row>
    <row r="347" spans="1:19" ht="30" customHeight="1" x14ac:dyDescent="0.45">
      <c r="A347" s="933"/>
      <c r="C347" s="934"/>
      <c r="D347" s="934"/>
      <c r="E347" s="934"/>
      <c r="F347" s="954" t="s">
        <v>2968</v>
      </c>
      <c r="G347" s="956">
        <v>44235</v>
      </c>
      <c r="H347" s="975">
        <v>523220</v>
      </c>
      <c r="I347" s="934"/>
      <c r="J347" s="935">
        <f t="shared" si="43"/>
        <v>44235</v>
      </c>
      <c r="K347" s="936">
        <f t="shared" si="44"/>
        <v>52</v>
      </c>
      <c r="L347" s="936">
        <f t="shared" si="45"/>
        <v>523220</v>
      </c>
      <c r="M347" s="936">
        <f t="shared" si="46"/>
        <v>0</v>
      </c>
      <c r="N347" s="936">
        <f t="shared" si="47"/>
        <v>0</v>
      </c>
      <c r="O347" s="936">
        <f t="shared" si="48"/>
        <v>0</v>
      </c>
      <c r="P347" s="937">
        <f t="shared" si="49"/>
        <v>0</v>
      </c>
      <c r="Q347" s="938"/>
      <c r="R347" s="938"/>
      <c r="S347" s="939">
        <f t="shared" si="50"/>
        <v>523220</v>
      </c>
    </row>
    <row r="348" spans="1:19" ht="30" customHeight="1" x14ac:dyDescent="0.45">
      <c r="A348" s="933"/>
      <c r="C348" s="934"/>
      <c r="D348" s="934"/>
      <c r="E348" s="934"/>
      <c r="F348" s="954" t="s">
        <v>2969</v>
      </c>
      <c r="G348" s="956">
        <v>44236</v>
      </c>
      <c r="H348" s="975">
        <v>516419</v>
      </c>
      <c r="I348" s="934"/>
      <c r="J348" s="935">
        <f t="shared" si="43"/>
        <v>44236</v>
      </c>
      <c r="K348" s="936">
        <f t="shared" si="44"/>
        <v>51</v>
      </c>
      <c r="L348" s="936">
        <f t="shared" si="45"/>
        <v>516419</v>
      </c>
      <c r="M348" s="936">
        <f t="shared" si="46"/>
        <v>0</v>
      </c>
      <c r="N348" s="936">
        <f t="shared" si="47"/>
        <v>0</v>
      </c>
      <c r="O348" s="936">
        <f t="shared" si="48"/>
        <v>0</v>
      </c>
      <c r="P348" s="937">
        <f t="shared" si="49"/>
        <v>0</v>
      </c>
      <c r="Q348" s="938"/>
      <c r="R348" s="938"/>
      <c r="S348" s="939">
        <f t="shared" si="50"/>
        <v>516419</v>
      </c>
    </row>
    <row r="349" spans="1:19" ht="30" customHeight="1" x14ac:dyDescent="0.45">
      <c r="A349" s="933"/>
      <c r="C349" s="934"/>
      <c r="D349" s="934"/>
      <c r="E349" s="934"/>
      <c r="F349" s="954" t="s">
        <v>2970</v>
      </c>
      <c r="G349" s="956">
        <v>44238</v>
      </c>
      <c r="H349" s="975">
        <v>546799</v>
      </c>
      <c r="I349" s="934"/>
      <c r="J349" s="935">
        <f t="shared" si="43"/>
        <v>44238</v>
      </c>
      <c r="K349" s="936">
        <f t="shared" si="44"/>
        <v>49</v>
      </c>
      <c r="L349" s="936">
        <f t="shared" si="45"/>
        <v>546799</v>
      </c>
      <c r="M349" s="936">
        <f t="shared" si="46"/>
        <v>0</v>
      </c>
      <c r="N349" s="936">
        <f t="shared" si="47"/>
        <v>0</v>
      </c>
      <c r="O349" s="936">
        <f t="shared" si="48"/>
        <v>0</v>
      </c>
      <c r="P349" s="937">
        <f t="shared" si="49"/>
        <v>0</v>
      </c>
      <c r="Q349" s="938"/>
      <c r="R349" s="938"/>
      <c r="S349" s="939">
        <f t="shared" si="50"/>
        <v>546799</v>
      </c>
    </row>
    <row r="350" spans="1:19" ht="30" customHeight="1" x14ac:dyDescent="0.45">
      <c r="A350" s="933"/>
      <c r="C350" s="934"/>
      <c r="D350" s="934"/>
      <c r="E350" s="934"/>
      <c r="F350" s="954" t="s">
        <v>2971</v>
      </c>
      <c r="G350" s="956">
        <v>44238</v>
      </c>
      <c r="H350" s="975">
        <v>580944</v>
      </c>
      <c r="I350" s="934"/>
      <c r="J350" s="935">
        <f t="shared" si="43"/>
        <v>44238</v>
      </c>
      <c r="K350" s="936">
        <f t="shared" si="44"/>
        <v>49</v>
      </c>
      <c r="L350" s="936">
        <f t="shared" si="45"/>
        <v>580944</v>
      </c>
      <c r="M350" s="936">
        <f t="shared" si="46"/>
        <v>0</v>
      </c>
      <c r="N350" s="936">
        <f t="shared" si="47"/>
        <v>0</v>
      </c>
      <c r="O350" s="936">
        <f t="shared" si="48"/>
        <v>0</v>
      </c>
      <c r="P350" s="937">
        <f t="shared" si="49"/>
        <v>0</v>
      </c>
      <c r="Q350" s="938"/>
      <c r="R350" s="938"/>
      <c r="S350" s="939">
        <f t="shared" si="50"/>
        <v>580944</v>
      </c>
    </row>
    <row r="351" spans="1:19" ht="30" customHeight="1" x14ac:dyDescent="0.45">
      <c r="A351" s="933"/>
      <c r="C351" s="934"/>
      <c r="D351" s="934"/>
      <c r="E351" s="934"/>
      <c r="F351" s="954" t="s">
        <v>2972</v>
      </c>
      <c r="G351" s="956">
        <v>44238</v>
      </c>
      <c r="H351" s="975">
        <v>520206</v>
      </c>
      <c r="I351" s="934"/>
      <c r="J351" s="935">
        <f t="shared" si="43"/>
        <v>44238</v>
      </c>
      <c r="K351" s="936">
        <f t="shared" si="44"/>
        <v>49</v>
      </c>
      <c r="L351" s="936">
        <f t="shared" si="45"/>
        <v>520206</v>
      </c>
      <c r="M351" s="936">
        <f t="shared" si="46"/>
        <v>0</v>
      </c>
      <c r="N351" s="936">
        <f t="shared" si="47"/>
        <v>0</v>
      </c>
      <c r="O351" s="936">
        <f t="shared" si="48"/>
        <v>0</v>
      </c>
      <c r="P351" s="937">
        <f t="shared" si="49"/>
        <v>0</v>
      </c>
      <c r="Q351" s="938"/>
      <c r="R351" s="938"/>
      <c r="S351" s="939">
        <f t="shared" si="50"/>
        <v>520206</v>
      </c>
    </row>
    <row r="352" spans="1:19" ht="30" customHeight="1" x14ac:dyDescent="0.45">
      <c r="A352" s="933"/>
      <c r="C352" s="934"/>
      <c r="D352" s="934"/>
      <c r="E352" s="934"/>
      <c r="F352" s="954" t="s">
        <v>2973</v>
      </c>
      <c r="G352" s="956">
        <v>44238</v>
      </c>
      <c r="H352" s="975">
        <v>664353</v>
      </c>
      <c r="I352" s="934"/>
      <c r="J352" s="935">
        <f t="shared" si="43"/>
        <v>44238</v>
      </c>
      <c r="K352" s="936">
        <f t="shared" si="44"/>
        <v>49</v>
      </c>
      <c r="L352" s="936">
        <f t="shared" si="45"/>
        <v>664353</v>
      </c>
      <c r="M352" s="936">
        <f t="shared" si="46"/>
        <v>0</v>
      </c>
      <c r="N352" s="936">
        <f t="shared" si="47"/>
        <v>0</v>
      </c>
      <c r="O352" s="936">
        <f t="shared" si="48"/>
        <v>0</v>
      </c>
      <c r="P352" s="937">
        <f t="shared" si="49"/>
        <v>0</v>
      </c>
      <c r="Q352" s="938"/>
      <c r="R352" s="938"/>
      <c r="S352" s="939">
        <f t="shared" si="50"/>
        <v>664353</v>
      </c>
    </row>
    <row r="353" spans="1:19" ht="30" customHeight="1" x14ac:dyDescent="0.45">
      <c r="A353" s="933"/>
      <c r="C353" s="934"/>
      <c r="D353" s="934"/>
      <c r="E353" s="934"/>
      <c r="F353" s="954" t="s">
        <v>2974</v>
      </c>
      <c r="G353" s="956">
        <v>44241</v>
      </c>
      <c r="H353" s="975">
        <v>508343</v>
      </c>
      <c r="I353" s="934"/>
      <c r="J353" s="935">
        <f t="shared" si="43"/>
        <v>44241</v>
      </c>
      <c r="K353" s="936">
        <f t="shared" si="44"/>
        <v>46</v>
      </c>
      <c r="L353" s="936">
        <f t="shared" si="45"/>
        <v>508343</v>
      </c>
      <c r="M353" s="936">
        <f t="shared" si="46"/>
        <v>0</v>
      </c>
      <c r="N353" s="936">
        <f t="shared" si="47"/>
        <v>0</v>
      </c>
      <c r="O353" s="936">
        <f t="shared" si="48"/>
        <v>0</v>
      </c>
      <c r="P353" s="937">
        <f t="shared" si="49"/>
        <v>0</v>
      </c>
      <c r="Q353" s="938"/>
      <c r="R353" s="938"/>
      <c r="S353" s="939">
        <f t="shared" si="50"/>
        <v>508343</v>
      </c>
    </row>
    <row r="354" spans="1:19" ht="30" customHeight="1" x14ac:dyDescent="0.45">
      <c r="A354" s="933"/>
      <c r="C354" s="934"/>
      <c r="D354" s="934"/>
      <c r="E354" s="934"/>
      <c r="F354" s="954" t="s">
        <v>2975</v>
      </c>
      <c r="G354" s="956">
        <v>44242</v>
      </c>
      <c r="H354" s="975">
        <v>268275</v>
      </c>
      <c r="I354" s="934"/>
      <c r="J354" s="935">
        <f t="shared" si="43"/>
        <v>44242</v>
      </c>
      <c r="K354" s="936">
        <f t="shared" si="44"/>
        <v>45</v>
      </c>
      <c r="L354" s="936">
        <f t="shared" si="45"/>
        <v>268275</v>
      </c>
      <c r="M354" s="936">
        <f t="shared" si="46"/>
        <v>0</v>
      </c>
      <c r="N354" s="936">
        <f t="shared" si="47"/>
        <v>0</v>
      </c>
      <c r="O354" s="936">
        <f t="shared" si="48"/>
        <v>0</v>
      </c>
      <c r="P354" s="937">
        <f t="shared" si="49"/>
        <v>0</v>
      </c>
      <c r="Q354" s="938"/>
      <c r="R354" s="938"/>
      <c r="S354" s="939">
        <f t="shared" si="50"/>
        <v>268275</v>
      </c>
    </row>
    <row r="355" spans="1:19" ht="30" customHeight="1" x14ac:dyDescent="0.45">
      <c r="A355" s="933"/>
      <c r="C355" s="934"/>
      <c r="D355" s="934"/>
      <c r="E355" s="934"/>
      <c r="F355" s="954" t="s">
        <v>2976</v>
      </c>
      <c r="G355" s="956">
        <v>44243</v>
      </c>
      <c r="H355" s="975">
        <v>590033</v>
      </c>
      <c r="I355" s="934"/>
      <c r="J355" s="935">
        <f t="shared" si="43"/>
        <v>44243</v>
      </c>
      <c r="K355" s="936">
        <f t="shared" si="44"/>
        <v>44</v>
      </c>
      <c r="L355" s="936">
        <f t="shared" si="45"/>
        <v>590033</v>
      </c>
      <c r="M355" s="936">
        <f t="shared" si="46"/>
        <v>0</v>
      </c>
      <c r="N355" s="936">
        <f t="shared" si="47"/>
        <v>0</v>
      </c>
      <c r="O355" s="936">
        <f t="shared" si="48"/>
        <v>0</v>
      </c>
      <c r="P355" s="937">
        <f t="shared" si="49"/>
        <v>0</v>
      </c>
      <c r="Q355" s="938"/>
      <c r="R355" s="938"/>
      <c r="S355" s="939">
        <f t="shared" si="50"/>
        <v>590033</v>
      </c>
    </row>
    <row r="356" spans="1:19" ht="30" customHeight="1" x14ac:dyDescent="0.45">
      <c r="A356" s="933"/>
      <c r="C356" s="934"/>
      <c r="D356" s="934"/>
      <c r="E356" s="934"/>
      <c r="F356" s="954" t="s">
        <v>2977</v>
      </c>
      <c r="G356" s="956">
        <v>44243</v>
      </c>
      <c r="H356" s="975">
        <v>529940</v>
      </c>
      <c r="I356" s="934"/>
      <c r="J356" s="935">
        <f t="shared" si="43"/>
        <v>44243</v>
      </c>
      <c r="K356" s="936">
        <f t="shared" si="44"/>
        <v>44</v>
      </c>
      <c r="L356" s="936">
        <f t="shared" si="45"/>
        <v>529940</v>
      </c>
      <c r="M356" s="936">
        <f t="shared" si="46"/>
        <v>0</v>
      </c>
      <c r="N356" s="936">
        <f t="shared" si="47"/>
        <v>0</v>
      </c>
      <c r="O356" s="936">
        <f t="shared" si="48"/>
        <v>0</v>
      </c>
      <c r="P356" s="937">
        <f t="shared" si="49"/>
        <v>0</v>
      </c>
      <c r="Q356" s="938"/>
      <c r="R356" s="938"/>
      <c r="S356" s="939">
        <f t="shared" si="50"/>
        <v>529940</v>
      </c>
    </row>
    <row r="357" spans="1:19" ht="30" customHeight="1" x14ac:dyDescent="0.45">
      <c r="A357" s="933"/>
      <c r="C357" s="934"/>
      <c r="D357" s="934"/>
      <c r="E357" s="934"/>
      <c r="F357" s="954" t="s">
        <v>2978</v>
      </c>
      <c r="G357" s="956">
        <v>44243</v>
      </c>
      <c r="H357" s="975">
        <v>529464</v>
      </c>
      <c r="I357" s="934"/>
      <c r="J357" s="935">
        <f t="shared" si="43"/>
        <v>44243</v>
      </c>
      <c r="K357" s="936">
        <f t="shared" si="44"/>
        <v>44</v>
      </c>
      <c r="L357" s="936">
        <f t="shared" si="45"/>
        <v>529464</v>
      </c>
      <c r="M357" s="936">
        <f t="shared" si="46"/>
        <v>0</v>
      </c>
      <c r="N357" s="936">
        <f t="shared" si="47"/>
        <v>0</v>
      </c>
      <c r="O357" s="936">
        <f t="shared" si="48"/>
        <v>0</v>
      </c>
      <c r="P357" s="937">
        <f t="shared" si="49"/>
        <v>0</v>
      </c>
      <c r="Q357" s="938"/>
      <c r="R357" s="938"/>
      <c r="S357" s="939">
        <f t="shared" si="50"/>
        <v>529464</v>
      </c>
    </row>
    <row r="358" spans="1:19" ht="30" customHeight="1" x14ac:dyDescent="0.45">
      <c r="A358" s="933"/>
      <c r="C358" s="934"/>
      <c r="D358" s="934"/>
      <c r="E358" s="934"/>
      <c r="F358" s="954" t="s">
        <v>2979</v>
      </c>
      <c r="G358" s="956">
        <v>44244</v>
      </c>
      <c r="H358" s="975">
        <v>563037</v>
      </c>
      <c r="I358" s="934"/>
      <c r="J358" s="935">
        <f t="shared" si="43"/>
        <v>44244</v>
      </c>
      <c r="K358" s="936">
        <f t="shared" si="44"/>
        <v>43</v>
      </c>
      <c r="L358" s="936">
        <f t="shared" si="45"/>
        <v>563037</v>
      </c>
      <c r="M358" s="936">
        <f t="shared" si="46"/>
        <v>0</v>
      </c>
      <c r="N358" s="936">
        <f t="shared" si="47"/>
        <v>0</v>
      </c>
      <c r="O358" s="936">
        <f t="shared" si="48"/>
        <v>0</v>
      </c>
      <c r="P358" s="937">
        <f t="shared" si="49"/>
        <v>0</v>
      </c>
      <c r="Q358" s="938"/>
      <c r="R358" s="938"/>
      <c r="S358" s="939">
        <f t="shared" si="50"/>
        <v>563037</v>
      </c>
    </row>
    <row r="359" spans="1:19" ht="30" customHeight="1" x14ac:dyDescent="0.45">
      <c r="A359" s="933"/>
      <c r="C359" s="934"/>
      <c r="D359" s="934"/>
      <c r="E359" s="934"/>
      <c r="F359" s="954" t="s">
        <v>2980</v>
      </c>
      <c r="G359" s="956">
        <v>44249</v>
      </c>
      <c r="H359" s="975">
        <v>686443</v>
      </c>
      <c r="I359" s="934"/>
      <c r="J359" s="935">
        <f t="shared" si="43"/>
        <v>44249</v>
      </c>
      <c r="K359" s="936">
        <f t="shared" si="44"/>
        <v>38</v>
      </c>
      <c r="L359" s="936">
        <f t="shared" si="45"/>
        <v>686443</v>
      </c>
      <c r="M359" s="936">
        <f t="shared" si="46"/>
        <v>0</v>
      </c>
      <c r="N359" s="936">
        <f t="shared" si="47"/>
        <v>0</v>
      </c>
      <c r="O359" s="936">
        <f t="shared" si="48"/>
        <v>0</v>
      </c>
      <c r="P359" s="937">
        <f t="shared" si="49"/>
        <v>0</v>
      </c>
      <c r="Q359" s="938"/>
      <c r="R359" s="938"/>
      <c r="S359" s="939">
        <f t="shared" si="50"/>
        <v>686443</v>
      </c>
    </row>
    <row r="360" spans="1:19" ht="30" customHeight="1" x14ac:dyDescent="0.45">
      <c r="A360" s="933"/>
      <c r="C360" s="934"/>
      <c r="D360" s="934"/>
      <c r="E360" s="934"/>
      <c r="F360" s="954" t="s">
        <v>2981</v>
      </c>
      <c r="G360" s="956">
        <v>44249</v>
      </c>
      <c r="H360" s="975">
        <v>573220</v>
      </c>
      <c r="I360" s="934"/>
      <c r="J360" s="935">
        <f t="shared" si="43"/>
        <v>44249</v>
      </c>
      <c r="K360" s="936">
        <f t="shared" si="44"/>
        <v>38</v>
      </c>
      <c r="L360" s="936">
        <f t="shared" si="45"/>
        <v>573220</v>
      </c>
      <c r="M360" s="936">
        <f t="shared" si="46"/>
        <v>0</v>
      </c>
      <c r="N360" s="936">
        <f t="shared" si="47"/>
        <v>0</v>
      </c>
      <c r="O360" s="936">
        <f t="shared" si="48"/>
        <v>0</v>
      </c>
      <c r="P360" s="937">
        <f t="shared" si="49"/>
        <v>0</v>
      </c>
      <c r="Q360" s="938"/>
      <c r="R360" s="938"/>
      <c r="S360" s="939">
        <f t="shared" si="50"/>
        <v>573220</v>
      </c>
    </row>
    <row r="361" spans="1:19" ht="30" customHeight="1" x14ac:dyDescent="0.45">
      <c r="A361" s="933"/>
      <c r="C361" s="934"/>
      <c r="D361" s="934"/>
      <c r="E361" s="934"/>
      <c r="F361" s="954" t="s">
        <v>2982</v>
      </c>
      <c r="G361" s="956">
        <v>44250</v>
      </c>
      <c r="H361" s="975">
        <v>566230</v>
      </c>
      <c r="I361" s="934"/>
      <c r="J361" s="935">
        <f t="shared" si="43"/>
        <v>44250</v>
      </c>
      <c r="K361" s="936">
        <f t="shared" si="44"/>
        <v>37</v>
      </c>
      <c r="L361" s="936">
        <f t="shared" si="45"/>
        <v>566230</v>
      </c>
      <c r="M361" s="936">
        <f t="shared" si="46"/>
        <v>0</v>
      </c>
      <c r="N361" s="936">
        <f t="shared" si="47"/>
        <v>0</v>
      </c>
      <c r="O361" s="936">
        <f t="shared" si="48"/>
        <v>0</v>
      </c>
      <c r="P361" s="937">
        <f t="shared" si="49"/>
        <v>0</v>
      </c>
      <c r="Q361" s="938"/>
      <c r="R361" s="938"/>
      <c r="S361" s="939">
        <f t="shared" si="50"/>
        <v>566230</v>
      </c>
    </row>
    <row r="362" spans="1:19" ht="30" customHeight="1" x14ac:dyDescent="0.45">
      <c r="A362" s="933"/>
      <c r="C362" s="934"/>
      <c r="D362" s="934"/>
      <c r="E362" s="934"/>
      <c r="F362" s="954" t="s">
        <v>2983</v>
      </c>
      <c r="G362" s="956">
        <v>44250</v>
      </c>
      <c r="H362" s="975">
        <v>562794</v>
      </c>
      <c r="I362" s="934"/>
      <c r="J362" s="935">
        <f t="shared" si="43"/>
        <v>44250</v>
      </c>
      <c r="K362" s="936">
        <f t="shared" si="44"/>
        <v>37</v>
      </c>
      <c r="L362" s="936">
        <f t="shared" si="45"/>
        <v>562794</v>
      </c>
      <c r="M362" s="936">
        <f t="shared" si="46"/>
        <v>0</v>
      </c>
      <c r="N362" s="936">
        <f t="shared" si="47"/>
        <v>0</v>
      </c>
      <c r="O362" s="936">
        <f t="shared" si="48"/>
        <v>0</v>
      </c>
      <c r="P362" s="937">
        <f t="shared" si="49"/>
        <v>0</v>
      </c>
      <c r="Q362" s="938"/>
      <c r="R362" s="938"/>
      <c r="S362" s="939">
        <f t="shared" si="50"/>
        <v>562794</v>
      </c>
    </row>
    <row r="363" spans="1:19" ht="30" customHeight="1" x14ac:dyDescent="0.45">
      <c r="A363" s="933"/>
      <c r="C363" s="934"/>
      <c r="D363" s="934"/>
      <c r="E363" s="934"/>
      <c r="F363" s="954" t="s">
        <v>2984</v>
      </c>
      <c r="G363" s="956">
        <v>44251</v>
      </c>
      <c r="H363" s="975">
        <v>209449</v>
      </c>
      <c r="I363" s="934"/>
      <c r="J363" s="935">
        <f t="shared" si="43"/>
        <v>44251</v>
      </c>
      <c r="K363" s="936">
        <f t="shared" si="44"/>
        <v>36</v>
      </c>
      <c r="L363" s="936">
        <f t="shared" si="45"/>
        <v>209449</v>
      </c>
      <c r="M363" s="936">
        <f t="shared" si="46"/>
        <v>0</v>
      </c>
      <c r="N363" s="936">
        <f t="shared" si="47"/>
        <v>0</v>
      </c>
      <c r="O363" s="936">
        <f t="shared" si="48"/>
        <v>0</v>
      </c>
      <c r="P363" s="937">
        <f t="shared" si="49"/>
        <v>0</v>
      </c>
      <c r="Q363" s="938"/>
      <c r="R363" s="938"/>
      <c r="S363" s="939">
        <f t="shared" si="50"/>
        <v>209449</v>
      </c>
    </row>
    <row r="364" spans="1:19" ht="30" customHeight="1" x14ac:dyDescent="0.45">
      <c r="A364" s="933"/>
      <c r="C364" s="934"/>
      <c r="D364" s="934"/>
      <c r="E364" s="934"/>
      <c r="F364" s="954" t="s">
        <v>2985</v>
      </c>
      <c r="G364" s="956">
        <v>44252</v>
      </c>
      <c r="H364" s="975">
        <v>490250</v>
      </c>
      <c r="I364" s="934"/>
      <c r="J364" s="935">
        <f t="shared" si="43"/>
        <v>44252</v>
      </c>
      <c r="K364" s="936">
        <f t="shared" si="44"/>
        <v>35</v>
      </c>
      <c r="L364" s="936">
        <f t="shared" si="45"/>
        <v>490250</v>
      </c>
      <c r="M364" s="936">
        <f t="shared" si="46"/>
        <v>0</v>
      </c>
      <c r="N364" s="936">
        <f t="shared" si="47"/>
        <v>0</v>
      </c>
      <c r="O364" s="936">
        <f t="shared" si="48"/>
        <v>0</v>
      </c>
      <c r="P364" s="937">
        <f t="shared" si="49"/>
        <v>0</v>
      </c>
      <c r="Q364" s="938"/>
      <c r="R364" s="938"/>
      <c r="S364" s="939">
        <f t="shared" si="50"/>
        <v>490250</v>
      </c>
    </row>
    <row r="365" spans="1:19" ht="30" customHeight="1" x14ac:dyDescent="0.45">
      <c r="A365" s="933"/>
      <c r="C365" s="934"/>
      <c r="D365" s="934"/>
      <c r="E365" s="934"/>
      <c r="F365" s="954" t="s">
        <v>2986</v>
      </c>
      <c r="G365" s="956">
        <v>44253</v>
      </c>
      <c r="H365" s="975">
        <v>722582</v>
      </c>
      <c r="I365" s="934"/>
      <c r="J365" s="935">
        <f t="shared" si="43"/>
        <v>44253</v>
      </c>
      <c r="K365" s="936">
        <f t="shared" si="44"/>
        <v>34</v>
      </c>
      <c r="L365" s="936">
        <f t="shared" si="45"/>
        <v>722582</v>
      </c>
      <c r="M365" s="936">
        <f t="shared" si="46"/>
        <v>0</v>
      </c>
      <c r="N365" s="936">
        <f t="shared" si="47"/>
        <v>0</v>
      </c>
      <c r="O365" s="936">
        <f t="shared" si="48"/>
        <v>0</v>
      </c>
      <c r="P365" s="937">
        <f t="shared" si="49"/>
        <v>0</v>
      </c>
      <c r="Q365" s="938"/>
      <c r="R365" s="938"/>
      <c r="S365" s="939">
        <f t="shared" si="50"/>
        <v>722582</v>
      </c>
    </row>
    <row r="366" spans="1:19" ht="30" customHeight="1" x14ac:dyDescent="0.45">
      <c r="A366" s="933"/>
      <c r="C366" s="934"/>
      <c r="D366" s="934"/>
      <c r="E366" s="934"/>
      <c r="F366" s="954" t="s">
        <v>2987</v>
      </c>
      <c r="G366" s="956">
        <v>44254</v>
      </c>
      <c r="H366" s="975">
        <v>234855</v>
      </c>
      <c r="I366" s="934"/>
      <c r="J366" s="935">
        <f t="shared" si="43"/>
        <v>44254</v>
      </c>
      <c r="K366" s="936">
        <f t="shared" si="44"/>
        <v>33</v>
      </c>
      <c r="L366" s="936">
        <f t="shared" si="45"/>
        <v>234855</v>
      </c>
      <c r="M366" s="936">
        <f t="shared" si="46"/>
        <v>0</v>
      </c>
      <c r="N366" s="936">
        <f t="shared" si="47"/>
        <v>0</v>
      </c>
      <c r="O366" s="936">
        <f t="shared" si="48"/>
        <v>0</v>
      </c>
      <c r="P366" s="937">
        <f t="shared" si="49"/>
        <v>0</v>
      </c>
      <c r="Q366" s="938"/>
      <c r="R366" s="938"/>
      <c r="S366" s="939">
        <f t="shared" si="50"/>
        <v>234855</v>
      </c>
    </row>
    <row r="367" spans="1:19" ht="30" customHeight="1" x14ac:dyDescent="0.45">
      <c r="A367" s="933"/>
      <c r="C367" s="934"/>
      <c r="D367" s="934"/>
      <c r="E367" s="934"/>
      <c r="F367" s="954" t="s">
        <v>2988</v>
      </c>
      <c r="G367" s="956">
        <v>44254</v>
      </c>
      <c r="H367" s="975">
        <v>304737</v>
      </c>
      <c r="I367" s="934"/>
      <c r="J367" s="935">
        <f t="shared" si="43"/>
        <v>44254</v>
      </c>
      <c r="K367" s="936">
        <f t="shared" si="44"/>
        <v>33</v>
      </c>
      <c r="L367" s="936">
        <f t="shared" si="45"/>
        <v>304737</v>
      </c>
      <c r="M367" s="936">
        <f t="shared" si="46"/>
        <v>0</v>
      </c>
      <c r="N367" s="936">
        <f t="shared" si="47"/>
        <v>0</v>
      </c>
      <c r="O367" s="936">
        <f t="shared" si="48"/>
        <v>0</v>
      </c>
      <c r="P367" s="937">
        <f t="shared" si="49"/>
        <v>0</v>
      </c>
      <c r="Q367" s="938"/>
      <c r="R367" s="938"/>
      <c r="S367" s="939">
        <f t="shared" si="50"/>
        <v>304737</v>
      </c>
    </row>
    <row r="368" spans="1:19" ht="30" customHeight="1" x14ac:dyDescent="0.45">
      <c r="A368" s="933"/>
      <c r="C368" s="934"/>
      <c r="D368" s="934"/>
      <c r="E368" s="934"/>
      <c r="F368" s="954" t="s">
        <v>2989</v>
      </c>
      <c r="G368" s="956">
        <v>44254</v>
      </c>
      <c r="H368" s="975">
        <v>662501</v>
      </c>
      <c r="I368" s="934"/>
      <c r="J368" s="935">
        <f t="shared" si="43"/>
        <v>44254</v>
      </c>
      <c r="K368" s="936">
        <f t="shared" si="44"/>
        <v>33</v>
      </c>
      <c r="L368" s="936">
        <f t="shared" si="45"/>
        <v>662501</v>
      </c>
      <c r="M368" s="936">
        <f t="shared" si="46"/>
        <v>0</v>
      </c>
      <c r="N368" s="936">
        <f t="shared" si="47"/>
        <v>0</v>
      </c>
      <c r="O368" s="936">
        <f t="shared" si="48"/>
        <v>0</v>
      </c>
      <c r="P368" s="937">
        <f t="shared" si="49"/>
        <v>0</v>
      </c>
      <c r="Q368" s="938"/>
      <c r="R368" s="938"/>
      <c r="S368" s="939">
        <f t="shared" si="50"/>
        <v>662501</v>
      </c>
    </row>
    <row r="369" spans="1:19" ht="30" customHeight="1" x14ac:dyDescent="0.45">
      <c r="A369" s="933"/>
      <c r="C369" s="934"/>
      <c r="D369" s="934"/>
      <c r="E369" s="934"/>
      <c r="F369" s="954" t="s">
        <v>2990</v>
      </c>
      <c r="G369" s="956">
        <v>44254</v>
      </c>
      <c r="H369" s="975">
        <v>562769</v>
      </c>
      <c r="I369" s="934"/>
      <c r="J369" s="935">
        <f t="shared" si="43"/>
        <v>44254</v>
      </c>
      <c r="K369" s="936">
        <f t="shared" si="44"/>
        <v>33</v>
      </c>
      <c r="L369" s="936">
        <f t="shared" si="45"/>
        <v>562769</v>
      </c>
      <c r="M369" s="936">
        <f t="shared" si="46"/>
        <v>0</v>
      </c>
      <c r="N369" s="936">
        <f t="shared" si="47"/>
        <v>0</v>
      </c>
      <c r="O369" s="936">
        <f t="shared" si="48"/>
        <v>0</v>
      </c>
      <c r="P369" s="937">
        <f t="shared" si="49"/>
        <v>0</v>
      </c>
      <c r="Q369" s="938"/>
      <c r="R369" s="938"/>
      <c r="S369" s="939">
        <f t="shared" si="50"/>
        <v>562769</v>
      </c>
    </row>
    <row r="370" spans="1:19" ht="30" customHeight="1" x14ac:dyDescent="0.45">
      <c r="A370" s="933"/>
      <c r="C370" s="934"/>
      <c r="D370" s="934"/>
      <c r="E370" s="934"/>
      <c r="F370" s="954" t="s">
        <v>2991</v>
      </c>
      <c r="G370" s="956">
        <v>44256</v>
      </c>
      <c r="H370" s="975">
        <v>618772</v>
      </c>
      <c r="I370" s="934"/>
      <c r="J370" s="935">
        <f t="shared" si="43"/>
        <v>44256</v>
      </c>
      <c r="K370" s="936">
        <f t="shared" si="44"/>
        <v>31</v>
      </c>
      <c r="L370" s="936">
        <f t="shared" si="45"/>
        <v>618772</v>
      </c>
      <c r="M370" s="936">
        <f t="shared" si="46"/>
        <v>0</v>
      </c>
      <c r="N370" s="936">
        <f t="shared" si="47"/>
        <v>0</v>
      </c>
      <c r="O370" s="936">
        <f t="shared" si="48"/>
        <v>0</v>
      </c>
      <c r="P370" s="937">
        <f t="shared" si="49"/>
        <v>0</v>
      </c>
      <c r="Q370" s="938"/>
      <c r="R370" s="938"/>
      <c r="S370" s="939">
        <f t="shared" si="50"/>
        <v>618772</v>
      </c>
    </row>
    <row r="371" spans="1:19" ht="30" customHeight="1" x14ac:dyDescent="0.45">
      <c r="A371" s="933"/>
      <c r="C371" s="934"/>
      <c r="D371" s="934"/>
      <c r="E371" s="934"/>
      <c r="F371" s="954" t="s">
        <v>2992</v>
      </c>
      <c r="G371" s="956">
        <v>44258</v>
      </c>
      <c r="H371" s="975">
        <v>570066</v>
      </c>
      <c r="I371" s="934"/>
      <c r="J371" s="935">
        <f t="shared" si="43"/>
        <v>44258</v>
      </c>
      <c r="K371" s="936">
        <f t="shared" si="44"/>
        <v>29</v>
      </c>
      <c r="L371" s="936">
        <f t="shared" si="45"/>
        <v>570066</v>
      </c>
      <c r="M371" s="936">
        <f t="shared" si="46"/>
        <v>0</v>
      </c>
      <c r="N371" s="936">
        <f t="shared" si="47"/>
        <v>0</v>
      </c>
      <c r="O371" s="936">
        <f t="shared" si="48"/>
        <v>0</v>
      </c>
      <c r="P371" s="937">
        <f t="shared" si="49"/>
        <v>0</v>
      </c>
      <c r="Q371" s="938"/>
      <c r="R371" s="938"/>
      <c r="S371" s="939">
        <f t="shared" si="50"/>
        <v>570066</v>
      </c>
    </row>
    <row r="372" spans="1:19" ht="30" customHeight="1" x14ac:dyDescent="0.45">
      <c r="A372" s="933"/>
      <c r="C372" s="934"/>
      <c r="D372" s="934"/>
      <c r="E372" s="934"/>
      <c r="F372" s="954" t="s">
        <v>2993</v>
      </c>
      <c r="G372" s="956">
        <v>44258</v>
      </c>
      <c r="H372" s="975">
        <v>548310</v>
      </c>
      <c r="I372" s="934"/>
      <c r="J372" s="935">
        <f t="shared" si="43"/>
        <v>44258</v>
      </c>
      <c r="K372" s="936">
        <f t="shared" si="44"/>
        <v>29</v>
      </c>
      <c r="L372" s="936">
        <f t="shared" si="45"/>
        <v>548310</v>
      </c>
      <c r="M372" s="936">
        <f t="shared" si="46"/>
        <v>0</v>
      </c>
      <c r="N372" s="936">
        <f t="shared" si="47"/>
        <v>0</v>
      </c>
      <c r="O372" s="936">
        <f t="shared" si="48"/>
        <v>0</v>
      </c>
      <c r="P372" s="937">
        <f t="shared" si="49"/>
        <v>0</v>
      </c>
      <c r="Q372" s="938"/>
      <c r="R372" s="938"/>
      <c r="S372" s="939">
        <f t="shared" si="50"/>
        <v>548310</v>
      </c>
    </row>
    <row r="373" spans="1:19" ht="30" customHeight="1" x14ac:dyDescent="0.45">
      <c r="A373" s="933"/>
      <c r="C373" s="934"/>
      <c r="D373" s="934"/>
      <c r="E373" s="934"/>
      <c r="F373" s="954" t="s">
        <v>2994</v>
      </c>
      <c r="G373" s="956">
        <v>44259</v>
      </c>
      <c r="H373" s="975">
        <v>757687</v>
      </c>
      <c r="I373" s="934"/>
      <c r="J373" s="935">
        <f t="shared" si="43"/>
        <v>44259</v>
      </c>
      <c r="K373" s="936">
        <f t="shared" si="44"/>
        <v>28</v>
      </c>
      <c r="L373" s="936">
        <f t="shared" si="45"/>
        <v>757687</v>
      </c>
      <c r="M373" s="936">
        <f t="shared" si="46"/>
        <v>0</v>
      </c>
      <c r="N373" s="936">
        <f t="shared" si="47"/>
        <v>0</v>
      </c>
      <c r="O373" s="936">
        <f t="shared" si="48"/>
        <v>0</v>
      </c>
      <c r="P373" s="937">
        <f t="shared" si="49"/>
        <v>0</v>
      </c>
      <c r="Q373" s="938"/>
      <c r="R373" s="938"/>
      <c r="S373" s="939">
        <f t="shared" si="50"/>
        <v>757687</v>
      </c>
    </row>
    <row r="374" spans="1:19" ht="30" customHeight="1" x14ac:dyDescent="0.45">
      <c r="A374" s="933"/>
      <c r="C374" s="934"/>
      <c r="D374" s="934"/>
      <c r="E374" s="934"/>
      <c r="F374" s="954" t="s">
        <v>2995</v>
      </c>
      <c r="G374" s="956">
        <v>44260</v>
      </c>
      <c r="H374" s="975">
        <v>257117</v>
      </c>
      <c r="I374" s="934"/>
      <c r="J374" s="935">
        <f t="shared" si="43"/>
        <v>44260</v>
      </c>
      <c r="K374" s="936">
        <f t="shared" si="44"/>
        <v>27</v>
      </c>
      <c r="L374" s="936">
        <f t="shared" si="45"/>
        <v>257117</v>
      </c>
      <c r="M374" s="936">
        <f t="shared" si="46"/>
        <v>0</v>
      </c>
      <c r="N374" s="936">
        <f t="shared" si="47"/>
        <v>0</v>
      </c>
      <c r="O374" s="936">
        <f t="shared" si="48"/>
        <v>0</v>
      </c>
      <c r="P374" s="937">
        <f t="shared" si="49"/>
        <v>0</v>
      </c>
      <c r="Q374" s="938"/>
      <c r="R374" s="938"/>
      <c r="S374" s="939">
        <f t="shared" si="50"/>
        <v>257117</v>
      </c>
    </row>
    <row r="375" spans="1:19" ht="30" customHeight="1" x14ac:dyDescent="0.45">
      <c r="A375" s="933"/>
      <c r="C375" s="934"/>
      <c r="D375" s="934"/>
      <c r="E375" s="934"/>
      <c r="F375" s="954" t="s">
        <v>2996</v>
      </c>
      <c r="G375" s="956">
        <v>44261</v>
      </c>
      <c r="H375" s="975">
        <v>708417</v>
      </c>
      <c r="I375" s="934"/>
      <c r="J375" s="935">
        <f t="shared" si="43"/>
        <v>44261</v>
      </c>
      <c r="K375" s="936">
        <f t="shared" si="44"/>
        <v>26</v>
      </c>
      <c r="L375" s="936">
        <f t="shared" si="45"/>
        <v>708417</v>
      </c>
      <c r="M375" s="936">
        <f t="shared" si="46"/>
        <v>0</v>
      </c>
      <c r="N375" s="936">
        <f t="shared" si="47"/>
        <v>0</v>
      </c>
      <c r="O375" s="936">
        <f t="shared" si="48"/>
        <v>0</v>
      </c>
      <c r="P375" s="937">
        <f t="shared" si="49"/>
        <v>0</v>
      </c>
      <c r="Q375" s="938"/>
      <c r="R375" s="938"/>
      <c r="S375" s="939">
        <f t="shared" si="50"/>
        <v>708417</v>
      </c>
    </row>
    <row r="376" spans="1:19" ht="30" customHeight="1" x14ac:dyDescent="0.45">
      <c r="A376" s="933"/>
      <c r="C376" s="934"/>
      <c r="D376" s="934"/>
      <c r="E376" s="934"/>
      <c r="F376" s="954" t="s">
        <v>2997</v>
      </c>
      <c r="G376" s="956">
        <v>44265</v>
      </c>
      <c r="H376" s="975">
        <v>707605</v>
      </c>
      <c r="I376" s="934"/>
      <c r="J376" s="935">
        <f t="shared" si="43"/>
        <v>44265</v>
      </c>
      <c r="K376" s="936">
        <f t="shared" si="44"/>
        <v>22</v>
      </c>
      <c r="L376" s="936">
        <f t="shared" si="45"/>
        <v>707605</v>
      </c>
      <c r="M376" s="936">
        <f t="shared" si="46"/>
        <v>0</v>
      </c>
      <c r="N376" s="936">
        <f t="shared" si="47"/>
        <v>0</v>
      </c>
      <c r="O376" s="936">
        <f t="shared" si="48"/>
        <v>0</v>
      </c>
      <c r="P376" s="937">
        <f t="shared" si="49"/>
        <v>0</v>
      </c>
      <c r="Q376" s="938"/>
      <c r="R376" s="938"/>
      <c r="S376" s="939">
        <f t="shared" si="50"/>
        <v>707605</v>
      </c>
    </row>
    <row r="377" spans="1:19" ht="30" customHeight="1" x14ac:dyDescent="0.45">
      <c r="A377" s="933"/>
      <c r="C377" s="934"/>
      <c r="D377" s="934"/>
      <c r="E377" s="934"/>
      <c r="F377" s="954" t="s">
        <v>2998</v>
      </c>
      <c r="G377" s="956">
        <v>44266</v>
      </c>
      <c r="H377" s="975">
        <v>785128</v>
      </c>
      <c r="I377" s="934"/>
      <c r="J377" s="935">
        <f t="shared" si="43"/>
        <v>44266</v>
      </c>
      <c r="K377" s="936">
        <f t="shared" si="44"/>
        <v>21</v>
      </c>
      <c r="L377" s="936">
        <f t="shared" si="45"/>
        <v>785128</v>
      </c>
      <c r="M377" s="936">
        <f t="shared" si="46"/>
        <v>0</v>
      </c>
      <c r="N377" s="936">
        <f t="shared" si="47"/>
        <v>0</v>
      </c>
      <c r="O377" s="936">
        <f t="shared" si="48"/>
        <v>0</v>
      </c>
      <c r="P377" s="937">
        <f t="shared" si="49"/>
        <v>0</v>
      </c>
      <c r="Q377" s="938"/>
      <c r="R377" s="938"/>
      <c r="S377" s="939">
        <f t="shared" si="50"/>
        <v>785128</v>
      </c>
    </row>
    <row r="378" spans="1:19" ht="30" customHeight="1" x14ac:dyDescent="0.45">
      <c r="A378" s="933"/>
      <c r="C378" s="934"/>
      <c r="D378" s="934"/>
      <c r="E378" s="934"/>
      <c r="F378" s="954" t="s">
        <v>2999</v>
      </c>
      <c r="G378" s="956">
        <v>44267</v>
      </c>
      <c r="H378" s="975">
        <v>374114</v>
      </c>
      <c r="I378" s="934"/>
      <c r="J378" s="935">
        <f t="shared" si="43"/>
        <v>44267</v>
      </c>
      <c r="K378" s="936">
        <f t="shared" si="44"/>
        <v>20</v>
      </c>
      <c r="L378" s="936">
        <f t="shared" si="45"/>
        <v>374114</v>
      </c>
      <c r="M378" s="936">
        <f t="shared" si="46"/>
        <v>0</v>
      </c>
      <c r="N378" s="936">
        <f t="shared" si="47"/>
        <v>0</v>
      </c>
      <c r="O378" s="936">
        <f t="shared" si="48"/>
        <v>0</v>
      </c>
      <c r="P378" s="937">
        <f t="shared" si="49"/>
        <v>0</v>
      </c>
      <c r="Q378" s="938"/>
      <c r="R378" s="938"/>
      <c r="S378" s="939">
        <f t="shared" si="50"/>
        <v>374114</v>
      </c>
    </row>
    <row r="379" spans="1:19" ht="30" customHeight="1" x14ac:dyDescent="0.45">
      <c r="A379" s="933"/>
      <c r="C379" s="934"/>
      <c r="D379" s="934"/>
      <c r="E379" s="934"/>
      <c r="F379" s="954" t="s">
        <v>3000</v>
      </c>
      <c r="G379" s="956">
        <v>44267</v>
      </c>
      <c r="H379" s="975">
        <v>698644</v>
      </c>
      <c r="I379" s="934"/>
      <c r="J379" s="935">
        <f t="shared" si="43"/>
        <v>44267</v>
      </c>
      <c r="K379" s="936">
        <f t="shared" si="44"/>
        <v>20</v>
      </c>
      <c r="L379" s="936">
        <f t="shared" si="45"/>
        <v>698644</v>
      </c>
      <c r="M379" s="936">
        <f t="shared" si="46"/>
        <v>0</v>
      </c>
      <c r="N379" s="936">
        <f t="shared" si="47"/>
        <v>0</v>
      </c>
      <c r="O379" s="936">
        <f t="shared" si="48"/>
        <v>0</v>
      </c>
      <c r="P379" s="937">
        <f t="shared" si="49"/>
        <v>0</v>
      </c>
      <c r="Q379" s="938"/>
      <c r="R379" s="938"/>
      <c r="S379" s="939">
        <f t="shared" si="50"/>
        <v>698644</v>
      </c>
    </row>
    <row r="380" spans="1:19" ht="30" customHeight="1" x14ac:dyDescent="0.45">
      <c r="A380" s="933"/>
      <c r="C380" s="934"/>
      <c r="D380" s="934"/>
      <c r="E380" s="934"/>
      <c r="F380" s="954" t="s">
        <v>3001</v>
      </c>
      <c r="G380" s="956">
        <v>44267</v>
      </c>
      <c r="H380" s="975">
        <v>166892</v>
      </c>
      <c r="I380" s="934"/>
      <c r="J380" s="935">
        <f t="shared" si="43"/>
        <v>44267</v>
      </c>
      <c r="K380" s="936">
        <f t="shared" si="44"/>
        <v>20</v>
      </c>
      <c r="L380" s="936">
        <f t="shared" si="45"/>
        <v>166892</v>
      </c>
      <c r="M380" s="936">
        <f t="shared" si="46"/>
        <v>0</v>
      </c>
      <c r="N380" s="936">
        <f t="shared" si="47"/>
        <v>0</v>
      </c>
      <c r="O380" s="936">
        <f t="shared" si="48"/>
        <v>0</v>
      </c>
      <c r="P380" s="937">
        <f t="shared" si="49"/>
        <v>0</v>
      </c>
      <c r="Q380" s="938"/>
      <c r="R380" s="938"/>
      <c r="S380" s="939">
        <f t="shared" si="50"/>
        <v>166892</v>
      </c>
    </row>
    <row r="381" spans="1:19" ht="30" customHeight="1" x14ac:dyDescent="0.45">
      <c r="A381" s="933"/>
      <c r="C381" s="934"/>
      <c r="D381" s="934"/>
      <c r="E381" s="934"/>
      <c r="F381" s="954" t="s">
        <v>3002</v>
      </c>
      <c r="G381" s="956">
        <v>44268</v>
      </c>
      <c r="H381" s="975">
        <v>504238</v>
      </c>
      <c r="I381" s="934"/>
      <c r="J381" s="935">
        <f t="shared" si="43"/>
        <v>44268</v>
      </c>
      <c r="K381" s="936">
        <f t="shared" si="44"/>
        <v>19</v>
      </c>
      <c r="L381" s="936">
        <f t="shared" si="45"/>
        <v>504238</v>
      </c>
      <c r="M381" s="936">
        <f t="shared" si="46"/>
        <v>0</v>
      </c>
      <c r="N381" s="936">
        <f t="shared" si="47"/>
        <v>0</v>
      </c>
      <c r="O381" s="936">
        <f t="shared" si="48"/>
        <v>0</v>
      </c>
      <c r="P381" s="937">
        <f t="shared" si="49"/>
        <v>0</v>
      </c>
      <c r="Q381" s="938"/>
      <c r="R381" s="938"/>
      <c r="S381" s="939">
        <f t="shared" si="50"/>
        <v>504238</v>
      </c>
    </row>
    <row r="382" spans="1:19" ht="30" customHeight="1" x14ac:dyDescent="0.45">
      <c r="A382" s="933"/>
      <c r="C382" s="934"/>
      <c r="D382" s="934"/>
      <c r="E382" s="934"/>
      <c r="F382" s="954" t="s">
        <v>3003</v>
      </c>
      <c r="G382" s="956">
        <v>44269</v>
      </c>
      <c r="H382" s="975">
        <v>700167</v>
      </c>
      <c r="I382" s="934"/>
      <c r="J382" s="935">
        <f t="shared" si="43"/>
        <v>44269</v>
      </c>
      <c r="K382" s="936">
        <f t="shared" si="44"/>
        <v>18</v>
      </c>
      <c r="L382" s="936">
        <f t="shared" si="45"/>
        <v>700167</v>
      </c>
      <c r="M382" s="936">
        <f t="shared" si="46"/>
        <v>0</v>
      </c>
      <c r="N382" s="936">
        <f t="shared" si="47"/>
        <v>0</v>
      </c>
      <c r="O382" s="936">
        <f t="shared" si="48"/>
        <v>0</v>
      </c>
      <c r="P382" s="937">
        <f t="shared" si="49"/>
        <v>0</v>
      </c>
      <c r="Q382" s="938"/>
      <c r="R382" s="938"/>
      <c r="S382" s="939">
        <f t="shared" si="50"/>
        <v>700167</v>
      </c>
    </row>
    <row r="383" spans="1:19" ht="30" customHeight="1" x14ac:dyDescent="0.45">
      <c r="A383" s="933"/>
      <c r="C383" s="934"/>
      <c r="D383" s="934"/>
      <c r="E383" s="934"/>
      <c r="F383" s="954" t="s">
        <v>3004</v>
      </c>
      <c r="G383" s="956">
        <v>44269</v>
      </c>
      <c r="H383" s="975">
        <v>624375</v>
      </c>
      <c r="I383" s="934"/>
      <c r="J383" s="935">
        <f t="shared" si="43"/>
        <v>44269</v>
      </c>
      <c r="K383" s="936">
        <f t="shared" si="44"/>
        <v>18</v>
      </c>
      <c r="L383" s="936">
        <f t="shared" si="45"/>
        <v>624375</v>
      </c>
      <c r="M383" s="936">
        <f t="shared" si="46"/>
        <v>0</v>
      </c>
      <c r="N383" s="936">
        <f t="shared" si="47"/>
        <v>0</v>
      </c>
      <c r="O383" s="936">
        <f t="shared" si="48"/>
        <v>0</v>
      </c>
      <c r="P383" s="937">
        <f t="shared" si="49"/>
        <v>0</v>
      </c>
      <c r="Q383" s="938"/>
      <c r="R383" s="938"/>
      <c r="S383" s="939">
        <f t="shared" si="50"/>
        <v>624375</v>
      </c>
    </row>
    <row r="384" spans="1:19" ht="30" customHeight="1" x14ac:dyDescent="0.45">
      <c r="A384" s="933"/>
      <c r="C384" s="934"/>
      <c r="D384" s="934"/>
      <c r="E384" s="934"/>
      <c r="F384" s="954" t="s">
        <v>3005</v>
      </c>
      <c r="G384" s="956">
        <v>44269</v>
      </c>
      <c r="H384" s="975">
        <v>774035</v>
      </c>
      <c r="I384" s="934"/>
      <c r="J384" s="935">
        <f t="shared" si="43"/>
        <v>44269</v>
      </c>
      <c r="K384" s="936">
        <f t="shared" si="44"/>
        <v>18</v>
      </c>
      <c r="L384" s="936">
        <f t="shared" si="45"/>
        <v>774035</v>
      </c>
      <c r="M384" s="936">
        <f t="shared" si="46"/>
        <v>0</v>
      </c>
      <c r="N384" s="936">
        <f t="shared" si="47"/>
        <v>0</v>
      </c>
      <c r="O384" s="936">
        <f t="shared" si="48"/>
        <v>0</v>
      </c>
      <c r="P384" s="937">
        <f t="shared" si="49"/>
        <v>0</v>
      </c>
      <c r="Q384" s="938"/>
      <c r="R384" s="938"/>
      <c r="S384" s="939">
        <f t="shared" si="50"/>
        <v>774035</v>
      </c>
    </row>
    <row r="385" spans="1:19" ht="30" customHeight="1" x14ac:dyDescent="0.45">
      <c r="A385" s="933"/>
      <c r="C385" s="934"/>
      <c r="D385" s="934"/>
      <c r="E385" s="934"/>
      <c r="F385" s="954" t="s">
        <v>3006</v>
      </c>
      <c r="G385" s="956">
        <v>44274</v>
      </c>
      <c r="H385" s="975">
        <v>656020</v>
      </c>
      <c r="I385" s="934"/>
      <c r="J385" s="935">
        <f t="shared" si="43"/>
        <v>44274</v>
      </c>
      <c r="K385" s="936">
        <f t="shared" si="44"/>
        <v>13</v>
      </c>
      <c r="L385" s="936">
        <f t="shared" si="45"/>
        <v>656020</v>
      </c>
      <c r="M385" s="936">
        <f t="shared" si="46"/>
        <v>0</v>
      </c>
      <c r="N385" s="936">
        <f t="shared" si="47"/>
        <v>0</v>
      </c>
      <c r="O385" s="936">
        <f t="shared" si="48"/>
        <v>0</v>
      </c>
      <c r="P385" s="937">
        <f t="shared" si="49"/>
        <v>0</v>
      </c>
      <c r="Q385" s="938"/>
      <c r="R385" s="938"/>
      <c r="S385" s="939">
        <f t="shared" si="50"/>
        <v>656020</v>
      </c>
    </row>
    <row r="386" spans="1:19" ht="30" customHeight="1" x14ac:dyDescent="0.45">
      <c r="A386" s="933"/>
      <c r="C386" s="934"/>
      <c r="D386" s="934"/>
      <c r="E386" s="934"/>
      <c r="F386" s="954" t="s">
        <v>3007</v>
      </c>
      <c r="G386" s="956">
        <v>44279</v>
      </c>
      <c r="H386" s="975">
        <v>892066</v>
      </c>
      <c r="I386" s="934"/>
      <c r="J386" s="935">
        <f t="shared" si="43"/>
        <v>44279</v>
      </c>
      <c r="K386" s="936">
        <f t="shared" si="44"/>
        <v>8</v>
      </c>
      <c r="L386" s="936">
        <f t="shared" si="45"/>
        <v>892066</v>
      </c>
      <c r="M386" s="936">
        <f t="shared" si="46"/>
        <v>0</v>
      </c>
      <c r="N386" s="936">
        <f t="shared" si="47"/>
        <v>0</v>
      </c>
      <c r="O386" s="936">
        <f t="shared" si="48"/>
        <v>0</v>
      </c>
      <c r="P386" s="937">
        <f t="shared" si="49"/>
        <v>0</v>
      </c>
      <c r="Q386" s="938"/>
      <c r="R386" s="938"/>
      <c r="S386" s="939">
        <f t="shared" si="50"/>
        <v>892066</v>
      </c>
    </row>
    <row r="387" spans="1:19" ht="30" customHeight="1" x14ac:dyDescent="0.45">
      <c r="A387" s="933"/>
      <c r="C387" s="934"/>
      <c r="D387" s="934"/>
      <c r="E387" s="934"/>
      <c r="F387" s="954" t="s">
        <v>3008</v>
      </c>
      <c r="G387" s="956">
        <v>44281</v>
      </c>
      <c r="H387" s="975">
        <v>661629</v>
      </c>
      <c r="I387" s="934"/>
      <c r="J387" s="935">
        <f t="shared" si="43"/>
        <v>44281</v>
      </c>
      <c r="K387" s="936">
        <f t="shared" si="44"/>
        <v>6</v>
      </c>
      <c r="L387" s="936">
        <f t="shared" si="45"/>
        <v>661629</v>
      </c>
      <c r="M387" s="936">
        <f t="shared" si="46"/>
        <v>0</v>
      </c>
      <c r="N387" s="936">
        <f t="shared" si="47"/>
        <v>0</v>
      </c>
      <c r="O387" s="936">
        <f t="shared" si="48"/>
        <v>0</v>
      </c>
      <c r="P387" s="937">
        <f t="shared" si="49"/>
        <v>0</v>
      </c>
      <c r="Q387" s="938"/>
      <c r="R387" s="938"/>
      <c r="S387" s="939">
        <f t="shared" si="50"/>
        <v>661629</v>
      </c>
    </row>
    <row r="388" spans="1:19" ht="30" customHeight="1" x14ac:dyDescent="0.45">
      <c r="A388" s="933"/>
      <c r="C388" s="934"/>
      <c r="D388" s="934"/>
      <c r="E388" s="934"/>
      <c r="F388" s="954" t="s">
        <v>3009</v>
      </c>
      <c r="G388" s="956">
        <v>44281</v>
      </c>
      <c r="H388" s="975">
        <v>611001</v>
      </c>
      <c r="I388" s="934"/>
      <c r="J388" s="935">
        <f t="shared" si="43"/>
        <v>44281</v>
      </c>
      <c r="K388" s="936">
        <f t="shared" si="44"/>
        <v>6</v>
      </c>
      <c r="L388" s="936">
        <f t="shared" si="45"/>
        <v>611001</v>
      </c>
      <c r="M388" s="936">
        <f t="shared" si="46"/>
        <v>0</v>
      </c>
      <c r="N388" s="936">
        <f t="shared" si="47"/>
        <v>0</v>
      </c>
      <c r="O388" s="936">
        <f t="shared" si="48"/>
        <v>0</v>
      </c>
      <c r="P388" s="937">
        <f t="shared" si="49"/>
        <v>0</v>
      </c>
      <c r="Q388" s="938"/>
      <c r="R388" s="938"/>
      <c r="S388" s="939">
        <f t="shared" si="50"/>
        <v>611001</v>
      </c>
    </row>
    <row r="389" spans="1:19" ht="30" customHeight="1" x14ac:dyDescent="0.45">
      <c r="A389" s="933"/>
      <c r="C389" s="934"/>
      <c r="D389" s="934"/>
      <c r="E389" s="934"/>
      <c r="F389" s="954" t="s">
        <v>3010</v>
      </c>
      <c r="G389" s="956">
        <v>44282</v>
      </c>
      <c r="H389" s="975">
        <v>679949</v>
      </c>
      <c r="I389" s="934"/>
      <c r="J389" s="935">
        <f t="shared" si="43"/>
        <v>44282</v>
      </c>
      <c r="K389" s="936">
        <f t="shared" si="44"/>
        <v>5</v>
      </c>
      <c r="L389" s="936">
        <f t="shared" si="45"/>
        <v>679949</v>
      </c>
      <c r="M389" s="936">
        <f t="shared" si="46"/>
        <v>0</v>
      </c>
      <c r="N389" s="936">
        <f t="shared" si="47"/>
        <v>0</v>
      </c>
      <c r="O389" s="936">
        <f t="shared" si="48"/>
        <v>0</v>
      </c>
      <c r="P389" s="937">
        <f t="shared" si="49"/>
        <v>0</v>
      </c>
      <c r="Q389" s="938"/>
      <c r="R389" s="938"/>
      <c r="S389" s="939">
        <f t="shared" si="50"/>
        <v>679949</v>
      </c>
    </row>
    <row r="390" spans="1:19" ht="30" customHeight="1" x14ac:dyDescent="0.45">
      <c r="A390" s="933"/>
      <c r="C390" s="934"/>
      <c r="D390" s="934"/>
      <c r="E390" s="934"/>
      <c r="F390" s="954" t="s">
        <v>3011</v>
      </c>
      <c r="G390" s="956">
        <v>44282</v>
      </c>
      <c r="H390" s="975">
        <v>652263</v>
      </c>
      <c r="I390" s="934"/>
      <c r="J390" s="935">
        <f t="shared" si="43"/>
        <v>44282</v>
      </c>
      <c r="K390" s="936">
        <f t="shared" si="44"/>
        <v>5</v>
      </c>
      <c r="L390" s="936">
        <f t="shared" si="45"/>
        <v>652263</v>
      </c>
      <c r="M390" s="936">
        <f t="shared" si="46"/>
        <v>0</v>
      </c>
      <c r="N390" s="936">
        <f t="shared" si="47"/>
        <v>0</v>
      </c>
      <c r="O390" s="936">
        <f t="shared" si="48"/>
        <v>0</v>
      </c>
      <c r="P390" s="937">
        <f t="shared" si="49"/>
        <v>0</v>
      </c>
      <c r="Q390" s="938"/>
      <c r="R390" s="938"/>
      <c r="S390" s="939">
        <f t="shared" si="50"/>
        <v>652263</v>
      </c>
    </row>
    <row r="391" spans="1:19" ht="30" customHeight="1" x14ac:dyDescent="0.45">
      <c r="A391" s="933"/>
      <c r="C391" s="934"/>
      <c r="D391" s="976" t="s">
        <v>3012</v>
      </c>
      <c r="E391" s="934"/>
      <c r="F391" s="954"/>
      <c r="G391" s="955"/>
      <c r="H391" s="975">
        <v>-17801</v>
      </c>
      <c r="I391" s="934"/>
      <c r="J391" s="935">
        <f t="shared" si="43"/>
        <v>0</v>
      </c>
      <c r="K391" s="936">
        <f t="shared" si="44"/>
        <v>44287</v>
      </c>
      <c r="L391" s="936">
        <f t="shared" si="45"/>
        <v>0</v>
      </c>
      <c r="M391" s="936">
        <f t="shared" si="46"/>
        <v>0</v>
      </c>
      <c r="N391" s="936">
        <f t="shared" si="47"/>
        <v>0</v>
      </c>
      <c r="O391" s="936">
        <f t="shared" si="48"/>
        <v>0</v>
      </c>
      <c r="P391" s="937">
        <f t="shared" si="49"/>
        <v>-17801</v>
      </c>
      <c r="Q391" s="938"/>
      <c r="R391" s="938"/>
      <c r="S391" s="939">
        <f t="shared" si="50"/>
        <v>-17801</v>
      </c>
    </row>
    <row r="392" spans="1:19" ht="30" customHeight="1" x14ac:dyDescent="0.45">
      <c r="A392" s="933"/>
      <c r="C392" s="934"/>
      <c r="D392" s="934"/>
      <c r="E392" s="934"/>
      <c r="F392" s="934"/>
      <c r="G392" s="935"/>
      <c r="H392" s="936"/>
      <c r="I392" s="934"/>
      <c r="J392" s="935">
        <f t="shared" si="43"/>
        <v>0</v>
      </c>
      <c r="K392" s="936">
        <f t="shared" si="44"/>
        <v>44287</v>
      </c>
      <c r="L392" s="936">
        <f t="shared" si="45"/>
        <v>0</v>
      </c>
      <c r="M392" s="936">
        <f t="shared" si="46"/>
        <v>0</v>
      </c>
      <c r="N392" s="936">
        <f t="shared" si="47"/>
        <v>0</v>
      </c>
      <c r="O392" s="936">
        <f t="shared" si="48"/>
        <v>0</v>
      </c>
      <c r="P392" s="937">
        <f t="shared" si="49"/>
        <v>0</v>
      </c>
      <c r="Q392" s="938"/>
      <c r="R392" s="938"/>
      <c r="S392" s="939">
        <f t="shared" si="50"/>
        <v>0</v>
      </c>
    </row>
    <row r="393" spans="1:19" ht="30" customHeight="1" x14ac:dyDescent="0.45">
      <c r="A393" s="933"/>
      <c r="C393" s="934"/>
      <c r="D393" s="934"/>
      <c r="E393" s="934"/>
      <c r="F393" s="934"/>
      <c r="G393" s="935"/>
      <c r="H393" s="936"/>
      <c r="I393" s="934"/>
      <c r="J393" s="935">
        <f t="shared" si="43"/>
        <v>0</v>
      </c>
      <c r="K393" s="936">
        <f t="shared" si="44"/>
        <v>44287</v>
      </c>
      <c r="L393" s="936">
        <f t="shared" si="45"/>
        <v>0</v>
      </c>
      <c r="M393" s="936">
        <f t="shared" si="46"/>
        <v>0</v>
      </c>
      <c r="N393" s="936">
        <f t="shared" si="47"/>
        <v>0</v>
      </c>
      <c r="O393" s="936">
        <f t="shared" si="48"/>
        <v>0</v>
      </c>
      <c r="P393" s="937">
        <f t="shared" si="49"/>
        <v>0</v>
      </c>
      <c r="Q393" s="938"/>
      <c r="R393" s="938"/>
      <c r="S393" s="939">
        <f t="shared" si="50"/>
        <v>0</v>
      </c>
    </row>
    <row r="394" spans="1:19" ht="30" customHeight="1" x14ac:dyDescent="0.45">
      <c r="A394" s="933"/>
      <c r="C394" s="934"/>
      <c r="D394" s="940" t="s">
        <v>19</v>
      </c>
      <c r="E394" s="934"/>
      <c r="F394" s="954" t="s">
        <v>3013</v>
      </c>
      <c r="G394" s="946">
        <v>44265</v>
      </c>
      <c r="H394" s="936">
        <v>666407</v>
      </c>
      <c r="I394" s="934"/>
      <c r="J394" s="935">
        <f t="shared" si="43"/>
        <v>44265</v>
      </c>
      <c r="K394" s="936">
        <f t="shared" si="44"/>
        <v>22</v>
      </c>
      <c r="L394" s="936">
        <f t="shared" si="45"/>
        <v>666407</v>
      </c>
      <c r="M394" s="936">
        <f t="shared" si="46"/>
        <v>0</v>
      </c>
      <c r="N394" s="936">
        <f t="shared" si="47"/>
        <v>0</v>
      </c>
      <c r="O394" s="936">
        <f t="shared" si="48"/>
        <v>0</v>
      </c>
      <c r="P394" s="937">
        <f t="shared" si="49"/>
        <v>0</v>
      </c>
      <c r="Q394" s="938"/>
      <c r="R394" s="938"/>
      <c r="S394" s="939">
        <f t="shared" si="50"/>
        <v>666407</v>
      </c>
    </row>
    <row r="395" spans="1:19" ht="30" customHeight="1" x14ac:dyDescent="0.45">
      <c r="A395" s="933"/>
      <c r="C395" s="934"/>
      <c r="D395" s="934"/>
      <c r="E395" s="934"/>
      <c r="F395" s="954" t="s">
        <v>3014</v>
      </c>
      <c r="G395" s="946">
        <v>44268</v>
      </c>
      <c r="H395" s="936">
        <v>603745</v>
      </c>
      <c r="I395" s="934"/>
      <c r="J395" s="935">
        <f t="shared" si="43"/>
        <v>44268</v>
      </c>
      <c r="K395" s="936">
        <f t="shared" si="44"/>
        <v>19</v>
      </c>
      <c r="L395" s="936">
        <f t="shared" si="45"/>
        <v>603745</v>
      </c>
      <c r="M395" s="936">
        <f t="shared" si="46"/>
        <v>0</v>
      </c>
      <c r="N395" s="936">
        <f t="shared" si="47"/>
        <v>0</v>
      </c>
      <c r="O395" s="936">
        <f t="shared" si="48"/>
        <v>0</v>
      </c>
      <c r="P395" s="937">
        <f t="shared" si="49"/>
        <v>0</v>
      </c>
      <c r="Q395" s="938"/>
      <c r="R395" s="938"/>
      <c r="S395" s="939">
        <f t="shared" si="50"/>
        <v>603745</v>
      </c>
    </row>
    <row r="396" spans="1:19" ht="30" customHeight="1" x14ac:dyDescent="0.45">
      <c r="A396" s="933"/>
      <c r="C396" s="934"/>
      <c r="D396" s="934"/>
      <c r="E396" s="934"/>
      <c r="F396" s="954" t="s">
        <v>3015</v>
      </c>
      <c r="G396" s="946">
        <v>44273</v>
      </c>
      <c r="H396" s="936">
        <v>629152</v>
      </c>
      <c r="I396" s="934"/>
      <c r="J396" s="935">
        <f t="shared" si="43"/>
        <v>44273</v>
      </c>
      <c r="K396" s="936">
        <f t="shared" si="44"/>
        <v>14</v>
      </c>
      <c r="L396" s="936">
        <f t="shared" si="45"/>
        <v>629152</v>
      </c>
      <c r="M396" s="936">
        <f t="shared" si="46"/>
        <v>0</v>
      </c>
      <c r="N396" s="936">
        <f t="shared" si="47"/>
        <v>0</v>
      </c>
      <c r="O396" s="936">
        <f t="shared" si="48"/>
        <v>0</v>
      </c>
      <c r="P396" s="937">
        <f t="shared" si="49"/>
        <v>0</v>
      </c>
      <c r="Q396" s="938"/>
      <c r="R396" s="938"/>
      <c r="S396" s="939">
        <f t="shared" si="50"/>
        <v>629152</v>
      </c>
    </row>
    <row r="397" spans="1:19" ht="30" customHeight="1" x14ac:dyDescent="0.45">
      <c r="A397" s="933"/>
      <c r="C397" s="934"/>
      <c r="D397" s="934"/>
      <c r="E397" s="934"/>
      <c r="F397" s="954" t="s">
        <v>3016</v>
      </c>
      <c r="G397" s="946">
        <v>44280</v>
      </c>
      <c r="H397" s="936">
        <v>581547</v>
      </c>
      <c r="I397" s="934"/>
      <c r="J397" s="935">
        <f t="shared" si="43"/>
        <v>44280</v>
      </c>
      <c r="K397" s="936">
        <f t="shared" si="44"/>
        <v>7</v>
      </c>
      <c r="L397" s="936">
        <f t="shared" si="45"/>
        <v>581547</v>
      </c>
      <c r="M397" s="936">
        <f t="shared" si="46"/>
        <v>0</v>
      </c>
      <c r="N397" s="936">
        <f t="shared" si="47"/>
        <v>0</v>
      </c>
      <c r="O397" s="936">
        <f t="shared" si="48"/>
        <v>0</v>
      </c>
      <c r="P397" s="937">
        <f t="shared" si="49"/>
        <v>0</v>
      </c>
      <c r="Q397" s="938"/>
      <c r="R397" s="938"/>
      <c r="S397" s="939">
        <f t="shared" si="50"/>
        <v>581547</v>
      </c>
    </row>
    <row r="398" spans="1:19" ht="30" customHeight="1" x14ac:dyDescent="0.45">
      <c r="A398" s="933"/>
      <c r="C398" s="934"/>
      <c r="D398" s="934"/>
      <c r="E398" s="934"/>
      <c r="F398" s="954" t="s">
        <v>3017</v>
      </c>
      <c r="G398" s="946">
        <v>44286</v>
      </c>
      <c r="H398" s="936">
        <v>643545</v>
      </c>
      <c r="I398" s="934"/>
      <c r="J398" s="935">
        <f t="shared" si="43"/>
        <v>44286</v>
      </c>
      <c r="K398" s="936">
        <f t="shared" si="44"/>
        <v>1</v>
      </c>
      <c r="L398" s="936">
        <f t="shared" si="45"/>
        <v>643545</v>
      </c>
      <c r="M398" s="936">
        <f t="shared" si="46"/>
        <v>0</v>
      </c>
      <c r="N398" s="936">
        <f t="shared" si="47"/>
        <v>0</v>
      </c>
      <c r="O398" s="936">
        <f t="shared" si="48"/>
        <v>0</v>
      </c>
      <c r="P398" s="937">
        <f t="shared" si="49"/>
        <v>0</v>
      </c>
      <c r="Q398" s="938"/>
      <c r="R398" s="938"/>
      <c r="S398" s="939">
        <f t="shared" si="50"/>
        <v>643545</v>
      </c>
    </row>
    <row r="399" spans="1:19" ht="30" customHeight="1" x14ac:dyDescent="0.45">
      <c r="A399" s="933"/>
      <c r="C399" s="934"/>
      <c r="D399" s="934"/>
      <c r="E399" s="934"/>
      <c r="F399" s="934"/>
      <c r="G399" s="972"/>
      <c r="H399" s="936">
        <v>4</v>
      </c>
      <c r="I399" s="934"/>
      <c r="J399" s="935">
        <f t="shared" si="43"/>
        <v>0</v>
      </c>
      <c r="K399" s="936">
        <f t="shared" si="44"/>
        <v>44287</v>
      </c>
      <c r="L399" s="936">
        <f t="shared" si="45"/>
        <v>0</v>
      </c>
      <c r="M399" s="936">
        <f t="shared" si="46"/>
        <v>0</v>
      </c>
      <c r="N399" s="936">
        <f t="shared" si="47"/>
        <v>0</v>
      </c>
      <c r="O399" s="936">
        <f t="shared" si="48"/>
        <v>0</v>
      </c>
      <c r="P399" s="937">
        <f t="shared" si="49"/>
        <v>4</v>
      </c>
      <c r="Q399" s="938"/>
      <c r="R399" s="938"/>
      <c r="S399" s="939">
        <f t="shared" si="50"/>
        <v>4</v>
      </c>
    </row>
    <row r="400" spans="1:19" ht="30" customHeight="1" x14ac:dyDescent="0.45">
      <c r="A400" s="933"/>
      <c r="C400" s="934"/>
      <c r="D400" s="978"/>
      <c r="E400" s="934"/>
      <c r="F400" s="978"/>
      <c r="G400" s="972"/>
      <c r="H400" s="979"/>
      <c r="I400" s="934"/>
      <c r="J400" s="935">
        <f t="shared" si="43"/>
        <v>0</v>
      </c>
      <c r="K400" s="936">
        <f t="shared" si="44"/>
        <v>44287</v>
      </c>
      <c r="L400" s="936">
        <f t="shared" si="45"/>
        <v>0</v>
      </c>
      <c r="M400" s="936">
        <f t="shared" si="46"/>
        <v>0</v>
      </c>
      <c r="N400" s="936">
        <f t="shared" si="47"/>
        <v>0</v>
      </c>
      <c r="O400" s="936">
        <f t="shared" si="48"/>
        <v>0</v>
      </c>
      <c r="P400" s="937">
        <f t="shared" si="49"/>
        <v>0</v>
      </c>
      <c r="Q400" s="938"/>
      <c r="R400" s="938"/>
      <c r="S400" s="939">
        <f t="shared" si="50"/>
        <v>0</v>
      </c>
    </row>
    <row r="401" spans="1:19" ht="30" customHeight="1" x14ac:dyDescent="0.45">
      <c r="A401" s="933"/>
      <c r="C401" s="934"/>
      <c r="D401" s="940" t="s">
        <v>20</v>
      </c>
      <c r="E401" s="934"/>
      <c r="F401" s="943" t="s">
        <v>3018</v>
      </c>
      <c r="G401" s="980">
        <v>44259</v>
      </c>
      <c r="H401" s="966">
        <v>663249</v>
      </c>
      <c r="I401" s="981"/>
      <c r="J401" s="982">
        <f t="shared" si="43"/>
        <v>44259</v>
      </c>
      <c r="K401" s="983">
        <f t="shared" si="44"/>
        <v>28</v>
      </c>
      <c r="L401" s="983">
        <f t="shared" si="45"/>
        <v>663249</v>
      </c>
      <c r="M401" s="983">
        <f t="shared" si="46"/>
        <v>0</v>
      </c>
      <c r="N401" s="983">
        <f t="shared" si="47"/>
        <v>0</v>
      </c>
      <c r="O401" s="983">
        <f t="shared" si="48"/>
        <v>0</v>
      </c>
      <c r="P401" s="984">
        <f t="shared" si="49"/>
        <v>0</v>
      </c>
      <c r="Q401" s="938"/>
      <c r="R401" s="938"/>
      <c r="S401" s="939">
        <f t="shared" si="50"/>
        <v>663249</v>
      </c>
    </row>
    <row r="402" spans="1:19" ht="30" customHeight="1" x14ac:dyDescent="0.45">
      <c r="A402" s="933"/>
      <c r="C402" s="985"/>
      <c r="D402" s="985"/>
      <c r="E402" s="985"/>
      <c r="F402" s="943" t="s">
        <v>3019</v>
      </c>
      <c r="G402" s="986">
        <v>44260</v>
      </c>
      <c r="H402" s="966">
        <v>756778</v>
      </c>
      <c r="I402" s="981"/>
      <c r="J402" s="982">
        <f t="shared" si="43"/>
        <v>44260</v>
      </c>
      <c r="K402" s="983">
        <f t="shared" si="44"/>
        <v>27</v>
      </c>
      <c r="L402" s="983">
        <f t="shared" si="45"/>
        <v>756778</v>
      </c>
      <c r="M402" s="983">
        <f t="shared" si="46"/>
        <v>0</v>
      </c>
      <c r="N402" s="983">
        <f t="shared" si="47"/>
        <v>0</v>
      </c>
      <c r="O402" s="983">
        <f t="shared" si="48"/>
        <v>0</v>
      </c>
      <c r="P402" s="984">
        <f t="shared" si="49"/>
        <v>0</v>
      </c>
      <c r="Q402" s="938"/>
      <c r="R402" s="938"/>
      <c r="S402" s="939">
        <f t="shared" si="50"/>
        <v>756778</v>
      </c>
    </row>
    <row r="403" spans="1:19" ht="30" customHeight="1" x14ac:dyDescent="0.45">
      <c r="A403" s="933"/>
      <c r="C403" s="985"/>
      <c r="D403" s="985"/>
      <c r="E403" s="985"/>
      <c r="F403" s="943" t="s">
        <v>3020</v>
      </c>
      <c r="G403" s="986">
        <v>44264</v>
      </c>
      <c r="H403" s="966">
        <v>665924</v>
      </c>
      <c r="I403" s="981"/>
      <c r="J403" s="982">
        <f t="shared" si="43"/>
        <v>44264</v>
      </c>
      <c r="K403" s="983">
        <f t="shared" si="44"/>
        <v>23</v>
      </c>
      <c r="L403" s="983">
        <f t="shared" si="45"/>
        <v>665924</v>
      </c>
      <c r="M403" s="983">
        <f t="shared" si="46"/>
        <v>0</v>
      </c>
      <c r="N403" s="983">
        <f t="shared" si="47"/>
        <v>0</v>
      </c>
      <c r="O403" s="983">
        <f t="shared" si="48"/>
        <v>0</v>
      </c>
      <c r="P403" s="984">
        <f t="shared" si="49"/>
        <v>0</v>
      </c>
      <c r="Q403" s="938"/>
      <c r="R403" s="938"/>
      <c r="S403" s="939">
        <f t="shared" si="50"/>
        <v>665924</v>
      </c>
    </row>
    <row r="404" spans="1:19" ht="30" customHeight="1" x14ac:dyDescent="0.45">
      <c r="A404" s="933"/>
      <c r="C404" s="985"/>
      <c r="D404" s="985"/>
      <c r="E404" s="985"/>
      <c r="F404" s="943" t="s">
        <v>3021</v>
      </c>
      <c r="G404" s="986">
        <v>44267</v>
      </c>
      <c r="H404" s="966">
        <v>639808</v>
      </c>
      <c r="I404" s="981"/>
      <c r="J404" s="982">
        <f t="shared" si="43"/>
        <v>44267</v>
      </c>
      <c r="K404" s="983">
        <f t="shared" si="44"/>
        <v>20</v>
      </c>
      <c r="L404" s="983">
        <f t="shared" si="45"/>
        <v>639808</v>
      </c>
      <c r="M404" s="983">
        <f t="shared" si="46"/>
        <v>0</v>
      </c>
      <c r="N404" s="983">
        <f t="shared" si="47"/>
        <v>0</v>
      </c>
      <c r="O404" s="983">
        <f t="shared" si="48"/>
        <v>0</v>
      </c>
      <c r="P404" s="984">
        <f t="shared" si="49"/>
        <v>0</v>
      </c>
      <c r="Q404" s="938"/>
      <c r="R404" s="938"/>
      <c r="S404" s="939">
        <f t="shared" si="50"/>
        <v>639808</v>
      </c>
    </row>
    <row r="405" spans="1:19" ht="30" customHeight="1" x14ac:dyDescent="0.45">
      <c r="A405" s="933"/>
      <c r="C405" s="985"/>
      <c r="D405" s="985"/>
      <c r="E405" s="985"/>
      <c r="F405" s="943" t="s">
        <v>3022</v>
      </c>
      <c r="G405" s="986">
        <v>44269</v>
      </c>
      <c r="H405" s="966">
        <v>711476</v>
      </c>
      <c r="I405" s="981"/>
      <c r="J405" s="982">
        <f t="shared" si="43"/>
        <v>44269</v>
      </c>
      <c r="K405" s="983">
        <f t="shared" si="44"/>
        <v>18</v>
      </c>
      <c r="L405" s="983">
        <f t="shared" si="45"/>
        <v>711476</v>
      </c>
      <c r="M405" s="983">
        <f t="shared" si="46"/>
        <v>0</v>
      </c>
      <c r="N405" s="983">
        <f t="shared" si="47"/>
        <v>0</v>
      </c>
      <c r="O405" s="983">
        <f t="shared" si="48"/>
        <v>0</v>
      </c>
      <c r="P405" s="984">
        <f t="shared" si="49"/>
        <v>0</v>
      </c>
      <c r="Q405" s="938"/>
      <c r="R405" s="938"/>
      <c r="S405" s="939">
        <f t="shared" si="50"/>
        <v>711476</v>
      </c>
    </row>
    <row r="406" spans="1:19" ht="30" customHeight="1" x14ac:dyDescent="0.45">
      <c r="A406" s="933"/>
      <c r="C406" s="985"/>
      <c r="D406" s="985"/>
      <c r="E406" s="985"/>
      <c r="F406" s="943" t="s">
        <v>3023</v>
      </c>
      <c r="G406" s="986">
        <v>44269</v>
      </c>
      <c r="H406" s="966">
        <v>639980</v>
      </c>
      <c r="I406" s="981"/>
      <c r="J406" s="982">
        <f t="shared" si="43"/>
        <v>44269</v>
      </c>
      <c r="K406" s="983">
        <f t="shared" si="44"/>
        <v>18</v>
      </c>
      <c r="L406" s="983">
        <f t="shared" si="45"/>
        <v>639980</v>
      </c>
      <c r="M406" s="983">
        <f t="shared" si="46"/>
        <v>0</v>
      </c>
      <c r="N406" s="983">
        <f t="shared" si="47"/>
        <v>0</v>
      </c>
      <c r="O406" s="983">
        <f t="shared" si="48"/>
        <v>0</v>
      </c>
      <c r="P406" s="984">
        <f t="shared" si="49"/>
        <v>0</v>
      </c>
      <c r="Q406" s="938"/>
      <c r="R406" s="938"/>
      <c r="S406" s="939">
        <f t="shared" si="50"/>
        <v>639980</v>
      </c>
    </row>
    <row r="407" spans="1:19" ht="30" customHeight="1" x14ac:dyDescent="0.45">
      <c r="A407" s="933"/>
      <c r="C407" s="985"/>
      <c r="D407" s="985"/>
      <c r="E407" s="985"/>
      <c r="F407" s="943" t="s">
        <v>3024</v>
      </c>
      <c r="G407" s="986">
        <v>44277</v>
      </c>
      <c r="H407" s="966">
        <v>711060</v>
      </c>
      <c r="I407" s="981"/>
      <c r="J407" s="982">
        <f t="shared" si="43"/>
        <v>44277</v>
      </c>
      <c r="K407" s="983">
        <f t="shared" si="44"/>
        <v>10</v>
      </c>
      <c r="L407" s="983">
        <f t="shared" si="45"/>
        <v>711060</v>
      </c>
      <c r="M407" s="983">
        <f t="shared" si="46"/>
        <v>0</v>
      </c>
      <c r="N407" s="983">
        <f t="shared" si="47"/>
        <v>0</v>
      </c>
      <c r="O407" s="983">
        <f t="shared" si="48"/>
        <v>0</v>
      </c>
      <c r="P407" s="984">
        <f t="shared" si="49"/>
        <v>0</v>
      </c>
      <c r="Q407" s="938"/>
      <c r="R407" s="938"/>
      <c r="S407" s="939">
        <f t="shared" si="50"/>
        <v>711060</v>
      </c>
    </row>
    <row r="408" spans="1:19" ht="30" customHeight="1" x14ac:dyDescent="0.45">
      <c r="A408" s="933"/>
      <c r="C408" s="985"/>
      <c r="D408" s="985"/>
      <c r="E408" s="985"/>
      <c r="F408" s="943" t="s">
        <v>3025</v>
      </c>
      <c r="G408" s="986">
        <v>44277</v>
      </c>
      <c r="H408" s="966">
        <v>683041</v>
      </c>
      <c r="I408" s="981"/>
      <c r="J408" s="982">
        <f t="shared" si="43"/>
        <v>44277</v>
      </c>
      <c r="K408" s="983">
        <f t="shared" si="44"/>
        <v>10</v>
      </c>
      <c r="L408" s="983">
        <f t="shared" si="45"/>
        <v>683041</v>
      </c>
      <c r="M408" s="983">
        <f t="shared" si="46"/>
        <v>0</v>
      </c>
      <c r="N408" s="983">
        <f t="shared" si="47"/>
        <v>0</v>
      </c>
      <c r="O408" s="983">
        <f t="shared" si="48"/>
        <v>0</v>
      </c>
      <c r="P408" s="984">
        <f t="shared" si="49"/>
        <v>0</v>
      </c>
      <c r="Q408" s="938"/>
      <c r="R408" s="938"/>
      <c r="S408" s="939">
        <f t="shared" si="50"/>
        <v>683041</v>
      </c>
    </row>
    <row r="409" spans="1:19" ht="30" customHeight="1" x14ac:dyDescent="0.45">
      <c r="A409" s="933"/>
      <c r="C409" s="985"/>
      <c r="D409" s="985"/>
      <c r="E409" s="985"/>
      <c r="F409" s="943" t="s">
        <v>3026</v>
      </c>
      <c r="G409" s="986">
        <v>44282</v>
      </c>
      <c r="H409" s="966">
        <v>846554</v>
      </c>
      <c r="I409" s="981"/>
      <c r="J409" s="982">
        <f t="shared" si="43"/>
        <v>44282</v>
      </c>
      <c r="K409" s="983">
        <f t="shared" si="44"/>
        <v>5</v>
      </c>
      <c r="L409" s="983">
        <f t="shared" si="45"/>
        <v>846554</v>
      </c>
      <c r="M409" s="983">
        <f t="shared" si="46"/>
        <v>0</v>
      </c>
      <c r="N409" s="983">
        <f t="shared" si="47"/>
        <v>0</v>
      </c>
      <c r="O409" s="983">
        <f t="shared" si="48"/>
        <v>0</v>
      </c>
      <c r="P409" s="984">
        <f t="shared" si="49"/>
        <v>0</v>
      </c>
      <c r="Q409" s="938"/>
      <c r="R409" s="938"/>
      <c r="S409" s="939">
        <f t="shared" si="50"/>
        <v>846554</v>
      </c>
    </row>
    <row r="410" spans="1:19" ht="30" customHeight="1" x14ac:dyDescent="0.45">
      <c r="A410" s="933"/>
      <c r="C410" s="985"/>
      <c r="D410" s="985"/>
      <c r="E410" s="985"/>
      <c r="F410" s="943" t="s">
        <v>3027</v>
      </c>
      <c r="G410" s="986">
        <v>44283</v>
      </c>
      <c r="H410" s="966">
        <v>765217</v>
      </c>
      <c r="I410" s="981"/>
      <c r="J410" s="982">
        <f t="shared" si="43"/>
        <v>44283</v>
      </c>
      <c r="K410" s="983">
        <f t="shared" si="44"/>
        <v>4</v>
      </c>
      <c r="L410" s="983">
        <f t="shared" si="45"/>
        <v>765217</v>
      </c>
      <c r="M410" s="983">
        <f t="shared" si="46"/>
        <v>0</v>
      </c>
      <c r="N410" s="983">
        <f t="shared" si="47"/>
        <v>0</v>
      </c>
      <c r="O410" s="983">
        <f t="shared" si="48"/>
        <v>0</v>
      </c>
      <c r="P410" s="984">
        <f t="shared" si="49"/>
        <v>0</v>
      </c>
      <c r="Q410" s="938"/>
      <c r="R410" s="938"/>
      <c r="S410" s="939">
        <f t="shared" si="50"/>
        <v>765217</v>
      </c>
    </row>
    <row r="411" spans="1:19" ht="30" customHeight="1" x14ac:dyDescent="0.45">
      <c r="A411" s="933"/>
      <c r="C411" s="985"/>
      <c r="D411" s="985"/>
      <c r="E411" s="985"/>
      <c r="F411" s="943" t="s">
        <v>3028</v>
      </c>
      <c r="G411" s="986">
        <v>44286</v>
      </c>
      <c r="H411" s="966">
        <v>774937</v>
      </c>
      <c r="I411" s="981"/>
      <c r="J411" s="982">
        <f t="shared" si="43"/>
        <v>44286</v>
      </c>
      <c r="K411" s="983">
        <f t="shared" si="44"/>
        <v>1</v>
      </c>
      <c r="L411" s="983">
        <f t="shared" si="45"/>
        <v>774937</v>
      </c>
      <c r="M411" s="983">
        <f t="shared" si="46"/>
        <v>0</v>
      </c>
      <c r="N411" s="983">
        <f t="shared" si="47"/>
        <v>0</v>
      </c>
      <c r="O411" s="983">
        <f t="shared" si="48"/>
        <v>0</v>
      </c>
      <c r="P411" s="984">
        <f t="shared" si="49"/>
        <v>0</v>
      </c>
      <c r="Q411" s="938"/>
      <c r="R411" s="938"/>
      <c r="S411" s="939">
        <f t="shared" si="50"/>
        <v>774937</v>
      </c>
    </row>
    <row r="412" spans="1:19" ht="30" customHeight="1" x14ac:dyDescent="0.45">
      <c r="A412" s="933"/>
      <c r="C412" s="985"/>
      <c r="D412" s="985"/>
      <c r="E412" s="985"/>
      <c r="F412" s="985"/>
      <c r="G412" s="987"/>
      <c r="H412" s="966">
        <v>2</v>
      </c>
      <c r="I412" s="981"/>
      <c r="J412" s="982">
        <f t="shared" si="43"/>
        <v>0</v>
      </c>
      <c r="K412" s="983">
        <f t="shared" si="44"/>
        <v>44287</v>
      </c>
      <c r="L412" s="983">
        <f t="shared" si="45"/>
        <v>0</v>
      </c>
      <c r="M412" s="983">
        <f t="shared" si="46"/>
        <v>0</v>
      </c>
      <c r="N412" s="983">
        <f t="shared" si="47"/>
        <v>0</v>
      </c>
      <c r="O412" s="983">
        <f t="shared" si="48"/>
        <v>0</v>
      </c>
      <c r="P412" s="984">
        <f t="shared" si="49"/>
        <v>2</v>
      </c>
      <c r="Q412" s="938"/>
      <c r="R412" s="938"/>
      <c r="S412" s="939">
        <f t="shared" si="50"/>
        <v>2</v>
      </c>
    </row>
    <row r="413" spans="1:19" ht="30" customHeight="1" x14ac:dyDescent="0.45">
      <c r="A413" s="933"/>
      <c r="C413" s="985"/>
      <c r="D413" s="978"/>
      <c r="E413" s="985"/>
      <c r="F413" s="978"/>
      <c r="G413" s="988"/>
      <c r="H413" s="989"/>
      <c r="I413" s="981"/>
      <c r="J413" s="982">
        <f t="shared" si="43"/>
        <v>0</v>
      </c>
      <c r="K413" s="983">
        <f t="shared" si="44"/>
        <v>44287</v>
      </c>
      <c r="L413" s="983">
        <f t="shared" si="45"/>
        <v>0</v>
      </c>
      <c r="M413" s="983">
        <f t="shared" si="46"/>
        <v>0</v>
      </c>
      <c r="N413" s="983">
        <f t="shared" si="47"/>
        <v>0</v>
      </c>
      <c r="O413" s="983">
        <f t="shared" si="48"/>
        <v>0</v>
      </c>
      <c r="P413" s="984">
        <f t="shared" si="49"/>
        <v>0</v>
      </c>
      <c r="Q413" s="938"/>
      <c r="R413" s="938"/>
      <c r="S413" s="939">
        <f t="shared" si="50"/>
        <v>0</v>
      </c>
    </row>
    <row r="414" spans="1:19" ht="30" customHeight="1" x14ac:dyDescent="0.45">
      <c r="A414" s="933"/>
      <c r="C414" s="985"/>
      <c r="D414" s="953" t="s">
        <v>93</v>
      </c>
      <c r="E414" s="985"/>
      <c r="F414" s="954" t="s">
        <v>3029</v>
      </c>
      <c r="G414" s="955">
        <v>43912</v>
      </c>
      <c r="H414" s="969">
        <v>6</v>
      </c>
      <c r="I414" s="985"/>
      <c r="J414" s="982">
        <f t="shared" si="43"/>
        <v>43912</v>
      </c>
      <c r="K414" s="983">
        <f t="shared" si="44"/>
        <v>375</v>
      </c>
      <c r="L414" s="983">
        <f t="shared" si="45"/>
        <v>0</v>
      </c>
      <c r="M414" s="983">
        <f t="shared" si="46"/>
        <v>0</v>
      </c>
      <c r="N414" s="983">
        <f t="shared" si="47"/>
        <v>0</v>
      </c>
      <c r="O414" s="983">
        <f t="shared" si="48"/>
        <v>6</v>
      </c>
      <c r="P414" s="984">
        <f t="shared" si="49"/>
        <v>0</v>
      </c>
      <c r="Q414" s="938"/>
      <c r="R414" s="938"/>
      <c r="S414" s="939">
        <f t="shared" si="50"/>
        <v>6</v>
      </c>
    </row>
    <row r="415" spans="1:19" ht="30" customHeight="1" x14ac:dyDescent="0.45">
      <c r="A415" s="933"/>
      <c r="C415" s="985"/>
      <c r="D415" s="985"/>
      <c r="E415" s="985"/>
      <c r="F415" s="954" t="s">
        <v>3030</v>
      </c>
      <c r="G415" s="955">
        <v>43981</v>
      </c>
      <c r="H415" s="983">
        <v>538</v>
      </c>
      <c r="I415" s="985"/>
      <c r="J415" s="982">
        <f t="shared" si="43"/>
        <v>43981</v>
      </c>
      <c r="K415" s="983">
        <f t="shared" si="44"/>
        <v>306</v>
      </c>
      <c r="L415" s="983">
        <f t="shared" si="45"/>
        <v>0</v>
      </c>
      <c r="M415" s="983">
        <f t="shared" si="46"/>
        <v>0</v>
      </c>
      <c r="N415" s="983">
        <f t="shared" si="47"/>
        <v>538</v>
      </c>
      <c r="O415" s="983">
        <f t="shared" si="48"/>
        <v>0</v>
      </c>
      <c r="P415" s="984">
        <f t="shared" si="49"/>
        <v>0</v>
      </c>
      <c r="Q415" s="938"/>
      <c r="R415" s="938"/>
      <c r="S415" s="939">
        <f t="shared" si="50"/>
        <v>538</v>
      </c>
    </row>
    <row r="416" spans="1:19" ht="30" customHeight="1" x14ac:dyDescent="0.45">
      <c r="A416" s="933"/>
      <c r="C416" s="985"/>
      <c r="D416" s="985"/>
      <c r="E416" s="985"/>
      <c r="F416" s="954" t="s">
        <v>3031</v>
      </c>
      <c r="G416" s="955">
        <v>43988</v>
      </c>
      <c r="H416" s="983">
        <v>3</v>
      </c>
      <c r="I416" s="985"/>
      <c r="J416" s="982">
        <f t="shared" si="43"/>
        <v>43988</v>
      </c>
      <c r="K416" s="983">
        <f t="shared" si="44"/>
        <v>299</v>
      </c>
      <c r="L416" s="983">
        <f t="shared" si="45"/>
        <v>0</v>
      </c>
      <c r="M416" s="983">
        <f t="shared" si="46"/>
        <v>0</v>
      </c>
      <c r="N416" s="983">
        <f t="shared" si="47"/>
        <v>3</v>
      </c>
      <c r="O416" s="983">
        <f t="shared" si="48"/>
        <v>0</v>
      </c>
      <c r="P416" s="984">
        <f t="shared" si="49"/>
        <v>0</v>
      </c>
      <c r="Q416" s="938"/>
      <c r="R416" s="938"/>
      <c r="S416" s="939">
        <f t="shared" si="50"/>
        <v>3</v>
      </c>
    </row>
    <row r="417" spans="1:19" ht="30" customHeight="1" x14ac:dyDescent="0.45">
      <c r="A417" s="933"/>
      <c r="C417" s="985"/>
      <c r="D417" s="985"/>
      <c r="E417" s="985"/>
      <c r="F417" s="954" t="s">
        <v>3032</v>
      </c>
      <c r="G417" s="955">
        <v>44012</v>
      </c>
      <c r="H417" s="983">
        <v>3</v>
      </c>
      <c r="I417" s="985"/>
      <c r="J417" s="982">
        <f t="shared" si="43"/>
        <v>44012</v>
      </c>
      <c r="K417" s="983">
        <f t="shared" si="44"/>
        <v>275</v>
      </c>
      <c r="L417" s="983">
        <f t="shared" si="45"/>
        <v>0</v>
      </c>
      <c r="M417" s="983">
        <f t="shared" si="46"/>
        <v>0</v>
      </c>
      <c r="N417" s="983">
        <f t="shared" si="47"/>
        <v>3</v>
      </c>
      <c r="O417" s="983">
        <f t="shared" si="48"/>
        <v>0</v>
      </c>
      <c r="P417" s="984">
        <f t="shared" si="49"/>
        <v>0</v>
      </c>
      <c r="Q417" s="938"/>
      <c r="R417" s="938"/>
      <c r="S417" s="939">
        <f t="shared" si="50"/>
        <v>3</v>
      </c>
    </row>
    <row r="418" spans="1:19" ht="30" customHeight="1" x14ac:dyDescent="0.45">
      <c r="A418" s="933"/>
      <c r="C418" s="985"/>
      <c r="D418" s="985"/>
      <c r="E418" s="985"/>
      <c r="F418" s="954" t="s">
        <v>3033</v>
      </c>
      <c r="G418" s="955">
        <v>44042</v>
      </c>
      <c r="H418" s="983">
        <v>3</v>
      </c>
      <c r="I418" s="985"/>
      <c r="J418" s="982">
        <f t="shared" si="43"/>
        <v>44042</v>
      </c>
      <c r="K418" s="983">
        <f t="shared" si="44"/>
        <v>245</v>
      </c>
      <c r="L418" s="983">
        <f t="shared" si="45"/>
        <v>0</v>
      </c>
      <c r="M418" s="983">
        <f t="shared" si="46"/>
        <v>0</v>
      </c>
      <c r="N418" s="983">
        <f t="shared" si="47"/>
        <v>3</v>
      </c>
      <c r="O418" s="983">
        <f t="shared" si="48"/>
        <v>0</v>
      </c>
      <c r="P418" s="984">
        <f t="shared" si="49"/>
        <v>0</v>
      </c>
      <c r="Q418" s="938"/>
      <c r="R418" s="938"/>
      <c r="S418" s="939">
        <f t="shared" si="50"/>
        <v>3</v>
      </c>
    </row>
    <row r="419" spans="1:19" ht="30" customHeight="1" x14ac:dyDescent="0.45">
      <c r="A419" s="933"/>
      <c r="C419" s="985"/>
      <c r="D419" s="985"/>
      <c r="E419" s="985"/>
      <c r="F419" s="954" t="s">
        <v>3034</v>
      </c>
      <c r="G419" s="956">
        <v>44227</v>
      </c>
      <c r="H419" s="983">
        <v>2</v>
      </c>
      <c r="I419" s="985"/>
      <c r="J419" s="982">
        <f t="shared" si="43"/>
        <v>44227</v>
      </c>
      <c r="K419" s="983">
        <f t="shared" si="44"/>
        <v>60</v>
      </c>
      <c r="L419" s="983">
        <f t="shared" si="45"/>
        <v>2</v>
      </c>
      <c r="M419" s="983">
        <f t="shared" si="46"/>
        <v>0</v>
      </c>
      <c r="N419" s="983">
        <f t="shared" si="47"/>
        <v>0</v>
      </c>
      <c r="O419" s="983">
        <f t="shared" si="48"/>
        <v>0</v>
      </c>
      <c r="P419" s="984">
        <f t="shared" si="49"/>
        <v>0</v>
      </c>
      <c r="Q419" s="938"/>
      <c r="R419" s="938"/>
      <c r="S419" s="939">
        <f t="shared" si="50"/>
        <v>2</v>
      </c>
    </row>
    <row r="420" spans="1:19" ht="30" customHeight="1" x14ac:dyDescent="0.45">
      <c r="A420" s="933"/>
      <c r="C420" s="985"/>
      <c r="D420" s="985"/>
      <c r="E420" s="985"/>
      <c r="F420" s="954" t="s">
        <v>3035</v>
      </c>
      <c r="G420" s="956">
        <v>44254</v>
      </c>
      <c r="H420" s="983">
        <v>1</v>
      </c>
      <c r="I420" s="985"/>
      <c r="J420" s="982">
        <f t="shared" si="43"/>
        <v>44254</v>
      </c>
      <c r="K420" s="983">
        <f t="shared" si="44"/>
        <v>33</v>
      </c>
      <c r="L420" s="983">
        <f t="shared" si="45"/>
        <v>1</v>
      </c>
      <c r="M420" s="983">
        <f t="shared" si="46"/>
        <v>0</v>
      </c>
      <c r="N420" s="983">
        <f t="shared" si="47"/>
        <v>0</v>
      </c>
      <c r="O420" s="983">
        <f t="shared" si="48"/>
        <v>0</v>
      </c>
      <c r="P420" s="984">
        <f t="shared" si="49"/>
        <v>0</v>
      </c>
      <c r="Q420" s="938"/>
      <c r="R420" s="938"/>
      <c r="S420" s="939">
        <f t="shared" si="50"/>
        <v>1</v>
      </c>
    </row>
    <row r="421" spans="1:19" ht="30" customHeight="1" x14ac:dyDescent="0.45">
      <c r="A421" s="933"/>
      <c r="C421" s="985"/>
      <c r="D421" s="985"/>
      <c r="E421" s="985"/>
      <c r="F421" s="954" t="s">
        <v>3036</v>
      </c>
      <c r="G421" s="956">
        <v>44230</v>
      </c>
      <c r="H421" s="983">
        <v>-23936</v>
      </c>
      <c r="I421" s="985"/>
      <c r="J421" s="982">
        <f t="shared" si="43"/>
        <v>44230</v>
      </c>
      <c r="K421" s="983">
        <f t="shared" si="44"/>
        <v>57</v>
      </c>
      <c r="L421" s="983">
        <f t="shared" si="45"/>
        <v>-23936</v>
      </c>
      <c r="M421" s="983">
        <f t="shared" si="46"/>
        <v>0</v>
      </c>
      <c r="N421" s="983">
        <f t="shared" si="47"/>
        <v>0</v>
      </c>
      <c r="O421" s="983">
        <f t="shared" si="48"/>
        <v>0</v>
      </c>
      <c r="P421" s="984">
        <f t="shared" si="49"/>
        <v>0</v>
      </c>
      <c r="Q421" s="938"/>
      <c r="R421" s="938"/>
      <c r="S421" s="939">
        <f t="shared" si="50"/>
        <v>-23936</v>
      </c>
    </row>
    <row r="422" spans="1:19" ht="30" customHeight="1" x14ac:dyDescent="0.45">
      <c r="A422" s="933"/>
      <c r="C422" s="985"/>
      <c r="D422" s="985"/>
      <c r="E422" s="985"/>
      <c r="F422" s="954" t="s">
        <v>3037</v>
      </c>
      <c r="G422" s="956">
        <v>44237</v>
      </c>
      <c r="H422" s="983">
        <v>-38232</v>
      </c>
      <c r="I422" s="985"/>
      <c r="J422" s="982">
        <f t="shared" si="43"/>
        <v>44237</v>
      </c>
      <c r="K422" s="983">
        <f t="shared" si="44"/>
        <v>50</v>
      </c>
      <c r="L422" s="983">
        <f t="shared" si="45"/>
        <v>-38232</v>
      </c>
      <c r="M422" s="983">
        <f t="shared" si="46"/>
        <v>0</v>
      </c>
      <c r="N422" s="983">
        <f t="shared" si="47"/>
        <v>0</v>
      </c>
      <c r="O422" s="983">
        <f t="shared" si="48"/>
        <v>0</v>
      </c>
      <c r="P422" s="984">
        <f t="shared" si="49"/>
        <v>0</v>
      </c>
      <c r="Q422" s="938"/>
      <c r="R422" s="938"/>
      <c r="S422" s="939">
        <f t="shared" si="50"/>
        <v>-38232</v>
      </c>
    </row>
    <row r="423" spans="1:19" ht="30" customHeight="1" x14ac:dyDescent="0.45">
      <c r="A423" s="933"/>
      <c r="C423" s="985"/>
      <c r="D423" s="985"/>
      <c r="E423" s="985"/>
      <c r="F423" s="954" t="s">
        <v>3038</v>
      </c>
      <c r="G423" s="956">
        <v>44253</v>
      </c>
      <c r="H423" s="983">
        <v>-37752</v>
      </c>
      <c r="I423" s="985"/>
      <c r="J423" s="982">
        <f t="shared" si="43"/>
        <v>44253</v>
      </c>
      <c r="K423" s="983">
        <f t="shared" si="44"/>
        <v>34</v>
      </c>
      <c r="L423" s="983">
        <f t="shared" si="45"/>
        <v>-37752</v>
      </c>
      <c r="M423" s="983">
        <f t="shared" si="46"/>
        <v>0</v>
      </c>
      <c r="N423" s="983">
        <f t="shared" si="47"/>
        <v>0</v>
      </c>
      <c r="O423" s="983">
        <f t="shared" si="48"/>
        <v>0</v>
      </c>
      <c r="P423" s="984">
        <f t="shared" si="49"/>
        <v>0</v>
      </c>
      <c r="Q423" s="938"/>
      <c r="R423" s="938"/>
      <c r="S423" s="939">
        <f t="shared" si="50"/>
        <v>-37752</v>
      </c>
    </row>
    <row r="424" spans="1:19" ht="30" customHeight="1" x14ac:dyDescent="0.45">
      <c r="A424" s="933"/>
      <c r="C424" s="985"/>
      <c r="D424" s="985"/>
      <c r="E424" s="985"/>
      <c r="F424" s="954" t="s">
        <v>3039</v>
      </c>
      <c r="G424" s="956">
        <v>44257</v>
      </c>
      <c r="H424" s="983">
        <v>156224</v>
      </c>
      <c r="I424" s="985"/>
      <c r="J424" s="982">
        <f t="shared" si="43"/>
        <v>44257</v>
      </c>
      <c r="K424" s="983">
        <f t="shared" si="44"/>
        <v>30</v>
      </c>
      <c r="L424" s="983">
        <f t="shared" si="45"/>
        <v>156224</v>
      </c>
      <c r="M424" s="983">
        <f t="shared" si="46"/>
        <v>0</v>
      </c>
      <c r="N424" s="983">
        <f t="shared" si="47"/>
        <v>0</v>
      </c>
      <c r="O424" s="983">
        <f t="shared" si="48"/>
        <v>0</v>
      </c>
      <c r="P424" s="984">
        <f t="shared" si="49"/>
        <v>0</v>
      </c>
      <c r="Q424" s="938"/>
      <c r="R424" s="938"/>
      <c r="S424" s="939">
        <f t="shared" si="50"/>
        <v>156224</v>
      </c>
    </row>
    <row r="425" spans="1:19" ht="30" customHeight="1" x14ac:dyDescent="0.45">
      <c r="A425" s="933"/>
      <c r="C425" s="985"/>
      <c r="D425" s="985"/>
      <c r="E425" s="985"/>
      <c r="F425" s="954" t="s">
        <v>3040</v>
      </c>
      <c r="G425" s="956">
        <v>44278</v>
      </c>
      <c r="H425" s="983">
        <v>120470</v>
      </c>
      <c r="I425" s="985"/>
      <c r="J425" s="982">
        <f t="shared" si="43"/>
        <v>44278</v>
      </c>
      <c r="K425" s="983">
        <f t="shared" si="44"/>
        <v>9</v>
      </c>
      <c r="L425" s="983">
        <f t="shared" si="45"/>
        <v>120470</v>
      </c>
      <c r="M425" s="983">
        <f t="shared" si="46"/>
        <v>0</v>
      </c>
      <c r="N425" s="983">
        <f t="shared" si="47"/>
        <v>0</v>
      </c>
      <c r="O425" s="983">
        <f t="shared" si="48"/>
        <v>0</v>
      </c>
      <c r="P425" s="984">
        <f t="shared" si="49"/>
        <v>0</v>
      </c>
      <c r="Q425" s="938"/>
      <c r="R425" s="938"/>
      <c r="S425" s="939">
        <f t="shared" si="50"/>
        <v>120470</v>
      </c>
    </row>
    <row r="426" spans="1:19" ht="30" customHeight="1" x14ac:dyDescent="0.45">
      <c r="A426" s="933"/>
      <c r="C426" s="985"/>
      <c r="D426" s="985"/>
      <c r="E426" s="985"/>
      <c r="F426" s="954" t="s">
        <v>3041</v>
      </c>
      <c r="G426" s="956">
        <v>44257</v>
      </c>
      <c r="H426" s="983">
        <v>-35778</v>
      </c>
      <c r="I426" s="985"/>
      <c r="J426" s="982">
        <f t="shared" si="43"/>
        <v>44257</v>
      </c>
      <c r="K426" s="983">
        <f t="shared" si="44"/>
        <v>30</v>
      </c>
      <c r="L426" s="983">
        <f t="shared" si="45"/>
        <v>-35778</v>
      </c>
      <c r="M426" s="983">
        <f t="shared" si="46"/>
        <v>0</v>
      </c>
      <c r="N426" s="983">
        <f t="shared" si="47"/>
        <v>0</v>
      </c>
      <c r="O426" s="983">
        <f t="shared" si="48"/>
        <v>0</v>
      </c>
      <c r="P426" s="984">
        <f t="shared" si="49"/>
        <v>0</v>
      </c>
      <c r="Q426" s="938"/>
      <c r="R426" s="938"/>
      <c r="S426" s="939">
        <f t="shared" si="50"/>
        <v>-35778</v>
      </c>
    </row>
    <row r="427" spans="1:19" ht="30" customHeight="1" x14ac:dyDescent="0.45">
      <c r="A427" s="933"/>
      <c r="C427" s="985"/>
      <c r="D427" s="985"/>
      <c r="E427" s="985"/>
      <c r="F427" s="954" t="s">
        <v>3042</v>
      </c>
      <c r="G427" s="956">
        <v>44275</v>
      </c>
      <c r="H427" s="983">
        <v>-50988</v>
      </c>
      <c r="I427" s="985"/>
      <c r="J427" s="982">
        <f t="shared" si="43"/>
        <v>44275</v>
      </c>
      <c r="K427" s="983">
        <f t="shared" si="44"/>
        <v>12</v>
      </c>
      <c r="L427" s="983">
        <f t="shared" si="45"/>
        <v>-50988</v>
      </c>
      <c r="M427" s="983">
        <f t="shared" si="46"/>
        <v>0</v>
      </c>
      <c r="N427" s="983">
        <f t="shared" si="47"/>
        <v>0</v>
      </c>
      <c r="O427" s="983">
        <f t="shared" si="48"/>
        <v>0</v>
      </c>
      <c r="P427" s="984">
        <f t="shared" si="49"/>
        <v>0</v>
      </c>
      <c r="Q427" s="938"/>
      <c r="R427" s="938"/>
      <c r="S427" s="939">
        <f t="shared" si="50"/>
        <v>-50988</v>
      </c>
    </row>
    <row r="428" spans="1:19" ht="30" customHeight="1" x14ac:dyDescent="0.45">
      <c r="A428" s="933"/>
      <c r="C428" s="985"/>
      <c r="D428" s="985"/>
      <c r="E428" s="985"/>
      <c r="F428" s="954" t="s">
        <v>3043</v>
      </c>
      <c r="G428" s="956">
        <v>44278</v>
      </c>
      <c r="H428" s="983">
        <v>-27663</v>
      </c>
      <c r="I428" s="985"/>
      <c r="J428" s="982">
        <f t="shared" si="43"/>
        <v>44278</v>
      </c>
      <c r="K428" s="983">
        <f t="shared" si="44"/>
        <v>9</v>
      </c>
      <c r="L428" s="983">
        <f t="shared" si="45"/>
        <v>-27663</v>
      </c>
      <c r="M428" s="983">
        <f t="shared" si="46"/>
        <v>0</v>
      </c>
      <c r="N428" s="983">
        <f t="shared" si="47"/>
        <v>0</v>
      </c>
      <c r="O428" s="983">
        <f t="shared" si="48"/>
        <v>0</v>
      </c>
      <c r="P428" s="984">
        <f t="shared" si="49"/>
        <v>0</v>
      </c>
      <c r="Q428" s="938"/>
      <c r="R428" s="938"/>
      <c r="S428" s="939">
        <f t="shared" si="50"/>
        <v>-27663</v>
      </c>
    </row>
    <row r="429" spans="1:19" ht="30" customHeight="1" x14ac:dyDescent="0.45">
      <c r="A429" s="933"/>
      <c r="C429" s="985"/>
      <c r="D429" s="985"/>
      <c r="E429" s="985"/>
      <c r="F429" s="985"/>
      <c r="G429" s="982"/>
      <c r="H429" s="983"/>
      <c r="I429" s="985"/>
      <c r="J429" s="982">
        <f t="shared" si="43"/>
        <v>0</v>
      </c>
      <c r="K429" s="983">
        <f t="shared" si="44"/>
        <v>44287</v>
      </c>
      <c r="L429" s="983">
        <f t="shared" si="45"/>
        <v>0</v>
      </c>
      <c r="M429" s="983">
        <f t="shared" si="46"/>
        <v>0</v>
      </c>
      <c r="N429" s="983">
        <f t="shared" si="47"/>
        <v>0</v>
      </c>
      <c r="O429" s="983">
        <f t="shared" si="48"/>
        <v>0</v>
      </c>
      <c r="P429" s="984">
        <f t="shared" si="49"/>
        <v>0</v>
      </c>
      <c r="Q429" s="938"/>
      <c r="R429" s="938"/>
      <c r="S429" s="939">
        <f t="shared" si="50"/>
        <v>0</v>
      </c>
    </row>
    <row r="430" spans="1:19" ht="30" customHeight="1" x14ac:dyDescent="0.45">
      <c r="A430" s="933"/>
      <c r="C430" s="985"/>
      <c r="D430" s="940" t="s">
        <v>206</v>
      </c>
      <c r="E430" s="985"/>
      <c r="F430" s="954" t="s">
        <v>3044</v>
      </c>
      <c r="G430" s="946">
        <v>44260</v>
      </c>
      <c r="H430" s="983">
        <v>573513</v>
      </c>
      <c r="I430" s="985"/>
      <c r="J430" s="982">
        <f t="shared" si="43"/>
        <v>44260</v>
      </c>
      <c r="K430" s="983">
        <f t="shared" si="44"/>
        <v>27</v>
      </c>
      <c r="L430" s="983">
        <f t="shared" si="45"/>
        <v>573513</v>
      </c>
      <c r="M430" s="983">
        <f t="shared" si="46"/>
        <v>0</v>
      </c>
      <c r="N430" s="983">
        <f t="shared" si="47"/>
        <v>0</v>
      </c>
      <c r="O430" s="983">
        <f t="shared" si="48"/>
        <v>0</v>
      </c>
      <c r="P430" s="984">
        <f t="shared" si="49"/>
        <v>0</v>
      </c>
      <c r="Q430" s="938"/>
      <c r="R430" s="938"/>
      <c r="S430" s="939">
        <f t="shared" si="50"/>
        <v>573513</v>
      </c>
    </row>
    <row r="431" spans="1:19" ht="30" customHeight="1" x14ac:dyDescent="0.45">
      <c r="A431" s="933"/>
      <c r="C431" s="985"/>
      <c r="D431" s="985"/>
      <c r="E431" s="985"/>
      <c r="F431" s="985"/>
      <c r="G431" s="982"/>
      <c r="H431" s="983"/>
      <c r="I431" s="985"/>
      <c r="J431" s="982">
        <f t="shared" si="43"/>
        <v>0</v>
      </c>
      <c r="K431" s="983">
        <f t="shared" si="44"/>
        <v>44287</v>
      </c>
      <c r="L431" s="983">
        <f t="shared" si="45"/>
        <v>0</v>
      </c>
      <c r="M431" s="983">
        <f t="shared" si="46"/>
        <v>0</v>
      </c>
      <c r="N431" s="983">
        <f t="shared" si="47"/>
        <v>0</v>
      </c>
      <c r="O431" s="983">
        <f t="shared" si="48"/>
        <v>0</v>
      </c>
      <c r="P431" s="984">
        <f t="shared" si="49"/>
        <v>0</v>
      </c>
      <c r="Q431" s="938"/>
      <c r="R431" s="938"/>
      <c r="S431" s="939">
        <f t="shared" si="50"/>
        <v>0</v>
      </c>
    </row>
    <row r="432" spans="1:19" ht="30" customHeight="1" x14ac:dyDescent="0.45">
      <c r="A432" s="933"/>
      <c r="C432" s="985"/>
      <c r="D432" s="953" t="s">
        <v>693</v>
      </c>
      <c r="E432" s="985"/>
      <c r="F432" s="954" t="s">
        <v>3045</v>
      </c>
      <c r="G432" s="944">
        <v>44094</v>
      </c>
      <c r="H432" s="983"/>
      <c r="I432" s="985"/>
      <c r="J432" s="982">
        <f t="shared" si="43"/>
        <v>44094</v>
      </c>
      <c r="K432" s="983">
        <f t="shared" si="44"/>
        <v>193</v>
      </c>
      <c r="L432" s="983">
        <f t="shared" si="45"/>
        <v>0</v>
      </c>
      <c r="M432" s="983">
        <f t="shared" si="46"/>
        <v>0</v>
      </c>
      <c r="N432" s="983">
        <f t="shared" si="47"/>
        <v>0</v>
      </c>
      <c r="O432" s="983">
        <f t="shared" si="48"/>
        <v>0</v>
      </c>
      <c r="P432" s="984">
        <f t="shared" si="49"/>
        <v>0</v>
      </c>
      <c r="Q432" s="938"/>
      <c r="R432" s="938"/>
      <c r="S432" s="939">
        <f t="shared" si="50"/>
        <v>0</v>
      </c>
    </row>
    <row r="433" spans="1:19" ht="30" customHeight="1" x14ac:dyDescent="0.45">
      <c r="A433" s="933"/>
      <c r="C433" s="985"/>
      <c r="D433" s="985"/>
      <c r="E433" s="985"/>
      <c r="F433" s="985"/>
      <c r="G433" s="982"/>
      <c r="H433" s="983"/>
      <c r="I433" s="985"/>
      <c r="J433" s="982">
        <f t="shared" si="43"/>
        <v>0</v>
      </c>
      <c r="K433" s="983">
        <f t="shared" si="44"/>
        <v>44287</v>
      </c>
      <c r="L433" s="983">
        <f t="shared" si="45"/>
        <v>0</v>
      </c>
      <c r="M433" s="983">
        <f t="shared" si="46"/>
        <v>0</v>
      </c>
      <c r="N433" s="983">
        <f t="shared" si="47"/>
        <v>0</v>
      </c>
      <c r="O433" s="983">
        <f t="shared" si="48"/>
        <v>0</v>
      </c>
      <c r="P433" s="984">
        <f t="shared" si="49"/>
        <v>0</v>
      </c>
      <c r="Q433" s="938"/>
      <c r="R433" s="938"/>
      <c r="S433" s="939">
        <f t="shared" si="50"/>
        <v>0</v>
      </c>
    </row>
    <row r="434" spans="1:19" ht="30" customHeight="1" x14ac:dyDescent="0.45">
      <c r="A434" s="933"/>
      <c r="C434" s="985"/>
      <c r="D434" s="953" t="s">
        <v>280</v>
      </c>
      <c r="E434" s="977" t="s">
        <v>2944</v>
      </c>
      <c r="F434" s="943" t="s">
        <v>3046</v>
      </c>
      <c r="G434" s="945">
        <v>44074</v>
      </c>
      <c r="H434" s="983">
        <v>2</v>
      </c>
      <c r="I434" s="985"/>
      <c r="J434" s="982">
        <f t="shared" si="43"/>
        <v>44074</v>
      </c>
      <c r="K434" s="983">
        <f t="shared" si="44"/>
        <v>213</v>
      </c>
      <c r="L434" s="983">
        <f t="shared" si="45"/>
        <v>0</v>
      </c>
      <c r="M434" s="983">
        <f t="shared" si="46"/>
        <v>0</v>
      </c>
      <c r="N434" s="983">
        <f t="shared" si="47"/>
        <v>2</v>
      </c>
      <c r="O434" s="983">
        <f t="shared" si="48"/>
        <v>0</v>
      </c>
      <c r="P434" s="984">
        <f t="shared" si="49"/>
        <v>0</v>
      </c>
      <c r="Q434" s="938"/>
      <c r="R434" s="938"/>
      <c r="S434" s="939">
        <f t="shared" si="50"/>
        <v>2</v>
      </c>
    </row>
    <row r="435" spans="1:19" ht="30" customHeight="1" x14ac:dyDescent="0.45">
      <c r="A435" s="933"/>
      <c r="C435" s="985"/>
      <c r="D435" s="985"/>
      <c r="E435" s="977" t="s">
        <v>2944</v>
      </c>
      <c r="F435" s="943" t="s">
        <v>3047</v>
      </c>
      <c r="G435" s="945">
        <v>44079</v>
      </c>
      <c r="H435" s="983">
        <v>1</v>
      </c>
      <c r="I435" s="985"/>
      <c r="J435" s="982">
        <f t="shared" si="43"/>
        <v>44079</v>
      </c>
      <c r="K435" s="983">
        <f t="shared" si="44"/>
        <v>208</v>
      </c>
      <c r="L435" s="983">
        <f t="shared" si="45"/>
        <v>0</v>
      </c>
      <c r="M435" s="983">
        <f t="shared" si="46"/>
        <v>0</v>
      </c>
      <c r="N435" s="983">
        <f t="shared" si="47"/>
        <v>1</v>
      </c>
      <c r="O435" s="983">
        <f t="shared" si="48"/>
        <v>0</v>
      </c>
      <c r="P435" s="984">
        <f t="shared" si="49"/>
        <v>0</v>
      </c>
      <c r="Q435" s="938"/>
      <c r="R435" s="938"/>
      <c r="S435" s="939">
        <f t="shared" si="50"/>
        <v>1</v>
      </c>
    </row>
    <row r="436" spans="1:19" ht="30" customHeight="1" x14ac:dyDescent="0.45">
      <c r="A436" s="933"/>
      <c r="C436" s="985"/>
      <c r="D436" s="985"/>
      <c r="E436" s="977" t="s">
        <v>2944</v>
      </c>
      <c r="F436" s="943" t="s">
        <v>3048</v>
      </c>
      <c r="G436" s="945">
        <v>44093</v>
      </c>
      <c r="H436" s="983">
        <v>1</v>
      </c>
      <c r="I436" s="985"/>
      <c r="J436" s="982">
        <f t="shared" si="43"/>
        <v>44093</v>
      </c>
      <c r="K436" s="983">
        <f t="shared" si="44"/>
        <v>194</v>
      </c>
      <c r="L436" s="983">
        <f t="shared" si="45"/>
        <v>0</v>
      </c>
      <c r="M436" s="983">
        <f t="shared" si="46"/>
        <v>0</v>
      </c>
      <c r="N436" s="983">
        <f t="shared" si="47"/>
        <v>1</v>
      </c>
      <c r="O436" s="983">
        <f t="shared" si="48"/>
        <v>0</v>
      </c>
      <c r="P436" s="984">
        <f t="shared" si="49"/>
        <v>0</v>
      </c>
      <c r="Q436" s="938"/>
      <c r="R436" s="938"/>
      <c r="S436" s="939">
        <f t="shared" si="50"/>
        <v>1</v>
      </c>
    </row>
    <row r="437" spans="1:19" ht="30" customHeight="1" x14ac:dyDescent="0.45">
      <c r="A437" s="933"/>
      <c r="C437" s="985"/>
      <c r="D437" s="985"/>
      <c r="E437" s="977" t="s">
        <v>2944</v>
      </c>
      <c r="F437" s="971"/>
      <c r="G437" s="944"/>
      <c r="H437" s="983">
        <v>16</v>
      </c>
      <c r="I437" s="985"/>
      <c r="J437" s="982">
        <f t="shared" si="43"/>
        <v>0</v>
      </c>
      <c r="K437" s="983">
        <f t="shared" si="44"/>
        <v>44287</v>
      </c>
      <c r="L437" s="983">
        <f t="shared" si="45"/>
        <v>0</v>
      </c>
      <c r="M437" s="983">
        <f t="shared" si="46"/>
        <v>0</v>
      </c>
      <c r="N437" s="983">
        <f t="shared" si="47"/>
        <v>0</v>
      </c>
      <c r="O437" s="983">
        <f t="shared" si="48"/>
        <v>0</v>
      </c>
      <c r="P437" s="984">
        <f t="shared" si="49"/>
        <v>16</v>
      </c>
      <c r="Q437" s="938"/>
      <c r="R437" s="938"/>
      <c r="S437" s="939">
        <f t="shared" si="50"/>
        <v>16</v>
      </c>
    </row>
    <row r="438" spans="1:19" ht="30" customHeight="1" x14ac:dyDescent="0.45">
      <c r="A438" s="933"/>
      <c r="C438" s="985"/>
      <c r="D438" s="985"/>
      <c r="E438" s="977" t="s">
        <v>2944</v>
      </c>
      <c r="F438" s="954" t="s">
        <v>3049</v>
      </c>
      <c r="G438" s="945">
        <v>44171</v>
      </c>
      <c r="H438" s="983">
        <v>1</v>
      </c>
      <c r="I438" s="985"/>
      <c r="J438" s="982">
        <f t="shared" si="43"/>
        <v>44171</v>
      </c>
      <c r="K438" s="983">
        <f t="shared" si="44"/>
        <v>116</v>
      </c>
      <c r="L438" s="983">
        <f t="shared" si="45"/>
        <v>0</v>
      </c>
      <c r="M438" s="983">
        <f t="shared" si="46"/>
        <v>1</v>
      </c>
      <c r="N438" s="983">
        <f t="shared" si="47"/>
        <v>0</v>
      </c>
      <c r="O438" s="983">
        <f t="shared" si="48"/>
        <v>0</v>
      </c>
      <c r="P438" s="984">
        <f t="shared" si="49"/>
        <v>0</v>
      </c>
      <c r="Q438" s="938"/>
      <c r="R438" s="938"/>
      <c r="S438" s="939">
        <f t="shared" si="50"/>
        <v>1</v>
      </c>
    </row>
    <row r="439" spans="1:19" ht="30" customHeight="1" x14ac:dyDescent="0.45">
      <c r="A439" s="933"/>
      <c r="C439" s="985"/>
      <c r="D439" s="985"/>
      <c r="E439" s="977" t="s">
        <v>2944</v>
      </c>
      <c r="F439" s="954" t="s">
        <v>3050</v>
      </c>
      <c r="G439" s="945">
        <v>44178</v>
      </c>
      <c r="H439" s="983">
        <v>1</v>
      </c>
      <c r="I439" s="985"/>
      <c r="J439" s="982">
        <f t="shared" si="43"/>
        <v>44178</v>
      </c>
      <c r="K439" s="983">
        <f t="shared" si="44"/>
        <v>109</v>
      </c>
      <c r="L439" s="983">
        <f t="shared" si="45"/>
        <v>0</v>
      </c>
      <c r="M439" s="983">
        <f t="shared" si="46"/>
        <v>1</v>
      </c>
      <c r="N439" s="983">
        <f t="shared" si="47"/>
        <v>0</v>
      </c>
      <c r="O439" s="983">
        <f t="shared" si="48"/>
        <v>0</v>
      </c>
      <c r="P439" s="984">
        <f t="shared" si="49"/>
        <v>0</v>
      </c>
      <c r="Q439" s="938"/>
      <c r="R439" s="938"/>
      <c r="S439" s="939">
        <f t="shared" si="50"/>
        <v>1</v>
      </c>
    </row>
    <row r="440" spans="1:19" ht="30" customHeight="1" x14ac:dyDescent="0.45">
      <c r="A440" s="933"/>
      <c r="C440" s="985"/>
      <c r="D440" s="985"/>
      <c r="E440" s="977" t="s">
        <v>2944</v>
      </c>
      <c r="F440" s="954" t="s">
        <v>3051</v>
      </c>
      <c r="G440" s="945">
        <v>44184</v>
      </c>
      <c r="H440" s="983">
        <v>1</v>
      </c>
      <c r="I440" s="985"/>
      <c r="J440" s="982">
        <f t="shared" si="43"/>
        <v>44184</v>
      </c>
      <c r="K440" s="983">
        <f t="shared" si="44"/>
        <v>103</v>
      </c>
      <c r="L440" s="983">
        <f t="shared" si="45"/>
        <v>0</v>
      </c>
      <c r="M440" s="983">
        <f t="shared" si="46"/>
        <v>1</v>
      </c>
      <c r="N440" s="983">
        <f t="shared" si="47"/>
        <v>0</v>
      </c>
      <c r="O440" s="983">
        <f t="shared" si="48"/>
        <v>0</v>
      </c>
      <c r="P440" s="984">
        <f t="shared" si="49"/>
        <v>0</v>
      </c>
      <c r="Q440" s="938"/>
      <c r="R440" s="938"/>
      <c r="S440" s="939">
        <f t="shared" si="50"/>
        <v>1</v>
      </c>
    </row>
    <row r="441" spans="1:19" ht="30" customHeight="1" x14ac:dyDescent="0.45">
      <c r="A441" s="933"/>
      <c r="C441" s="985"/>
      <c r="D441" s="985"/>
      <c r="E441" s="985"/>
      <c r="F441" s="954" t="s">
        <v>3052</v>
      </c>
      <c r="G441" s="946">
        <v>44264</v>
      </c>
      <c r="H441" s="983">
        <v>376308</v>
      </c>
      <c r="I441" s="985"/>
      <c r="J441" s="982">
        <f t="shared" si="43"/>
        <v>44264</v>
      </c>
      <c r="K441" s="983">
        <f t="shared" si="44"/>
        <v>23</v>
      </c>
      <c r="L441" s="983">
        <f t="shared" si="45"/>
        <v>376308</v>
      </c>
      <c r="M441" s="983">
        <f t="shared" si="46"/>
        <v>0</v>
      </c>
      <c r="N441" s="983">
        <f t="shared" si="47"/>
        <v>0</v>
      </c>
      <c r="O441" s="983">
        <f t="shared" si="48"/>
        <v>0</v>
      </c>
      <c r="P441" s="984">
        <f t="shared" si="49"/>
        <v>0</v>
      </c>
      <c r="Q441" s="938"/>
      <c r="R441" s="938"/>
      <c r="S441" s="939">
        <f t="shared" si="50"/>
        <v>376308</v>
      </c>
    </row>
    <row r="442" spans="1:19" ht="30" customHeight="1" x14ac:dyDescent="0.45">
      <c r="A442" s="933"/>
      <c r="C442" s="985"/>
      <c r="D442" s="985"/>
      <c r="E442" s="985"/>
      <c r="F442" s="954" t="s">
        <v>3053</v>
      </c>
      <c r="G442" s="946">
        <v>44275</v>
      </c>
      <c r="H442" s="983">
        <v>803116</v>
      </c>
      <c r="I442" s="985"/>
      <c r="J442" s="982">
        <f t="shared" si="43"/>
        <v>44275</v>
      </c>
      <c r="K442" s="983">
        <f t="shared" si="44"/>
        <v>12</v>
      </c>
      <c r="L442" s="983">
        <f t="shared" si="45"/>
        <v>803116</v>
      </c>
      <c r="M442" s="983">
        <f t="shared" si="46"/>
        <v>0</v>
      </c>
      <c r="N442" s="983">
        <f t="shared" si="47"/>
        <v>0</v>
      </c>
      <c r="O442" s="983">
        <f t="shared" si="48"/>
        <v>0</v>
      </c>
      <c r="P442" s="984">
        <f t="shared" si="49"/>
        <v>0</v>
      </c>
      <c r="Q442" s="938"/>
      <c r="R442" s="938"/>
      <c r="S442" s="939">
        <f t="shared" si="50"/>
        <v>803116</v>
      </c>
    </row>
    <row r="443" spans="1:19" ht="30" customHeight="1" x14ac:dyDescent="0.45">
      <c r="A443" s="933"/>
      <c r="C443" s="985"/>
      <c r="D443" s="985"/>
      <c r="E443" s="985"/>
      <c r="F443" s="954" t="s">
        <v>3054</v>
      </c>
      <c r="G443" s="946">
        <v>44275</v>
      </c>
      <c r="H443" s="983">
        <v>924281</v>
      </c>
      <c r="I443" s="985"/>
      <c r="J443" s="982">
        <f t="shared" si="43"/>
        <v>44275</v>
      </c>
      <c r="K443" s="983">
        <f t="shared" si="44"/>
        <v>12</v>
      </c>
      <c r="L443" s="983">
        <f t="shared" si="45"/>
        <v>924281</v>
      </c>
      <c r="M443" s="983">
        <f t="shared" si="46"/>
        <v>0</v>
      </c>
      <c r="N443" s="983">
        <f t="shared" si="47"/>
        <v>0</v>
      </c>
      <c r="O443" s="983">
        <f t="shared" si="48"/>
        <v>0</v>
      </c>
      <c r="P443" s="984">
        <f t="shared" si="49"/>
        <v>0</v>
      </c>
      <c r="Q443" s="938"/>
      <c r="R443" s="938"/>
      <c r="S443" s="939">
        <f t="shared" si="50"/>
        <v>924281</v>
      </c>
    </row>
    <row r="444" spans="1:19" ht="30" customHeight="1" x14ac:dyDescent="0.45">
      <c r="A444" s="933"/>
      <c r="C444" s="985"/>
      <c r="D444" s="985"/>
      <c r="E444" s="985"/>
      <c r="F444" s="954" t="s">
        <v>3055</v>
      </c>
      <c r="G444" s="946">
        <v>44277</v>
      </c>
      <c r="H444" s="983">
        <v>934760</v>
      </c>
      <c r="I444" s="985"/>
      <c r="J444" s="982">
        <f t="shared" si="43"/>
        <v>44277</v>
      </c>
      <c r="K444" s="983">
        <f t="shared" si="44"/>
        <v>10</v>
      </c>
      <c r="L444" s="983">
        <f t="shared" si="45"/>
        <v>934760</v>
      </c>
      <c r="M444" s="983">
        <f t="shared" si="46"/>
        <v>0</v>
      </c>
      <c r="N444" s="983">
        <f t="shared" si="47"/>
        <v>0</v>
      </c>
      <c r="O444" s="983">
        <f t="shared" si="48"/>
        <v>0</v>
      </c>
      <c r="P444" s="984">
        <f t="shared" si="49"/>
        <v>0</v>
      </c>
      <c r="Q444" s="938"/>
      <c r="R444" s="938"/>
      <c r="S444" s="939">
        <f t="shared" si="50"/>
        <v>934760</v>
      </c>
    </row>
    <row r="445" spans="1:19" ht="30" customHeight="1" x14ac:dyDescent="0.45">
      <c r="A445" s="933"/>
      <c r="C445" s="985"/>
      <c r="D445" s="985"/>
      <c r="E445" s="985"/>
      <c r="F445" s="954" t="s">
        <v>3056</v>
      </c>
      <c r="G445" s="946">
        <v>44281</v>
      </c>
      <c r="H445" s="983">
        <v>859476</v>
      </c>
      <c r="I445" s="985"/>
      <c r="J445" s="982">
        <f t="shared" si="43"/>
        <v>44281</v>
      </c>
      <c r="K445" s="983">
        <f t="shared" si="44"/>
        <v>6</v>
      </c>
      <c r="L445" s="983">
        <f t="shared" si="45"/>
        <v>859476</v>
      </c>
      <c r="M445" s="983">
        <f t="shared" si="46"/>
        <v>0</v>
      </c>
      <c r="N445" s="983">
        <f t="shared" si="47"/>
        <v>0</v>
      </c>
      <c r="O445" s="983">
        <f t="shared" si="48"/>
        <v>0</v>
      </c>
      <c r="P445" s="984">
        <f t="shared" si="49"/>
        <v>0</v>
      </c>
      <c r="Q445" s="938"/>
      <c r="R445" s="938"/>
      <c r="S445" s="939">
        <f t="shared" si="50"/>
        <v>859476</v>
      </c>
    </row>
    <row r="446" spans="1:19" ht="30" customHeight="1" x14ac:dyDescent="0.45">
      <c r="A446" s="933"/>
      <c r="C446" s="985"/>
      <c r="D446" s="985"/>
      <c r="E446" s="985"/>
      <c r="F446" s="985"/>
      <c r="G446" s="982"/>
      <c r="H446" s="983"/>
      <c r="I446" s="985"/>
      <c r="J446" s="982">
        <f t="shared" si="43"/>
        <v>0</v>
      </c>
      <c r="K446" s="983">
        <f t="shared" si="44"/>
        <v>44287</v>
      </c>
      <c r="L446" s="983">
        <f t="shared" si="45"/>
        <v>0</v>
      </c>
      <c r="M446" s="983">
        <f t="shared" si="46"/>
        <v>0</v>
      </c>
      <c r="N446" s="983">
        <f t="shared" si="47"/>
        <v>0</v>
      </c>
      <c r="O446" s="983">
        <f t="shared" si="48"/>
        <v>0</v>
      </c>
      <c r="P446" s="984">
        <f t="shared" si="49"/>
        <v>0</v>
      </c>
      <c r="Q446" s="938"/>
      <c r="R446" s="938"/>
      <c r="S446" s="939">
        <f t="shared" si="50"/>
        <v>0</v>
      </c>
    </row>
    <row r="447" spans="1:19" ht="30" customHeight="1" x14ac:dyDescent="0.45">
      <c r="A447" s="933"/>
      <c r="C447" s="985"/>
      <c r="D447" s="953" t="s">
        <v>373</v>
      </c>
      <c r="E447" s="985"/>
      <c r="F447" s="954" t="s">
        <v>3057</v>
      </c>
      <c r="G447" s="955">
        <v>44040</v>
      </c>
      <c r="H447" s="983">
        <v>829</v>
      </c>
      <c r="I447" s="985"/>
      <c r="J447" s="982">
        <f t="shared" si="43"/>
        <v>44040</v>
      </c>
      <c r="K447" s="983">
        <f t="shared" si="44"/>
        <v>247</v>
      </c>
      <c r="L447" s="983">
        <f t="shared" si="45"/>
        <v>0</v>
      </c>
      <c r="M447" s="983">
        <f t="shared" si="46"/>
        <v>0</v>
      </c>
      <c r="N447" s="983">
        <f t="shared" si="47"/>
        <v>829</v>
      </c>
      <c r="O447" s="983">
        <f t="shared" si="48"/>
        <v>0</v>
      </c>
      <c r="P447" s="984">
        <f t="shared" si="49"/>
        <v>0</v>
      </c>
      <c r="Q447" s="938"/>
      <c r="R447" s="938"/>
      <c r="S447" s="939">
        <f t="shared" si="50"/>
        <v>829</v>
      </c>
    </row>
    <row r="448" spans="1:19" ht="30" customHeight="1" x14ac:dyDescent="0.45">
      <c r="A448" s="933"/>
      <c r="C448" s="985"/>
      <c r="D448" s="976"/>
      <c r="E448" s="985"/>
      <c r="F448" s="954" t="s">
        <v>3058</v>
      </c>
      <c r="G448" s="946">
        <v>44237</v>
      </c>
      <c r="H448" s="983">
        <v>-1</v>
      </c>
      <c r="I448" s="985"/>
      <c r="J448" s="982">
        <f t="shared" si="43"/>
        <v>44237</v>
      </c>
      <c r="K448" s="983">
        <f t="shared" si="44"/>
        <v>50</v>
      </c>
      <c r="L448" s="983">
        <f t="shared" si="45"/>
        <v>-1</v>
      </c>
      <c r="M448" s="983">
        <f t="shared" si="46"/>
        <v>0</v>
      </c>
      <c r="N448" s="983">
        <f t="shared" si="47"/>
        <v>0</v>
      </c>
      <c r="O448" s="983">
        <f t="shared" si="48"/>
        <v>0</v>
      </c>
      <c r="P448" s="984">
        <f t="shared" si="49"/>
        <v>0</v>
      </c>
      <c r="Q448" s="938"/>
      <c r="R448" s="938"/>
      <c r="S448" s="939">
        <f t="shared" si="50"/>
        <v>-1</v>
      </c>
    </row>
    <row r="449" spans="1:19" ht="30" customHeight="1" x14ac:dyDescent="0.45">
      <c r="A449" s="933"/>
      <c r="C449" s="985"/>
      <c r="D449" s="976"/>
      <c r="E449" s="985"/>
      <c r="F449" s="954" t="s">
        <v>3059</v>
      </c>
      <c r="G449" s="946">
        <v>44253</v>
      </c>
      <c r="H449" s="983">
        <v>723610</v>
      </c>
      <c r="I449" s="985"/>
      <c r="J449" s="982">
        <f t="shared" si="43"/>
        <v>44253</v>
      </c>
      <c r="K449" s="983">
        <f t="shared" si="44"/>
        <v>34</v>
      </c>
      <c r="L449" s="983">
        <f t="shared" si="45"/>
        <v>723610</v>
      </c>
      <c r="M449" s="983">
        <f t="shared" si="46"/>
        <v>0</v>
      </c>
      <c r="N449" s="983">
        <f t="shared" si="47"/>
        <v>0</v>
      </c>
      <c r="O449" s="983">
        <f t="shared" si="48"/>
        <v>0</v>
      </c>
      <c r="P449" s="984">
        <f t="shared" si="49"/>
        <v>0</v>
      </c>
      <c r="Q449" s="938"/>
      <c r="R449" s="938"/>
      <c r="S449" s="939">
        <f t="shared" si="50"/>
        <v>723610</v>
      </c>
    </row>
    <row r="450" spans="1:19" ht="30" customHeight="1" x14ac:dyDescent="0.45">
      <c r="A450" s="933"/>
      <c r="C450" s="985"/>
      <c r="D450" s="976"/>
      <c r="E450" s="985"/>
      <c r="F450" s="954" t="s">
        <v>3060</v>
      </c>
      <c r="G450" s="946">
        <v>44257</v>
      </c>
      <c r="H450" s="983">
        <v>685612</v>
      </c>
      <c r="I450" s="985"/>
      <c r="J450" s="982">
        <f t="shared" si="43"/>
        <v>44257</v>
      </c>
      <c r="K450" s="983">
        <f t="shared" si="44"/>
        <v>30</v>
      </c>
      <c r="L450" s="983">
        <f t="shared" si="45"/>
        <v>685612</v>
      </c>
      <c r="M450" s="983">
        <f t="shared" si="46"/>
        <v>0</v>
      </c>
      <c r="N450" s="983">
        <f t="shared" si="47"/>
        <v>0</v>
      </c>
      <c r="O450" s="983">
        <f t="shared" si="48"/>
        <v>0</v>
      </c>
      <c r="P450" s="984">
        <f t="shared" si="49"/>
        <v>0</v>
      </c>
      <c r="Q450" s="938"/>
      <c r="R450" s="938"/>
      <c r="S450" s="939">
        <f t="shared" si="50"/>
        <v>685612</v>
      </c>
    </row>
    <row r="451" spans="1:19" ht="30" customHeight="1" x14ac:dyDescent="0.45">
      <c r="A451" s="933"/>
      <c r="C451" s="985"/>
      <c r="D451" s="976"/>
      <c r="E451" s="985"/>
      <c r="F451" s="954" t="s">
        <v>3061</v>
      </c>
      <c r="G451" s="946">
        <v>44275</v>
      </c>
      <c r="H451" s="983">
        <v>942873</v>
      </c>
      <c r="I451" s="985"/>
      <c r="J451" s="982">
        <f t="shared" si="43"/>
        <v>44275</v>
      </c>
      <c r="K451" s="983">
        <f t="shared" si="44"/>
        <v>12</v>
      </c>
      <c r="L451" s="983">
        <f t="shared" si="45"/>
        <v>942873</v>
      </c>
      <c r="M451" s="983">
        <f t="shared" si="46"/>
        <v>0</v>
      </c>
      <c r="N451" s="983">
        <f t="shared" si="47"/>
        <v>0</v>
      </c>
      <c r="O451" s="983">
        <f t="shared" si="48"/>
        <v>0</v>
      </c>
      <c r="P451" s="984">
        <f t="shared" si="49"/>
        <v>0</v>
      </c>
      <c r="Q451" s="938"/>
      <c r="R451" s="938"/>
      <c r="S451" s="939">
        <f t="shared" si="50"/>
        <v>942873</v>
      </c>
    </row>
    <row r="452" spans="1:19" ht="30" customHeight="1" x14ac:dyDescent="0.45">
      <c r="A452" s="933"/>
      <c r="C452" s="985"/>
      <c r="D452" s="976"/>
      <c r="E452" s="985"/>
      <c r="F452" s="954" t="s">
        <v>3062</v>
      </c>
      <c r="G452" s="946">
        <v>44278</v>
      </c>
      <c r="H452" s="983">
        <v>503471</v>
      </c>
      <c r="I452" s="985"/>
      <c r="J452" s="982">
        <f t="shared" si="43"/>
        <v>44278</v>
      </c>
      <c r="K452" s="983">
        <f t="shared" si="44"/>
        <v>9</v>
      </c>
      <c r="L452" s="983">
        <f t="shared" si="45"/>
        <v>503471</v>
      </c>
      <c r="M452" s="983">
        <f t="shared" si="46"/>
        <v>0</v>
      </c>
      <c r="N452" s="983">
        <f t="shared" si="47"/>
        <v>0</v>
      </c>
      <c r="O452" s="983">
        <f t="shared" si="48"/>
        <v>0</v>
      </c>
      <c r="P452" s="984">
        <f t="shared" si="49"/>
        <v>0</v>
      </c>
      <c r="Q452" s="938"/>
      <c r="R452" s="938"/>
      <c r="S452" s="939">
        <f t="shared" si="50"/>
        <v>503471</v>
      </c>
    </row>
    <row r="453" spans="1:19" ht="30" customHeight="1" x14ac:dyDescent="0.45">
      <c r="A453" s="933"/>
      <c r="C453" s="985"/>
      <c r="D453" s="976"/>
      <c r="E453" s="985"/>
      <c r="F453" s="954"/>
      <c r="G453" s="945"/>
      <c r="H453" s="983"/>
      <c r="I453" s="985"/>
      <c r="J453" s="982">
        <f t="shared" si="43"/>
        <v>0</v>
      </c>
      <c r="K453" s="983">
        <f t="shared" si="44"/>
        <v>44287</v>
      </c>
      <c r="L453" s="983">
        <f t="shared" si="45"/>
        <v>0</v>
      </c>
      <c r="M453" s="983">
        <f t="shared" si="46"/>
        <v>0</v>
      </c>
      <c r="N453" s="983">
        <f t="shared" si="47"/>
        <v>0</v>
      </c>
      <c r="O453" s="983">
        <f t="shared" si="48"/>
        <v>0</v>
      </c>
      <c r="P453" s="984">
        <f t="shared" si="49"/>
        <v>0</v>
      </c>
      <c r="Q453" s="938"/>
      <c r="R453" s="938"/>
      <c r="S453" s="939">
        <f t="shared" si="50"/>
        <v>0</v>
      </c>
    </row>
    <row r="454" spans="1:19" ht="30" customHeight="1" x14ac:dyDescent="0.45">
      <c r="A454" s="933"/>
      <c r="C454" s="985"/>
      <c r="D454" s="976"/>
      <c r="E454" s="985"/>
      <c r="F454" s="971"/>
      <c r="G454" s="972"/>
      <c r="H454" s="983"/>
      <c r="I454" s="985"/>
      <c r="J454" s="982">
        <f t="shared" si="43"/>
        <v>0</v>
      </c>
      <c r="K454" s="983">
        <f t="shared" si="44"/>
        <v>44287</v>
      </c>
      <c r="L454" s="983">
        <f t="shared" si="45"/>
        <v>0</v>
      </c>
      <c r="M454" s="983">
        <f t="shared" si="46"/>
        <v>0</v>
      </c>
      <c r="N454" s="983">
        <f t="shared" si="47"/>
        <v>0</v>
      </c>
      <c r="O454" s="983">
        <f t="shared" si="48"/>
        <v>0</v>
      </c>
      <c r="P454" s="984">
        <f t="shared" si="49"/>
        <v>0</v>
      </c>
      <c r="Q454" s="938"/>
      <c r="R454" s="938"/>
      <c r="S454" s="939">
        <f t="shared" si="50"/>
        <v>0</v>
      </c>
    </row>
    <row r="455" spans="1:19" ht="30" customHeight="1" x14ac:dyDescent="0.45">
      <c r="A455" s="933"/>
      <c r="C455" s="985"/>
      <c r="D455" s="976"/>
      <c r="E455" s="985"/>
      <c r="F455" s="971"/>
      <c r="G455" s="972"/>
      <c r="H455" s="983"/>
      <c r="I455" s="985"/>
      <c r="J455" s="982">
        <f t="shared" si="43"/>
        <v>0</v>
      </c>
      <c r="K455" s="983">
        <f t="shared" si="44"/>
        <v>44287</v>
      </c>
      <c r="L455" s="983">
        <f t="shared" si="45"/>
        <v>0</v>
      </c>
      <c r="M455" s="983">
        <f t="shared" si="46"/>
        <v>0</v>
      </c>
      <c r="N455" s="983">
        <f t="shared" si="47"/>
        <v>0</v>
      </c>
      <c r="O455" s="983">
        <f t="shared" si="48"/>
        <v>0</v>
      </c>
      <c r="P455" s="984">
        <f t="shared" si="49"/>
        <v>0</v>
      </c>
      <c r="Q455" s="938"/>
      <c r="R455" s="938"/>
      <c r="S455" s="939">
        <f t="shared" si="50"/>
        <v>0</v>
      </c>
    </row>
    <row r="456" spans="1:19" ht="30" customHeight="1" x14ac:dyDescent="0.45">
      <c r="A456" s="933"/>
      <c r="C456" s="985"/>
      <c r="D456" s="953" t="s">
        <v>374</v>
      </c>
      <c r="E456" s="985"/>
      <c r="F456" s="954" t="s">
        <v>3063</v>
      </c>
      <c r="G456" s="955">
        <v>44196</v>
      </c>
      <c r="H456" s="983">
        <v>-3</v>
      </c>
      <c r="I456" s="985"/>
      <c r="J456" s="982">
        <f t="shared" si="43"/>
        <v>44196</v>
      </c>
      <c r="K456" s="983">
        <f t="shared" si="44"/>
        <v>91</v>
      </c>
      <c r="L456" s="983">
        <f t="shared" si="45"/>
        <v>0</v>
      </c>
      <c r="M456" s="983">
        <f t="shared" si="46"/>
        <v>-3</v>
      </c>
      <c r="N456" s="983">
        <f t="shared" si="47"/>
        <v>0</v>
      </c>
      <c r="O456" s="983">
        <f t="shared" si="48"/>
        <v>0</v>
      </c>
      <c r="P456" s="984">
        <f t="shared" si="49"/>
        <v>0</v>
      </c>
      <c r="Q456" s="938"/>
      <c r="R456" s="938"/>
      <c r="S456" s="939">
        <f t="shared" si="50"/>
        <v>-3</v>
      </c>
    </row>
    <row r="457" spans="1:19" ht="30" customHeight="1" x14ac:dyDescent="0.45">
      <c r="A457" s="933"/>
      <c r="C457" s="985"/>
      <c r="D457" s="953"/>
      <c r="E457" s="985"/>
      <c r="F457" s="954" t="s">
        <v>3064</v>
      </c>
      <c r="G457" s="955">
        <v>44274</v>
      </c>
      <c r="H457" s="983">
        <v>218825</v>
      </c>
      <c r="I457" s="985"/>
      <c r="J457" s="982">
        <f t="shared" si="43"/>
        <v>44274</v>
      </c>
      <c r="K457" s="983">
        <f t="shared" si="44"/>
        <v>13</v>
      </c>
      <c r="L457" s="983">
        <f t="shared" si="45"/>
        <v>218825</v>
      </c>
      <c r="M457" s="983">
        <f t="shared" si="46"/>
        <v>0</v>
      </c>
      <c r="N457" s="983">
        <f t="shared" si="47"/>
        <v>0</v>
      </c>
      <c r="O457" s="983">
        <f t="shared" si="48"/>
        <v>0</v>
      </c>
      <c r="P457" s="984">
        <f t="shared" si="49"/>
        <v>0</v>
      </c>
      <c r="Q457" s="938"/>
      <c r="R457" s="938"/>
      <c r="S457" s="939">
        <f t="shared" si="50"/>
        <v>218825</v>
      </c>
    </row>
    <row r="458" spans="1:19" ht="30" customHeight="1" x14ac:dyDescent="0.45">
      <c r="A458" s="933"/>
      <c r="C458" s="985"/>
      <c r="D458" s="953" t="s">
        <v>3065</v>
      </c>
      <c r="E458" s="985"/>
      <c r="F458" s="954"/>
      <c r="G458" s="955">
        <v>44285</v>
      </c>
      <c r="H458" s="983">
        <v>-50000</v>
      </c>
      <c r="I458" s="985"/>
      <c r="J458" s="982">
        <f t="shared" si="43"/>
        <v>44285</v>
      </c>
      <c r="K458" s="983">
        <f t="shared" si="44"/>
        <v>2</v>
      </c>
      <c r="L458" s="983">
        <f t="shared" si="45"/>
        <v>-50000</v>
      </c>
      <c r="M458" s="983">
        <f t="shared" si="46"/>
        <v>0</v>
      </c>
      <c r="N458" s="983">
        <f t="shared" si="47"/>
        <v>0</v>
      </c>
      <c r="O458" s="983">
        <f t="shared" si="48"/>
        <v>0</v>
      </c>
      <c r="P458" s="984">
        <f t="shared" si="49"/>
        <v>0</v>
      </c>
      <c r="Q458" s="938"/>
      <c r="R458" s="938"/>
      <c r="S458" s="939">
        <f t="shared" si="50"/>
        <v>-50000</v>
      </c>
    </row>
    <row r="459" spans="1:19" ht="30" customHeight="1" x14ac:dyDescent="0.45">
      <c r="A459" s="933"/>
      <c r="C459" s="985"/>
      <c r="D459" s="976"/>
      <c r="E459" s="985"/>
      <c r="F459" s="954"/>
      <c r="G459" s="972"/>
      <c r="H459" s="983"/>
      <c r="I459" s="985"/>
      <c r="J459" s="982">
        <f t="shared" si="43"/>
        <v>0</v>
      </c>
      <c r="K459" s="983">
        <f t="shared" si="44"/>
        <v>44287</v>
      </c>
      <c r="L459" s="983">
        <f t="shared" si="45"/>
        <v>0</v>
      </c>
      <c r="M459" s="983">
        <f t="shared" si="46"/>
        <v>0</v>
      </c>
      <c r="N459" s="983">
        <f t="shared" si="47"/>
        <v>0</v>
      </c>
      <c r="O459" s="983">
        <f t="shared" si="48"/>
        <v>0</v>
      </c>
      <c r="P459" s="984">
        <f t="shared" si="49"/>
        <v>0</v>
      </c>
      <c r="Q459" s="938"/>
      <c r="R459" s="938"/>
      <c r="S459" s="939">
        <f t="shared" si="50"/>
        <v>0</v>
      </c>
    </row>
    <row r="460" spans="1:19" ht="30" customHeight="1" x14ac:dyDescent="0.45">
      <c r="A460" s="933"/>
      <c r="C460" s="985"/>
      <c r="D460" s="976"/>
      <c r="E460" s="985"/>
      <c r="F460" s="971"/>
      <c r="G460" s="972"/>
      <c r="H460" s="983"/>
      <c r="I460" s="985"/>
      <c r="J460" s="982">
        <f t="shared" si="43"/>
        <v>0</v>
      </c>
      <c r="K460" s="983">
        <f t="shared" si="44"/>
        <v>44287</v>
      </c>
      <c r="L460" s="983">
        <f t="shared" si="45"/>
        <v>0</v>
      </c>
      <c r="M460" s="983">
        <f t="shared" si="46"/>
        <v>0</v>
      </c>
      <c r="N460" s="983">
        <f t="shared" si="47"/>
        <v>0</v>
      </c>
      <c r="O460" s="983">
        <f t="shared" si="48"/>
        <v>0</v>
      </c>
      <c r="P460" s="984">
        <f t="shared" si="49"/>
        <v>0</v>
      </c>
      <c r="Q460" s="938"/>
      <c r="R460" s="938"/>
      <c r="S460" s="939">
        <f t="shared" si="50"/>
        <v>0</v>
      </c>
    </row>
    <row r="461" spans="1:19" ht="30" customHeight="1" x14ac:dyDescent="0.45">
      <c r="A461" s="933"/>
      <c r="C461" s="985"/>
      <c r="D461" s="953" t="s">
        <v>527</v>
      </c>
      <c r="E461" s="985"/>
      <c r="F461" s="954" t="s">
        <v>3066</v>
      </c>
      <c r="G461" s="972">
        <v>44163</v>
      </c>
      <c r="H461" s="983"/>
      <c r="I461" s="985"/>
      <c r="J461" s="982">
        <f t="shared" si="43"/>
        <v>44163</v>
      </c>
      <c r="K461" s="983">
        <f t="shared" si="44"/>
        <v>124</v>
      </c>
      <c r="L461" s="983">
        <f t="shared" si="45"/>
        <v>0</v>
      </c>
      <c r="M461" s="983">
        <f t="shared" si="46"/>
        <v>0</v>
      </c>
      <c r="N461" s="983">
        <f t="shared" si="47"/>
        <v>0</v>
      </c>
      <c r="O461" s="983">
        <f t="shared" si="48"/>
        <v>0</v>
      </c>
      <c r="P461" s="984">
        <f t="shared" si="49"/>
        <v>0</v>
      </c>
      <c r="Q461" s="938"/>
      <c r="R461" s="938"/>
      <c r="S461" s="939">
        <f t="shared" si="50"/>
        <v>0</v>
      </c>
    </row>
    <row r="462" spans="1:19" ht="30" customHeight="1" x14ac:dyDescent="0.45">
      <c r="A462" s="933"/>
      <c r="C462" s="985"/>
      <c r="D462" s="974"/>
      <c r="E462" s="985"/>
      <c r="F462" s="941"/>
      <c r="G462" s="944"/>
      <c r="H462" s="983"/>
      <c r="I462" s="985"/>
      <c r="J462" s="982">
        <f t="shared" si="43"/>
        <v>0</v>
      </c>
      <c r="K462" s="983">
        <f t="shared" si="44"/>
        <v>44287</v>
      </c>
      <c r="L462" s="983">
        <f t="shared" si="45"/>
        <v>0</v>
      </c>
      <c r="M462" s="983">
        <f t="shared" si="46"/>
        <v>0</v>
      </c>
      <c r="N462" s="983">
        <f t="shared" si="47"/>
        <v>0</v>
      </c>
      <c r="O462" s="983">
        <f t="shared" si="48"/>
        <v>0</v>
      </c>
      <c r="P462" s="984">
        <f t="shared" si="49"/>
        <v>0</v>
      </c>
      <c r="Q462" s="938"/>
      <c r="R462" s="938"/>
      <c r="S462" s="939">
        <f t="shared" si="50"/>
        <v>0</v>
      </c>
    </row>
    <row r="463" spans="1:19" ht="30" customHeight="1" x14ac:dyDescent="0.45">
      <c r="A463" s="933"/>
      <c r="C463" s="985"/>
      <c r="D463" s="976"/>
      <c r="E463" s="985"/>
      <c r="F463" s="971"/>
      <c r="G463" s="972"/>
      <c r="H463" s="983"/>
      <c r="I463" s="985"/>
      <c r="J463" s="982">
        <f t="shared" si="43"/>
        <v>0</v>
      </c>
      <c r="K463" s="983">
        <f t="shared" si="44"/>
        <v>44287</v>
      </c>
      <c r="L463" s="983">
        <f t="shared" si="45"/>
        <v>0</v>
      </c>
      <c r="M463" s="983">
        <f t="shared" si="46"/>
        <v>0</v>
      </c>
      <c r="N463" s="983">
        <f t="shared" si="47"/>
        <v>0</v>
      </c>
      <c r="O463" s="983">
        <f t="shared" si="48"/>
        <v>0</v>
      </c>
      <c r="P463" s="984">
        <f t="shared" si="49"/>
        <v>0</v>
      </c>
      <c r="Q463" s="938"/>
      <c r="R463" s="938"/>
      <c r="S463" s="939">
        <f t="shared" si="50"/>
        <v>0</v>
      </c>
    </row>
    <row r="464" spans="1:19" ht="30" customHeight="1" x14ac:dyDescent="0.45">
      <c r="A464" s="933"/>
      <c r="C464" s="985"/>
      <c r="D464" s="953" t="s">
        <v>429</v>
      </c>
      <c r="E464" s="985"/>
      <c r="F464" s="954" t="s">
        <v>3067</v>
      </c>
      <c r="G464" s="972">
        <v>44283</v>
      </c>
      <c r="H464" s="983">
        <v>179827</v>
      </c>
      <c r="I464" s="985"/>
      <c r="J464" s="982">
        <f t="shared" si="43"/>
        <v>44283</v>
      </c>
      <c r="K464" s="983">
        <f t="shared" si="44"/>
        <v>4</v>
      </c>
      <c r="L464" s="983">
        <f t="shared" si="45"/>
        <v>179827</v>
      </c>
      <c r="M464" s="983">
        <f t="shared" si="46"/>
        <v>0</v>
      </c>
      <c r="N464" s="983">
        <f t="shared" si="47"/>
        <v>0</v>
      </c>
      <c r="O464" s="983">
        <f t="shared" si="48"/>
        <v>0</v>
      </c>
      <c r="P464" s="984">
        <f t="shared" si="49"/>
        <v>0</v>
      </c>
      <c r="Q464" s="938"/>
      <c r="R464" s="938"/>
      <c r="S464" s="939">
        <f t="shared" si="50"/>
        <v>179827</v>
      </c>
    </row>
    <row r="465" spans="1:19" ht="30" customHeight="1" x14ac:dyDescent="0.45">
      <c r="A465" s="933"/>
      <c r="C465" s="985"/>
      <c r="D465" s="953"/>
      <c r="E465" s="985"/>
      <c r="F465" s="954"/>
      <c r="G465" s="972"/>
      <c r="H465" s="983"/>
      <c r="I465" s="985"/>
      <c r="J465" s="982">
        <f t="shared" si="43"/>
        <v>0</v>
      </c>
      <c r="K465" s="983">
        <f t="shared" si="44"/>
        <v>44287</v>
      </c>
      <c r="L465" s="983">
        <f t="shared" si="45"/>
        <v>0</v>
      </c>
      <c r="M465" s="983">
        <f t="shared" si="46"/>
        <v>0</v>
      </c>
      <c r="N465" s="983">
        <f t="shared" si="47"/>
        <v>0</v>
      </c>
      <c r="O465" s="983">
        <f t="shared" si="48"/>
        <v>0</v>
      </c>
      <c r="P465" s="984">
        <f t="shared" si="49"/>
        <v>0</v>
      </c>
      <c r="Q465" s="938"/>
      <c r="R465" s="938"/>
      <c r="S465" s="939">
        <f t="shared" si="50"/>
        <v>0</v>
      </c>
    </row>
    <row r="466" spans="1:19" ht="30" customHeight="1" x14ac:dyDescent="0.45">
      <c r="A466" s="933"/>
      <c r="C466" s="985"/>
      <c r="D466" s="976"/>
      <c r="E466" s="985"/>
      <c r="F466" s="971"/>
      <c r="G466" s="972"/>
      <c r="H466" s="983"/>
      <c r="I466" s="985"/>
      <c r="J466" s="982">
        <f t="shared" si="43"/>
        <v>0</v>
      </c>
      <c r="K466" s="983">
        <f t="shared" si="44"/>
        <v>44287</v>
      </c>
      <c r="L466" s="983">
        <f t="shared" si="45"/>
        <v>0</v>
      </c>
      <c r="M466" s="983">
        <f t="shared" si="46"/>
        <v>0</v>
      </c>
      <c r="N466" s="983">
        <f t="shared" si="47"/>
        <v>0</v>
      </c>
      <c r="O466" s="983">
        <f t="shared" si="48"/>
        <v>0</v>
      </c>
      <c r="P466" s="984">
        <f t="shared" si="49"/>
        <v>0</v>
      </c>
      <c r="Q466" s="938"/>
      <c r="R466" s="938"/>
      <c r="S466" s="939">
        <f t="shared" si="50"/>
        <v>0</v>
      </c>
    </row>
    <row r="467" spans="1:19" ht="30" customHeight="1" x14ac:dyDescent="0.45">
      <c r="A467" s="933"/>
      <c r="C467" s="985"/>
      <c r="D467" s="953" t="s">
        <v>205</v>
      </c>
      <c r="E467" s="985"/>
      <c r="F467" s="943" t="s">
        <v>3068</v>
      </c>
      <c r="G467" s="956">
        <v>44203</v>
      </c>
      <c r="H467" s="983">
        <v>157118</v>
      </c>
      <c r="I467" s="985"/>
      <c r="J467" s="982">
        <f t="shared" si="43"/>
        <v>44203</v>
      </c>
      <c r="K467" s="983">
        <f t="shared" si="44"/>
        <v>84</v>
      </c>
      <c r="L467" s="983">
        <f t="shared" si="45"/>
        <v>157118</v>
      </c>
      <c r="M467" s="983">
        <f t="shared" si="46"/>
        <v>0</v>
      </c>
      <c r="N467" s="983">
        <f t="shared" si="47"/>
        <v>0</v>
      </c>
      <c r="O467" s="983">
        <f t="shared" si="48"/>
        <v>0</v>
      </c>
      <c r="P467" s="984">
        <f t="shared" si="49"/>
        <v>0</v>
      </c>
      <c r="Q467" s="938"/>
      <c r="R467" s="938"/>
      <c r="S467" s="939">
        <f t="shared" si="50"/>
        <v>157118</v>
      </c>
    </row>
    <row r="468" spans="1:19" ht="30" customHeight="1" x14ac:dyDescent="0.45">
      <c r="A468" s="933"/>
      <c r="C468" s="985"/>
      <c r="D468" s="976"/>
      <c r="E468" s="985"/>
      <c r="F468" s="943" t="s">
        <v>3069</v>
      </c>
      <c r="G468" s="956">
        <v>44210</v>
      </c>
      <c r="H468" s="983">
        <v>166282</v>
      </c>
      <c r="I468" s="985"/>
      <c r="J468" s="982">
        <f t="shared" si="43"/>
        <v>44210</v>
      </c>
      <c r="K468" s="983">
        <f t="shared" si="44"/>
        <v>77</v>
      </c>
      <c r="L468" s="983">
        <f t="shared" si="45"/>
        <v>166282</v>
      </c>
      <c r="M468" s="983">
        <f t="shared" si="46"/>
        <v>0</v>
      </c>
      <c r="N468" s="983">
        <f t="shared" si="47"/>
        <v>0</v>
      </c>
      <c r="O468" s="983">
        <f t="shared" si="48"/>
        <v>0</v>
      </c>
      <c r="P468" s="984">
        <f t="shared" si="49"/>
        <v>0</v>
      </c>
      <c r="Q468" s="938"/>
      <c r="R468" s="938"/>
      <c r="S468" s="939">
        <f t="shared" si="50"/>
        <v>166282</v>
      </c>
    </row>
    <row r="469" spans="1:19" ht="30" customHeight="1" x14ac:dyDescent="0.45">
      <c r="A469" s="933"/>
      <c r="C469" s="985"/>
      <c r="D469" s="976"/>
      <c r="E469" s="985"/>
      <c r="F469" s="943" t="s">
        <v>3070</v>
      </c>
      <c r="G469" s="956">
        <v>44228</v>
      </c>
      <c r="H469" s="983">
        <v>242001</v>
      </c>
      <c r="I469" s="985"/>
      <c r="J469" s="982">
        <f t="shared" si="43"/>
        <v>44228</v>
      </c>
      <c r="K469" s="983">
        <f t="shared" si="44"/>
        <v>59</v>
      </c>
      <c r="L469" s="983">
        <f t="shared" si="45"/>
        <v>242001</v>
      </c>
      <c r="M469" s="983">
        <f t="shared" si="46"/>
        <v>0</v>
      </c>
      <c r="N469" s="983">
        <f t="shared" si="47"/>
        <v>0</v>
      </c>
      <c r="O469" s="983">
        <f t="shared" si="48"/>
        <v>0</v>
      </c>
      <c r="P469" s="984">
        <f t="shared" si="49"/>
        <v>0</v>
      </c>
      <c r="Q469" s="938"/>
      <c r="R469" s="938"/>
      <c r="S469" s="939">
        <f t="shared" si="50"/>
        <v>242001</v>
      </c>
    </row>
    <row r="470" spans="1:19" ht="30" customHeight="1" x14ac:dyDescent="0.45">
      <c r="A470" s="933"/>
      <c r="C470" s="985"/>
      <c r="D470" s="976"/>
      <c r="E470" s="985"/>
      <c r="F470" s="943"/>
      <c r="G470" s="955"/>
      <c r="H470" s="983"/>
      <c r="I470" s="985"/>
      <c r="J470" s="982">
        <f t="shared" si="43"/>
        <v>0</v>
      </c>
      <c r="K470" s="983">
        <f t="shared" si="44"/>
        <v>44287</v>
      </c>
      <c r="L470" s="983">
        <f t="shared" si="45"/>
        <v>0</v>
      </c>
      <c r="M470" s="983">
        <f t="shared" si="46"/>
        <v>0</v>
      </c>
      <c r="N470" s="983">
        <f t="shared" si="47"/>
        <v>0</v>
      </c>
      <c r="O470" s="983">
        <f t="shared" si="48"/>
        <v>0</v>
      </c>
      <c r="P470" s="984">
        <f t="shared" si="49"/>
        <v>0</v>
      </c>
      <c r="Q470" s="938"/>
      <c r="R470" s="938"/>
      <c r="S470" s="939">
        <f t="shared" si="50"/>
        <v>0</v>
      </c>
    </row>
    <row r="471" spans="1:19" ht="30" customHeight="1" x14ac:dyDescent="0.45">
      <c r="A471" s="933"/>
      <c r="C471" s="985"/>
      <c r="D471" s="976"/>
      <c r="E471" s="985"/>
      <c r="F471" s="943"/>
      <c r="G471" s="955"/>
      <c r="H471" s="983"/>
      <c r="I471" s="985"/>
      <c r="J471" s="982">
        <f t="shared" si="43"/>
        <v>0</v>
      </c>
      <c r="K471" s="983">
        <f t="shared" si="44"/>
        <v>44287</v>
      </c>
      <c r="L471" s="983">
        <f t="shared" si="45"/>
        <v>0</v>
      </c>
      <c r="M471" s="983">
        <f t="shared" si="46"/>
        <v>0</v>
      </c>
      <c r="N471" s="983">
        <f t="shared" si="47"/>
        <v>0</v>
      </c>
      <c r="O471" s="983">
        <f t="shared" si="48"/>
        <v>0</v>
      </c>
      <c r="P471" s="984">
        <f t="shared" si="49"/>
        <v>0</v>
      </c>
      <c r="Q471" s="938"/>
      <c r="R471" s="938"/>
      <c r="S471" s="939">
        <f t="shared" si="50"/>
        <v>0</v>
      </c>
    </row>
    <row r="472" spans="1:19" ht="30" customHeight="1" x14ac:dyDescent="0.45">
      <c r="A472" s="933"/>
      <c r="C472" s="985"/>
      <c r="D472" s="976"/>
      <c r="E472" s="985"/>
      <c r="F472" s="971"/>
      <c r="G472" s="972"/>
      <c r="H472" s="983"/>
      <c r="I472" s="985"/>
      <c r="J472" s="982">
        <f t="shared" si="43"/>
        <v>0</v>
      </c>
      <c r="K472" s="983">
        <f t="shared" si="44"/>
        <v>44287</v>
      </c>
      <c r="L472" s="983">
        <f t="shared" si="45"/>
        <v>0</v>
      </c>
      <c r="M472" s="983">
        <f t="shared" si="46"/>
        <v>0</v>
      </c>
      <c r="N472" s="983">
        <f t="shared" si="47"/>
        <v>0</v>
      </c>
      <c r="O472" s="983">
        <f t="shared" si="48"/>
        <v>0</v>
      </c>
      <c r="P472" s="984">
        <f t="shared" si="49"/>
        <v>0</v>
      </c>
      <c r="Q472" s="938"/>
      <c r="R472" s="938"/>
      <c r="S472" s="939">
        <f t="shared" si="50"/>
        <v>0</v>
      </c>
    </row>
    <row r="473" spans="1:19" ht="30" customHeight="1" x14ac:dyDescent="0.45">
      <c r="A473" s="933"/>
      <c r="C473" s="985"/>
      <c r="D473" s="953"/>
      <c r="E473" s="985"/>
      <c r="F473" s="943"/>
      <c r="G473" s="955"/>
      <c r="H473" s="983"/>
      <c r="I473" s="985"/>
      <c r="J473" s="982">
        <f t="shared" si="43"/>
        <v>0</v>
      </c>
      <c r="K473" s="983">
        <f t="shared" si="44"/>
        <v>44287</v>
      </c>
      <c r="L473" s="983">
        <f t="shared" si="45"/>
        <v>0</v>
      </c>
      <c r="M473" s="983">
        <f t="shared" si="46"/>
        <v>0</v>
      </c>
      <c r="N473" s="983">
        <f t="shared" si="47"/>
        <v>0</v>
      </c>
      <c r="O473" s="983">
        <f t="shared" si="48"/>
        <v>0</v>
      </c>
      <c r="P473" s="984">
        <f t="shared" si="49"/>
        <v>0</v>
      </c>
      <c r="Q473" s="938"/>
      <c r="R473" s="938"/>
      <c r="S473" s="939">
        <f t="shared" si="50"/>
        <v>0</v>
      </c>
    </row>
    <row r="474" spans="1:19" ht="30" customHeight="1" x14ac:dyDescent="0.45">
      <c r="A474" s="933"/>
      <c r="C474" s="985"/>
      <c r="D474" s="953"/>
      <c r="E474" s="985"/>
      <c r="F474" s="943"/>
      <c r="G474" s="955"/>
      <c r="H474" s="983"/>
      <c r="I474" s="985"/>
      <c r="J474" s="982">
        <f t="shared" si="43"/>
        <v>0</v>
      </c>
      <c r="K474" s="983">
        <f t="shared" si="44"/>
        <v>44287</v>
      </c>
      <c r="L474" s="983">
        <f t="shared" si="45"/>
        <v>0</v>
      </c>
      <c r="M474" s="983">
        <f t="shared" si="46"/>
        <v>0</v>
      </c>
      <c r="N474" s="983">
        <f t="shared" si="47"/>
        <v>0</v>
      </c>
      <c r="O474" s="983">
        <f t="shared" si="48"/>
        <v>0</v>
      </c>
      <c r="P474" s="984">
        <f t="shared" si="49"/>
        <v>0</v>
      </c>
      <c r="Q474" s="938"/>
      <c r="R474" s="938"/>
      <c r="S474" s="939">
        <f t="shared" si="50"/>
        <v>0</v>
      </c>
    </row>
    <row r="475" spans="1:19" ht="30" customHeight="1" x14ac:dyDescent="0.45">
      <c r="A475" s="933"/>
      <c r="C475" s="985"/>
      <c r="D475" s="953"/>
      <c r="E475" s="985"/>
      <c r="F475" s="943"/>
      <c r="G475" s="955"/>
      <c r="H475" s="983"/>
      <c r="I475" s="985"/>
      <c r="J475" s="982">
        <f t="shared" si="43"/>
        <v>0</v>
      </c>
      <c r="K475" s="983">
        <f t="shared" si="44"/>
        <v>44287</v>
      </c>
      <c r="L475" s="983">
        <f t="shared" si="45"/>
        <v>0</v>
      </c>
      <c r="M475" s="983">
        <f t="shared" si="46"/>
        <v>0</v>
      </c>
      <c r="N475" s="983">
        <f t="shared" si="47"/>
        <v>0</v>
      </c>
      <c r="O475" s="983">
        <f t="shared" si="48"/>
        <v>0</v>
      </c>
      <c r="P475" s="984">
        <f t="shared" si="49"/>
        <v>0</v>
      </c>
      <c r="Q475" s="938"/>
      <c r="R475" s="938"/>
      <c r="S475" s="939">
        <f t="shared" si="50"/>
        <v>0</v>
      </c>
    </row>
    <row r="476" spans="1:19" ht="30" customHeight="1" x14ac:dyDescent="0.45">
      <c r="A476" s="933"/>
      <c r="C476" s="985"/>
      <c r="D476" s="953"/>
      <c r="E476" s="985"/>
      <c r="F476" s="943"/>
      <c r="G476" s="955"/>
      <c r="H476" s="983"/>
      <c r="I476" s="985"/>
      <c r="J476" s="982">
        <f t="shared" si="43"/>
        <v>0</v>
      </c>
      <c r="K476" s="983">
        <f t="shared" si="44"/>
        <v>44287</v>
      </c>
      <c r="L476" s="983">
        <f t="shared" si="45"/>
        <v>0</v>
      </c>
      <c r="M476" s="983">
        <f t="shared" si="46"/>
        <v>0</v>
      </c>
      <c r="N476" s="983">
        <f t="shared" si="47"/>
        <v>0</v>
      </c>
      <c r="O476" s="983">
        <f t="shared" si="48"/>
        <v>0</v>
      </c>
      <c r="P476" s="984">
        <f t="shared" si="49"/>
        <v>0</v>
      </c>
      <c r="Q476" s="938"/>
      <c r="R476" s="938"/>
      <c r="S476" s="939">
        <f t="shared" si="50"/>
        <v>0</v>
      </c>
    </row>
    <row r="477" spans="1:19" ht="30" customHeight="1" x14ac:dyDescent="0.45">
      <c r="A477" s="933"/>
      <c r="C477" s="985"/>
      <c r="D477" s="976"/>
      <c r="E477" s="985"/>
      <c r="F477" s="943"/>
      <c r="G477" s="955"/>
      <c r="H477" s="983"/>
      <c r="I477" s="985"/>
      <c r="J477" s="982">
        <f t="shared" si="43"/>
        <v>0</v>
      </c>
      <c r="K477" s="983">
        <f t="shared" si="44"/>
        <v>44287</v>
      </c>
      <c r="L477" s="983">
        <f t="shared" si="45"/>
        <v>0</v>
      </c>
      <c r="M477" s="983">
        <f t="shared" si="46"/>
        <v>0</v>
      </c>
      <c r="N477" s="983">
        <f t="shared" si="47"/>
        <v>0</v>
      </c>
      <c r="O477" s="983">
        <f t="shared" si="48"/>
        <v>0</v>
      </c>
      <c r="P477" s="984">
        <f t="shared" si="49"/>
        <v>0</v>
      </c>
      <c r="Q477" s="938"/>
      <c r="R477" s="938"/>
      <c r="S477" s="939">
        <f t="shared" si="50"/>
        <v>0</v>
      </c>
    </row>
    <row r="478" spans="1:19" ht="30" customHeight="1" x14ac:dyDescent="0.45">
      <c r="A478" s="933"/>
      <c r="C478" s="985"/>
      <c r="D478" s="976"/>
      <c r="E478" s="985"/>
      <c r="F478" s="971"/>
      <c r="G478" s="972"/>
      <c r="H478" s="983"/>
      <c r="I478" s="985"/>
      <c r="J478" s="982">
        <f t="shared" si="43"/>
        <v>0</v>
      </c>
      <c r="K478" s="983">
        <f t="shared" si="44"/>
        <v>44287</v>
      </c>
      <c r="L478" s="983">
        <f t="shared" si="45"/>
        <v>0</v>
      </c>
      <c r="M478" s="983">
        <f t="shared" si="46"/>
        <v>0</v>
      </c>
      <c r="N478" s="983">
        <f t="shared" si="47"/>
        <v>0</v>
      </c>
      <c r="O478" s="983">
        <f t="shared" si="48"/>
        <v>0</v>
      </c>
      <c r="P478" s="984">
        <f t="shared" si="49"/>
        <v>0</v>
      </c>
      <c r="Q478" s="938"/>
      <c r="R478" s="938"/>
      <c r="S478" s="939">
        <f t="shared" si="50"/>
        <v>0</v>
      </c>
    </row>
    <row r="479" spans="1:19" ht="30" customHeight="1" x14ac:dyDescent="0.45">
      <c r="A479" s="933"/>
      <c r="C479" s="985"/>
      <c r="D479" s="970" t="s">
        <v>3071</v>
      </c>
      <c r="E479" s="985"/>
      <c r="F479" s="954" t="s">
        <v>3072</v>
      </c>
      <c r="G479" s="955">
        <v>44257</v>
      </c>
      <c r="H479" s="983">
        <v>584417</v>
      </c>
      <c r="I479" s="985"/>
      <c r="J479" s="982">
        <f t="shared" si="43"/>
        <v>44257</v>
      </c>
      <c r="K479" s="983">
        <f t="shared" si="44"/>
        <v>30</v>
      </c>
      <c r="L479" s="983">
        <f t="shared" si="45"/>
        <v>584417</v>
      </c>
      <c r="M479" s="983">
        <f t="shared" si="46"/>
        <v>0</v>
      </c>
      <c r="N479" s="983">
        <f t="shared" si="47"/>
        <v>0</v>
      </c>
      <c r="O479" s="983">
        <f t="shared" si="48"/>
        <v>0</v>
      </c>
      <c r="P479" s="984">
        <f t="shared" si="49"/>
        <v>0</v>
      </c>
      <c r="Q479" s="938"/>
      <c r="R479" s="938"/>
      <c r="S479" s="939">
        <f t="shared" si="50"/>
        <v>584417</v>
      </c>
    </row>
    <row r="480" spans="1:19" ht="30" customHeight="1" x14ac:dyDescent="0.45">
      <c r="A480" s="933"/>
      <c r="C480" s="985"/>
      <c r="D480" s="974"/>
      <c r="E480" s="985"/>
      <c r="F480" s="954" t="s">
        <v>3073</v>
      </c>
      <c r="G480" s="955">
        <v>44259</v>
      </c>
      <c r="H480" s="983">
        <v>577705</v>
      </c>
      <c r="I480" s="985"/>
      <c r="J480" s="982">
        <f t="shared" si="43"/>
        <v>44259</v>
      </c>
      <c r="K480" s="983">
        <f t="shared" si="44"/>
        <v>28</v>
      </c>
      <c r="L480" s="983">
        <f t="shared" si="45"/>
        <v>577705</v>
      </c>
      <c r="M480" s="983">
        <f t="shared" si="46"/>
        <v>0</v>
      </c>
      <c r="N480" s="983">
        <f t="shared" si="47"/>
        <v>0</v>
      </c>
      <c r="O480" s="983">
        <f t="shared" si="48"/>
        <v>0</v>
      </c>
      <c r="P480" s="984">
        <f t="shared" si="49"/>
        <v>0</v>
      </c>
      <c r="Q480" s="938"/>
      <c r="R480" s="938"/>
      <c r="S480" s="939">
        <f t="shared" si="50"/>
        <v>577705</v>
      </c>
    </row>
    <row r="481" spans="1:19" ht="30" customHeight="1" x14ac:dyDescent="0.45">
      <c r="A481" s="933"/>
      <c r="C481" s="985"/>
      <c r="D481" s="974"/>
      <c r="E481" s="985"/>
      <c r="F481" s="954" t="s">
        <v>3074</v>
      </c>
      <c r="G481" s="955">
        <v>44259</v>
      </c>
      <c r="H481" s="983">
        <v>591591</v>
      </c>
      <c r="I481" s="985"/>
      <c r="J481" s="982">
        <f t="shared" si="43"/>
        <v>44259</v>
      </c>
      <c r="K481" s="983">
        <f t="shared" si="44"/>
        <v>28</v>
      </c>
      <c r="L481" s="983">
        <f t="shared" si="45"/>
        <v>591591</v>
      </c>
      <c r="M481" s="983">
        <f t="shared" si="46"/>
        <v>0</v>
      </c>
      <c r="N481" s="983">
        <f t="shared" si="47"/>
        <v>0</v>
      </c>
      <c r="O481" s="983">
        <f t="shared" si="48"/>
        <v>0</v>
      </c>
      <c r="P481" s="984">
        <f t="shared" si="49"/>
        <v>0</v>
      </c>
      <c r="Q481" s="938"/>
      <c r="R481" s="938"/>
      <c r="S481" s="939">
        <f t="shared" si="50"/>
        <v>591591</v>
      </c>
    </row>
    <row r="482" spans="1:19" ht="30" customHeight="1" x14ac:dyDescent="0.45">
      <c r="A482" s="933"/>
      <c r="C482" s="985"/>
      <c r="D482" s="974"/>
      <c r="E482" s="985"/>
      <c r="F482" s="954"/>
      <c r="G482" s="955"/>
      <c r="H482" s="983"/>
      <c r="I482" s="985"/>
      <c r="J482" s="982">
        <f t="shared" si="43"/>
        <v>0</v>
      </c>
      <c r="K482" s="983">
        <f t="shared" si="44"/>
        <v>44287</v>
      </c>
      <c r="L482" s="983">
        <f t="shared" si="45"/>
        <v>0</v>
      </c>
      <c r="M482" s="983">
        <f t="shared" si="46"/>
        <v>0</v>
      </c>
      <c r="N482" s="983">
        <f t="shared" si="47"/>
        <v>0</v>
      </c>
      <c r="O482" s="983">
        <f t="shared" si="48"/>
        <v>0</v>
      </c>
      <c r="P482" s="984">
        <f t="shared" si="49"/>
        <v>0</v>
      </c>
      <c r="Q482" s="938"/>
      <c r="R482" s="938"/>
      <c r="S482" s="939">
        <f t="shared" si="50"/>
        <v>0</v>
      </c>
    </row>
    <row r="483" spans="1:19" ht="30" customHeight="1" x14ac:dyDescent="0.45">
      <c r="A483" s="933"/>
      <c r="C483" s="985"/>
      <c r="D483" s="990"/>
      <c r="E483" s="985"/>
      <c r="F483" s="941"/>
      <c r="G483" s="991"/>
      <c r="H483" s="983"/>
      <c r="I483" s="985"/>
      <c r="J483" s="982">
        <f t="shared" si="43"/>
        <v>0</v>
      </c>
      <c r="K483" s="983">
        <f t="shared" si="44"/>
        <v>44287</v>
      </c>
      <c r="L483" s="983">
        <f t="shared" si="45"/>
        <v>0</v>
      </c>
      <c r="M483" s="983">
        <f t="shared" si="46"/>
        <v>0</v>
      </c>
      <c r="N483" s="983">
        <f t="shared" si="47"/>
        <v>0</v>
      </c>
      <c r="O483" s="983">
        <f t="shared" si="48"/>
        <v>0</v>
      </c>
      <c r="P483" s="984">
        <f t="shared" si="49"/>
        <v>0</v>
      </c>
      <c r="Q483" s="938"/>
      <c r="R483" s="938"/>
      <c r="S483" s="939">
        <f t="shared" si="50"/>
        <v>0</v>
      </c>
    </row>
    <row r="484" spans="1:19" ht="30" customHeight="1" x14ac:dyDescent="0.45">
      <c r="A484" s="933"/>
      <c r="C484" s="985"/>
      <c r="D484" s="976"/>
      <c r="E484" s="985"/>
      <c r="F484" s="971"/>
      <c r="G484" s="972"/>
      <c r="H484" s="983"/>
      <c r="I484" s="985"/>
      <c r="J484" s="982">
        <f t="shared" si="43"/>
        <v>0</v>
      </c>
      <c r="K484" s="983">
        <f t="shared" si="44"/>
        <v>44287</v>
      </c>
      <c r="L484" s="983">
        <f t="shared" si="45"/>
        <v>0</v>
      </c>
      <c r="M484" s="983">
        <f t="shared" si="46"/>
        <v>0</v>
      </c>
      <c r="N484" s="983">
        <f t="shared" si="47"/>
        <v>0</v>
      </c>
      <c r="O484" s="983">
        <f t="shared" si="48"/>
        <v>0</v>
      </c>
      <c r="P484" s="984">
        <f t="shared" si="49"/>
        <v>0</v>
      </c>
      <c r="Q484" s="938"/>
      <c r="R484" s="938"/>
      <c r="S484" s="939">
        <f t="shared" si="50"/>
        <v>0</v>
      </c>
    </row>
    <row r="485" spans="1:19" ht="30" customHeight="1" x14ac:dyDescent="0.45">
      <c r="A485" s="933"/>
      <c r="C485" s="985"/>
      <c r="D485" s="953" t="s">
        <v>688</v>
      </c>
      <c r="E485" s="985"/>
      <c r="F485" s="971" t="s">
        <v>3075</v>
      </c>
      <c r="G485" s="972">
        <v>44104</v>
      </c>
      <c r="H485" s="983"/>
      <c r="I485" s="985"/>
      <c r="J485" s="982">
        <f t="shared" si="43"/>
        <v>44104</v>
      </c>
      <c r="K485" s="983">
        <f t="shared" si="44"/>
        <v>183</v>
      </c>
      <c r="L485" s="983">
        <f t="shared" si="45"/>
        <v>0</v>
      </c>
      <c r="M485" s="983">
        <f t="shared" si="46"/>
        <v>0</v>
      </c>
      <c r="N485" s="983">
        <f t="shared" si="47"/>
        <v>0</v>
      </c>
      <c r="O485" s="983">
        <f t="shared" si="48"/>
        <v>0</v>
      </c>
      <c r="P485" s="984">
        <f t="shared" si="49"/>
        <v>0</v>
      </c>
      <c r="Q485" s="938"/>
      <c r="R485" s="938"/>
      <c r="S485" s="939">
        <f t="shared" si="50"/>
        <v>0</v>
      </c>
    </row>
    <row r="486" spans="1:19" ht="30" customHeight="1" x14ac:dyDescent="0.45">
      <c r="A486" s="933"/>
      <c r="C486" s="985"/>
      <c r="D486" s="976"/>
      <c r="E486" s="985"/>
      <c r="F486" s="971"/>
      <c r="G486" s="972"/>
      <c r="H486" s="983"/>
      <c r="I486" s="985"/>
      <c r="J486" s="982">
        <f t="shared" si="43"/>
        <v>0</v>
      </c>
      <c r="K486" s="983">
        <f t="shared" si="44"/>
        <v>44287</v>
      </c>
      <c r="L486" s="983">
        <f t="shared" si="45"/>
        <v>0</v>
      </c>
      <c r="M486" s="983">
        <f t="shared" si="46"/>
        <v>0</v>
      </c>
      <c r="N486" s="983">
        <f t="shared" si="47"/>
        <v>0</v>
      </c>
      <c r="O486" s="983">
        <f t="shared" si="48"/>
        <v>0</v>
      </c>
      <c r="P486" s="984">
        <f t="shared" si="49"/>
        <v>0</v>
      </c>
      <c r="Q486" s="938"/>
      <c r="R486" s="938"/>
      <c r="S486" s="939">
        <f t="shared" si="50"/>
        <v>0</v>
      </c>
    </row>
    <row r="487" spans="1:19" ht="30" customHeight="1" x14ac:dyDescent="0.45">
      <c r="A487" s="933"/>
      <c r="C487" s="985"/>
      <c r="D487" s="976"/>
      <c r="E487" s="985"/>
      <c r="F487" s="971"/>
      <c r="G487" s="972"/>
      <c r="H487" s="983"/>
      <c r="I487" s="985"/>
      <c r="J487" s="982">
        <f t="shared" si="43"/>
        <v>0</v>
      </c>
      <c r="K487" s="983">
        <f t="shared" si="44"/>
        <v>44287</v>
      </c>
      <c r="L487" s="983">
        <f t="shared" si="45"/>
        <v>0</v>
      </c>
      <c r="M487" s="983">
        <f t="shared" si="46"/>
        <v>0</v>
      </c>
      <c r="N487" s="983">
        <f t="shared" si="47"/>
        <v>0</v>
      </c>
      <c r="O487" s="983">
        <f t="shared" si="48"/>
        <v>0</v>
      </c>
      <c r="P487" s="984">
        <f t="shared" si="49"/>
        <v>0</v>
      </c>
      <c r="Q487" s="938"/>
      <c r="R487" s="938"/>
      <c r="S487" s="939">
        <f t="shared" si="50"/>
        <v>0</v>
      </c>
    </row>
    <row r="488" spans="1:19" ht="30" customHeight="1" x14ac:dyDescent="0.45">
      <c r="A488" s="933"/>
      <c r="C488" s="985"/>
      <c r="D488" s="953" t="s">
        <v>379</v>
      </c>
      <c r="E488" s="985"/>
      <c r="F488" s="954" t="s">
        <v>3076</v>
      </c>
      <c r="G488" s="955">
        <v>44257</v>
      </c>
      <c r="H488" s="983">
        <v>71984</v>
      </c>
      <c r="I488" s="985"/>
      <c r="J488" s="982">
        <f t="shared" si="43"/>
        <v>44257</v>
      </c>
      <c r="K488" s="983">
        <f t="shared" si="44"/>
        <v>30</v>
      </c>
      <c r="L488" s="983">
        <f t="shared" si="45"/>
        <v>71984</v>
      </c>
      <c r="M488" s="983">
        <f t="shared" si="46"/>
        <v>0</v>
      </c>
      <c r="N488" s="983">
        <f t="shared" si="47"/>
        <v>0</v>
      </c>
      <c r="O488" s="983">
        <f t="shared" si="48"/>
        <v>0</v>
      </c>
      <c r="P488" s="984">
        <f t="shared" si="49"/>
        <v>0</v>
      </c>
      <c r="Q488" s="938"/>
      <c r="R488" s="938"/>
      <c r="S488" s="939">
        <f t="shared" si="50"/>
        <v>71984</v>
      </c>
    </row>
    <row r="489" spans="1:19" ht="30" customHeight="1" x14ac:dyDescent="0.45">
      <c r="A489" s="933"/>
      <c r="C489" s="985"/>
      <c r="D489" s="976"/>
      <c r="E489" s="985"/>
      <c r="F489" s="954" t="s">
        <v>3077</v>
      </c>
      <c r="G489" s="955">
        <v>44272</v>
      </c>
      <c r="H489" s="983">
        <v>101047</v>
      </c>
      <c r="I489" s="985"/>
      <c r="J489" s="982">
        <f t="shared" si="43"/>
        <v>44272</v>
      </c>
      <c r="K489" s="983">
        <f t="shared" si="44"/>
        <v>15</v>
      </c>
      <c r="L489" s="983">
        <f t="shared" si="45"/>
        <v>101047</v>
      </c>
      <c r="M489" s="983">
        <f t="shared" si="46"/>
        <v>0</v>
      </c>
      <c r="N489" s="983">
        <f t="shared" si="47"/>
        <v>0</v>
      </c>
      <c r="O489" s="983">
        <f t="shared" si="48"/>
        <v>0</v>
      </c>
      <c r="P489" s="984">
        <f t="shared" si="49"/>
        <v>0</v>
      </c>
      <c r="Q489" s="938"/>
      <c r="R489" s="938"/>
      <c r="S489" s="939">
        <f t="shared" si="50"/>
        <v>101047</v>
      </c>
    </row>
    <row r="490" spans="1:19" ht="30" customHeight="1" x14ac:dyDescent="0.45">
      <c r="A490" s="933"/>
      <c r="C490" s="985"/>
      <c r="D490" s="976"/>
      <c r="E490" s="985"/>
      <c r="F490" s="954"/>
      <c r="G490" s="955"/>
      <c r="H490" s="983"/>
      <c r="I490" s="985"/>
      <c r="J490" s="982">
        <f t="shared" si="43"/>
        <v>0</v>
      </c>
      <c r="K490" s="983">
        <f t="shared" si="44"/>
        <v>44287</v>
      </c>
      <c r="L490" s="983">
        <f t="shared" si="45"/>
        <v>0</v>
      </c>
      <c r="M490" s="983">
        <f t="shared" si="46"/>
        <v>0</v>
      </c>
      <c r="N490" s="983">
        <f t="shared" si="47"/>
        <v>0</v>
      </c>
      <c r="O490" s="983">
        <f t="shared" si="48"/>
        <v>0</v>
      </c>
      <c r="P490" s="984">
        <f t="shared" si="49"/>
        <v>0</v>
      </c>
      <c r="Q490" s="938"/>
      <c r="R490" s="938"/>
      <c r="S490" s="939">
        <f t="shared" si="50"/>
        <v>0</v>
      </c>
    </row>
    <row r="491" spans="1:19" ht="30" customHeight="1" x14ac:dyDescent="0.45">
      <c r="A491" s="933"/>
      <c r="C491" s="985"/>
      <c r="D491" s="976"/>
      <c r="E491" s="985"/>
      <c r="F491" s="971"/>
      <c r="G491" s="972"/>
      <c r="H491" s="983"/>
      <c r="I491" s="985"/>
      <c r="J491" s="982">
        <f t="shared" si="43"/>
        <v>0</v>
      </c>
      <c r="K491" s="983">
        <f t="shared" si="44"/>
        <v>44287</v>
      </c>
      <c r="L491" s="983">
        <f t="shared" si="45"/>
        <v>0</v>
      </c>
      <c r="M491" s="983">
        <f t="shared" si="46"/>
        <v>0</v>
      </c>
      <c r="N491" s="983">
        <f t="shared" si="47"/>
        <v>0</v>
      </c>
      <c r="O491" s="983">
        <f t="shared" si="48"/>
        <v>0</v>
      </c>
      <c r="P491" s="984">
        <f t="shared" si="49"/>
        <v>0</v>
      </c>
      <c r="Q491" s="938"/>
      <c r="R491" s="938"/>
      <c r="S491" s="939">
        <f t="shared" si="50"/>
        <v>0</v>
      </c>
    </row>
    <row r="492" spans="1:19" ht="30" customHeight="1" x14ac:dyDescent="0.45">
      <c r="A492" s="933"/>
      <c r="C492" s="985"/>
      <c r="D492" s="976"/>
      <c r="E492" s="985"/>
      <c r="F492" s="971"/>
      <c r="G492" s="972"/>
      <c r="H492" s="983"/>
      <c r="I492" s="985"/>
      <c r="J492" s="982">
        <f t="shared" si="43"/>
        <v>0</v>
      </c>
      <c r="K492" s="983">
        <f t="shared" si="44"/>
        <v>44287</v>
      </c>
      <c r="L492" s="983">
        <f t="shared" si="45"/>
        <v>0</v>
      </c>
      <c r="M492" s="983">
        <f t="shared" si="46"/>
        <v>0</v>
      </c>
      <c r="N492" s="983">
        <f t="shared" si="47"/>
        <v>0</v>
      </c>
      <c r="O492" s="983">
        <f t="shared" si="48"/>
        <v>0</v>
      </c>
      <c r="P492" s="984">
        <f t="shared" si="49"/>
        <v>0</v>
      </c>
      <c r="Q492" s="938"/>
      <c r="R492" s="938"/>
      <c r="S492" s="939">
        <f t="shared" si="50"/>
        <v>0</v>
      </c>
    </row>
    <row r="493" spans="1:19" ht="30" customHeight="1" x14ac:dyDescent="0.45">
      <c r="A493" s="933"/>
      <c r="C493" s="985"/>
      <c r="D493" s="953" t="s">
        <v>381</v>
      </c>
      <c r="E493" s="985"/>
      <c r="F493" s="954" t="s">
        <v>3078</v>
      </c>
      <c r="G493" s="972">
        <v>44282</v>
      </c>
      <c r="H493" s="983">
        <v>885649</v>
      </c>
      <c r="I493" s="985"/>
      <c r="J493" s="982">
        <f t="shared" si="43"/>
        <v>44282</v>
      </c>
      <c r="K493" s="983">
        <f t="shared" si="44"/>
        <v>5</v>
      </c>
      <c r="L493" s="983">
        <f t="shared" si="45"/>
        <v>885649</v>
      </c>
      <c r="M493" s="983">
        <f t="shared" si="46"/>
        <v>0</v>
      </c>
      <c r="N493" s="983">
        <f t="shared" si="47"/>
        <v>0</v>
      </c>
      <c r="O493" s="983">
        <f t="shared" si="48"/>
        <v>0</v>
      </c>
      <c r="P493" s="984">
        <f t="shared" si="49"/>
        <v>0</v>
      </c>
      <c r="Q493" s="938"/>
      <c r="R493" s="938"/>
      <c r="S493" s="939">
        <f t="shared" si="50"/>
        <v>885649</v>
      </c>
    </row>
    <row r="494" spans="1:19" ht="30" customHeight="1" x14ac:dyDescent="0.45">
      <c r="A494" s="933"/>
      <c r="C494" s="985"/>
      <c r="D494" s="976"/>
      <c r="E494" s="985"/>
      <c r="F494" s="971"/>
      <c r="G494" s="972"/>
      <c r="H494" s="983"/>
      <c r="I494" s="985"/>
      <c r="J494" s="982">
        <f t="shared" si="43"/>
        <v>0</v>
      </c>
      <c r="K494" s="983">
        <f t="shared" si="44"/>
        <v>44287</v>
      </c>
      <c r="L494" s="983">
        <f t="shared" si="45"/>
        <v>0</v>
      </c>
      <c r="M494" s="983">
        <f t="shared" si="46"/>
        <v>0</v>
      </c>
      <c r="N494" s="983">
        <f t="shared" si="47"/>
        <v>0</v>
      </c>
      <c r="O494" s="983">
        <f t="shared" si="48"/>
        <v>0</v>
      </c>
      <c r="P494" s="984">
        <f t="shared" si="49"/>
        <v>0</v>
      </c>
      <c r="Q494" s="938"/>
      <c r="R494" s="938"/>
      <c r="S494" s="939">
        <f t="shared" si="50"/>
        <v>0</v>
      </c>
    </row>
    <row r="495" spans="1:19" ht="30" customHeight="1" x14ac:dyDescent="0.45">
      <c r="A495" s="933"/>
      <c r="C495" s="985"/>
      <c r="D495" s="976"/>
      <c r="E495" s="985"/>
      <c r="F495" s="971"/>
      <c r="G495" s="972"/>
      <c r="H495" s="983"/>
      <c r="I495" s="985"/>
      <c r="J495" s="982">
        <f t="shared" si="43"/>
        <v>0</v>
      </c>
      <c r="K495" s="983">
        <f t="shared" si="44"/>
        <v>44287</v>
      </c>
      <c r="L495" s="983">
        <f t="shared" si="45"/>
        <v>0</v>
      </c>
      <c r="M495" s="983">
        <f t="shared" si="46"/>
        <v>0</v>
      </c>
      <c r="N495" s="983">
        <f t="shared" si="47"/>
        <v>0</v>
      </c>
      <c r="O495" s="983">
        <f t="shared" si="48"/>
        <v>0</v>
      </c>
      <c r="P495" s="984">
        <f t="shared" si="49"/>
        <v>0</v>
      </c>
      <c r="Q495" s="938"/>
      <c r="R495" s="938"/>
      <c r="S495" s="939">
        <f t="shared" si="50"/>
        <v>0</v>
      </c>
    </row>
    <row r="496" spans="1:19" ht="30" customHeight="1" x14ac:dyDescent="0.45">
      <c r="A496" s="933"/>
      <c r="C496" s="985"/>
      <c r="D496" s="953" t="s">
        <v>370</v>
      </c>
      <c r="E496" s="985"/>
      <c r="F496" s="954" t="s">
        <v>3079</v>
      </c>
      <c r="G496" s="955">
        <v>44049</v>
      </c>
      <c r="H496" s="983">
        <v>1</v>
      </c>
      <c r="I496" s="985"/>
      <c r="J496" s="982">
        <f t="shared" si="43"/>
        <v>44049</v>
      </c>
      <c r="K496" s="983">
        <f t="shared" si="44"/>
        <v>238</v>
      </c>
      <c r="L496" s="983">
        <f t="shared" si="45"/>
        <v>0</v>
      </c>
      <c r="M496" s="983">
        <f t="shared" si="46"/>
        <v>0</v>
      </c>
      <c r="N496" s="983">
        <f t="shared" si="47"/>
        <v>1</v>
      </c>
      <c r="O496" s="983">
        <f t="shared" si="48"/>
        <v>0</v>
      </c>
      <c r="P496" s="984">
        <f t="shared" si="49"/>
        <v>0</v>
      </c>
      <c r="Q496" s="938"/>
      <c r="R496" s="938"/>
      <c r="S496" s="939">
        <f t="shared" si="50"/>
        <v>1</v>
      </c>
    </row>
    <row r="497" spans="1:19" ht="30" customHeight="1" x14ac:dyDescent="0.45">
      <c r="A497" s="933"/>
      <c r="C497" s="985"/>
      <c r="D497" s="976"/>
      <c r="E497" s="985"/>
      <c r="F497" s="954" t="s">
        <v>3080</v>
      </c>
      <c r="G497" s="955">
        <v>44103</v>
      </c>
      <c r="H497" s="983">
        <v>1</v>
      </c>
      <c r="I497" s="985"/>
      <c r="J497" s="982">
        <f t="shared" si="43"/>
        <v>44103</v>
      </c>
      <c r="K497" s="983">
        <f t="shared" si="44"/>
        <v>184</v>
      </c>
      <c r="L497" s="983">
        <f t="shared" si="45"/>
        <v>0</v>
      </c>
      <c r="M497" s="983">
        <f t="shared" si="46"/>
        <v>0</v>
      </c>
      <c r="N497" s="983">
        <f t="shared" si="47"/>
        <v>1</v>
      </c>
      <c r="O497" s="983">
        <f t="shared" si="48"/>
        <v>0</v>
      </c>
      <c r="P497" s="984">
        <f t="shared" si="49"/>
        <v>0</v>
      </c>
      <c r="Q497" s="938"/>
      <c r="R497" s="938"/>
      <c r="S497" s="939">
        <f t="shared" si="50"/>
        <v>1</v>
      </c>
    </row>
    <row r="498" spans="1:19" ht="30" customHeight="1" x14ac:dyDescent="0.45">
      <c r="A498" s="933"/>
      <c r="C498" s="985"/>
      <c r="D498" s="976"/>
      <c r="E498" s="985"/>
      <c r="F498" s="954" t="s">
        <v>3081</v>
      </c>
      <c r="G498" s="955">
        <v>44192</v>
      </c>
      <c r="H498" s="983">
        <v>1</v>
      </c>
      <c r="I498" s="985"/>
      <c r="J498" s="982">
        <f t="shared" si="43"/>
        <v>44192</v>
      </c>
      <c r="K498" s="983">
        <f t="shared" si="44"/>
        <v>95</v>
      </c>
      <c r="L498" s="983">
        <f t="shared" si="45"/>
        <v>0</v>
      </c>
      <c r="M498" s="983">
        <f t="shared" si="46"/>
        <v>1</v>
      </c>
      <c r="N498" s="983">
        <f t="shared" si="47"/>
        <v>0</v>
      </c>
      <c r="O498" s="983">
        <f t="shared" si="48"/>
        <v>0</v>
      </c>
      <c r="P498" s="984">
        <f t="shared" si="49"/>
        <v>0</v>
      </c>
      <c r="Q498" s="938"/>
      <c r="R498" s="938"/>
      <c r="S498" s="939">
        <f t="shared" si="50"/>
        <v>1</v>
      </c>
    </row>
    <row r="499" spans="1:19" ht="30" customHeight="1" x14ac:dyDescent="0.45">
      <c r="A499" s="933"/>
      <c r="C499" s="985"/>
      <c r="D499" s="976"/>
      <c r="E499" s="985"/>
      <c r="F499" s="954" t="s">
        <v>3082</v>
      </c>
      <c r="G499" s="956">
        <v>44197</v>
      </c>
      <c r="H499" s="983">
        <v>29990</v>
      </c>
      <c r="I499" s="985"/>
      <c r="J499" s="982">
        <f t="shared" si="43"/>
        <v>44197</v>
      </c>
      <c r="K499" s="983">
        <f t="shared" si="44"/>
        <v>90</v>
      </c>
      <c r="L499" s="983">
        <f t="shared" si="45"/>
        <v>29990</v>
      </c>
      <c r="M499" s="983">
        <f t="shared" si="46"/>
        <v>0</v>
      </c>
      <c r="N499" s="983">
        <f t="shared" si="47"/>
        <v>0</v>
      </c>
      <c r="O499" s="983">
        <f t="shared" si="48"/>
        <v>0</v>
      </c>
      <c r="P499" s="984">
        <f t="shared" si="49"/>
        <v>0</v>
      </c>
      <c r="Q499" s="938"/>
      <c r="R499" s="938"/>
      <c r="S499" s="939">
        <f t="shared" si="50"/>
        <v>29990</v>
      </c>
    </row>
    <row r="500" spans="1:19" ht="30" customHeight="1" x14ac:dyDescent="0.45">
      <c r="A500" s="933"/>
      <c r="C500" s="985"/>
      <c r="D500" s="976"/>
      <c r="E500" s="985"/>
      <c r="F500" s="954"/>
      <c r="G500" s="955"/>
      <c r="H500" s="983"/>
      <c r="I500" s="985"/>
      <c r="J500" s="982">
        <f t="shared" si="43"/>
        <v>0</v>
      </c>
      <c r="K500" s="983">
        <f t="shared" si="44"/>
        <v>44287</v>
      </c>
      <c r="L500" s="983">
        <f t="shared" si="45"/>
        <v>0</v>
      </c>
      <c r="M500" s="983">
        <f t="shared" si="46"/>
        <v>0</v>
      </c>
      <c r="N500" s="983">
        <f t="shared" si="47"/>
        <v>0</v>
      </c>
      <c r="O500" s="983">
        <f t="shared" si="48"/>
        <v>0</v>
      </c>
      <c r="P500" s="984">
        <f t="shared" si="49"/>
        <v>0</v>
      </c>
      <c r="Q500" s="938"/>
      <c r="R500" s="938"/>
      <c r="S500" s="939">
        <f t="shared" si="50"/>
        <v>0</v>
      </c>
    </row>
    <row r="501" spans="1:19" ht="30" customHeight="1" x14ac:dyDescent="0.45">
      <c r="A501" s="933"/>
      <c r="C501" s="985"/>
      <c r="D501" s="976"/>
      <c r="E501" s="985"/>
      <c r="F501" s="971"/>
      <c r="G501" s="972"/>
      <c r="H501" s="983"/>
      <c r="I501" s="985"/>
      <c r="J501" s="982">
        <f t="shared" si="43"/>
        <v>0</v>
      </c>
      <c r="K501" s="983">
        <f t="shared" si="44"/>
        <v>44287</v>
      </c>
      <c r="L501" s="983">
        <f t="shared" si="45"/>
        <v>0</v>
      </c>
      <c r="M501" s="983">
        <f t="shared" si="46"/>
        <v>0</v>
      </c>
      <c r="N501" s="983">
        <f t="shared" si="47"/>
        <v>0</v>
      </c>
      <c r="O501" s="983">
        <f t="shared" si="48"/>
        <v>0</v>
      </c>
      <c r="P501" s="984">
        <f t="shared" si="49"/>
        <v>0</v>
      </c>
      <c r="Q501" s="938"/>
      <c r="R501" s="938"/>
      <c r="S501" s="939">
        <f t="shared" si="50"/>
        <v>0</v>
      </c>
    </row>
    <row r="502" spans="1:19" ht="30" customHeight="1" x14ac:dyDescent="0.45">
      <c r="A502" s="933"/>
      <c r="C502" s="985"/>
      <c r="D502" s="976"/>
      <c r="E502" s="985"/>
      <c r="F502" s="971"/>
      <c r="G502" s="972"/>
      <c r="H502" s="983"/>
      <c r="I502" s="985"/>
      <c r="J502" s="982">
        <f t="shared" si="43"/>
        <v>0</v>
      </c>
      <c r="K502" s="983">
        <f t="shared" si="44"/>
        <v>44287</v>
      </c>
      <c r="L502" s="983">
        <f t="shared" si="45"/>
        <v>0</v>
      </c>
      <c r="M502" s="983">
        <f t="shared" si="46"/>
        <v>0</v>
      </c>
      <c r="N502" s="983">
        <f t="shared" si="47"/>
        <v>0</v>
      </c>
      <c r="O502" s="983">
        <f t="shared" si="48"/>
        <v>0</v>
      </c>
      <c r="P502" s="984">
        <f t="shared" si="49"/>
        <v>0</v>
      </c>
      <c r="Q502" s="938"/>
      <c r="R502" s="938"/>
      <c r="S502" s="939">
        <f t="shared" si="50"/>
        <v>0</v>
      </c>
    </row>
    <row r="503" spans="1:19" ht="30" customHeight="1" x14ac:dyDescent="0.45">
      <c r="A503" s="933"/>
      <c r="C503" s="985"/>
      <c r="D503" s="953" t="s">
        <v>173</v>
      </c>
      <c r="E503" s="985"/>
      <c r="F503" s="954" t="s">
        <v>3083</v>
      </c>
      <c r="G503" s="972">
        <v>44247</v>
      </c>
      <c r="H503" s="983">
        <v>143306</v>
      </c>
      <c r="I503" s="985"/>
      <c r="J503" s="982">
        <f t="shared" si="43"/>
        <v>44247</v>
      </c>
      <c r="K503" s="983">
        <f t="shared" si="44"/>
        <v>40</v>
      </c>
      <c r="L503" s="983">
        <f t="shared" si="45"/>
        <v>143306</v>
      </c>
      <c r="M503" s="983">
        <f t="shared" si="46"/>
        <v>0</v>
      </c>
      <c r="N503" s="983">
        <f t="shared" si="47"/>
        <v>0</v>
      </c>
      <c r="O503" s="983">
        <f t="shared" si="48"/>
        <v>0</v>
      </c>
      <c r="P503" s="984">
        <f t="shared" si="49"/>
        <v>0</v>
      </c>
      <c r="Q503" s="938"/>
      <c r="R503" s="938"/>
      <c r="S503" s="939">
        <f t="shared" si="50"/>
        <v>143306</v>
      </c>
    </row>
    <row r="504" spans="1:19" ht="30" customHeight="1" x14ac:dyDescent="0.45">
      <c r="A504" s="933"/>
      <c r="C504" s="985"/>
      <c r="D504" s="953"/>
      <c r="E504" s="985"/>
      <c r="F504" s="954" t="s">
        <v>3084</v>
      </c>
      <c r="G504" s="972">
        <v>44283</v>
      </c>
      <c r="H504" s="983">
        <v>187108</v>
      </c>
      <c r="I504" s="985"/>
      <c r="J504" s="982">
        <f t="shared" si="43"/>
        <v>44283</v>
      </c>
      <c r="K504" s="983">
        <f t="shared" si="44"/>
        <v>4</v>
      </c>
      <c r="L504" s="983">
        <f t="shared" si="45"/>
        <v>187108</v>
      </c>
      <c r="M504" s="983">
        <f t="shared" si="46"/>
        <v>0</v>
      </c>
      <c r="N504" s="983">
        <f t="shared" si="47"/>
        <v>0</v>
      </c>
      <c r="O504" s="983">
        <f t="shared" si="48"/>
        <v>0</v>
      </c>
      <c r="P504" s="984">
        <f t="shared" si="49"/>
        <v>0</v>
      </c>
      <c r="Q504" s="938"/>
      <c r="R504" s="938"/>
      <c r="S504" s="939">
        <f t="shared" si="50"/>
        <v>187108</v>
      </c>
    </row>
    <row r="505" spans="1:19" ht="30" customHeight="1" x14ac:dyDescent="0.45">
      <c r="A505" s="933"/>
      <c r="C505" s="985"/>
      <c r="D505" s="953"/>
      <c r="E505" s="985"/>
      <c r="F505" s="954"/>
      <c r="G505" s="972"/>
      <c r="H505" s="983"/>
      <c r="I505" s="985"/>
      <c r="J505" s="982">
        <f t="shared" si="43"/>
        <v>0</v>
      </c>
      <c r="K505" s="983">
        <f t="shared" si="44"/>
        <v>44287</v>
      </c>
      <c r="L505" s="983">
        <f t="shared" si="45"/>
        <v>0</v>
      </c>
      <c r="M505" s="983">
        <f t="shared" si="46"/>
        <v>0</v>
      </c>
      <c r="N505" s="983">
        <f t="shared" si="47"/>
        <v>0</v>
      </c>
      <c r="O505" s="983">
        <f t="shared" si="48"/>
        <v>0</v>
      </c>
      <c r="P505" s="984">
        <f t="shared" si="49"/>
        <v>0</v>
      </c>
      <c r="Q505" s="938"/>
      <c r="R505" s="938"/>
      <c r="S505" s="939">
        <f t="shared" si="50"/>
        <v>0</v>
      </c>
    </row>
    <row r="506" spans="1:19" ht="30" customHeight="1" x14ac:dyDescent="0.45">
      <c r="A506" s="933"/>
      <c r="C506" s="985"/>
      <c r="D506" s="976"/>
      <c r="E506" s="985"/>
      <c r="F506" s="971"/>
      <c r="G506" s="972"/>
      <c r="H506" s="983"/>
      <c r="I506" s="985"/>
      <c r="J506" s="982">
        <f t="shared" si="43"/>
        <v>0</v>
      </c>
      <c r="K506" s="983">
        <f t="shared" si="44"/>
        <v>44287</v>
      </c>
      <c r="L506" s="983">
        <f t="shared" si="45"/>
        <v>0</v>
      </c>
      <c r="M506" s="983">
        <f t="shared" si="46"/>
        <v>0</v>
      </c>
      <c r="N506" s="983">
        <f t="shared" si="47"/>
        <v>0</v>
      </c>
      <c r="O506" s="983">
        <f t="shared" si="48"/>
        <v>0</v>
      </c>
      <c r="P506" s="984">
        <f t="shared" si="49"/>
        <v>0</v>
      </c>
      <c r="Q506" s="938"/>
      <c r="R506" s="938"/>
      <c r="S506" s="939">
        <f t="shared" si="50"/>
        <v>0</v>
      </c>
    </row>
    <row r="507" spans="1:19" ht="30" customHeight="1" x14ac:dyDescent="0.45">
      <c r="A507" s="933"/>
      <c r="C507" s="985"/>
      <c r="D507" s="976"/>
      <c r="E507" s="985"/>
      <c r="F507" s="971"/>
      <c r="G507" s="972"/>
      <c r="H507" s="983"/>
      <c r="I507" s="985"/>
      <c r="J507" s="982">
        <f t="shared" si="43"/>
        <v>0</v>
      </c>
      <c r="K507" s="983">
        <f t="shared" si="44"/>
        <v>44287</v>
      </c>
      <c r="L507" s="983">
        <f t="shared" si="45"/>
        <v>0</v>
      </c>
      <c r="M507" s="983">
        <f t="shared" si="46"/>
        <v>0</v>
      </c>
      <c r="N507" s="983">
        <f t="shared" si="47"/>
        <v>0</v>
      </c>
      <c r="O507" s="983">
        <f t="shared" si="48"/>
        <v>0</v>
      </c>
      <c r="P507" s="984">
        <f t="shared" si="49"/>
        <v>0</v>
      </c>
      <c r="Q507" s="938"/>
      <c r="R507" s="938"/>
      <c r="S507" s="939">
        <f t="shared" si="50"/>
        <v>0</v>
      </c>
    </row>
    <row r="508" spans="1:19" ht="30" customHeight="1" x14ac:dyDescent="0.45">
      <c r="A508" s="933"/>
      <c r="C508" s="985"/>
      <c r="D508" s="953" t="s">
        <v>3085</v>
      </c>
      <c r="E508" s="985"/>
      <c r="F508" s="954" t="s">
        <v>3086</v>
      </c>
      <c r="G508" s="972">
        <v>44277</v>
      </c>
      <c r="H508" s="983">
        <v>511714</v>
      </c>
      <c r="I508" s="985"/>
      <c r="J508" s="982">
        <f t="shared" si="43"/>
        <v>44277</v>
      </c>
      <c r="K508" s="983">
        <f t="shared" si="44"/>
        <v>10</v>
      </c>
      <c r="L508" s="983">
        <f t="shared" si="45"/>
        <v>511714</v>
      </c>
      <c r="M508" s="983">
        <f t="shared" si="46"/>
        <v>0</v>
      </c>
      <c r="N508" s="983">
        <f t="shared" si="47"/>
        <v>0</v>
      </c>
      <c r="O508" s="983">
        <f t="shared" si="48"/>
        <v>0</v>
      </c>
      <c r="P508" s="984">
        <f t="shared" si="49"/>
        <v>0</v>
      </c>
      <c r="Q508" s="938"/>
      <c r="R508" s="938"/>
      <c r="S508" s="939">
        <f t="shared" si="50"/>
        <v>511714</v>
      </c>
    </row>
    <row r="509" spans="1:19" ht="30" customHeight="1" x14ac:dyDescent="0.45">
      <c r="A509" s="933"/>
      <c r="C509" s="985"/>
      <c r="D509" s="976"/>
      <c r="E509" s="985"/>
      <c r="F509" s="971"/>
      <c r="G509" s="972"/>
      <c r="H509" s="983"/>
      <c r="I509" s="985"/>
      <c r="J509" s="982">
        <f t="shared" si="43"/>
        <v>0</v>
      </c>
      <c r="K509" s="983">
        <f t="shared" si="44"/>
        <v>44287</v>
      </c>
      <c r="L509" s="983">
        <f t="shared" si="45"/>
        <v>0</v>
      </c>
      <c r="M509" s="983">
        <f t="shared" si="46"/>
        <v>0</v>
      </c>
      <c r="N509" s="983">
        <f t="shared" si="47"/>
        <v>0</v>
      </c>
      <c r="O509" s="983">
        <f t="shared" si="48"/>
        <v>0</v>
      </c>
      <c r="P509" s="984">
        <f t="shared" si="49"/>
        <v>0</v>
      </c>
      <c r="Q509" s="938"/>
      <c r="R509" s="938"/>
      <c r="S509" s="939">
        <f t="shared" si="50"/>
        <v>0</v>
      </c>
    </row>
    <row r="510" spans="1:19" ht="30" customHeight="1" x14ac:dyDescent="0.45">
      <c r="A510" s="933"/>
      <c r="C510" s="985"/>
      <c r="D510" s="976"/>
      <c r="E510" s="985"/>
      <c r="F510" s="971"/>
      <c r="G510" s="972"/>
      <c r="H510" s="983"/>
      <c r="I510" s="985"/>
      <c r="J510" s="982">
        <f t="shared" si="43"/>
        <v>0</v>
      </c>
      <c r="K510" s="983">
        <f t="shared" si="44"/>
        <v>44287</v>
      </c>
      <c r="L510" s="983">
        <f t="shared" si="45"/>
        <v>0</v>
      </c>
      <c r="M510" s="983">
        <f t="shared" si="46"/>
        <v>0</v>
      </c>
      <c r="N510" s="983">
        <f t="shared" si="47"/>
        <v>0</v>
      </c>
      <c r="O510" s="983">
        <f t="shared" si="48"/>
        <v>0</v>
      </c>
      <c r="P510" s="984">
        <f t="shared" si="49"/>
        <v>0</v>
      </c>
      <c r="Q510" s="938"/>
      <c r="R510" s="938"/>
      <c r="S510" s="939">
        <f t="shared" si="50"/>
        <v>0</v>
      </c>
    </row>
    <row r="511" spans="1:19" ht="30" customHeight="1" x14ac:dyDescent="0.45">
      <c r="A511" s="933"/>
      <c r="C511" s="985"/>
      <c r="D511" s="953" t="s">
        <v>420</v>
      </c>
      <c r="E511" s="985"/>
      <c r="F511" s="954" t="s">
        <v>3087</v>
      </c>
      <c r="G511" s="955">
        <v>44221</v>
      </c>
      <c r="H511" s="983">
        <v>519122</v>
      </c>
      <c r="I511" s="985"/>
      <c r="J511" s="982">
        <f t="shared" si="43"/>
        <v>44221</v>
      </c>
      <c r="K511" s="983">
        <f t="shared" si="44"/>
        <v>66</v>
      </c>
      <c r="L511" s="983">
        <f t="shared" si="45"/>
        <v>519122</v>
      </c>
      <c r="M511" s="983">
        <f t="shared" si="46"/>
        <v>0</v>
      </c>
      <c r="N511" s="983">
        <f t="shared" si="47"/>
        <v>0</v>
      </c>
      <c r="O511" s="983">
        <f t="shared" si="48"/>
        <v>0</v>
      </c>
      <c r="P511" s="984">
        <f t="shared" si="49"/>
        <v>0</v>
      </c>
      <c r="Q511" s="938"/>
      <c r="R511" s="938"/>
      <c r="S511" s="939">
        <f t="shared" si="50"/>
        <v>519122</v>
      </c>
    </row>
    <row r="512" spans="1:19" ht="30" customHeight="1" x14ac:dyDescent="0.45">
      <c r="A512" s="933"/>
      <c r="C512" s="985"/>
      <c r="D512" s="976"/>
      <c r="E512" s="985"/>
      <c r="F512" s="954"/>
      <c r="G512" s="955"/>
      <c r="H512" s="983"/>
      <c r="I512" s="985"/>
      <c r="J512" s="982">
        <f t="shared" si="43"/>
        <v>0</v>
      </c>
      <c r="K512" s="983">
        <f t="shared" si="44"/>
        <v>44287</v>
      </c>
      <c r="L512" s="983">
        <f t="shared" si="45"/>
        <v>0</v>
      </c>
      <c r="M512" s="983">
        <f t="shared" si="46"/>
        <v>0</v>
      </c>
      <c r="N512" s="983">
        <f t="shared" si="47"/>
        <v>0</v>
      </c>
      <c r="O512" s="983">
        <f t="shared" si="48"/>
        <v>0</v>
      </c>
      <c r="P512" s="984">
        <f t="shared" si="49"/>
        <v>0</v>
      </c>
      <c r="Q512" s="938"/>
      <c r="R512" s="938"/>
      <c r="S512" s="939">
        <f t="shared" si="50"/>
        <v>0</v>
      </c>
    </row>
    <row r="513" spans="1:20" ht="30" customHeight="1" x14ac:dyDescent="0.45">
      <c r="A513" s="933"/>
      <c r="C513" s="985"/>
      <c r="D513" s="976"/>
      <c r="E513" s="985"/>
      <c r="F513" s="971"/>
      <c r="G513" s="972"/>
      <c r="H513" s="983"/>
      <c r="I513" s="985"/>
      <c r="J513" s="982">
        <f t="shared" si="43"/>
        <v>0</v>
      </c>
      <c r="K513" s="983">
        <f t="shared" si="44"/>
        <v>44287</v>
      </c>
      <c r="L513" s="983">
        <f t="shared" si="45"/>
        <v>0</v>
      </c>
      <c r="M513" s="983">
        <f t="shared" si="46"/>
        <v>0</v>
      </c>
      <c r="N513" s="983">
        <f t="shared" si="47"/>
        <v>0</v>
      </c>
      <c r="O513" s="983">
        <f t="shared" si="48"/>
        <v>0</v>
      </c>
      <c r="P513" s="984">
        <f t="shared" si="49"/>
        <v>0</v>
      </c>
      <c r="Q513" s="938"/>
      <c r="R513" s="938"/>
      <c r="S513" s="939">
        <f t="shared" si="50"/>
        <v>0</v>
      </c>
    </row>
    <row r="514" spans="1:20" ht="30" customHeight="1" x14ac:dyDescent="0.45">
      <c r="A514" s="933"/>
      <c r="C514" s="985"/>
      <c r="D514" s="976"/>
      <c r="E514" s="985"/>
      <c r="F514" s="971"/>
      <c r="G514" s="972"/>
      <c r="H514" s="983"/>
      <c r="I514" s="985"/>
      <c r="J514" s="982">
        <f t="shared" si="43"/>
        <v>0</v>
      </c>
      <c r="K514" s="983">
        <f t="shared" si="44"/>
        <v>44287</v>
      </c>
      <c r="L514" s="983">
        <f t="shared" si="45"/>
        <v>0</v>
      </c>
      <c r="M514" s="983">
        <f t="shared" si="46"/>
        <v>0</v>
      </c>
      <c r="N514" s="983">
        <f t="shared" si="47"/>
        <v>0</v>
      </c>
      <c r="O514" s="983">
        <f t="shared" si="48"/>
        <v>0</v>
      </c>
      <c r="P514" s="984">
        <f t="shared" si="49"/>
        <v>0</v>
      </c>
      <c r="Q514" s="938"/>
      <c r="R514" s="938"/>
      <c r="S514" s="939">
        <f t="shared" si="50"/>
        <v>0</v>
      </c>
    </row>
    <row r="515" spans="1:20" ht="30" customHeight="1" x14ac:dyDescent="0.45">
      <c r="A515" s="933"/>
      <c r="C515" s="985"/>
      <c r="D515" s="953" t="s">
        <v>339</v>
      </c>
      <c r="E515" s="985"/>
      <c r="F515" s="954" t="s">
        <v>3088</v>
      </c>
      <c r="G515" s="955">
        <v>44246</v>
      </c>
      <c r="H515" s="983"/>
      <c r="I515" s="985"/>
      <c r="J515" s="982">
        <f t="shared" si="43"/>
        <v>44246</v>
      </c>
      <c r="K515" s="983">
        <f t="shared" si="44"/>
        <v>41</v>
      </c>
      <c r="L515" s="983">
        <f t="shared" si="45"/>
        <v>0</v>
      </c>
      <c r="M515" s="983">
        <f t="shared" si="46"/>
        <v>0</v>
      </c>
      <c r="N515" s="983">
        <f t="shared" si="47"/>
        <v>0</v>
      </c>
      <c r="O515" s="983">
        <f t="shared" si="48"/>
        <v>0</v>
      </c>
      <c r="P515" s="984">
        <f t="shared" si="49"/>
        <v>0</v>
      </c>
      <c r="Q515" s="938"/>
      <c r="R515" s="938"/>
      <c r="S515" s="939">
        <f t="shared" si="50"/>
        <v>0</v>
      </c>
    </row>
    <row r="516" spans="1:20" ht="30" customHeight="1" x14ac:dyDescent="0.45">
      <c r="A516" s="933"/>
      <c r="C516" s="985"/>
      <c r="D516" s="953"/>
      <c r="E516" s="985"/>
      <c r="F516" s="971"/>
      <c r="G516" s="972"/>
      <c r="H516" s="983"/>
      <c r="I516" s="985"/>
      <c r="J516" s="982">
        <f t="shared" si="43"/>
        <v>0</v>
      </c>
      <c r="K516" s="983">
        <f t="shared" si="44"/>
        <v>44287</v>
      </c>
      <c r="L516" s="983">
        <f t="shared" si="45"/>
        <v>0</v>
      </c>
      <c r="M516" s="983">
        <f t="shared" si="46"/>
        <v>0</v>
      </c>
      <c r="N516" s="983">
        <f t="shared" si="47"/>
        <v>0</v>
      </c>
      <c r="O516" s="983">
        <f t="shared" si="48"/>
        <v>0</v>
      </c>
      <c r="P516" s="984">
        <f t="shared" si="49"/>
        <v>0</v>
      </c>
      <c r="Q516" s="938"/>
      <c r="R516" s="938"/>
      <c r="S516" s="939">
        <f t="shared" si="50"/>
        <v>0</v>
      </c>
    </row>
    <row r="517" spans="1:20" ht="30" customHeight="1" x14ac:dyDescent="0.45">
      <c r="A517" s="933"/>
      <c r="C517" s="985"/>
      <c r="D517" s="976"/>
      <c r="E517" s="985"/>
      <c r="F517" s="971"/>
      <c r="G517" s="972"/>
      <c r="H517" s="983"/>
      <c r="I517" s="985"/>
      <c r="J517" s="982">
        <f t="shared" si="43"/>
        <v>0</v>
      </c>
      <c r="K517" s="983">
        <f t="shared" si="44"/>
        <v>44287</v>
      </c>
      <c r="L517" s="983">
        <f t="shared" si="45"/>
        <v>0</v>
      </c>
      <c r="M517" s="983">
        <f t="shared" si="46"/>
        <v>0</v>
      </c>
      <c r="N517" s="983">
        <f t="shared" si="47"/>
        <v>0</v>
      </c>
      <c r="O517" s="983">
        <f t="shared" si="48"/>
        <v>0</v>
      </c>
      <c r="P517" s="984">
        <f t="shared" si="49"/>
        <v>0</v>
      </c>
      <c r="Q517" s="938"/>
      <c r="R517" s="938"/>
      <c r="S517" s="939">
        <f t="shared" si="50"/>
        <v>0</v>
      </c>
    </row>
    <row r="518" spans="1:20" ht="30" customHeight="1" x14ac:dyDescent="0.45">
      <c r="A518" s="933"/>
      <c r="C518" s="985"/>
      <c r="D518" s="976"/>
      <c r="E518" s="985"/>
      <c r="F518" s="971"/>
      <c r="G518" s="972"/>
      <c r="H518" s="983"/>
      <c r="I518" s="985"/>
      <c r="J518" s="982">
        <f t="shared" si="43"/>
        <v>0</v>
      </c>
      <c r="K518" s="983">
        <f t="shared" si="44"/>
        <v>44287</v>
      </c>
      <c r="L518" s="983">
        <f t="shared" si="45"/>
        <v>0</v>
      </c>
      <c r="M518" s="983">
        <f t="shared" si="46"/>
        <v>0</v>
      </c>
      <c r="N518" s="983">
        <f t="shared" si="47"/>
        <v>0</v>
      </c>
      <c r="O518" s="983">
        <f t="shared" si="48"/>
        <v>0</v>
      </c>
      <c r="P518" s="984">
        <f t="shared" si="49"/>
        <v>0</v>
      </c>
      <c r="Q518" s="938"/>
      <c r="R518" s="938"/>
      <c r="S518" s="939">
        <f t="shared" si="50"/>
        <v>0</v>
      </c>
    </row>
    <row r="519" spans="1:20" ht="30" customHeight="1" x14ac:dyDescent="0.45">
      <c r="A519" s="933"/>
      <c r="C519" s="985"/>
      <c r="D519" s="953" t="s">
        <v>122</v>
      </c>
      <c r="E519" s="985"/>
      <c r="F519" s="954" t="s">
        <v>3089</v>
      </c>
      <c r="G519" s="955">
        <v>44231</v>
      </c>
      <c r="H519" s="983">
        <v>193672</v>
      </c>
      <c r="I519" s="985"/>
      <c r="J519" s="982">
        <f t="shared" si="43"/>
        <v>44231</v>
      </c>
      <c r="K519" s="983">
        <f t="shared" si="44"/>
        <v>56</v>
      </c>
      <c r="L519" s="983">
        <f t="shared" si="45"/>
        <v>193672</v>
      </c>
      <c r="M519" s="983">
        <f t="shared" si="46"/>
        <v>0</v>
      </c>
      <c r="N519" s="983">
        <f t="shared" si="47"/>
        <v>0</v>
      </c>
      <c r="O519" s="983">
        <f t="shared" si="48"/>
        <v>0</v>
      </c>
      <c r="P519" s="984">
        <f t="shared" si="49"/>
        <v>0</v>
      </c>
      <c r="Q519" s="938"/>
      <c r="R519" s="938"/>
      <c r="S519" s="939">
        <f t="shared" si="50"/>
        <v>193672</v>
      </c>
    </row>
    <row r="520" spans="1:20" ht="30" customHeight="1" x14ac:dyDescent="0.45">
      <c r="A520" s="933"/>
      <c r="C520" s="985"/>
      <c r="D520" s="953"/>
      <c r="E520" s="985"/>
      <c r="F520" s="954" t="s">
        <v>3090</v>
      </c>
      <c r="G520" s="955">
        <v>44260</v>
      </c>
      <c r="H520" s="983">
        <v>313717</v>
      </c>
      <c r="I520" s="985"/>
      <c r="J520" s="982">
        <f t="shared" si="43"/>
        <v>44260</v>
      </c>
      <c r="K520" s="983">
        <f t="shared" si="44"/>
        <v>27</v>
      </c>
      <c r="L520" s="983">
        <f t="shared" si="45"/>
        <v>313717</v>
      </c>
      <c r="M520" s="983">
        <f t="shared" si="46"/>
        <v>0</v>
      </c>
      <c r="N520" s="983">
        <f t="shared" si="47"/>
        <v>0</v>
      </c>
      <c r="O520" s="983">
        <f t="shared" si="48"/>
        <v>0</v>
      </c>
      <c r="P520" s="984">
        <f t="shared" si="49"/>
        <v>0</v>
      </c>
      <c r="Q520" s="938"/>
      <c r="R520" s="938"/>
      <c r="S520" s="939">
        <f t="shared" si="50"/>
        <v>313717</v>
      </c>
    </row>
    <row r="521" spans="1:20" ht="30" customHeight="1" x14ac:dyDescent="0.45">
      <c r="A521" s="933"/>
      <c r="C521" s="985"/>
      <c r="D521" s="953"/>
      <c r="E521" s="985"/>
      <c r="F521" s="954" t="s">
        <v>3091</v>
      </c>
      <c r="G521" s="955">
        <v>44273</v>
      </c>
      <c r="H521" s="983">
        <v>383560</v>
      </c>
      <c r="I521" s="985"/>
      <c r="J521" s="982">
        <f t="shared" si="43"/>
        <v>44273</v>
      </c>
      <c r="K521" s="983">
        <f t="shared" si="44"/>
        <v>14</v>
      </c>
      <c r="L521" s="983">
        <f t="shared" si="45"/>
        <v>383560</v>
      </c>
      <c r="M521" s="983">
        <f t="shared" si="46"/>
        <v>0</v>
      </c>
      <c r="N521" s="983">
        <f t="shared" si="47"/>
        <v>0</v>
      </c>
      <c r="O521" s="983">
        <f t="shared" si="48"/>
        <v>0</v>
      </c>
      <c r="P521" s="984">
        <f t="shared" si="49"/>
        <v>0</v>
      </c>
      <c r="Q521" s="938"/>
      <c r="R521" s="938"/>
      <c r="S521" s="939">
        <f t="shared" si="50"/>
        <v>383560</v>
      </c>
    </row>
    <row r="522" spans="1:20" ht="30" customHeight="1" x14ac:dyDescent="0.45">
      <c r="A522" s="933"/>
      <c r="C522" s="985"/>
      <c r="D522" s="953"/>
      <c r="E522" s="985"/>
      <c r="F522" s="954"/>
      <c r="G522" s="955"/>
      <c r="H522" s="983"/>
      <c r="I522" s="985"/>
      <c r="J522" s="982">
        <f t="shared" si="43"/>
        <v>0</v>
      </c>
      <c r="K522" s="983">
        <f t="shared" si="44"/>
        <v>44287</v>
      </c>
      <c r="L522" s="983">
        <f t="shared" si="45"/>
        <v>0</v>
      </c>
      <c r="M522" s="983">
        <f t="shared" si="46"/>
        <v>0</v>
      </c>
      <c r="N522" s="983">
        <f t="shared" si="47"/>
        <v>0</v>
      </c>
      <c r="O522" s="983">
        <f t="shared" si="48"/>
        <v>0</v>
      </c>
      <c r="P522" s="984">
        <f t="shared" si="49"/>
        <v>0</v>
      </c>
      <c r="Q522" s="938"/>
      <c r="R522" s="938"/>
      <c r="S522" s="939">
        <f t="shared" si="50"/>
        <v>0</v>
      </c>
    </row>
    <row r="523" spans="1:20" ht="30" customHeight="1" x14ac:dyDescent="0.45">
      <c r="A523" s="933"/>
      <c r="C523" s="985"/>
      <c r="D523" s="976"/>
      <c r="E523" s="985"/>
      <c r="F523" s="971"/>
      <c r="G523" s="972"/>
      <c r="H523" s="983"/>
      <c r="I523" s="985"/>
      <c r="J523" s="982">
        <f t="shared" si="43"/>
        <v>0</v>
      </c>
      <c r="K523" s="983">
        <f t="shared" si="44"/>
        <v>44287</v>
      </c>
      <c r="L523" s="983">
        <f t="shared" si="45"/>
        <v>0</v>
      </c>
      <c r="M523" s="983">
        <f t="shared" si="46"/>
        <v>0</v>
      </c>
      <c r="N523" s="983">
        <f t="shared" si="47"/>
        <v>0</v>
      </c>
      <c r="O523" s="983">
        <f t="shared" si="48"/>
        <v>0</v>
      </c>
      <c r="P523" s="984">
        <f t="shared" si="49"/>
        <v>0</v>
      </c>
      <c r="Q523" s="938"/>
      <c r="R523" s="938"/>
      <c r="S523" s="939">
        <f t="shared" si="50"/>
        <v>0</v>
      </c>
    </row>
    <row r="524" spans="1:20" ht="30" customHeight="1" x14ac:dyDescent="0.45">
      <c r="A524" s="933"/>
      <c r="C524" s="985"/>
      <c r="D524" s="976"/>
      <c r="E524" s="985"/>
      <c r="F524" s="971"/>
      <c r="G524" s="972"/>
      <c r="H524" s="983"/>
      <c r="I524" s="985"/>
      <c r="J524" s="982">
        <f t="shared" si="43"/>
        <v>0</v>
      </c>
      <c r="K524" s="983">
        <f t="shared" si="44"/>
        <v>44287</v>
      </c>
      <c r="L524" s="983">
        <f t="shared" si="45"/>
        <v>0</v>
      </c>
      <c r="M524" s="983">
        <f t="shared" si="46"/>
        <v>0</v>
      </c>
      <c r="N524" s="983">
        <f t="shared" si="47"/>
        <v>0</v>
      </c>
      <c r="O524" s="983">
        <f t="shared" si="48"/>
        <v>0</v>
      </c>
      <c r="P524" s="984">
        <f t="shared" si="49"/>
        <v>0</v>
      </c>
      <c r="Q524" s="938"/>
      <c r="R524" s="938"/>
      <c r="S524" s="939">
        <f t="shared" si="50"/>
        <v>0</v>
      </c>
    </row>
    <row r="525" spans="1:20" ht="30" customHeight="1" x14ac:dyDescent="0.45">
      <c r="A525" s="933"/>
      <c r="C525" s="985"/>
      <c r="D525" s="953" t="s">
        <v>449</v>
      </c>
      <c r="E525" s="985"/>
      <c r="F525" s="954" t="s">
        <v>3092</v>
      </c>
      <c r="G525" s="972">
        <v>44233</v>
      </c>
      <c r="H525" s="983">
        <v>-12796</v>
      </c>
      <c r="I525" s="985"/>
      <c r="J525" s="982">
        <f t="shared" si="43"/>
        <v>44233</v>
      </c>
      <c r="K525" s="983">
        <f t="shared" si="44"/>
        <v>54</v>
      </c>
      <c r="L525" s="983">
        <f t="shared" si="45"/>
        <v>-12796</v>
      </c>
      <c r="M525" s="983">
        <f t="shared" si="46"/>
        <v>0</v>
      </c>
      <c r="N525" s="983">
        <f t="shared" si="47"/>
        <v>0</v>
      </c>
      <c r="O525" s="983">
        <f t="shared" si="48"/>
        <v>0</v>
      </c>
      <c r="P525" s="984">
        <f t="shared" si="49"/>
        <v>0</v>
      </c>
      <c r="Q525" s="938"/>
      <c r="R525" s="938"/>
      <c r="S525" s="992">
        <f t="shared" si="50"/>
        <v>-12796</v>
      </c>
    </row>
    <row r="526" spans="1:20" ht="30" customHeight="1" x14ac:dyDescent="0.45">
      <c r="A526" s="933"/>
      <c r="C526" s="985"/>
      <c r="D526" s="953"/>
      <c r="E526" s="985"/>
      <c r="F526" s="954" t="s">
        <v>3093</v>
      </c>
      <c r="G526" s="972">
        <v>44238</v>
      </c>
      <c r="H526" s="983">
        <v>-12806</v>
      </c>
      <c r="I526" s="985"/>
      <c r="J526" s="982">
        <f t="shared" si="43"/>
        <v>44238</v>
      </c>
      <c r="K526" s="983">
        <f t="shared" si="44"/>
        <v>49</v>
      </c>
      <c r="L526" s="983">
        <f t="shared" si="45"/>
        <v>-12806</v>
      </c>
      <c r="M526" s="983">
        <f t="shared" si="46"/>
        <v>0</v>
      </c>
      <c r="N526" s="983">
        <f t="shared" si="47"/>
        <v>0</v>
      </c>
      <c r="O526" s="983">
        <f t="shared" si="48"/>
        <v>0</v>
      </c>
      <c r="P526" s="984">
        <f t="shared" si="49"/>
        <v>0</v>
      </c>
      <c r="Q526" s="938"/>
      <c r="R526" s="938"/>
      <c r="S526" s="939">
        <f t="shared" si="50"/>
        <v>-12806</v>
      </c>
    </row>
    <row r="527" spans="1:20" ht="30" customHeight="1" x14ac:dyDescent="0.45">
      <c r="A527" s="933"/>
      <c r="C527" s="985"/>
      <c r="D527" s="953"/>
      <c r="E527" s="985"/>
      <c r="F527" s="954" t="s">
        <v>3094</v>
      </c>
      <c r="G527" s="972">
        <v>44282</v>
      </c>
      <c r="H527" s="983">
        <v>11505105</v>
      </c>
      <c r="I527" s="985"/>
      <c r="J527" s="982">
        <f t="shared" si="43"/>
        <v>44282</v>
      </c>
      <c r="K527" s="983">
        <f t="shared" si="44"/>
        <v>5</v>
      </c>
      <c r="L527" s="983">
        <f t="shared" si="45"/>
        <v>11505105</v>
      </c>
      <c r="M527" s="983">
        <f t="shared" si="46"/>
        <v>0</v>
      </c>
      <c r="N527" s="983">
        <f t="shared" si="47"/>
        <v>0</v>
      </c>
      <c r="O527" s="983">
        <f t="shared" si="48"/>
        <v>0</v>
      </c>
      <c r="P527" s="984">
        <f t="shared" si="49"/>
        <v>0</v>
      </c>
      <c r="Q527" s="938"/>
      <c r="R527" s="938"/>
      <c r="S527" s="939">
        <f t="shared" si="50"/>
        <v>11505105</v>
      </c>
      <c r="T527" s="950"/>
    </row>
    <row r="528" spans="1:20" ht="30" customHeight="1" x14ac:dyDescent="0.45">
      <c r="A528" s="933"/>
      <c r="C528" s="985"/>
      <c r="D528" s="953"/>
      <c r="E528" s="985"/>
      <c r="F528" s="954"/>
      <c r="G528" s="972"/>
      <c r="H528" s="983"/>
      <c r="I528" s="985"/>
      <c r="J528" s="982">
        <f t="shared" si="43"/>
        <v>0</v>
      </c>
      <c r="K528" s="983">
        <f t="shared" si="44"/>
        <v>44287</v>
      </c>
      <c r="L528" s="983">
        <f t="shared" si="45"/>
        <v>0</v>
      </c>
      <c r="M528" s="983">
        <f t="shared" si="46"/>
        <v>0</v>
      </c>
      <c r="N528" s="983">
        <f t="shared" si="47"/>
        <v>0</v>
      </c>
      <c r="O528" s="983">
        <f t="shared" si="48"/>
        <v>0</v>
      </c>
      <c r="P528" s="984">
        <f t="shared" si="49"/>
        <v>0</v>
      </c>
      <c r="Q528" s="938"/>
      <c r="R528" s="938"/>
      <c r="S528" s="939">
        <f t="shared" si="50"/>
        <v>0</v>
      </c>
    </row>
    <row r="529" spans="1:19" ht="30" customHeight="1" x14ac:dyDescent="0.45">
      <c r="A529" s="933"/>
      <c r="C529" s="985"/>
      <c r="D529" s="976"/>
      <c r="E529" s="985"/>
      <c r="F529" s="954"/>
      <c r="G529" s="972"/>
      <c r="H529" s="983"/>
      <c r="I529" s="985"/>
      <c r="J529" s="982">
        <f t="shared" si="43"/>
        <v>0</v>
      </c>
      <c r="K529" s="983">
        <f t="shared" si="44"/>
        <v>44287</v>
      </c>
      <c r="L529" s="983">
        <f t="shared" si="45"/>
        <v>0</v>
      </c>
      <c r="M529" s="983">
        <f t="shared" si="46"/>
        <v>0</v>
      </c>
      <c r="N529" s="983">
        <f t="shared" si="47"/>
        <v>0</v>
      </c>
      <c r="O529" s="983">
        <f t="shared" si="48"/>
        <v>0</v>
      </c>
      <c r="P529" s="984">
        <f t="shared" si="49"/>
        <v>0</v>
      </c>
      <c r="Q529" s="938"/>
      <c r="R529" s="938"/>
      <c r="S529" s="939">
        <f t="shared" si="50"/>
        <v>0</v>
      </c>
    </row>
    <row r="530" spans="1:19" ht="30" customHeight="1" x14ac:dyDescent="0.45">
      <c r="A530" s="933"/>
      <c r="C530" s="985"/>
      <c r="D530" s="976"/>
      <c r="E530" s="985"/>
      <c r="F530" s="971"/>
      <c r="G530" s="972"/>
      <c r="H530" s="983"/>
      <c r="I530" s="985"/>
      <c r="J530" s="982">
        <f t="shared" si="43"/>
        <v>0</v>
      </c>
      <c r="K530" s="983">
        <f t="shared" si="44"/>
        <v>44287</v>
      </c>
      <c r="L530" s="983">
        <f t="shared" si="45"/>
        <v>0</v>
      </c>
      <c r="M530" s="983">
        <f t="shared" si="46"/>
        <v>0</v>
      </c>
      <c r="N530" s="983">
        <f t="shared" si="47"/>
        <v>0</v>
      </c>
      <c r="O530" s="983">
        <f t="shared" si="48"/>
        <v>0</v>
      </c>
      <c r="P530" s="984">
        <f t="shared" si="49"/>
        <v>0</v>
      </c>
      <c r="Q530" s="938"/>
      <c r="R530" s="938"/>
      <c r="S530" s="939">
        <f t="shared" si="50"/>
        <v>0</v>
      </c>
    </row>
    <row r="531" spans="1:19" ht="30" customHeight="1" x14ac:dyDescent="0.45">
      <c r="A531" s="933"/>
      <c r="C531" s="985"/>
      <c r="D531" s="953" t="s">
        <v>3095</v>
      </c>
      <c r="E531" s="985"/>
      <c r="F531" s="954"/>
      <c r="G531" s="972"/>
      <c r="H531" s="983">
        <v>6461</v>
      </c>
      <c r="I531" s="985"/>
      <c r="J531" s="982">
        <f t="shared" si="43"/>
        <v>0</v>
      </c>
      <c r="K531" s="983">
        <f t="shared" si="44"/>
        <v>44287</v>
      </c>
      <c r="L531" s="983">
        <f t="shared" si="45"/>
        <v>0</v>
      </c>
      <c r="M531" s="983">
        <f t="shared" si="46"/>
        <v>0</v>
      </c>
      <c r="N531" s="983">
        <f t="shared" si="47"/>
        <v>0</v>
      </c>
      <c r="O531" s="983">
        <f t="shared" si="48"/>
        <v>0</v>
      </c>
      <c r="P531" s="984">
        <f t="shared" si="49"/>
        <v>6461</v>
      </c>
      <c r="Q531" s="938"/>
      <c r="R531" s="938"/>
      <c r="S531" s="939">
        <f t="shared" si="50"/>
        <v>6461</v>
      </c>
    </row>
    <row r="532" spans="1:19" ht="30" customHeight="1" x14ac:dyDescent="0.45">
      <c r="A532" s="933"/>
      <c r="C532" s="985"/>
      <c r="D532" s="976" t="s">
        <v>3096</v>
      </c>
      <c r="E532" s="985"/>
      <c r="F532" s="971"/>
      <c r="G532" s="972"/>
      <c r="H532" s="983"/>
      <c r="I532" s="985"/>
      <c r="J532" s="982">
        <f t="shared" si="43"/>
        <v>0</v>
      </c>
      <c r="K532" s="983">
        <f t="shared" si="44"/>
        <v>44287</v>
      </c>
      <c r="L532" s="983">
        <f t="shared" si="45"/>
        <v>0</v>
      </c>
      <c r="M532" s="983">
        <f t="shared" si="46"/>
        <v>0</v>
      </c>
      <c r="N532" s="983">
        <f t="shared" si="47"/>
        <v>0</v>
      </c>
      <c r="O532" s="983">
        <f t="shared" si="48"/>
        <v>0</v>
      </c>
      <c r="P532" s="984">
        <f t="shared" si="49"/>
        <v>0</v>
      </c>
      <c r="Q532" s="938"/>
      <c r="R532" s="938"/>
      <c r="S532" s="939">
        <f t="shared" si="50"/>
        <v>0</v>
      </c>
    </row>
    <row r="533" spans="1:19" ht="30" customHeight="1" x14ac:dyDescent="0.45">
      <c r="A533" s="933"/>
      <c r="C533" s="985"/>
      <c r="D533" s="976"/>
      <c r="E533" s="985"/>
      <c r="F533" s="971"/>
      <c r="G533" s="972"/>
      <c r="H533" s="983"/>
      <c r="I533" s="985"/>
      <c r="J533" s="982">
        <f t="shared" si="43"/>
        <v>0</v>
      </c>
      <c r="K533" s="983">
        <f t="shared" si="44"/>
        <v>44287</v>
      </c>
      <c r="L533" s="983">
        <f t="shared" si="45"/>
        <v>0</v>
      </c>
      <c r="M533" s="983">
        <f t="shared" si="46"/>
        <v>0</v>
      </c>
      <c r="N533" s="983">
        <f t="shared" si="47"/>
        <v>0</v>
      </c>
      <c r="O533" s="983">
        <f t="shared" si="48"/>
        <v>0</v>
      </c>
      <c r="P533" s="984">
        <f t="shared" si="49"/>
        <v>0</v>
      </c>
      <c r="Q533" s="938"/>
      <c r="R533" s="938"/>
      <c r="S533" s="939">
        <f t="shared" si="50"/>
        <v>0</v>
      </c>
    </row>
    <row r="534" spans="1:19" ht="30" customHeight="1" x14ac:dyDescent="0.45">
      <c r="A534" s="933"/>
      <c r="C534" s="985"/>
      <c r="D534" s="953" t="s">
        <v>3097</v>
      </c>
      <c r="E534" s="985"/>
      <c r="F534" s="954" t="s">
        <v>3098</v>
      </c>
      <c r="G534" s="955">
        <v>44263</v>
      </c>
      <c r="H534" s="983">
        <v>3430</v>
      </c>
      <c r="I534" s="985"/>
      <c r="J534" s="982">
        <f t="shared" si="43"/>
        <v>44263</v>
      </c>
      <c r="K534" s="983">
        <f t="shared" si="44"/>
        <v>24</v>
      </c>
      <c r="L534" s="983">
        <f t="shared" si="45"/>
        <v>3430</v>
      </c>
      <c r="M534" s="983">
        <f t="shared" si="46"/>
        <v>0</v>
      </c>
      <c r="N534" s="983">
        <f t="shared" si="47"/>
        <v>0</v>
      </c>
      <c r="O534" s="983">
        <f t="shared" si="48"/>
        <v>0</v>
      </c>
      <c r="P534" s="984">
        <f t="shared" si="49"/>
        <v>0</v>
      </c>
      <c r="Q534" s="938"/>
      <c r="R534" s="938"/>
      <c r="S534" s="939">
        <f t="shared" si="50"/>
        <v>3430</v>
      </c>
    </row>
    <row r="535" spans="1:19" ht="30" customHeight="1" x14ac:dyDescent="0.45">
      <c r="A535" s="933"/>
      <c r="C535" s="985"/>
      <c r="D535" s="953"/>
      <c r="E535" s="985"/>
      <c r="F535" s="954"/>
      <c r="G535" s="955"/>
      <c r="H535" s="983"/>
      <c r="I535" s="985"/>
      <c r="J535" s="982">
        <f t="shared" si="43"/>
        <v>0</v>
      </c>
      <c r="K535" s="983">
        <f t="shared" si="44"/>
        <v>44287</v>
      </c>
      <c r="L535" s="983">
        <f t="shared" si="45"/>
        <v>0</v>
      </c>
      <c r="M535" s="983">
        <f t="shared" si="46"/>
        <v>0</v>
      </c>
      <c r="N535" s="983">
        <f t="shared" si="47"/>
        <v>0</v>
      </c>
      <c r="O535" s="983">
        <f t="shared" si="48"/>
        <v>0</v>
      </c>
      <c r="P535" s="984">
        <f t="shared" si="49"/>
        <v>0</v>
      </c>
      <c r="Q535" s="938"/>
      <c r="R535" s="938"/>
      <c r="S535" s="939">
        <f t="shared" si="50"/>
        <v>0</v>
      </c>
    </row>
    <row r="536" spans="1:19" ht="30" customHeight="1" x14ac:dyDescent="0.45">
      <c r="A536" s="933"/>
      <c r="C536" s="985"/>
      <c r="D536" s="953"/>
      <c r="E536" s="985"/>
      <c r="F536" s="954"/>
      <c r="G536" s="955"/>
      <c r="H536" s="983"/>
      <c r="I536" s="985"/>
      <c r="J536" s="982">
        <f t="shared" si="43"/>
        <v>0</v>
      </c>
      <c r="K536" s="983">
        <f t="shared" si="44"/>
        <v>44287</v>
      </c>
      <c r="L536" s="983">
        <f t="shared" si="45"/>
        <v>0</v>
      </c>
      <c r="M536" s="983">
        <f t="shared" si="46"/>
        <v>0</v>
      </c>
      <c r="N536" s="983">
        <f t="shared" si="47"/>
        <v>0</v>
      </c>
      <c r="O536" s="983">
        <f t="shared" si="48"/>
        <v>0</v>
      </c>
      <c r="P536" s="984">
        <f t="shared" si="49"/>
        <v>0</v>
      </c>
      <c r="Q536" s="938"/>
      <c r="R536" s="938"/>
      <c r="S536" s="939">
        <f t="shared" si="50"/>
        <v>0</v>
      </c>
    </row>
    <row r="537" spans="1:19" ht="30" customHeight="1" x14ac:dyDescent="0.45">
      <c r="A537" s="933"/>
      <c r="C537" s="985"/>
      <c r="D537" s="953"/>
      <c r="E537" s="985"/>
      <c r="F537" s="954"/>
      <c r="G537" s="955"/>
      <c r="H537" s="983"/>
      <c r="I537" s="985"/>
      <c r="J537" s="982">
        <f t="shared" si="43"/>
        <v>0</v>
      </c>
      <c r="K537" s="983">
        <f t="shared" si="44"/>
        <v>44287</v>
      </c>
      <c r="L537" s="983">
        <f t="shared" si="45"/>
        <v>0</v>
      </c>
      <c r="M537" s="983">
        <f t="shared" si="46"/>
        <v>0</v>
      </c>
      <c r="N537" s="983">
        <f t="shared" si="47"/>
        <v>0</v>
      </c>
      <c r="O537" s="983">
        <f t="shared" si="48"/>
        <v>0</v>
      </c>
      <c r="P537" s="984">
        <f t="shared" si="49"/>
        <v>0</v>
      </c>
      <c r="Q537" s="938"/>
      <c r="R537" s="938"/>
      <c r="S537" s="939">
        <f t="shared" si="50"/>
        <v>0</v>
      </c>
    </row>
    <row r="538" spans="1:19" ht="30" customHeight="1" x14ac:dyDescent="0.45">
      <c r="A538" s="933"/>
      <c r="C538" s="985"/>
      <c r="D538" s="953" t="s">
        <v>258</v>
      </c>
      <c r="E538" s="985"/>
      <c r="F538" s="954" t="s">
        <v>3099</v>
      </c>
      <c r="G538" s="955">
        <v>44272</v>
      </c>
      <c r="H538" s="983">
        <v>2929</v>
      </c>
      <c r="I538" s="985"/>
      <c r="J538" s="982">
        <f t="shared" si="43"/>
        <v>44272</v>
      </c>
      <c r="K538" s="983">
        <f t="shared" si="44"/>
        <v>15</v>
      </c>
      <c r="L538" s="983">
        <f t="shared" si="45"/>
        <v>2929</v>
      </c>
      <c r="M538" s="983">
        <f t="shared" si="46"/>
        <v>0</v>
      </c>
      <c r="N538" s="983">
        <f t="shared" si="47"/>
        <v>0</v>
      </c>
      <c r="O538" s="983">
        <f t="shared" si="48"/>
        <v>0</v>
      </c>
      <c r="P538" s="984">
        <f t="shared" si="49"/>
        <v>0</v>
      </c>
      <c r="Q538" s="938"/>
      <c r="R538" s="938"/>
      <c r="S538" s="939">
        <f t="shared" si="50"/>
        <v>2929</v>
      </c>
    </row>
    <row r="539" spans="1:19" ht="30" customHeight="1" x14ac:dyDescent="0.45">
      <c r="A539" s="933"/>
      <c r="C539" s="985"/>
      <c r="D539" s="953"/>
      <c r="E539" s="985"/>
      <c r="F539" s="954"/>
      <c r="G539" s="972"/>
      <c r="H539" s="983"/>
      <c r="I539" s="985"/>
      <c r="J539" s="982">
        <f t="shared" si="43"/>
        <v>0</v>
      </c>
      <c r="K539" s="983">
        <f t="shared" si="44"/>
        <v>44287</v>
      </c>
      <c r="L539" s="983">
        <f t="shared" si="45"/>
        <v>0</v>
      </c>
      <c r="M539" s="983">
        <f t="shared" si="46"/>
        <v>0</v>
      </c>
      <c r="N539" s="983">
        <f t="shared" si="47"/>
        <v>0</v>
      </c>
      <c r="O539" s="983">
        <f t="shared" si="48"/>
        <v>0</v>
      </c>
      <c r="P539" s="984">
        <f t="shared" si="49"/>
        <v>0</v>
      </c>
      <c r="Q539" s="938"/>
      <c r="R539" s="938"/>
      <c r="S539" s="939">
        <f t="shared" si="50"/>
        <v>0</v>
      </c>
    </row>
    <row r="540" spans="1:19" ht="30" customHeight="1" x14ac:dyDescent="0.45">
      <c r="A540" s="933"/>
      <c r="C540" s="985"/>
      <c r="D540" s="976"/>
      <c r="E540" s="985"/>
      <c r="F540" s="971"/>
      <c r="G540" s="972"/>
      <c r="H540" s="983"/>
      <c r="I540" s="985"/>
      <c r="J540" s="982">
        <f t="shared" si="43"/>
        <v>0</v>
      </c>
      <c r="K540" s="983">
        <f t="shared" si="44"/>
        <v>44287</v>
      </c>
      <c r="L540" s="983">
        <f t="shared" si="45"/>
        <v>0</v>
      </c>
      <c r="M540" s="983">
        <f t="shared" si="46"/>
        <v>0</v>
      </c>
      <c r="N540" s="983">
        <f t="shared" si="47"/>
        <v>0</v>
      </c>
      <c r="O540" s="983">
        <f t="shared" si="48"/>
        <v>0</v>
      </c>
      <c r="P540" s="984">
        <f t="shared" si="49"/>
        <v>0</v>
      </c>
      <c r="Q540" s="938"/>
      <c r="R540" s="938"/>
      <c r="S540" s="939">
        <f t="shared" si="50"/>
        <v>0</v>
      </c>
    </row>
    <row r="541" spans="1:19" ht="30" customHeight="1" x14ac:dyDescent="0.45">
      <c r="A541" s="933"/>
      <c r="C541" s="985"/>
      <c r="D541" s="976"/>
      <c r="E541" s="985"/>
      <c r="F541" s="971"/>
      <c r="G541" s="972"/>
      <c r="H541" s="983"/>
      <c r="I541" s="985"/>
      <c r="J541" s="982">
        <f t="shared" si="43"/>
        <v>0</v>
      </c>
      <c r="K541" s="983">
        <f t="shared" si="44"/>
        <v>44287</v>
      </c>
      <c r="L541" s="983">
        <f t="shared" si="45"/>
        <v>0</v>
      </c>
      <c r="M541" s="983">
        <f t="shared" si="46"/>
        <v>0</v>
      </c>
      <c r="N541" s="983">
        <f t="shared" si="47"/>
        <v>0</v>
      </c>
      <c r="O541" s="983">
        <f t="shared" si="48"/>
        <v>0</v>
      </c>
      <c r="P541" s="984">
        <f t="shared" si="49"/>
        <v>0</v>
      </c>
      <c r="Q541" s="938"/>
      <c r="R541" s="938"/>
      <c r="S541" s="939">
        <f t="shared" si="50"/>
        <v>0</v>
      </c>
    </row>
    <row r="542" spans="1:19" ht="30" customHeight="1" x14ac:dyDescent="0.45">
      <c r="A542" s="933"/>
      <c r="C542" s="985"/>
      <c r="D542" s="976"/>
      <c r="E542" s="985"/>
      <c r="F542" s="954"/>
      <c r="G542" s="972"/>
      <c r="H542" s="983"/>
      <c r="I542" s="985"/>
      <c r="J542" s="982">
        <f t="shared" si="43"/>
        <v>0</v>
      </c>
      <c r="K542" s="983">
        <f t="shared" si="44"/>
        <v>44287</v>
      </c>
      <c r="L542" s="983">
        <f t="shared" si="45"/>
        <v>0</v>
      </c>
      <c r="M542" s="983">
        <f t="shared" si="46"/>
        <v>0</v>
      </c>
      <c r="N542" s="983">
        <f t="shared" si="47"/>
        <v>0</v>
      </c>
      <c r="O542" s="983">
        <f t="shared" si="48"/>
        <v>0</v>
      </c>
      <c r="P542" s="984">
        <f t="shared" si="49"/>
        <v>0</v>
      </c>
      <c r="Q542" s="938"/>
      <c r="R542" s="938"/>
      <c r="S542" s="939">
        <f t="shared" si="50"/>
        <v>0</v>
      </c>
    </row>
    <row r="543" spans="1:19" ht="30" customHeight="1" x14ac:dyDescent="0.45">
      <c r="A543" s="933"/>
      <c r="C543" s="985"/>
      <c r="D543" s="976"/>
      <c r="E543" s="985"/>
      <c r="F543" s="971"/>
      <c r="G543" s="972"/>
      <c r="H543" s="983"/>
      <c r="I543" s="985"/>
      <c r="J543" s="982">
        <f t="shared" si="43"/>
        <v>0</v>
      </c>
      <c r="K543" s="983">
        <f t="shared" si="44"/>
        <v>44287</v>
      </c>
      <c r="L543" s="983">
        <f t="shared" si="45"/>
        <v>0</v>
      </c>
      <c r="M543" s="983">
        <f t="shared" si="46"/>
        <v>0</v>
      </c>
      <c r="N543" s="983">
        <f t="shared" si="47"/>
        <v>0</v>
      </c>
      <c r="O543" s="983">
        <f t="shared" si="48"/>
        <v>0</v>
      </c>
      <c r="P543" s="984">
        <f t="shared" si="49"/>
        <v>0</v>
      </c>
      <c r="Q543" s="938"/>
      <c r="R543" s="938"/>
      <c r="S543" s="939">
        <f t="shared" si="50"/>
        <v>0</v>
      </c>
    </row>
    <row r="544" spans="1:19" ht="30" customHeight="1" x14ac:dyDescent="0.45">
      <c r="A544" s="933"/>
      <c r="C544" s="985"/>
      <c r="D544" s="976"/>
      <c r="E544" s="985"/>
      <c r="F544" s="971"/>
      <c r="G544" s="972"/>
      <c r="H544" s="983"/>
      <c r="I544" s="985"/>
      <c r="J544" s="982">
        <f t="shared" si="43"/>
        <v>0</v>
      </c>
      <c r="K544" s="983">
        <f t="shared" si="44"/>
        <v>44287</v>
      </c>
      <c r="L544" s="983">
        <f t="shared" si="45"/>
        <v>0</v>
      </c>
      <c r="M544" s="983">
        <f t="shared" si="46"/>
        <v>0</v>
      </c>
      <c r="N544" s="983">
        <f t="shared" si="47"/>
        <v>0</v>
      </c>
      <c r="O544" s="983">
        <f t="shared" si="48"/>
        <v>0</v>
      </c>
      <c r="P544" s="984">
        <f t="shared" si="49"/>
        <v>0</v>
      </c>
      <c r="Q544" s="938"/>
      <c r="R544" s="938"/>
      <c r="S544" s="939">
        <f t="shared" si="50"/>
        <v>0</v>
      </c>
    </row>
    <row r="545" spans="1:20" ht="30" customHeight="1" x14ac:dyDescent="0.45">
      <c r="A545" s="933"/>
      <c r="C545" s="985"/>
      <c r="D545" s="976"/>
      <c r="E545" s="985"/>
      <c r="F545" s="971"/>
      <c r="G545" s="972"/>
      <c r="H545" s="983"/>
      <c r="I545" s="985"/>
      <c r="J545" s="982">
        <f t="shared" si="43"/>
        <v>0</v>
      </c>
      <c r="K545" s="983">
        <f t="shared" si="44"/>
        <v>44287</v>
      </c>
      <c r="L545" s="983">
        <f t="shared" si="45"/>
        <v>0</v>
      </c>
      <c r="M545" s="983">
        <f t="shared" si="46"/>
        <v>0</v>
      </c>
      <c r="N545" s="983">
        <f t="shared" si="47"/>
        <v>0</v>
      </c>
      <c r="O545" s="983">
        <f t="shared" si="48"/>
        <v>0</v>
      </c>
      <c r="P545" s="984">
        <f t="shared" si="49"/>
        <v>0</v>
      </c>
      <c r="Q545" s="938"/>
      <c r="R545" s="938"/>
      <c r="S545" s="939">
        <f t="shared" si="50"/>
        <v>0</v>
      </c>
    </row>
    <row r="546" spans="1:20" ht="30" customHeight="1" x14ac:dyDescent="0.45">
      <c r="A546" s="933"/>
      <c r="C546" s="985"/>
      <c r="D546" s="993" t="s">
        <v>3100</v>
      </c>
      <c r="E546" s="985"/>
      <c r="F546" s="971"/>
      <c r="G546" s="972"/>
      <c r="H546" s="983"/>
      <c r="I546" s="985"/>
      <c r="J546" s="982">
        <f t="shared" si="43"/>
        <v>0</v>
      </c>
      <c r="K546" s="983">
        <f t="shared" si="44"/>
        <v>44287</v>
      </c>
      <c r="L546" s="983">
        <f t="shared" si="45"/>
        <v>0</v>
      </c>
      <c r="M546" s="983">
        <f t="shared" si="46"/>
        <v>0</v>
      </c>
      <c r="N546" s="983">
        <f t="shared" si="47"/>
        <v>0</v>
      </c>
      <c r="O546" s="983">
        <f t="shared" si="48"/>
        <v>0</v>
      </c>
      <c r="P546" s="984">
        <f t="shared" si="49"/>
        <v>0</v>
      </c>
      <c r="Q546" s="938"/>
      <c r="R546" s="938"/>
      <c r="S546" s="939">
        <f t="shared" si="50"/>
        <v>0</v>
      </c>
    </row>
    <row r="547" spans="1:20" ht="30" customHeight="1" x14ac:dyDescent="0.45">
      <c r="A547" s="933"/>
      <c r="C547" s="985"/>
      <c r="D547" s="976"/>
      <c r="E547" s="985"/>
      <c r="F547" s="971"/>
      <c r="G547" s="972"/>
      <c r="H547" s="983"/>
      <c r="I547" s="985"/>
      <c r="J547" s="982">
        <f t="shared" si="43"/>
        <v>0</v>
      </c>
      <c r="K547" s="983">
        <f t="shared" si="44"/>
        <v>44287</v>
      </c>
      <c r="L547" s="983">
        <f t="shared" si="45"/>
        <v>0</v>
      </c>
      <c r="M547" s="983">
        <f t="shared" si="46"/>
        <v>0</v>
      </c>
      <c r="N547" s="983">
        <f t="shared" si="47"/>
        <v>0</v>
      </c>
      <c r="O547" s="983">
        <f t="shared" si="48"/>
        <v>0</v>
      </c>
      <c r="P547" s="984">
        <f t="shared" si="49"/>
        <v>0</v>
      </c>
      <c r="Q547" s="938"/>
      <c r="R547" s="938"/>
      <c r="S547" s="939">
        <f t="shared" si="50"/>
        <v>0</v>
      </c>
    </row>
    <row r="548" spans="1:20" ht="30" customHeight="1" x14ac:dyDescent="0.45">
      <c r="A548" s="933"/>
      <c r="C548" s="985"/>
      <c r="D548" s="976"/>
      <c r="E548" s="985"/>
      <c r="F548" s="994" t="s">
        <v>3101</v>
      </c>
      <c r="G548" s="972"/>
      <c r="H548" s="983"/>
      <c r="I548" s="985"/>
      <c r="J548" s="982">
        <f t="shared" si="43"/>
        <v>0</v>
      </c>
      <c r="K548" s="983">
        <f t="shared" si="44"/>
        <v>44287</v>
      </c>
      <c r="L548" s="983">
        <f t="shared" si="45"/>
        <v>0</v>
      </c>
      <c r="M548" s="983">
        <f t="shared" si="46"/>
        <v>0</v>
      </c>
      <c r="N548" s="983">
        <f t="shared" si="47"/>
        <v>0</v>
      </c>
      <c r="O548" s="983">
        <f t="shared" si="48"/>
        <v>0</v>
      </c>
      <c r="P548" s="984">
        <f t="shared" si="49"/>
        <v>0</v>
      </c>
      <c r="Q548" s="938"/>
      <c r="R548" s="938"/>
      <c r="S548" s="939">
        <f t="shared" si="50"/>
        <v>0</v>
      </c>
    </row>
    <row r="549" spans="1:20" ht="30" customHeight="1" x14ac:dyDescent="0.45">
      <c r="A549" s="933"/>
      <c r="C549" s="985"/>
      <c r="D549" s="976"/>
      <c r="E549" s="985"/>
      <c r="F549" s="971"/>
      <c r="G549" s="972"/>
      <c r="H549" s="983"/>
      <c r="I549" s="985"/>
      <c r="J549" s="982">
        <f t="shared" si="43"/>
        <v>0</v>
      </c>
      <c r="K549" s="983">
        <f t="shared" si="44"/>
        <v>44287</v>
      </c>
      <c r="L549" s="983">
        <f t="shared" si="45"/>
        <v>0</v>
      </c>
      <c r="M549" s="983">
        <f t="shared" si="46"/>
        <v>0</v>
      </c>
      <c r="N549" s="983">
        <f t="shared" si="47"/>
        <v>0</v>
      </c>
      <c r="O549" s="983">
        <f t="shared" si="48"/>
        <v>0</v>
      </c>
      <c r="P549" s="984">
        <f t="shared" si="49"/>
        <v>0</v>
      </c>
      <c r="Q549" s="938"/>
      <c r="R549" s="938"/>
      <c r="S549" s="939">
        <f t="shared" si="50"/>
        <v>0</v>
      </c>
    </row>
    <row r="550" spans="1:20" ht="30" customHeight="1" x14ac:dyDescent="0.45">
      <c r="A550" s="933"/>
      <c r="C550" s="985"/>
      <c r="D550" s="976" t="s">
        <v>3102</v>
      </c>
      <c r="E550" s="985"/>
      <c r="F550" s="954" t="s">
        <v>3103</v>
      </c>
      <c r="G550" s="972">
        <v>44275</v>
      </c>
      <c r="H550" s="983">
        <v>-34754</v>
      </c>
      <c r="I550" s="985"/>
      <c r="J550" s="982">
        <f t="shared" si="43"/>
        <v>44275</v>
      </c>
      <c r="K550" s="983">
        <f t="shared" si="44"/>
        <v>12</v>
      </c>
      <c r="L550" s="983">
        <f t="shared" si="45"/>
        <v>-34754</v>
      </c>
      <c r="M550" s="983">
        <f t="shared" si="46"/>
        <v>0</v>
      </c>
      <c r="N550" s="983">
        <f t="shared" si="47"/>
        <v>0</v>
      </c>
      <c r="O550" s="983">
        <f t="shared" si="48"/>
        <v>0</v>
      </c>
      <c r="P550" s="984">
        <f t="shared" si="49"/>
        <v>0</v>
      </c>
      <c r="Q550" s="938"/>
      <c r="R550" s="938"/>
      <c r="S550" s="939">
        <f t="shared" si="50"/>
        <v>-34754</v>
      </c>
    </row>
    <row r="551" spans="1:20" ht="30" customHeight="1" x14ac:dyDescent="0.45">
      <c r="A551" s="933"/>
      <c r="C551" s="985"/>
      <c r="D551" s="976" t="s">
        <v>3104</v>
      </c>
      <c r="E551" s="985"/>
      <c r="F551" s="954"/>
      <c r="G551" s="972"/>
      <c r="H551" s="983"/>
      <c r="I551" s="985"/>
      <c r="J551" s="982">
        <f t="shared" si="43"/>
        <v>0</v>
      </c>
      <c r="K551" s="983">
        <f t="shared" si="44"/>
        <v>44287</v>
      </c>
      <c r="L551" s="983">
        <f t="shared" si="45"/>
        <v>0</v>
      </c>
      <c r="M551" s="983">
        <f t="shared" si="46"/>
        <v>0</v>
      </c>
      <c r="N551" s="983">
        <f t="shared" si="47"/>
        <v>0</v>
      </c>
      <c r="O551" s="983">
        <f t="shared" si="48"/>
        <v>0</v>
      </c>
      <c r="P551" s="984">
        <f t="shared" si="49"/>
        <v>0</v>
      </c>
      <c r="Q551" s="938"/>
      <c r="R551" s="938"/>
      <c r="S551" s="939">
        <f t="shared" si="50"/>
        <v>0</v>
      </c>
    </row>
    <row r="552" spans="1:20" ht="30" customHeight="1" x14ac:dyDescent="0.45">
      <c r="A552" s="933"/>
      <c r="C552" s="985"/>
      <c r="D552" s="976"/>
      <c r="E552" s="985"/>
      <c r="F552" s="954"/>
      <c r="G552" s="972"/>
      <c r="H552" s="983"/>
      <c r="I552" s="985"/>
      <c r="J552" s="982">
        <f t="shared" si="43"/>
        <v>0</v>
      </c>
      <c r="K552" s="983">
        <f t="shared" si="44"/>
        <v>44287</v>
      </c>
      <c r="L552" s="983">
        <f t="shared" si="45"/>
        <v>0</v>
      </c>
      <c r="M552" s="983">
        <f t="shared" si="46"/>
        <v>0</v>
      </c>
      <c r="N552" s="983">
        <f t="shared" si="47"/>
        <v>0</v>
      </c>
      <c r="O552" s="983">
        <f t="shared" si="48"/>
        <v>0</v>
      </c>
      <c r="P552" s="984">
        <f t="shared" si="49"/>
        <v>0</v>
      </c>
      <c r="Q552" s="938"/>
      <c r="R552" s="938"/>
      <c r="S552" s="939">
        <f t="shared" si="50"/>
        <v>0</v>
      </c>
    </row>
    <row r="553" spans="1:20" ht="30" customHeight="1" x14ac:dyDescent="0.45">
      <c r="A553" s="933"/>
      <c r="C553" s="985"/>
      <c r="D553" s="976"/>
      <c r="E553" s="985"/>
      <c r="F553" s="971"/>
      <c r="G553" s="972"/>
      <c r="H553" s="983"/>
      <c r="I553" s="985"/>
      <c r="J553" s="982">
        <f t="shared" si="43"/>
        <v>0</v>
      </c>
      <c r="K553" s="983">
        <f t="shared" si="44"/>
        <v>44287</v>
      </c>
      <c r="L553" s="983">
        <f t="shared" si="45"/>
        <v>0</v>
      </c>
      <c r="M553" s="983">
        <f t="shared" si="46"/>
        <v>0</v>
      </c>
      <c r="N553" s="983">
        <f t="shared" si="47"/>
        <v>0</v>
      </c>
      <c r="O553" s="983">
        <f t="shared" si="48"/>
        <v>0</v>
      </c>
      <c r="P553" s="984">
        <f t="shared" si="49"/>
        <v>0</v>
      </c>
      <c r="Q553" s="938"/>
      <c r="R553" s="938"/>
      <c r="S553" s="939">
        <f t="shared" si="50"/>
        <v>0</v>
      </c>
    </row>
    <row r="554" spans="1:20" ht="30" customHeight="1" x14ac:dyDescent="0.45">
      <c r="A554" s="933"/>
      <c r="C554" s="985"/>
      <c r="D554" s="976" t="s">
        <v>212</v>
      </c>
      <c r="E554" s="985"/>
      <c r="F554" s="971"/>
      <c r="G554" s="972"/>
      <c r="H554" s="983"/>
      <c r="I554" s="985"/>
      <c r="J554" s="982">
        <f t="shared" si="43"/>
        <v>0</v>
      </c>
      <c r="K554" s="983">
        <f t="shared" si="44"/>
        <v>44287</v>
      </c>
      <c r="L554" s="983">
        <f t="shared" si="45"/>
        <v>0</v>
      </c>
      <c r="M554" s="983">
        <f t="shared" si="46"/>
        <v>0</v>
      </c>
      <c r="N554" s="983">
        <f t="shared" si="47"/>
        <v>0</v>
      </c>
      <c r="O554" s="983">
        <f t="shared" si="48"/>
        <v>0</v>
      </c>
      <c r="P554" s="984">
        <f t="shared" si="49"/>
        <v>0</v>
      </c>
      <c r="Q554" s="938"/>
      <c r="R554" s="938"/>
      <c r="S554" s="939">
        <f t="shared" si="50"/>
        <v>0</v>
      </c>
    </row>
    <row r="555" spans="1:20" ht="30" customHeight="1" x14ac:dyDescent="0.45">
      <c r="A555" s="933"/>
      <c r="C555" s="985"/>
      <c r="D555" s="985"/>
      <c r="E555" s="985"/>
      <c r="F555" s="971"/>
      <c r="G555" s="982"/>
      <c r="H555" s="983"/>
      <c r="I555" s="985"/>
      <c r="J555" s="982">
        <f t="shared" si="43"/>
        <v>0</v>
      </c>
      <c r="K555" s="983">
        <f t="shared" si="44"/>
        <v>44287</v>
      </c>
      <c r="L555" s="983">
        <f t="shared" si="45"/>
        <v>0</v>
      </c>
      <c r="M555" s="983">
        <f t="shared" si="46"/>
        <v>0</v>
      </c>
      <c r="N555" s="983">
        <f t="shared" si="47"/>
        <v>0</v>
      </c>
      <c r="O555" s="983">
        <f t="shared" si="48"/>
        <v>0</v>
      </c>
      <c r="P555" s="984">
        <f t="shared" si="49"/>
        <v>0</v>
      </c>
      <c r="Q555" s="938"/>
      <c r="R555" s="938"/>
      <c r="S555" s="992">
        <f t="shared" si="50"/>
        <v>0</v>
      </c>
      <c r="T555" s="919" t="s">
        <v>3105</v>
      </c>
    </row>
    <row r="556" spans="1:20" ht="30" customHeight="1" x14ac:dyDescent="0.45">
      <c r="A556" s="933"/>
      <c r="C556" s="985"/>
      <c r="D556" s="985"/>
      <c r="E556" s="985"/>
      <c r="F556" s="985"/>
      <c r="G556" s="982"/>
      <c r="H556" s="983"/>
      <c r="I556" s="985"/>
      <c r="J556" s="982">
        <f t="shared" si="43"/>
        <v>0</v>
      </c>
      <c r="K556" s="983">
        <f t="shared" si="44"/>
        <v>44287</v>
      </c>
      <c r="L556" s="983">
        <f t="shared" si="45"/>
        <v>0</v>
      </c>
      <c r="M556" s="983">
        <f t="shared" si="46"/>
        <v>0</v>
      </c>
      <c r="N556" s="983">
        <f t="shared" si="47"/>
        <v>0</v>
      </c>
      <c r="O556" s="983">
        <f t="shared" si="48"/>
        <v>0</v>
      </c>
      <c r="P556" s="984">
        <f t="shared" si="49"/>
        <v>0</v>
      </c>
      <c r="Q556" s="938"/>
      <c r="R556" s="938"/>
      <c r="S556" s="939">
        <f t="shared" si="50"/>
        <v>0</v>
      </c>
    </row>
    <row r="557" spans="1:20" ht="30" customHeight="1" x14ac:dyDescent="0.45">
      <c r="A557" s="933"/>
      <c r="C557" s="985">
        <f>C149+1</f>
        <v>134</v>
      </c>
      <c r="D557" s="985"/>
      <c r="E557" s="985"/>
      <c r="F557" s="985"/>
      <c r="G557" s="982"/>
      <c r="H557" s="983"/>
      <c r="I557" s="985"/>
      <c r="J557" s="982">
        <f t="shared" si="43"/>
        <v>0</v>
      </c>
      <c r="K557" s="983">
        <f t="shared" si="44"/>
        <v>44287</v>
      </c>
      <c r="L557" s="983">
        <f t="shared" si="45"/>
        <v>0</v>
      </c>
      <c r="M557" s="983">
        <f t="shared" si="46"/>
        <v>0</v>
      </c>
      <c r="N557" s="983">
        <f t="shared" si="47"/>
        <v>0</v>
      </c>
      <c r="O557" s="983">
        <f t="shared" si="48"/>
        <v>0</v>
      </c>
      <c r="P557" s="984">
        <f t="shared" si="49"/>
        <v>0</v>
      </c>
      <c r="Q557" s="938"/>
      <c r="R557" s="938"/>
      <c r="S557" s="939">
        <f t="shared" si="50"/>
        <v>0</v>
      </c>
    </row>
    <row r="558" spans="1:20" s="996" customFormat="1" ht="30" customHeight="1" x14ac:dyDescent="0.4">
      <c r="A558" s="995"/>
      <c r="C558" s="997"/>
      <c r="D558" s="998"/>
      <c r="E558" s="997"/>
      <c r="F558" s="998"/>
      <c r="G558" s="999"/>
      <c r="H558" s="1000">
        <f>SUM(H7:H557)</f>
        <v>167246062</v>
      </c>
      <c r="I558" s="1000"/>
      <c r="J558" s="999"/>
      <c r="K558" s="1000"/>
      <c r="L558" s="1000">
        <f>SUM(L7:L557)</f>
        <v>167240482</v>
      </c>
      <c r="M558" s="1000">
        <f>SUM(M7:M557)</f>
        <v>32572</v>
      </c>
      <c r="N558" s="1000">
        <f>SUM(N7:N557)</f>
        <v>1571</v>
      </c>
      <c r="O558" s="1000">
        <f>SUM(O7:O557)</f>
        <v>480</v>
      </c>
      <c r="P558" s="1001">
        <f>SUM(P7:P557)</f>
        <v>-29043</v>
      </c>
      <c r="Q558" s="1002"/>
      <c r="R558" s="1003"/>
      <c r="S558" s="1003"/>
    </row>
    <row r="560" spans="1:20" x14ac:dyDescent="0.45">
      <c r="G560" s="1006"/>
    </row>
    <row r="561" spans="5:16" x14ac:dyDescent="0.45">
      <c r="G561" s="1006"/>
      <c r="H561" s="1010"/>
    </row>
    <row r="562" spans="5:16" x14ac:dyDescent="0.45">
      <c r="G562" s="1011"/>
    </row>
    <row r="563" spans="5:16" x14ac:dyDescent="0.45">
      <c r="G563" s="1006"/>
    </row>
    <row r="564" spans="5:16" x14ac:dyDescent="0.45">
      <c r="G564" s="1006"/>
      <c r="H564" s="1010">
        <f>+H558-H561</f>
        <v>167246062</v>
      </c>
      <c r="L564" s="1012"/>
    </row>
    <row r="568" spans="5:16" x14ac:dyDescent="0.45">
      <c r="E568" s="1946" t="s">
        <v>3106</v>
      </c>
      <c r="F568" s="1946"/>
      <c r="G568" s="1946"/>
      <c r="H568" s="1013"/>
      <c r="I568" s="1014"/>
      <c r="J568" s="950"/>
      <c r="K568" s="1015"/>
      <c r="L568" s="950"/>
      <c r="M568" s="950"/>
      <c r="N568" s="950"/>
      <c r="O568" s="950"/>
      <c r="P568" s="950"/>
    </row>
    <row r="569" spans="5:16" x14ac:dyDescent="0.45">
      <c r="E569" s="1947" t="s">
        <v>2641</v>
      </c>
      <c r="F569" s="1948"/>
      <c r="G569" s="1949"/>
      <c r="H569" s="1016">
        <f>SUMIF($E$7:$E$557,E569,$H$7:$H$557)</f>
        <v>0</v>
      </c>
      <c r="I569" s="1017">
        <f t="shared" ref="I569:I575" si="51">H569/$H$578%</f>
        <v>0</v>
      </c>
      <c r="J569" s="1018"/>
      <c r="K569" s="1019"/>
      <c r="L569" s="1017">
        <f t="shared" ref="L569:L574" si="52">SUMIF($E$7:$E$557,E569,$L$7:$L$557)</f>
        <v>0</v>
      </c>
      <c r="M569" s="1017">
        <f t="shared" ref="M569:M574" si="53">SUMIF($E$7:$E$557,E569,$M$7:$M$557)</f>
        <v>0</v>
      </c>
      <c r="N569" s="1017">
        <f t="shared" ref="N569:N574" si="54">SUMIF($E$7:$E$557,$E569,$N$7:$N$557)</f>
        <v>0</v>
      </c>
      <c r="O569" s="1017">
        <f t="shared" ref="O569:O574" si="55">SUMIF($E$7:$E$557,$E569,$O$7:$O$557)</f>
        <v>0</v>
      </c>
      <c r="P569" s="1017">
        <f t="shared" ref="P569:P574" si="56">SUMIF($E$7:$E$557,$E569,$P$7:$P$557)</f>
        <v>0</v>
      </c>
    </row>
    <row r="570" spans="5:16" x14ac:dyDescent="0.45">
      <c r="E570" s="1947" t="s">
        <v>2643</v>
      </c>
      <c r="F570" s="1948"/>
      <c r="G570" s="1949"/>
      <c r="H570" s="1016">
        <f>SUMIF($E$7:$E$557,E570,$H$7:$H$557)</f>
        <v>551</v>
      </c>
      <c r="I570" s="1016">
        <f t="shared" si="51"/>
        <v>3.2945469293022873E-4</v>
      </c>
      <c r="J570" s="1018"/>
      <c r="K570" s="1019"/>
      <c r="L570" s="1017">
        <f t="shared" si="52"/>
        <v>0</v>
      </c>
      <c r="M570" s="1017">
        <f t="shared" si="53"/>
        <v>0</v>
      </c>
      <c r="N570" s="1017">
        <f t="shared" si="54"/>
        <v>0</v>
      </c>
      <c r="O570" s="1017">
        <f t="shared" si="55"/>
        <v>551</v>
      </c>
      <c r="P570" s="1017">
        <f t="shared" si="56"/>
        <v>0</v>
      </c>
    </row>
    <row r="571" spans="5:16" x14ac:dyDescent="0.45">
      <c r="E571" s="1947"/>
      <c r="F571" s="1948"/>
      <c r="G571" s="1949"/>
      <c r="H571" s="1016">
        <f>SUMIF($E$7:$E$557,E571,$G$7:$G$557)</f>
        <v>0</v>
      </c>
      <c r="I571" s="1016">
        <f t="shared" si="51"/>
        <v>0</v>
      </c>
      <c r="J571" s="1018"/>
      <c r="K571" s="1019"/>
      <c r="L571" s="1017">
        <f t="shared" si="52"/>
        <v>0</v>
      </c>
      <c r="M571" s="1017">
        <f t="shared" si="53"/>
        <v>0</v>
      </c>
      <c r="N571" s="1017">
        <f t="shared" si="54"/>
        <v>0</v>
      </c>
      <c r="O571" s="1017">
        <f t="shared" si="55"/>
        <v>0</v>
      </c>
      <c r="P571" s="1017">
        <f t="shared" si="56"/>
        <v>0</v>
      </c>
    </row>
    <row r="572" spans="5:16" x14ac:dyDescent="0.45">
      <c r="E572" s="1947"/>
      <c r="F572" s="1948"/>
      <c r="G572" s="1949"/>
      <c r="H572" s="1016">
        <f>SUMIF($E$7:$E$557,E572,$G$7:$G$557)</f>
        <v>0</v>
      </c>
      <c r="I572" s="1016">
        <f t="shared" si="51"/>
        <v>0</v>
      </c>
      <c r="J572" s="1018"/>
      <c r="K572" s="1019"/>
      <c r="L572" s="1017">
        <f t="shared" si="52"/>
        <v>0</v>
      </c>
      <c r="M572" s="1017">
        <f t="shared" si="53"/>
        <v>0</v>
      </c>
      <c r="N572" s="1017">
        <f t="shared" si="54"/>
        <v>0</v>
      </c>
      <c r="O572" s="1017">
        <f t="shared" si="55"/>
        <v>0</v>
      </c>
      <c r="P572" s="1017">
        <f t="shared" si="56"/>
        <v>0</v>
      </c>
    </row>
    <row r="573" spans="5:16" x14ac:dyDescent="0.45">
      <c r="E573" s="1947"/>
      <c r="F573" s="1948"/>
      <c r="G573" s="1949"/>
      <c r="H573" s="1016">
        <f>SUMIF($E$7:$E$557,E573,$G$7:$G$557)</f>
        <v>0</v>
      </c>
      <c r="I573" s="1016">
        <f t="shared" si="51"/>
        <v>0</v>
      </c>
      <c r="J573" s="1018"/>
      <c r="K573" s="1019"/>
      <c r="L573" s="1017">
        <f t="shared" si="52"/>
        <v>0</v>
      </c>
      <c r="M573" s="1017">
        <f t="shared" si="53"/>
        <v>0</v>
      </c>
      <c r="N573" s="1017">
        <f t="shared" si="54"/>
        <v>0</v>
      </c>
      <c r="O573" s="1017">
        <f t="shared" si="55"/>
        <v>0</v>
      </c>
      <c r="P573" s="1017">
        <f t="shared" si="56"/>
        <v>0</v>
      </c>
    </row>
    <row r="574" spans="5:16" x14ac:dyDescent="0.45">
      <c r="E574" s="1947"/>
      <c r="F574" s="1948"/>
      <c r="G574" s="1949"/>
      <c r="H574" s="1016">
        <f>SUMIF($E$7:$E$557,E574,$G$7:$G$557)</f>
        <v>0</v>
      </c>
      <c r="I574" s="1016">
        <f t="shared" si="51"/>
        <v>0</v>
      </c>
      <c r="J574" s="1018"/>
      <c r="K574" s="1019"/>
      <c r="L574" s="1017">
        <f t="shared" si="52"/>
        <v>0</v>
      </c>
      <c r="M574" s="1017">
        <f t="shared" si="53"/>
        <v>0</v>
      </c>
      <c r="N574" s="1017">
        <f t="shared" si="54"/>
        <v>0</v>
      </c>
      <c r="O574" s="1017">
        <f t="shared" si="55"/>
        <v>0</v>
      </c>
      <c r="P574" s="1017">
        <f t="shared" si="56"/>
        <v>0</v>
      </c>
    </row>
    <row r="575" spans="5:16" x14ac:dyDescent="0.45">
      <c r="E575" s="1947"/>
      <c r="F575" s="1948"/>
      <c r="G575" s="1949"/>
      <c r="H575" s="1016">
        <f>SUMIF($E$7:$E$557,E575,$G$7:$G$557)</f>
        <v>0</v>
      </c>
      <c r="I575" s="1016">
        <f t="shared" si="51"/>
        <v>0</v>
      </c>
      <c r="J575" s="1018"/>
      <c r="K575" s="1019"/>
      <c r="L575" s="1018"/>
      <c r="M575" s="1018"/>
      <c r="N575" s="1018"/>
      <c r="O575" s="1018"/>
      <c r="P575" s="1018"/>
    </row>
    <row r="576" spans="5:16" x14ac:dyDescent="0.45">
      <c r="E576" s="919"/>
      <c r="F576" s="1020"/>
      <c r="G576" s="919"/>
      <c r="H576" s="1021"/>
      <c r="J576" s="1021"/>
      <c r="K576" s="1015"/>
      <c r="L576" s="1021"/>
      <c r="M576" s="1021"/>
      <c r="N576" s="1021"/>
      <c r="O576" s="1021"/>
      <c r="P576" s="1021"/>
    </row>
    <row r="577" spans="5:16" x14ac:dyDescent="0.45">
      <c r="E577" s="919"/>
      <c r="F577" s="1020"/>
      <c r="G577" s="919"/>
      <c r="H577" s="1021"/>
      <c r="J577" s="1021"/>
      <c r="K577" s="1015"/>
      <c r="L577" s="1021"/>
      <c r="M577" s="1021"/>
      <c r="N577" s="1021"/>
      <c r="O577" s="1021"/>
      <c r="P577" s="1021"/>
    </row>
    <row r="578" spans="5:16" x14ac:dyDescent="0.45">
      <c r="E578" s="1938" t="s">
        <v>3107</v>
      </c>
      <c r="F578" s="1939"/>
      <c r="G578" s="1940"/>
      <c r="H578" s="1022">
        <f>SUM(H7:H557)</f>
        <v>167246062</v>
      </c>
      <c r="I578" s="1023"/>
      <c r="J578" s="1024"/>
      <c r="K578" s="1025"/>
      <c r="L578" s="1022">
        <f>SUM(L7:L557)</f>
        <v>167240482</v>
      </c>
      <c r="M578" s="1022">
        <f>SUM(M7:M557)</f>
        <v>32572</v>
      </c>
      <c r="N578" s="1022">
        <f>SUM(N7:N557)</f>
        <v>1571</v>
      </c>
      <c r="O578" s="1022">
        <f>SUM(O7:O557)</f>
        <v>480</v>
      </c>
      <c r="P578" s="1022">
        <f>SUM(P7:P557)</f>
        <v>-29043</v>
      </c>
    </row>
    <row r="579" spans="5:16" x14ac:dyDescent="0.45">
      <c r="E579" s="1026"/>
      <c r="F579" s="1020"/>
      <c r="H579" s="1021"/>
      <c r="J579" s="1021"/>
      <c r="K579" s="1015"/>
      <c r="L579" s="1021"/>
      <c r="M579" s="1021"/>
      <c r="N579" s="1021"/>
      <c r="O579" s="1021"/>
      <c r="P579" s="1021"/>
    </row>
    <row r="580" spans="5:16" x14ac:dyDescent="0.45">
      <c r="E580" s="1938" t="s">
        <v>3108</v>
      </c>
      <c r="F580" s="1939"/>
      <c r="G580" s="1940"/>
      <c r="H580" s="1022">
        <f>SUM(H7:H557)-SUM(H569:H575)</f>
        <v>167245511</v>
      </c>
      <c r="I580" s="1017"/>
      <c r="J580" s="1027"/>
      <c r="K580" s="1019"/>
      <c r="L580" s="1022">
        <f>SUM(L7:L557)-SUM(L569:L575)</f>
        <v>167240482</v>
      </c>
      <c r="M580" s="1022">
        <f>SUM(M7:M557)-SUM(M569:M575)</f>
        <v>32572</v>
      </c>
      <c r="N580" s="1022">
        <f>SUM(N7:N557)-SUM(N569:N575)</f>
        <v>1571</v>
      </c>
      <c r="O580" s="1022">
        <f>SUM(O7:O557)-SUM(O569:O575)</f>
        <v>-71</v>
      </c>
      <c r="P580" s="1022">
        <f>SUM(P7:P557)-SUM(P569:P575)</f>
        <v>-29043</v>
      </c>
    </row>
  </sheetData>
  <mergeCells count="22">
    <mergeCell ref="C1:P1"/>
    <mergeCell ref="C3:P3"/>
    <mergeCell ref="C5:C6"/>
    <mergeCell ref="D5:D6"/>
    <mergeCell ref="E5:E6"/>
    <mergeCell ref="F5:F6"/>
    <mergeCell ref="G5:G6"/>
    <mergeCell ref="H5:H6"/>
    <mergeCell ref="I5:I6"/>
    <mergeCell ref="J5:J6"/>
    <mergeCell ref="E580:G580"/>
    <mergeCell ref="K5:K6"/>
    <mergeCell ref="L5:P5"/>
    <mergeCell ref="E568:G568"/>
    <mergeCell ref="E569:G569"/>
    <mergeCell ref="E570:G570"/>
    <mergeCell ref="E571:G571"/>
    <mergeCell ref="E572:G572"/>
    <mergeCell ref="E573:G573"/>
    <mergeCell ref="E574:G574"/>
    <mergeCell ref="E575:G575"/>
    <mergeCell ref="E578:G578"/>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86"/>
  <sheetViews>
    <sheetView topLeftCell="A362" workbookViewId="0">
      <selection activeCell="A9" sqref="A9:C386"/>
    </sheetView>
  </sheetViews>
  <sheetFormatPr defaultRowHeight="15" x14ac:dyDescent="0.25"/>
  <sheetData>
    <row r="1" spans="1:3" ht="15.75" x14ac:dyDescent="0.25">
      <c r="A1" s="1841" t="s">
        <v>0</v>
      </c>
      <c r="B1" s="1841"/>
      <c r="C1" s="1841"/>
    </row>
    <row r="2" spans="1:3" x14ac:dyDescent="0.25">
      <c r="A2" s="1842" t="s">
        <v>4</v>
      </c>
      <c r="B2" s="1842"/>
      <c r="C2" s="1842"/>
    </row>
    <row r="3" spans="1:3" ht="15.75" x14ac:dyDescent="0.25">
      <c r="A3" s="1960" t="s">
        <v>5</v>
      </c>
      <c r="B3" s="1960"/>
      <c r="C3" s="1960"/>
    </row>
    <row r="4" spans="1:3" x14ac:dyDescent="0.25">
      <c r="A4" s="1834" t="s">
        <v>6</v>
      </c>
      <c r="B4" s="1834"/>
      <c r="C4" s="1834"/>
    </row>
    <row r="5" spans="1:3" x14ac:dyDescent="0.25">
      <c r="A5" s="1225" t="s">
        <v>7</v>
      </c>
      <c r="B5" s="1961" t="s">
        <v>8</v>
      </c>
      <c r="C5" s="1962"/>
    </row>
    <row r="6" spans="1:3" x14ac:dyDescent="0.25">
      <c r="A6" s="233" t="s">
        <v>9</v>
      </c>
      <c r="B6" s="1963" t="s">
        <v>6</v>
      </c>
      <c r="C6" s="1964"/>
    </row>
    <row r="7" spans="1:3" x14ac:dyDescent="0.25">
      <c r="A7" s="233" t="s">
        <v>7</v>
      </c>
      <c r="B7" s="1958" t="s">
        <v>10</v>
      </c>
      <c r="C7" s="1959"/>
    </row>
    <row r="8" spans="1:3" x14ac:dyDescent="0.25">
      <c r="A8" s="234" t="s">
        <v>7</v>
      </c>
      <c r="B8" s="235" t="s">
        <v>11</v>
      </c>
      <c r="C8" s="235" t="s">
        <v>12</v>
      </c>
    </row>
    <row r="9" spans="1:3" x14ac:dyDescent="0.25">
      <c r="A9" s="236" t="s">
        <v>13</v>
      </c>
      <c r="B9" s="237">
        <v>67823511</v>
      </c>
      <c r="C9" s="238"/>
    </row>
    <row r="10" spans="1:3" x14ac:dyDescent="0.25">
      <c r="A10" s="8" t="s">
        <v>15</v>
      </c>
      <c r="B10" s="239">
        <v>13000000</v>
      </c>
      <c r="C10" s="240"/>
    </row>
    <row r="11" spans="1:3" x14ac:dyDescent="0.25">
      <c r="A11" s="8" t="s">
        <v>16</v>
      </c>
      <c r="B11" s="239">
        <v>69186</v>
      </c>
      <c r="C11" s="240"/>
    </row>
    <row r="12" spans="1:3" x14ac:dyDescent="0.25">
      <c r="A12" s="8" t="s">
        <v>17</v>
      </c>
      <c r="B12" s="239">
        <v>3825310</v>
      </c>
      <c r="C12" s="240"/>
    </row>
    <row r="13" spans="1:3" x14ac:dyDescent="0.25">
      <c r="A13" s="8" t="s">
        <v>18</v>
      </c>
      <c r="B13" s="240"/>
      <c r="C13" s="239">
        <v>156125</v>
      </c>
    </row>
    <row r="14" spans="1:3" x14ac:dyDescent="0.25">
      <c r="A14" s="8" t="s">
        <v>19</v>
      </c>
      <c r="B14" s="239">
        <v>3124400</v>
      </c>
      <c r="C14" s="240"/>
    </row>
    <row r="15" spans="1:3" x14ac:dyDescent="0.25">
      <c r="A15" s="8" t="s">
        <v>20</v>
      </c>
      <c r="B15" s="239">
        <v>7858026.4299999997</v>
      </c>
      <c r="C15" s="240"/>
    </row>
    <row r="16" spans="1:3" x14ac:dyDescent="0.25">
      <c r="A16" s="8" t="s">
        <v>21</v>
      </c>
      <c r="B16" s="239">
        <v>4500</v>
      </c>
      <c r="C16" s="240"/>
    </row>
    <row r="17" spans="1:3" x14ac:dyDescent="0.25">
      <c r="A17" s="8" t="s">
        <v>22</v>
      </c>
      <c r="B17" s="240"/>
      <c r="C17" s="239">
        <v>68388</v>
      </c>
    </row>
    <row r="18" spans="1:3" x14ac:dyDescent="0.25">
      <c r="A18" s="8" t="s">
        <v>23</v>
      </c>
      <c r="B18" s="239">
        <v>6461</v>
      </c>
      <c r="C18" s="240"/>
    </row>
    <row r="19" spans="1:3" x14ac:dyDescent="0.25">
      <c r="A19" s="8" t="s">
        <v>24</v>
      </c>
      <c r="B19" s="239">
        <v>1585664</v>
      </c>
      <c r="C19" s="240"/>
    </row>
    <row r="20" spans="1:3" x14ac:dyDescent="0.25">
      <c r="A20" s="8" t="s">
        <v>25</v>
      </c>
      <c r="B20" s="240"/>
      <c r="C20" s="239">
        <v>2353055</v>
      </c>
    </row>
    <row r="21" spans="1:3" x14ac:dyDescent="0.25">
      <c r="A21" s="8" t="s">
        <v>26</v>
      </c>
      <c r="B21" s="240"/>
      <c r="C21" s="239">
        <v>941222</v>
      </c>
    </row>
    <row r="22" spans="1:3" x14ac:dyDescent="0.25">
      <c r="A22" s="8" t="s">
        <v>27</v>
      </c>
      <c r="B22" s="239">
        <v>19000</v>
      </c>
      <c r="C22" s="240"/>
    </row>
    <row r="23" spans="1:3" x14ac:dyDescent="0.25">
      <c r="A23" s="8" t="s">
        <v>28</v>
      </c>
      <c r="B23" s="239">
        <v>9000</v>
      </c>
      <c r="C23" s="240"/>
    </row>
    <row r="24" spans="1:3" x14ac:dyDescent="0.25">
      <c r="A24" s="8" t="s">
        <v>29</v>
      </c>
      <c r="B24" s="240"/>
      <c r="C24" s="239">
        <v>50553</v>
      </c>
    </row>
    <row r="25" spans="1:3" x14ac:dyDescent="0.25">
      <c r="A25" s="8" t="s">
        <v>30</v>
      </c>
      <c r="B25" s="239">
        <v>4000</v>
      </c>
      <c r="C25" s="240"/>
    </row>
    <row r="26" spans="1:3" x14ac:dyDescent="0.25">
      <c r="A26" s="8" t="s">
        <v>31</v>
      </c>
      <c r="B26" s="240"/>
      <c r="C26" s="239">
        <v>61249</v>
      </c>
    </row>
    <row r="27" spans="1:3" x14ac:dyDescent="0.25">
      <c r="A27" s="8" t="s">
        <v>32</v>
      </c>
      <c r="B27" s="240"/>
      <c r="C27" s="239">
        <v>1176528</v>
      </c>
    </row>
    <row r="28" spans="1:3" x14ac:dyDescent="0.25">
      <c r="A28" s="8" t="s">
        <v>33</v>
      </c>
      <c r="B28" s="239">
        <v>134911.04000000001</v>
      </c>
      <c r="C28" s="240"/>
    </row>
    <row r="29" spans="1:3" x14ac:dyDescent="0.25">
      <c r="A29" s="8" t="s">
        <v>34</v>
      </c>
      <c r="B29" s="239">
        <v>91200</v>
      </c>
      <c r="C29" s="240"/>
    </row>
    <row r="30" spans="1:3" x14ac:dyDescent="0.25">
      <c r="A30" s="8" t="s">
        <v>35</v>
      </c>
      <c r="B30" s="239">
        <v>97878</v>
      </c>
      <c r="C30" s="240"/>
    </row>
    <row r="31" spans="1:3" x14ac:dyDescent="0.25">
      <c r="A31" s="8" t="s">
        <v>36</v>
      </c>
      <c r="B31" s="239">
        <v>48970</v>
      </c>
      <c r="C31" s="240"/>
    </row>
    <row r="32" spans="1:3" x14ac:dyDescent="0.25">
      <c r="A32" s="8" t="s">
        <v>37</v>
      </c>
      <c r="B32" s="239">
        <v>274305</v>
      </c>
      <c r="C32" s="240"/>
    </row>
    <row r="33" spans="1:3" x14ac:dyDescent="0.25">
      <c r="A33" s="8" t="s">
        <v>38</v>
      </c>
      <c r="B33" s="240"/>
      <c r="C33" s="239">
        <v>262245</v>
      </c>
    </row>
    <row r="34" spans="1:3" x14ac:dyDescent="0.25">
      <c r="A34" s="8" t="s">
        <v>39</v>
      </c>
      <c r="B34" s="240"/>
      <c r="C34" s="239">
        <v>209878</v>
      </c>
    </row>
    <row r="35" spans="1:3" x14ac:dyDescent="0.25">
      <c r="A35" s="8" t="s">
        <v>40</v>
      </c>
      <c r="B35" s="239">
        <v>3207346</v>
      </c>
      <c r="C35" s="240"/>
    </row>
    <row r="36" spans="1:3" x14ac:dyDescent="0.25">
      <c r="A36" s="8" t="s">
        <v>41</v>
      </c>
      <c r="B36" s="239">
        <v>2575</v>
      </c>
      <c r="C36" s="240"/>
    </row>
    <row r="37" spans="1:3" x14ac:dyDescent="0.25">
      <c r="A37" s="8" t="s">
        <v>42</v>
      </c>
      <c r="B37" s="240"/>
      <c r="C37" s="239">
        <v>82125</v>
      </c>
    </row>
    <row r="38" spans="1:3" x14ac:dyDescent="0.25">
      <c r="A38" s="8" t="s">
        <v>43</v>
      </c>
      <c r="B38" s="239">
        <v>58923230.630000003</v>
      </c>
      <c r="C38" s="240"/>
    </row>
    <row r="39" spans="1:3" x14ac:dyDescent="0.25">
      <c r="A39" s="8" t="s">
        <v>45</v>
      </c>
      <c r="B39" s="240"/>
      <c r="C39" s="239">
        <v>20413989</v>
      </c>
    </row>
    <row r="40" spans="1:3" x14ac:dyDescent="0.25">
      <c r="A40" s="8" t="s">
        <v>46</v>
      </c>
      <c r="B40" s="240"/>
      <c r="C40" s="239">
        <v>32332</v>
      </c>
    </row>
    <row r="41" spans="1:3" x14ac:dyDescent="0.25">
      <c r="A41" s="8" t="s">
        <v>47</v>
      </c>
      <c r="B41" s="239">
        <v>364309</v>
      </c>
      <c r="C41" s="240"/>
    </row>
    <row r="42" spans="1:3" x14ac:dyDescent="0.25">
      <c r="A42" s="8" t="s">
        <v>48</v>
      </c>
      <c r="B42" s="239">
        <v>95263</v>
      </c>
      <c r="C42" s="240"/>
    </row>
    <row r="43" spans="1:3" x14ac:dyDescent="0.25">
      <c r="A43" s="8" t="s">
        <v>49</v>
      </c>
      <c r="B43" s="239">
        <v>81600</v>
      </c>
      <c r="C43" s="240"/>
    </row>
    <row r="44" spans="1:3" x14ac:dyDescent="0.25">
      <c r="A44" s="8" t="s">
        <v>50</v>
      </c>
      <c r="B44" s="239">
        <v>255504</v>
      </c>
      <c r="C44" s="240"/>
    </row>
    <row r="45" spans="1:3" x14ac:dyDescent="0.25">
      <c r="A45" s="8" t="s">
        <v>52</v>
      </c>
      <c r="B45" s="240"/>
      <c r="C45" s="239">
        <v>4520</v>
      </c>
    </row>
    <row r="46" spans="1:3" x14ac:dyDescent="0.25">
      <c r="A46" s="8" t="s">
        <v>71</v>
      </c>
      <c r="B46" s="240"/>
      <c r="C46" s="239">
        <v>2852087</v>
      </c>
    </row>
    <row r="47" spans="1:3" x14ac:dyDescent="0.25">
      <c r="A47" s="8" t="s">
        <v>72</v>
      </c>
      <c r="B47" s="239">
        <v>61274.11</v>
      </c>
      <c r="C47" s="240"/>
    </row>
    <row r="48" spans="1:3" x14ac:dyDescent="0.25">
      <c r="A48" s="8" t="s">
        <v>73</v>
      </c>
      <c r="B48" s="239">
        <v>19377618</v>
      </c>
      <c r="C48" s="240"/>
    </row>
    <row r="49" spans="1:3" x14ac:dyDescent="0.25">
      <c r="A49" s="8" t="s">
        <v>74</v>
      </c>
      <c r="B49" s="239">
        <v>396306</v>
      </c>
      <c r="C49" s="240"/>
    </row>
    <row r="50" spans="1:3" x14ac:dyDescent="0.25">
      <c r="A50" s="8" t="s">
        <v>75</v>
      </c>
      <c r="B50" s="240"/>
      <c r="C50" s="239">
        <v>638291</v>
      </c>
    </row>
    <row r="51" spans="1:3" x14ac:dyDescent="0.25">
      <c r="A51" s="8" t="s">
        <v>76</v>
      </c>
      <c r="B51" s="239">
        <v>4000</v>
      </c>
      <c r="C51" s="240"/>
    </row>
    <row r="52" spans="1:3" x14ac:dyDescent="0.25">
      <c r="A52" s="8" t="s">
        <v>77</v>
      </c>
      <c r="B52" s="239">
        <v>34675595</v>
      </c>
      <c r="C52" s="240"/>
    </row>
    <row r="53" spans="1:3" x14ac:dyDescent="0.25">
      <c r="A53" s="8" t="s">
        <v>78</v>
      </c>
      <c r="B53" s="239">
        <v>614111</v>
      </c>
      <c r="C53" s="240"/>
    </row>
    <row r="54" spans="1:3" x14ac:dyDescent="0.25">
      <c r="A54" s="8" t="s">
        <v>79</v>
      </c>
      <c r="B54" s="239">
        <v>25835930</v>
      </c>
      <c r="C54" s="240"/>
    </row>
    <row r="55" spans="1:3" x14ac:dyDescent="0.25">
      <c r="A55" s="8" t="s">
        <v>80</v>
      </c>
      <c r="B55" s="239">
        <v>171625</v>
      </c>
      <c r="C55" s="240"/>
    </row>
    <row r="56" spans="1:3" x14ac:dyDescent="0.25">
      <c r="A56" s="8" t="s">
        <v>81</v>
      </c>
      <c r="B56" s="239">
        <v>61275</v>
      </c>
      <c r="C56" s="240"/>
    </row>
    <row r="57" spans="1:3" x14ac:dyDescent="0.25">
      <c r="A57" s="8" t="s">
        <v>82</v>
      </c>
      <c r="B57" s="239">
        <v>38717565.439999998</v>
      </c>
      <c r="C57" s="240"/>
    </row>
    <row r="58" spans="1:3" x14ac:dyDescent="0.25">
      <c r="A58" s="8" t="s">
        <v>83</v>
      </c>
      <c r="B58" s="239">
        <v>313371</v>
      </c>
      <c r="C58" s="240"/>
    </row>
    <row r="59" spans="1:3" x14ac:dyDescent="0.25">
      <c r="A59" s="8" t="s">
        <v>84</v>
      </c>
      <c r="B59" s="239">
        <v>81671</v>
      </c>
      <c r="C59" s="240"/>
    </row>
    <row r="60" spans="1:3" x14ac:dyDescent="0.25">
      <c r="A60" s="8" t="s">
        <v>85</v>
      </c>
      <c r="B60" s="239">
        <v>1806809</v>
      </c>
      <c r="C60" s="240"/>
    </row>
    <row r="61" spans="1:3" x14ac:dyDescent="0.25">
      <c r="A61" s="8" t="s">
        <v>86</v>
      </c>
      <c r="B61" s="239">
        <v>744525.7</v>
      </c>
      <c r="C61" s="240"/>
    </row>
    <row r="62" spans="1:3" x14ac:dyDescent="0.25">
      <c r="A62" s="8" t="s">
        <v>87</v>
      </c>
      <c r="B62" s="239">
        <v>7000</v>
      </c>
      <c r="C62" s="240"/>
    </row>
    <row r="63" spans="1:3" x14ac:dyDescent="0.25">
      <c r="A63" s="8" t="s">
        <v>88</v>
      </c>
      <c r="B63" s="239">
        <v>57713</v>
      </c>
      <c r="C63" s="240"/>
    </row>
    <row r="64" spans="1:3" x14ac:dyDescent="0.25">
      <c r="A64" s="8" t="s">
        <v>89</v>
      </c>
      <c r="B64" s="240"/>
      <c r="C64" s="239">
        <v>23574</v>
      </c>
    </row>
    <row r="65" spans="1:3" x14ac:dyDescent="0.25">
      <c r="A65" s="8" t="s">
        <v>90</v>
      </c>
      <c r="B65" s="240"/>
      <c r="C65" s="239">
        <v>206714</v>
      </c>
    </row>
    <row r="66" spans="1:3" x14ac:dyDescent="0.25">
      <c r="A66" s="8" t="s">
        <v>91</v>
      </c>
      <c r="B66" s="239">
        <v>30655</v>
      </c>
      <c r="C66" s="240"/>
    </row>
    <row r="67" spans="1:3" x14ac:dyDescent="0.25">
      <c r="A67" s="8" t="s">
        <v>92</v>
      </c>
      <c r="B67" s="239">
        <v>25835</v>
      </c>
      <c r="C67" s="240"/>
    </row>
    <row r="68" spans="1:3" x14ac:dyDescent="0.25">
      <c r="A68" s="8" t="s">
        <v>93</v>
      </c>
      <c r="B68" s="239">
        <v>62901</v>
      </c>
      <c r="C68" s="240"/>
    </row>
    <row r="69" spans="1:3" x14ac:dyDescent="0.25">
      <c r="A69" s="8" t="s">
        <v>94</v>
      </c>
      <c r="B69" s="239">
        <v>44221.5</v>
      </c>
      <c r="C69" s="240"/>
    </row>
    <row r="70" spans="1:3" x14ac:dyDescent="0.25">
      <c r="A70" s="8" t="s">
        <v>1437</v>
      </c>
      <c r="B70" s="239">
        <v>500</v>
      </c>
      <c r="C70" s="240"/>
    </row>
    <row r="71" spans="1:3" x14ac:dyDescent="0.25">
      <c r="A71" s="8" t="s">
        <v>95</v>
      </c>
      <c r="B71" s="239">
        <v>629000</v>
      </c>
      <c r="C71" s="240"/>
    </row>
    <row r="72" spans="1:3" x14ac:dyDescent="0.25">
      <c r="A72" s="8" t="s">
        <v>1362</v>
      </c>
      <c r="B72" s="240"/>
      <c r="C72" s="239">
        <v>247500</v>
      </c>
    </row>
    <row r="73" spans="1:3" x14ac:dyDescent="0.25">
      <c r="A73" s="8" t="s">
        <v>98</v>
      </c>
      <c r="B73" s="240"/>
      <c r="C73" s="239">
        <v>2151570</v>
      </c>
    </row>
    <row r="74" spans="1:3" x14ac:dyDescent="0.25">
      <c r="A74" s="8" t="s">
        <v>99</v>
      </c>
      <c r="B74" s="240"/>
      <c r="C74" s="239">
        <v>20264926</v>
      </c>
    </row>
    <row r="75" spans="1:3" x14ac:dyDescent="0.25">
      <c r="A75" s="8" t="s">
        <v>100</v>
      </c>
      <c r="B75" s="239">
        <v>1137100</v>
      </c>
      <c r="C75" s="240"/>
    </row>
    <row r="76" spans="1:3" x14ac:dyDescent="0.25">
      <c r="A76" s="8" t="s">
        <v>101</v>
      </c>
      <c r="B76" s="239">
        <v>6800</v>
      </c>
      <c r="C76" s="240"/>
    </row>
    <row r="77" spans="1:3" x14ac:dyDescent="0.25">
      <c r="A77" s="8" t="s">
        <v>102</v>
      </c>
      <c r="B77" s="239">
        <v>200000</v>
      </c>
      <c r="C77" s="240"/>
    </row>
    <row r="78" spans="1:3" x14ac:dyDescent="0.25">
      <c r="A78" s="8" t="s">
        <v>103</v>
      </c>
      <c r="B78" s="239">
        <v>10777</v>
      </c>
      <c r="C78" s="240"/>
    </row>
    <row r="79" spans="1:3" x14ac:dyDescent="0.25">
      <c r="A79" s="8" t="s">
        <v>104</v>
      </c>
      <c r="B79" s="239">
        <v>4778693</v>
      </c>
      <c r="C79" s="240"/>
    </row>
    <row r="80" spans="1:3" x14ac:dyDescent="0.25">
      <c r="A80" s="8" t="s">
        <v>105</v>
      </c>
      <c r="B80" s="239">
        <v>50000</v>
      </c>
      <c r="C80" s="240"/>
    </row>
    <row r="81" spans="1:3" x14ac:dyDescent="0.25">
      <c r="A81" s="8" t="s">
        <v>106</v>
      </c>
      <c r="B81" s="239">
        <v>248200</v>
      </c>
      <c r="C81" s="240"/>
    </row>
    <row r="82" spans="1:3" x14ac:dyDescent="0.25">
      <c r="A82" s="8" t="s">
        <v>107</v>
      </c>
      <c r="B82" s="239">
        <v>206250</v>
      </c>
      <c r="C82" s="240"/>
    </row>
    <row r="83" spans="1:3" x14ac:dyDescent="0.25">
      <c r="A83" s="8" t="s">
        <v>108</v>
      </c>
      <c r="B83" s="239">
        <v>125000</v>
      </c>
      <c r="C83" s="240"/>
    </row>
    <row r="84" spans="1:3" x14ac:dyDescent="0.25">
      <c r="A84" s="8" t="s">
        <v>109</v>
      </c>
      <c r="B84" s="239">
        <v>1861537</v>
      </c>
      <c r="C84" s="240"/>
    </row>
    <row r="85" spans="1:3" x14ac:dyDescent="0.25">
      <c r="A85" s="8" t="s">
        <v>110</v>
      </c>
      <c r="B85" s="239">
        <v>1834185</v>
      </c>
      <c r="C85" s="240"/>
    </row>
    <row r="86" spans="1:3" x14ac:dyDescent="0.25">
      <c r="A86" s="8" t="s">
        <v>111</v>
      </c>
      <c r="B86" s="239">
        <v>46790</v>
      </c>
      <c r="C86" s="240"/>
    </row>
    <row r="87" spans="1:3" x14ac:dyDescent="0.25">
      <c r="A87" s="8" t="s">
        <v>112</v>
      </c>
      <c r="B87" s="239">
        <v>46907</v>
      </c>
      <c r="C87" s="240"/>
    </row>
    <row r="88" spans="1:3" x14ac:dyDescent="0.25">
      <c r="A88" s="8" t="s">
        <v>113</v>
      </c>
      <c r="B88" s="239">
        <v>103253</v>
      </c>
      <c r="C88" s="240"/>
    </row>
    <row r="89" spans="1:3" x14ac:dyDescent="0.25">
      <c r="A89" s="8" t="s">
        <v>114</v>
      </c>
      <c r="B89" s="239">
        <v>13466161</v>
      </c>
      <c r="C89" s="240"/>
    </row>
    <row r="90" spans="1:3" x14ac:dyDescent="0.25">
      <c r="A90" s="8" t="s">
        <v>115</v>
      </c>
      <c r="B90" s="239">
        <v>369149</v>
      </c>
      <c r="C90" s="240"/>
    </row>
    <row r="91" spans="1:3" x14ac:dyDescent="0.25">
      <c r="A91" s="8" t="s">
        <v>598</v>
      </c>
      <c r="B91" s="240"/>
      <c r="C91" s="239">
        <v>24300</v>
      </c>
    </row>
    <row r="92" spans="1:3" x14ac:dyDescent="0.25">
      <c r="A92" s="8" t="s">
        <v>116</v>
      </c>
      <c r="B92" s="240"/>
      <c r="C92" s="239">
        <v>334448</v>
      </c>
    </row>
    <row r="93" spans="1:3" x14ac:dyDescent="0.25">
      <c r="A93" s="8" t="s">
        <v>117</v>
      </c>
      <c r="B93" s="239">
        <v>6000</v>
      </c>
      <c r="C93" s="240"/>
    </row>
    <row r="94" spans="1:3" x14ac:dyDescent="0.25">
      <c r="A94" s="8" t="s">
        <v>118</v>
      </c>
      <c r="B94" s="240"/>
      <c r="C94" s="239">
        <v>16211566</v>
      </c>
    </row>
    <row r="95" spans="1:3" x14ac:dyDescent="0.25">
      <c r="A95" s="8" t="s">
        <v>119</v>
      </c>
      <c r="B95" s="239">
        <v>28500</v>
      </c>
      <c r="C95" s="240"/>
    </row>
    <row r="96" spans="1:3" x14ac:dyDescent="0.25">
      <c r="A96" s="8" t="s">
        <v>120</v>
      </c>
      <c r="B96" s="239">
        <v>30200530</v>
      </c>
      <c r="C96" s="240"/>
    </row>
    <row r="97" spans="1:3" x14ac:dyDescent="0.25">
      <c r="A97" s="8" t="s">
        <v>121</v>
      </c>
      <c r="B97" s="239">
        <v>811474.84</v>
      </c>
      <c r="C97" s="240"/>
    </row>
    <row r="98" spans="1:3" x14ac:dyDescent="0.25">
      <c r="A98" s="8" t="s">
        <v>122</v>
      </c>
      <c r="B98" s="239">
        <v>890949</v>
      </c>
      <c r="C98" s="240"/>
    </row>
    <row r="99" spans="1:3" x14ac:dyDescent="0.25">
      <c r="A99" s="8" t="s">
        <v>123</v>
      </c>
      <c r="B99" s="239">
        <v>56000</v>
      </c>
      <c r="C99" s="240"/>
    </row>
    <row r="100" spans="1:3" x14ac:dyDescent="0.25">
      <c r="A100" s="8" t="s">
        <v>124</v>
      </c>
      <c r="B100" s="240"/>
      <c r="C100" s="239">
        <v>4423234</v>
      </c>
    </row>
    <row r="101" spans="1:3" x14ac:dyDescent="0.25">
      <c r="A101" s="8" t="s">
        <v>125</v>
      </c>
      <c r="B101" s="239">
        <v>26188107.010000002</v>
      </c>
      <c r="C101" s="240"/>
    </row>
    <row r="102" spans="1:3" x14ac:dyDescent="0.25">
      <c r="A102" s="8" t="s">
        <v>126</v>
      </c>
      <c r="B102" s="240"/>
      <c r="C102" s="239">
        <v>26922650</v>
      </c>
    </row>
    <row r="103" spans="1:3" x14ac:dyDescent="0.25">
      <c r="A103" s="8" t="s">
        <v>127</v>
      </c>
      <c r="B103" s="239">
        <v>212650</v>
      </c>
      <c r="C103" s="240"/>
    </row>
    <row r="104" spans="1:3" x14ac:dyDescent="0.25">
      <c r="A104" s="8" t="s">
        <v>128</v>
      </c>
      <c r="B104" s="239">
        <v>15900</v>
      </c>
      <c r="C104" s="240"/>
    </row>
    <row r="105" spans="1:3" x14ac:dyDescent="0.25">
      <c r="A105" s="8" t="s">
        <v>129</v>
      </c>
      <c r="B105" s="239">
        <v>2277589</v>
      </c>
      <c r="C105" s="240"/>
    </row>
    <row r="106" spans="1:3" x14ac:dyDescent="0.25">
      <c r="A106" s="8" t="s">
        <v>131</v>
      </c>
      <c r="B106" s="239">
        <v>64575</v>
      </c>
      <c r="C106" s="240"/>
    </row>
    <row r="107" spans="1:3" x14ac:dyDescent="0.25">
      <c r="A107" s="8" t="s">
        <v>132</v>
      </c>
      <c r="B107" s="239">
        <v>244646.5</v>
      </c>
      <c r="C107" s="240"/>
    </row>
    <row r="108" spans="1:3" x14ac:dyDescent="0.25">
      <c r="A108" s="8" t="s">
        <v>133</v>
      </c>
      <c r="B108" s="239">
        <v>66582536</v>
      </c>
      <c r="C108" s="240"/>
    </row>
    <row r="109" spans="1:3" x14ac:dyDescent="0.25">
      <c r="A109" s="8" t="s">
        <v>134</v>
      </c>
      <c r="B109" s="239">
        <v>218259</v>
      </c>
      <c r="C109" s="240"/>
    </row>
    <row r="110" spans="1:3" x14ac:dyDescent="0.25">
      <c r="A110" s="8" t="s">
        <v>135</v>
      </c>
      <c r="B110" s="239">
        <v>50000</v>
      </c>
      <c r="C110" s="240"/>
    </row>
    <row r="111" spans="1:3" x14ac:dyDescent="0.25">
      <c r="A111" s="8" t="s">
        <v>136</v>
      </c>
      <c r="B111" s="239">
        <v>116330</v>
      </c>
      <c r="C111" s="240"/>
    </row>
    <row r="112" spans="1:3" x14ac:dyDescent="0.25">
      <c r="A112" s="8" t="s">
        <v>137</v>
      </c>
      <c r="B112" s="239">
        <v>7700</v>
      </c>
      <c r="C112" s="240"/>
    </row>
    <row r="113" spans="1:3" x14ac:dyDescent="0.25">
      <c r="A113" s="8" t="s">
        <v>138</v>
      </c>
      <c r="B113" s="239">
        <v>2854617</v>
      </c>
      <c r="C113" s="240"/>
    </row>
    <row r="114" spans="1:3" x14ac:dyDescent="0.25">
      <c r="A114" s="8" t="s">
        <v>139</v>
      </c>
      <c r="B114" s="240"/>
      <c r="C114" s="239">
        <v>279076</v>
      </c>
    </row>
    <row r="115" spans="1:3" x14ac:dyDescent="0.25">
      <c r="A115" s="8" t="s">
        <v>140</v>
      </c>
      <c r="B115" s="239">
        <v>1654054</v>
      </c>
      <c r="C115" s="240"/>
    </row>
    <row r="116" spans="1:3" x14ac:dyDescent="0.25">
      <c r="A116" s="8" t="s">
        <v>141</v>
      </c>
      <c r="B116" s="240"/>
      <c r="C116" s="239">
        <v>1088007</v>
      </c>
    </row>
    <row r="117" spans="1:3" x14ac:dyDescent="0.25">
      <c r="A117" s="8" t="s">
        <v>142</v>
      </c>
      <c r="B117" s="239">
        <v>202312.89</v>
      </c>
      <c r="C117" s="240"/>
    </row>
    <row r="118" spans="1:3" x14ac:dyDescent="0.25">
      <c r="A118" s="8" t="s">
        <v>143</v>
      </c>
      <c r="B118" s="239">
        <v>33965000</v>
      </c>
      <c r="C118" s="240"/>
    </row>
    <row r="119" spans="1:3" x14ac:dyDescent="0.25">
      <c r="A119" s="8" t="s">
        <v>144</v>
      </c>
      <c r="B119" s="239">
        <v>8000</v>
      </c>
      <c r="C119" s="240"/>
    </row>
    <row r="120" spans="1:3" x14ac:dyDescent="0.25">
      <c r="A120" s="8" t="s">
        <v>145</v>
      </c>
      <c r="B120" s="239">
        <v>1330213.03</v>
      </c>
      <c r="C120" s="240"/>
    </row>
    <row r="121" spans="1:3" x14ac:dyDescent="0.25">
      <c r="A121" s="8" t="s">
        <v>146</v>
      </c>
      <c r="B121" s="240"/>
      <c r="C121" s="239">
        <v>57671</v>
      </c>
    </row>
    <row r="122" spans="1:3" x14ac:dyDescent="0.25">
      <c r="A122" s="8" t="s">
        <v>147</v>
      </c>
      <c r="B122" s="240"/>
      <c r="C122" s="239">
        <v>1800000</v>
      </c>
    </row>
    <row r="123" spans="1:3" x14ac:dyDescent="0.25">
      <c r="A123" s="8" t="s">
        <v>1363</v>
      </c>
      <c r="B123" s="239">
        <v>921661</v>
      </c>
      <c r="C123" s="240"/>
    </row>
    <row r="124" spans="1:3" x14ac:dyDescent="0.25">
      <c r="A124" s="8" t="s">
        <v>149</v>
      </c>
      <c r="B124" s="239">
        <v>45000</v>
      </c>
      <c r="C124" s="240"/>
    </row>
    <row r="125" spans="1:3" x14ac:dyDescent="0.25">
      <c r="A125" s="8" t="s">
        <v>151</v>
      </c>
      <c r="B125" s="239">
        <v>36000</v>
      </c>
      <c r="C125" s="240"/>
    </row>
    <row r="126" spans="1:3" x14ac:dyDescent="0.25">
      <c r="A126" s="8" t="s">
        <v>2479</v>
      </c>
      <c r="B126" s="239">
        <v>76133</v>
      </c>
      <c r="C126" s="240"/>
    </row>
    <row r="127" spans="1:3" x14ac:dyDescent="0.25">
      <c r="A127" s="8" t="s">
        <v>152</v>
      </c>
      <c r="B127" s="240"/>
      <c r="C127" s="239">
        <v>8459</v>
      </c>
    </row>
    <row r="128" spans="1:3" x14ac:dyDescent="0.25">
      <c r="A128" s="8" t="s">
        <v>153</v>
      </c>
      <c r="B128" s="240"/>
      <c r="C128" s="239">
        <v>116424</v>
      </c>
    </row>
    <row r="129" spans="1:3" x14ac:dyDescent="0.25">
      <c r="A129" s="8" t="s">
        <v>154</v>
      </c>
      <c r="B129" s="240"/>
      <c r="C129" s="239">
        <v>1176528</v>
      </c>
    </row>
    <row r="130" spans="1:3" x14ac:dyDescent="0.25">
      <c r="A130" s="8" t="s">
        <v>155</v>
      </c>
      <c r="B130" s="239">
        <v>27000</v>
      </c>
      <c r="C130" s="240"/>
    </row>
    <row r="131" spans="1:3" x14ac:dyDescent="0.25">
      <c r="A131" s="8" t="s">
        <v>156</v>
      </c>
      <c r="B131" s="240"/>
      <c r="C131" s="239">
        <v>67381.600000000006</v>
      </c>
    </row>
    <row r="132" spans="1:3" x14ac:dyDescent="0.25">
      <c r="A132" s="8" t="s">
        <v>157</v>
      </c>
      <c r="B132" s="239">
        <v>1753713</v>
      </c>
      <c r="C132" s="240"/>
    </row>
    <row r="133" spans="1:3" x14ac:dyDescent="0.25">
      <c r="A133" s="8" t="s">
        <v>158</v>
      </c>
      <c r="B133" s="239">
        <v>8000</v>
      </c>
      <c r="C133" s="240"/>
    </row>
    <row r="134" spans="1:3" x14ac:dyDescent="0.25">
      <c r="A134" s="8" t="s">
        <v>167</v>
      </c>
      <c r="B134" s="240"/>
      <c r="C134" s="239">
        <v>446301</v>
      </c>
    </row>
    <row r="135" spans="1:3" x14ac:dyDescent="0.25">
      <c r="A135" s="8" t="s">
        <v>168</v>
      </c>
      <c r="B135" s="239">
        <v>74562</v>
      </c>
      <c r="C135" s="240"/>
    </row>
    <row r="136" spans="1:3" x14ac:dyDescent="0.25">
      <c r="A136" s="8" t="s">
        <v>169</v>
      </c>
      <c r="B136" s="239">
        <v>97418771</v>
      </c>
      <c r="C136" s="240"/>
    </row>
    <row r="137" spans="1:3" x14ac:dyDescent="0.25">
      <c r="A137" s="8" t="s">
        <v>1438</v>
      </c>
      <c r="B137" s="240"/>
      <c r="C137" s="239">
        <v>4370857</v>
      </c>
    </row>
    <row r="138" spans="1:3" x14ac:dyDescent="0.25">
      <c r="A138" s="8" t="s">
        <v>170</v>
      </c>
      <c r="B138" s="240"/>
      <c r="C138" s="239">
        <v>1301094</v>
      </c>
    </row>
    <row r="139" spans="1:3" x14ac:dyDescent="0.25">
      <c r="A139" s="8" t="s">
        <v>646</v>
      </c>
      <c r="B139" s="239">
        <v>1301094</v>
      </c>
      <c r="C139" s="240"/>
    </row>
    <row r="140" spans="1:3" x14ac:dyDescent="0.25">
      <c r="A140" s="8" t="s">
        <v>171</v>
      </c>
      <c r="B140" s="239">
        <v>17190</v>
      </c>
      <c r="C140" s="240"/>
    </row>
    <row r="141" spans="1:3" x14ac:dyDescent="0.25">
      <c r="A141" s="8" t="s">
        <v>3482</v>
      </c>
      <c r="B141" s="239">
        <v>88213</v>
      </c>
      <c r="C141" s="240"/>
    </row>
    <row r="142" spans="1:3" x14ac:dyDescent="0.25">
      <c r="A142" s="8" t="s">
        <v>172</v>
      </c>
      <c r="B142" s="240"/>
      <c r="C142" s="239">
        <v>11630</v>
      </c>
    </row>
    <row r="143" spans="1:3" x14ac:dyDescent="0.25">
      <c r="A143" s="8" t="s">
        <v>173</v>
      </c>
      <c r="B143" s="239">
        <v>330414</v>
      </c>
      <c r="C143" s="240"/>
    </row>
    <row r="144" spans="1:3" x14ac:dyDescent="0.25">
      <c r="A144" s="8" t="s">
        <v>178</v>
      </c>
      <c r="B144" s="239">
        <v>295193</v>
      </c>
      <c r="C144" s="240"/>
    </row>
    <row r="145" spans="1:3" x14ac:dyDescent="0.25">
      <c r="A145" s="8" t="s">
        <v>179</v>
      </c>
      <c r="B145" s="239">
        <v>45574</v>
      </c>
      <c r="C145" s="240"/>
    </row>
    <row r="146" spans="1:3" x14ac:dyDescent="0.25">
      <c r="A146" s="8" t="s">
        <v>180</v>
      </c>
      <c r="B146" s="239">
        <v>907184</v>
      </c>
      <c r="C146" s="240"/>
    </row>
    <row r="147" spans="1:3" x14ac:dyDescent="0.25">
      <c r="A147" s="8" t="s">
        <v>181</v>
      </c>
      <c r="B147" s="239">
        <v>545158</v>
      </c>
      <c r="C147" s="240"/>
    </row>
    <row r="148" spans="1:3" x14ac:dyDescent="0.25">
      <c r="A148" s="8" t="s">
        <v>654</v>
      </c>
      <c r="B148" s="239">
        <v>469083</v>
      </c>
      <c r="C148" s="240"/>
    </row>
    <row r="149" spans="1:3" x14ac:dyDescent="0.25">
      <c r="A149" s="8" t="s">
        <v>182</v>
      </c>
      <c r="B149" s="239">
        <v>1838</v>
      </c>
      <c r="C149" s="240"/>
    </row>
    <row r="150" spans="1:3" x14ac:dyDescent="0.25">
      <c r="A150" s="8" t="s">
        <v>183</v>
      </c>
      <c r="B150" s="239">
        <v>2098</v>
      </c>
      <c r="C150" s="240"/>
    </row>
    <row r="151" spans="1:3" x14ac:dyDescent="0.25">
      <c r="A151" s="8" t="s">
        <v>184</v>
      </c>
      <c r="B151" s="240"/>
      <c r="C151" s="239">
        <v>75929</v>
      </c>
    </row>
    <row r="152" spans="1:3" x14ac:dyDescent="0.25">
      <c r="A152" s="8" t="s">
        <v>185</v>
      </c>
      <c r="B152" s="239">
        <v>368858</v>
      </c>
      <c r="C152" s="240"/>
    </row>
    <row r="153" spans="1:3" x14ac:dyDescent="0.25">
      <c r="A153" s="8" t="s">
        <v>186</v>
      </c>
      <c r="B153" s="239">
        <v>460969</v>
      </c>
      <c r="C153" s="240"/>
    </row>
    <row r="154" spans="1:3" x14ac:dyDescent="0.25">
      <c r="A154" s="8" t="s">
        <v>187</v>
      </c>
      <c r="B154" s="239">
        <v>7</v>
      </c>
      <c r="C154" s="240"/>
    </row>
    <row r="155" spans="1:3" x14ac:dyDescent="0.25">
      <c r="A155" s="8" t="s">
        <v>188</v>
      </c>
      <c r="B155" s="239">
        <v>10150</v>
      </c>
      <c r="C155" s="240"/>
    </row>
    <row r="156" spans="1:3" x14ac:dyDescent="0.25">
      <c r="A156" s="8" t="s">
        <v>189</v>
      </c>
      <c r="B156" s="239">
        <v>859878</v>
      </c>
      <c r="C156" s="240"/>
    </row>
    <row r="157" spans="1:3" x14ac:dyDescent="0.25">
      <c r="A157" s="8" t="s">
        <v>190</v>
      </c>
      <c r="B157" s="239">
        <v>468</v>
      </c>
      <c r="C157" s="240"/>
    </row>
    <row r="158" spans="1:3" x14ac:dyDescent="0.25">
      <c r="A158" s="8" t="s">
        <v>662</v>
      </c>
      <c r="B158" s="239">
        <v>19982</v>
      </c>
      <c r="C158" s="240"/>
    </row>
    <row r="159" spans="1:3" x14ac:dyDescent="0.25">
      <c r="A159" s="8" t="s">
        <v>192</v>
      </c>
      <c r="B159" s="239">
        <v>7</v>
      </c>
      <c r="C159" s="240"/>
    </row>
    <row r="160" spans="1:3" x14ac:dyDescent="0.25">
      <c r="A160" s="8" t="s">
        <v>193</v>
      </c>
      <c r="B160" s="239">
        <v>5531</v>
      </c>
      <c r="C160" s="240"/>
    </row>
    <row r="161" spans="1:3" x14ac:dyDescent="0.25">
      <c r="A161" s="8" t="s">
        <v>194</v>
      </c>
      <c r="B161" s="239">
        <v>4285</v>
      </c>
      <c r="C161" s="240"/>
    </row>
    <row r="162" spans="1:3" x14ac:dyDescent="0.25">
      <c r="A162" s="8" t="s">
        <v>669</v>
      </c>
      <c r="B162" s="240"/>
      <c r="C162" s="239">
        <v>139269</v>
      </c>
    </row>
    <row r="163" spans="1:3" x14ac:dyDescent="0.25">
      <c r="A163" s="8" t="s">
        <v>1439</v>
      </c>
      <c r="B163" s="239">
        <v>10681</v>
      </c>
      <c r="C163" s="240"/>
    </row>
    <row r="164" spans="1:3" x14ac:dyDescent="0.25">
      <c r="A164" s="8" t="s">
        <v>196</v>
      </c>
      <c r="B164" s="239">
        <v>2678489.9500000002</v>
      </c>
      <c r="C164" s="240"/>
    </row>
    <row r="165" spans="1:3" x14ac:dyDescent="0.25">
      <c r="A165" s="8" t="s">
        <v>197</v>
      </c>
      <c r="B165" s="239">
        <v>6</v>
      </c>
      <c r="C165" s="240"/>
    </row>
    <row r="166" spans="1:3" x14ac:dyDescent="0.25">
      <c r="A166" s="8" t="s">
        <v>198</v>
      </c>
      <c r="B166" s="239">
        <v>1225</v>
      </c>
      <c r="C166" s="240"/>
    </row>
    <row r="167" spans="1:3" x14ac:dyDescent="0.25">
      <c r="A167" s="8" t="s">
        <v>199</v>
      </c>
      <c r="B167" s="239">
        <v>1577670</v>
      </c>
      <c r="C167" s="240"/>
    </row>
    <row r="168" spans="1:3" x14ac:dyDescent="0.25">
      <c r="A168" s="8" t="s">
        <v>200</v>
      </c>
      <c r="B168" s="239">
        <v>180000</v>
      </c>
      <c r="C168" s="240"/>
    </row>
    <row r="169" spans="1:3" x14ac:dyDescent="0.25">
      <c r="A169" s="8" t="s">
        <v>201</v>
      </c>
      <c r="B169" s="240"/>
      <c r="C169" s="239">
        <v>71036</v>
      </c>
    </row>
    <row r="170" spans="1:3" x14ac:dyDescent="0.25">
      <c r="A170" s="8" t="s">
        <v>202</v>
      </c>
      <c r="B170" s="239">
        <v>36037</v>
      </c>
      <c r="C170" s="240"/>
    </row>
    <row r="171" spans="1:3" x14ac:dyDescent="0.25">
      <c r="A171" s="8" t="s">
        <v>203</v>
      </c>
      <c r="B171" s="239">
        <v>172778</v>
      </c>
      <c r="C171" s="240"/>
    </row>
    <row r="172" spans="1:3" x14ac:dyDescent="0.25">
      <c r="A172" s="8" t="s">
        <v>204</v>
      </c>
      <c r="B172" s="240"/>
      <c r="C172" s="239">
        <v>6384474</v>
      </c>
    </row>
    <row r="173" spans="1:3" x14ac:dyDescent="0.25">
      <c r="A173" s="8" t="s">
        <v>205</v>
      </c>
      <c r="B173" s="239">
        <v>565401</v>
      </c>
      <c r="C173" s="240"/>
    </row>
    <row r="174" spans="1:3" x14ac:dyDescent="0.25">
      <c r="A174" s="8" t="s">
        <v>206</v>
      </c>
      <c r="B174" s="239">
        <v>573513</v>
      </c>
      <c r="C174" s="240"/>
    </row>
    <row r="175" spans="1:3" x14ac:dyDescent="0.25">
      <c r="A175" s="8" t="s">
        <v>207</v>
      </c>
      <c r="B175" s="239">
        <v>66000</v>
      </c>
      <c r="C175" s="240"/>
    </row>
    <row r="176" spans="1:3" x14ac:dyDescent="0.25">
      <c r="A176" s="8" t="s">
        <v>208</v>
      </c>
      <c r="B176" s="240"/>
      <c r="C176" s="239">
        <v>537677</v>
      </c>
    </row>
    <row r="177" spans="1:3" x14ac:dyDescent="0.25">
      <c r="A177" s="8" t="s">
        <v>210</v>
      </c>
      <c r="B177" s="240"/>
      <c r="C177" s="239">
        <v>3529583</v>
      </c>
    </row>
    <row r="178" spans="1:3" x14ac:dyDescent="0.25">
      <c r="A178" s="8" t="s">
        <v>211</v>
      </c>
      <c r="B178" s="240"/>
      <c r="C178" s="239">
        <v>12238807.5</v>
      </c>
    </row>
    <row r="179" spans="1:3" x14ac:dyDescent="0.25">
      <c r="A179" s="8" t="s">
        <v>213</v>
      </c>
      <c r="B179" s="239">
        <v>2745000</v>
      </c>
      <c r="C179" s="240"/>
    </row>
    <row r="180" spans="1:3" x14ac:dyDescent="0.25">
      <c r="A180" s="8" t="s">
        <v>214</v>
      </c>
      <c r="B180" s="240"/>
      <c r="C180" s="239">
        <v>3244</v>
      </c>
    </row>
    <row r="181" spans="1:3" x14ac:dyDescent="0.25">
      <c r="A181" s="8" t="s">
        <v>215</v>
      </c>
      <c r="B181" s="239">
        <v>6000</v>
      </c>
      <c r="C181" s="240"/>
    </row>
    <row r="182" spans="1:3" x14ac:dyDescent="0.25">
      <c r="A182" s="8" t="s">
        <v>216</v>
      </c>
      <c r="B182" s="239">
        <v>14112</v>
      </c>
      <c r="C182" s="240"/>
    </row>
    <row r="183" spans="1:3" x14ac:dyDescent="0.25">
      <c r="A183" s="8" t="s">
        <v>217</v>
      </c>
      <c r="B183" s="240"/>
      <c r="C183" s="239">
        <v>5721513</v>
      </c>
    </row>
    <row r="184" spans="1:3" x14ac:dyDescent="0.25">
      <c r="A184" s="8" t="s">
        <v>218</v>
      </c>
      <c r="B184" s="239">
        <v>45230726</v>
      </c>
      <c r="C184" s="240"/>
    </row>
    <row r="185" spans="1:3" x14ac:dyDescent="0.25">
      <c r="A185" s="8" t="s">
        <v>691</v>
      </c>
      <c r="B185" s="239">
        <v>198086</v>
      </c>
      <c r="C185" s="240"/>
    </row>
    <row r="186" spans="1:3" x14ac:dyDescent="0.25">
      <c r="A186" s="8" t="s">
        <v>692</v>
      </c>
      <c r="B186" s="240"/>
      <c r="C186" s="239">
        <v>198086</v>
      </c>
    </row>
    <row r="187" spans="1:3" x14ac:dyDescent="0.25">
      <c r="A187" s="8" t="s">
        <v>220</v>
      </c>
      <c r="B187" s="239">
        <v>243920</v>
      </c>
      <c r="C187" s="240"/>
    </row>
    <row r="188" spans="1:3" x14ac:dyDescent="0.25">
      <c r="A188" s="8" t="s">
        <v>221</v>
      </c>
      <c r="B188" s="240"/>
      <c r="C188" s="239">
        <v>47229</v>
      </c>
    </row>
    <row r="189" spans="1:3" x14ac:dyDescent="0.25">
      <c r="A189" s="8" t="s">
        <v>3483</v>
      </c>
      <c r="B189" s="239">
        <v>1353054</v>
      </c>
      <c r="C189" s="240"/>
    </row>
    <row r="190" spans="1:3" x14ac:dyDescent="0.25">
      <c r="A190" s="8" t="s">
        <v>222</v>
      </c>
      <c r="B190" s="239">
        <v>31846</v>
      </c>
      <c r="C190" s="240"/>
    </row>
    <row r="191" spans="1:3" x14ac:dyDescent="0.25">
      <c r="A191" s="8" t="s">
        <v>223</v>
      </c>
      <c r="B191" s="240"/>
      <c r="C191" s="239">
        <v>11871807.5</v>
      </c>
    </row>
    <row r="192" spans="1:3" x14ac:dyDescent="0.25">
      <c r="A192" s="8" t="s">
        <v>224</v>
      </c>
      <c r="B192" s="239">
        <v>136767</v>
      </c>
      <c r="C192" s="240"/>
    </row>
    <row r="193" spans="1:3" x14ac:dyDescent="0.25">
      <c r="A193" s="8" t="s">
        <v>225</v>
      </c>
      <c r="B193" s="239">
        <v>1020022</v>
      </c>
      <c r="C193" s="240"/>
    </row>
    <row r="194" spans="1:3" x14ac:dyDescent="0.25">
      <c r="A194" s="8" t="s">
        <v>226</v>
      </c>
      <c r="B194" s="239">
        <v>7737390.6699999999</v>
      </c>
      <c r="C194" s="240"/>
    </row>
    <row r="195" spans="1:3" x14ac:dyDescent="0.25">
      <c r="A195" s="8" t="s">
        <v>227</v>
      </c>
      <c r="B195" s="239">
        <v>1231418.3999999999</v>
      </c>
      <c r="C195" s="240"/>
    </row>
    <row r="196" spans="1:3" x14ac:dyDescent="0.25">
      <c r="A196" s="8" t="s">
        <v>228</v>
      </c>
      <c r="B196" s="239">
        <v>411283</v>
      </c>
      <c r="C196" s="240"/>
    </row>
    <row r="197" spans="1:3" x14ac:dyDescent="0.25">
      <c r="A197" s="8" t="s">
        <v>229</v>
      </c>
      <c r="B197" s="240"/>
      <c r="C197" s="239">
        <v>58240</v>
      </c>
    </row>
    <row r="198" spans="1:3" x14ac:dyDescent="0.25">
      <c r="A198" s="8" t="s">
        <v>230</v>
      </c>
      <c r="B198" s="239">
        <v>11000</v>
      </c>
      <c r="C198" s="240"/>
    </row>
    <row r="199" spans="1:3" x14ac:dyDescent="0.25">
      <c r="A199" s="8" t="s">
        <v>231</v>
      </c>
      <c r="B199" s="240"/>
      <c r="C199" s="239">
        <v>2568965</v>
      </c>
    </row>
    <row r="200" spans="1:3" x14ac:dyDescent="0.25">
      <c r="A200" s="8" t="s">
        <v>232</v>
      </c>
      <c r="B200" s="239">
        <v>3430</v>
      </c>
      <c r="C200" s="240"/>
    </row>
    <row r="201" spans="1:3" x14ac:dyDescent="0.25">
      <c r="A201" s="8" t="s">
        <v>233</v>
      </c>
      <c r="B201" s="239">
        <v>8000</v>
      </c>
      <c r="C201" s="240"/>
    </row>
    <row r="202" spans="1:3" x14ac:dyDescent="0.25">
      <c r="A202" s="8" t="s">
        <v>239</v>
      </c>
      <c r="B202" s="239">
        <v>306631</v>
      </c>
      <c r="C202" s="240"/>
    </row>
    <row r="203" spans="1:3" x14ac:dyDescent="0.25">
      <c r="A203" s="8" t="s">
        <v>242</v>
      </c>
      <c r="B203" s="239">
        <v>2000</v>
      </c>
      <c r="C203" s="240"/>
    </row>
    <row r="204" spans="1:3" x14ac:dyDescent="0.25">
      <c r="A204" s="8" t="s">
        <v>245</v>
      </c>
      <c r="B204" s="240"/>
      <c r="C204" s="239">
        <v>20037</v>
      </c>
    </row>
    <row r="205" spans="1:3" x14ac:dyDescent="0.25">
      <c r="A205" s="8" t="s">
        <v>246</v>
      </c>
      <c r="B205" s="239">
        <v>1000</v>
      </c>
      <c r="C205" s="240"/>
    </row>
    <row r="206" spans="1:3" x14ac:dyDescent="0.25">
      <c r="A206" s="8" t="s">
        <v>248</v>
      </c>
      <c r="B206" s="240"/>
      <c r="C206" s="239">
        <v>379282</v>
      </c>
    </row>
    <row r="207" spans="1:3" x14ac:dyDescent="0.25">
      <c r="A207" s="8" t="s">
        <v>249</v>
      </c>
      <c r="B207" s="239">
        <v>12000</v>
      </c>
      <c r="C207" s="240"/>
    </row>
    <row r="208" spans="1:3" x14ac:dyDescent="0.25">
      <c r="A208" s="8" t="s">
        <v>251</v>
      </c>
      <c r="B208" s="239">
        <v>104715</v>
      </c>
      <c r="C208" s="240"/>
    </row>
    <row r="209" spans="1:3" x14ac:dyDescent="0.25">
      <c r="A209" s="8" t="s">
        <v>252</v>
      </c>
      <c r="B209" s="239">
        <v>88900</v>
      </c>
      <c r="C209" s="240"/>
    </row>
    <row r="210" spans="1:3" x14ac:dyDescent="0.25">
      <c r="A210" s="8" t="s">
        <v>253</v>
      </c>
      <c r="B210" s="240"/>
      <c r="C210" s="239">
        <v>5880</v>
      </c>
    </row>
    <row r="211" spans="1:3" x14ac:dyDescent="0.25">
      <c r="A211" s="8" t="s">
        <v>254</v>
      </c>
      <c r="B211" s="239">
        <v>1024059.47</v>
      </c>
      <c r="C211" s="240"/>
    </row>
    <row r="212" spans="1:3" x14ac:dyDescent="0.25">
      <c r="A212" s="8" t="s">
        <v>255</v>
      </c>
      <c r="B212" s="239">
        <v>59486</v>
      </c>
      <c r="C212" s="240"/>
    </row>
    <row r="213" spans="1:3" x14ac:dyDescent="0.25">
      <c r="A213" s="8" t="s">
        <v>256</v>
      </c>
      <c r="B213" s="239">
        <v>312000</v>
      </c>
      <c r="C213" s="240"/>
    </row>
    <row r="214" spans="1:3" x14ac:dyDescent="0.25">
      <c r="A214" s="8" t="s">
        <v>257</v>
      </c>
      <c r="B214" s="239">
        <v>42660</v>
      </c>
      <c r="C214" s="240"/>
    </row>
    <row r="215" spans="1:3" x14ac:dyDescent="0.25">
      <c r="A215" s="8" t="s">
        <v>258</v>
      </c>
      <c r="B215" s="239">
        <v>2929</v>
      </c>
      <c r="C215" s="240"/>
    </row>
    <row r="216" spans="1:3" x14ac:dyDescent="0.25">
      <c r="A216" s="8" t="s">
        <v>259</v>
      </c>
      <c r="B216" s="239">
        <v>189048</v>
      </c>
      <c r="C216" s="240"/>
    </row>
    <row r="217" spans="1:3" x14ac:dyDescent="0.25">
      <c r="A217" s="8" t="s">
        <v>260</v>
      </c>
      <c r="B217" s="239">
        <v>23600</v>
      </c>
      <c r="C217" s="240"/>
    </row>
    <row r="218" spans="1:3" x14ac:dyDescent="0.25">
      <c r="A218" s="8" t="s">
        <v>261</v>
      </c>
      <c r="B218" s="239">
        <v>3600</v>
      </c>
      <c r="C218" s="240"/>
    </row>
    <row r="219" spans="1:3" x14ac:dyDescent="0.25">
      <c r="A219" s="8" t="s">
        <v>262</v>
      </c>
      <c r="B219" s="239">
        <v>5227186</v>
      </c>
      <c r="C219" s="240"/>
    </row>
    <row r="220" spans="1:3" x14ac:dyDescent="0.25">
      <c r="A220" s="8" t="s">
        <v>263</v>
      </c>
      <c r="B220" s="239">
        <v>870</v>
      </c>
      <c r="C220" s="240"/>
    </row>
    <row r="221" spans="1:3" x14ac:dyDescent="0.25">
      <c r="A221" s="8" t="s">
        <v>264</v>
      </c>
      <c r="B221" s="239">
        <v>1640</v>
      </c>
      <c r="C221" s="240"/>
    </row>
    <row r="222" spans="1:3" x14ac:dyDescent="0.25">
      <c r="A222" s="8" t="s">
        <v>265</v>
      </c>
      <c r="B222" s="239">
        <v>248948</v>
      </c>
      <c r="C222" s="240"/>
    </row>
    <row r="223" spans="1:3" x14ac:dyDescent="0.25">
      <c r="A223" s="8" t="s">
        <v>266</v>
      </c>
      <c r="B223" s="240"/>
      <c r="C223" s="239">
        <v>902538</v>
      </c>
    </row>
    <row r="224" spans="1:3" x14ac:dyDescent="0.25">
      <c r="A224" s="8" t="s">
        <v>267</v>
      </c>
      <c r="B224" s="240"/>
      <c r="C224" s="239">
        <v>25865</v>
      </c>
    </row>
    <row r="225" spans="1:3" x14ac:dyDescent="0.25">
      <c r="A225" s="8" t="s">
        <v>268</v>
      </c>
      <c r="B225" s="240"/>
      <c r="C225" s="239">
        <v>438710</v>
      </c>
    </row>
    <row r="226" spans="1:3" x14ac:dyDescent="0.25">
      <c r="A226" s="8" t="s">
        <v>269</v>
      </c>
      <c r="B226" s="239">
        <v>6671147.8200000003</v>
      </c>
      <c r="C226" s="240"/>
    </row>
    <row r="227" spans="1:3" x14ac:dyDescent="0.25">
      <c r="A227" s="8" t="s">
        <v>270</v>
      </c>
      <c r="B227" s="240"/>
      <c r="C227" s="239">
        <v>700</v>
      </c>
    </row>
    <row r="228" spans="1:3" x14ac:dyDescent="0.25">
      <c r="A228" s="8" t="s">
        <v>271</v>
      </c>
      <c r="B228" s="240"/>
      <c r="C228" s="239">
        <v>269890</v>
      </c>
    </row>
    <row r="229" spans="1:3" x14ac:dyDescent="0.25">
      <c r="A229" s="8" t="s">
        <v>272</v>
      </c>
      <c r="B229" s="240"/>
      <c r="C229" s="239">
        <v>386769</v>
      </c>
    </row>
    <row r="230" spans="1:3" x14ac:dyDescent="0.25">
      <c r="A230" s="8" t="s">
        <v>273</v>
      </c>
      <c r="B230" s="240"/>
      <c r="C230" s="239">
        <v>538166</v>
      </c>
    </row>
    <row r="231" spans="1:3" x14ac:dyDescent="0.25">
      <c r="A231" s="8" t="s">
        <v>274</v>
      </c>
      <c r="B231" s="239">
        <v>75</v>
      </c>
      <c r="C231" s="240"/>
    </row>
    <row r="232" spans="1:3" x14ac:dyDescent="0.25">
      <c r="A232" s="8" t="s">
        <v>275</v>
      </c>
      <c r="B232" s="239">
        <v>15855</v>
      </c>
      <c r="C232" s="240"/>
    </row>
    <row r="233" spans="1:3" x14ac:dyDescent="0.25">
      <c r="A233" s="8" t="s">
        <v>276</v>
      </c>
      <c r="B233" s="239">
        <v>75</v>
      </c>
      <c r="C233" s="240"/>
    </row>
    <row r="234" spans="1:3" x14ac:dyDescent="0.25">
      <c r="A234" s="8" t="s">
        <v>277</v>
      </c>
      <c r="B234" s="239">
        <v>215300342.28</v>
      </c>
      <c r="C234" s="240"/>
    </row>
    <row r="235" spans="1:3" x14ac:dyDescent="0.25">
      <c r="A235" s="8" t="s">
        <v>278</v>
      </c>
      <c r="B235" s="239">
        <v>98736</v>
      </c>
      <c r="C235" s="240"/>
    </row>
    <row r="236" spans="1:3" x14ac:dyDescent="0.25">
      <c r="A236" s="8" t="s">
        <v>279</v>
      </c>
      <c r="B236" s="240"/>
      <c r="C236" s="239">
        <v>6994370</v>
      </c>
    </row>
    <row r="237" spans="1:3" x14ac:dyDescent="0.25">
      <c r="A237" s="8" t="s">
        <v>280</v>
      </c>
      <c r="B237" s="239">
        <v>3897944</v>
      </c>
      <c r="C237" s="240"/>
    </row>
    <row r="238" spans="1:3" x14ac:dyDescent="0.25">
      <c r="A238" s="8" t="s">
        <v>281</v>
      </c>
      <c r="B238" s="240"/>
      <c r="C238" s="239">
        <v>1343333</v>
      </c>
    </row>
    <row r="239" spans="1:3" x14ac:dyDescent="0.25">
      <c r="A239" s="8" t="s">
        <v>747</v>
      </c>
      <c r="B239" s="239">
        <v>167481</v>
      </c>
      <c r="C239" s="240"/>
    </row>
    <row r="240" spans="1:3" x14ac:dyDescent="0.25">
      <c r="A240" s="8" t="s">
        <v>282</v>
      </c>
      <c r="B240" s="239">
        <v>974500</v>
      </c>
      <c r="C240" s="240"/>
    </row>
    <row r="241" spans="1:3" x14ac:dyDescent="0.25">
      <c r="A241" s="8" t="s">
        <v>283</v>
      </c>
      <c r="B241" s="240"/>
      <c r="C241" s="239">
        <v>124185196.38</v>
      </c>
    </row>
    <row r="242" spans="1:3" x14ac:dyDescent="0.25">
      <c r="A242" s="8" t="s">
        <v>284</v>
      </c>
      <c r="B242" s="240"/>
      <c r="C242" s="239">
        <v>18856500</v>
      </c>
    </row>
    <row r="243" spans="1:3" x14ac:dyDescent="0.25">
      <c r="A243" s="8" t="s">
        <v>285</v>
      </c>
      <c r="B243" s="239">
        <v>1147078</v>
      </c>
      <c r="C243" s="240"/>
    </row>
    <row r="244" spans="1:3" x14ac:dyDescent="0.25">
      <c r="A244" s="8" t="s">
        <v>286</v>
      </c>
      <c r="B244" s="240"/>
      <c r="C244" s="239">
        <v>6057874</v>
      </c>
    </row>
    <row r="245" spans="1:3" x14ac:dyDescent="0.25">
      <c r="A245" s="8" t="s">
        <v>287</v>
      </c>
      <c r="B245" s="240"/>
      <c r="C245" s="239">
        <v>5155701</v>
      </c>
    </row>
    <row r="246" spans="1:3" x14ac:dyDescent="0.25">
      <c r="A246" s="8" t="s">
        <v>288</v>
      </c>
      <c r="B246" s="240"/>
      <c r="C246" s="239">
        <v>688913</v>
      </c>
    </row>
    <row r="247" spans="1:3" x14ac:dyDescent="0.25">
      <c r="A247" s="8" t="s">
        <v>289</v>
      </c>
      <c r="B247" s="240"/>
      <c r="C247" s="239">
        <v>16345551</v>
      </c>
    </row>
    <row r="248" spans="1:3" x14ac:dyDescent="0.25">
      <c r="A248" s="8" t="s">
        <v>290</v>
      </c>
      <c r="B248" s="240"/>
      <c r="C248" s="239">
        <v>379192</v>
      </c>
    </row>
    <row r="249" spans="1:3" x14ac:dyDescent="0.25">
      <c r="A249" s="8" t="s">
        <v>291</v>
      </c>
      <c r="B249" s="240"/>
      <c r="C249" s="239">
        <v>1014019</v>
      </c>
    </row>
    <row r="250" spans="1:3" x14ac:dyDescent="0.25">
      <c r="A250" s="8" t="s">
        <v>292</v>
      </c>
      <c r="B250" s="240"/>
      <c r="C250" s="239">
        <v>598548</v>
      </c>
    </row>
    <row r="251" spans="1:3" x14ac:dyDescent="0.25">
      <c r="A251" s="8" t="s">
        <v>293</v>
      </c>
      <c r="B251" s="240"/>
      <c r="C251" s="239">
        <v>99496148</v>
      </c>
    </row>
    <row r="252" spans="1:3" x14ac:dyDescent="0.25">
      <c r="A252" s="8" t="s">
        <v>294</v>
      </c>
      <c r="B252" s="240"/>
      <c r="C252" s="239">
        <v>558720</v>
      </c>
    </row>
    <row r="253" spans="1:3" x14ac:dyDescent="0.25">
      <c r="A253" s="8" t="s">
        <v>296</v>
      </c>
      <c r="B253" s="239">
        <v>122153</v>
      </c>
      <c r="C253" s="240"/>
    </row>
    <row r="254" spans="1:3" x14ac:dyDescent="0.25">
      <c r="A254" s="8" t="s">
        <v>297</v>
      </c>
      <c r="B254" s="239">
        <v>271788</v>
      </c>
      <c r="C254" s="240"/>
    </row>
    <row r="255" spans="1:3" x14ac:dyDescent="0.25">
      <c r="A255" s="8" t="s">
        <v>298</v>
      </c>
      <c r="B255" s="239">
        <v>139678</v>
      </c>
      <c r="C255" s="240"/>
    </row>
    <row r="256" spans="1:3" x14ac:dyDescent="0.25">
      <c r="A256" s="8" t="s">
        <v>299</v>
      </c>
      <c r="B256" s="239">
        <v>34285</v>
      </c>
      <c r="C256" s="240"/>
    </row>
    <row r="257" spans="1:3" x14ac:dyDescent="0.25">
      <c r="A257" s="8" t="s">
        <v>657</v>
      </c>
      <c r="B257" s="239">
        <v>1699939</v>
      </c>
      <c r="C257" s="240"/>
    </row>
    <row r="258" spans="1:3" x14ac:dyDescent="0.25">
      <c r="A258" s="8" t="s">
        <v>300</v>
      </c>
      <c r="B258" s="240"/>
      <c r="C258" s="239">
        <v>3296204.7</v>
      </c>
    </row>
    <row r="259" spans="1:3" x14ac:dyDescent="0.25">
      <c r="A259" s="8" t="s">
        <v>301</v>
      </c>
      <c r="B259" s="239">
        <v>15450441</v>
      </c>
      <c r="C259" s="240"/>
    </row>
    <row r="260" spans="1:3" x14ac:dyDescent="0.25">
      <c r="A260" s="8" t="s">
        <v>302</v>
      </c>
      <c r="B260" s="240"/>
      <c r="C260" s="239">
        <v>12385</v>
      </c>
    </row>
    <row r="261" spans="1:3" x14ac:dyDescent="0.25">
      <c r="A261" s="8" t="s">
        <v>303</v>
      </c>
      <c r="B261" s="240"/>
      <c r="C261" s="239">
        <v>9346</v>
      </c>
    </row>
    <row r="262" spans="1:3" x14ac:dyDescent="0.25">
      <c r="A262" s="8" t="s">
        <v>304</v>
      </c>
      <c r="B262" s="239">
        <v>245315</v>
      </c>
      <c r="C262" s="240"/>
    </row>
    <row r="263" spans="1:3" x14ac:dyDescent="0.25">
      <c r="A263" s="8" t="s">
        <v>305</v>
      </c>
      <c r="B263" s="239">
        <v>6876013</v>
      </c>
      <c r="C263" s="240"/>
    </row>
    <row r="264" spans="1:3" x14ac:dyDescent="0.25">
      <c r="A264" s="8" t="s">
        <v>306</v>
      </c>
      <c r="B264" s="239">
        <v>4380095</v>
      </c>
      <c r="C264" s="240"/>
    </row>
    <row r="265" spans="1:3" x14ac:dyDescent="0.25">
      <c r="A265" s="8" t="s">
        <v>307</v>
      </c>
      <c r="B265" s="239">
        <v>5885577.8399999999</v>
      </c>
      <c r="C265" s="240"/>
    </row>
    <row r="266" spans="1:3" x14ac:dyDescent="0.25">
      <c r="A266" s="8" t="s">
        <v>308</v>
      </c>
      <c r="B266" s="240"/>
      <c r="C266" s="239">
        <v>13051000</v>
      </c>
    </row>
    <row r="267" spans="1:3" x14ac:dyDescent="0.25">
      <c r="A267" s="8" t="s">
        <v>309</v>
      </c>
      <c r="B267" s="240"/>
      <c r="C267" s="239">
        <v>2563</v>
      </c>
    </row>
    <row r="268" spans="1:3" x14ac:dyDescent="0.25">
      <c r="A268" s="8" t="s">
        <v>310</v>
      </c>
      <c r="B268" s="239">
        <v>10000</v>
      </c>
      <c r="C268" s="240"/>
    </row>
    <row r="269" spans="1:3" x14ac:dyDescent="0.25">
      <c r="A269" s="8" t="s">
        <v>311</v>
      </c>
      <c r="B269" s="239">
        <v>11000</v>
      </c>
      <c r="C269" s="240"/>
    </row>
    <row r="270" spans="1:3" x14ac:dyDescent="0.25">
      <c r="A270" s="8" t="s">
        <v>312</v>
      </c>
      <c r="B270" s="239">
        <v>208079</v>
      </c>
      <c r="C270" s="240"/>
    </row>
    <row r="271" spans="1:3" x14ac:dyDescent="0.25">
      <c r="A271" s="8" t="s">
        <v>313</v>
      </c>
      <c r="B271" s="239">
        <v>3861148</v>
      </c>
      <c r="C271" s="240"/>
    </row>
    <row r="272" spans="1:3" x14ac:dyDescent="0.25">
      <c r="A272" s="8" t="s">
        <v>314</v>
      </c>
      <c r="B272" s="239">
        <v>3359955</v>
      </c>
      <c r="C272" s="240"/>
    </row>
    <row r="273" spans="1:3" x14ac:dyDescent="0.25">
      <c r="A273" s="8" t="s">
        <v>315</v>
      </c>
      <c r="B273" s="240"/>
      <c r="C273" s="239">
        <v>20899</v>
      </c>
    </row>
    <row r="274" spans="1:3" x14ac:dyDescent="0.25">
      <c r="A274" s="8" t="s">
        <v>316</v>
      </c>
      <c r="B274" s="240"/>
      <c r="C274" s="239">
        <v>75747</v>
      </c>
    </row>
    <row r="275" spans="1:3" x14ac:dyDescent="0.25">
      <c r="A275" s="8" t="s">
        <v>317</v>
      </c>
      <c r="B275" s="240"/>
      <c r="C275" s="239">
        <v>20899</v>
      </c>
    </row>
    <row r="276" spans="1:3" x14ac:dyDescent="0.25">
      <c r="A276" s="8" t="s">
        <v>2305</v>
      </c>
      <c r="B276" s="240"/>
      <c r="C276" s="239">
        <v>216400</v>
      </c>
    </row>
    <row r="277" spans="1:3" x14ac:dyDescent="0.25">
      <c r="A277" s="8" t="s">
        <v>318</v>
      </c>
      <c r="B277" s="239">
        <v>4800000</v>
      </c>
      <c r="C277" s="240"/>
    </row>
    <row r="278" spans="1:3" x14ac:dyDescent="0.25">
      <c r="A278" s="8" t="s">
        <v>319</v>
      </c>
      <c r="B278" s="239">
        <v>281990</v>
      </c>
      <c r="C278" s="240"/>
    </row>
    <row r="279" spans="1:3" x14ac:dyDescent="0.25">
      <c r="A279" s="8" t="s">
        <v>320</v>
      </c>
      <c r="B279" s="239">
        <v>806397.4</v>
      </c>
      <c r="C279" s="240"/>
    </row>
    <row r="280" spans="1:3" x14ac:dyDescent="0.25">
      <c r="A280" s="8" t="s">
        <v>321</v>
      </c>
      <c r="B280" s="239">
        <v>688233.98</v>
      </c>
      <c r="C280" s="240"/>
    </row>
    <row r="281" spans="1:3" x14ac:dyDescent="0.25">
      <c r="A281" s="8" t="s">
        <v>322</v>
      </c>
      <c r="B281" s="240"/>
      <c r="C281" s="239">
        <v>50905004</v>
      </c>
    </row>
    <row r="282" spans="1:3" x14ac:dyDescent="0.25">
      <c r="A282" s="8" t="s">
        <v>323</v>
      </c>
      <c r="B282" s="239">
        <v>11900</v>
      </c>
      <c r="C282" s="240"/>
    </row>
    <row r="283" spans="1:3" x14ac:dyDescent="0.25">
      <c r="A283" s="8" t="s">
        <v>324</v>
      </c>
      <c r="B283" s="240"/>
      <c r="C283" s="239">
        <v>1692622</v>
      </c>
    </row>
    <row r="284" spans="1:3" x14ac:dyDescent="0.25">
      <c r="A284" s="8" t="s">
        <v>325</v>
      </c>
      <c r="B284" s="240"/>
      <c r="C284" s="239">
        <v>353.12</v>
      </c>
    </row>
    <row r="285" spans="1:3" x14ac:dyDescent="0.25">
      <c r="A285" s="8" t="s">
        <v>326</v>
      </c>
      <c r="B285" s="239">
        <v>25272743</v>
      </c>
      <c r="C285" s="240"/>
    </row>
    <row r="286" spans="1:3" x14ac:dyDescent="0.25">
      <c r="A286" s="8" t="s">
        <v>327</v>
      </c>
      <c r="B286" s="240"/>
      <c r="C286" s="239">
        <v>19934</v>
      </c>
    </row>
    <row r="287" spans="1:3" x14ac:dyDescent="0.25">
      <c r="A287" s="8" t="s">
        <v>328</v>
      </c>
      <c r="B287" s="239">
        <v>347389</v>
      </c>
      <c r="C287" s="240"/>
    </row>
    <row r="288" spans="1:3" x14ac:dyDescent="0.25">
      <c r="A288" s="8" t="s">
        <v>329</v>
      </c>
      <c r="B288" s="240"/>
      <c r="C288" s="239">
        <v>331346</v>
      </c>
    </row>
    <row r="289" spans="1:3" x14ac:dyDescent="0.25">
      <c r="A289" s="8" t="s">
        <v>330</v>
      </c>
      <c r="B289" s="240"/>
      <c r="C289" s="239">
        <v>1029792</v>
      </c>
    </row>
    <row r="290" spans="1:3" x14ac:dyDescent="0.25">
      <c r="A290" s="8" t="s">
        <v>331</v>
      </c>
      <c r="B290" s="239">
        <v>216000</v>
      </c>
      <c r="C290" s="240"/>
    </row>
    <row r="291" spans="1:3" x14ac:dyDescent="0.25">
      <c r="A291" s="8" t="s">
        <v>332</v>
      </c>
      <c r="B291" s="239">
        <v>1684618</v>
      </c>
      <c r="C291" s="240"/>
    </row>
    <row r="292" spans="1:3" x14ac:dyDescent="0.25">
      <c r="A292" s="8" t="s">
        <v>333</v>
      </c>
      <c r="B292" s="239">
        <v>2423600</v>
      </c>
      <c r="C292" s="240"/>
    </row>
    <row r="293" spans="1:3" x14ac:dyDescent="0.25">
      <c r="A293" s="8" t="s">
        <v>334</v>
      </c>
      <c r="B293" s="239">
        <v>8467719</v>
      </c>
      <c r="C293" s="240"/>
    </row>
    <row r="294" spans="1:3" x14ac:dyDescent="0.25">
      <c r="A294" s="8" t="s">
        <v>335</v>
      </c>
      <c r="B294" s="240"/>
      <c r="C294" s="239">
        <v>714551552.14999998</v>
      </c>
    </row>
    <row r="295" spans="1:3" x14ac:dyDescent="0.25">
      <c r="A295" s="8" t="s">
        <v>1436</v>
      </c>
      <c r="B295" s="240"/>
      <c r="C295" s="239">
        <v>80530681.049999997</v>
      </c>
    </row>
    <row r="296" spans="1:3" x14ac:dyDescent="0.25">
      <c r="A296" s="8" t="s">
        <v>336</v>
      </c>
      <c r="B296" s="240"/>
      <c r="C296" s="239">
        <v>729659</v>
      </c>
    </row>
    <row r="297" spans="1:3" x14ac:dyDescent="0.25">
      <c r="A297" s="8" t="s">
        <v>337</v>
      </c>
      <c r="B297" s="240"/>
      <c r="C297" s="239">
        <v>941222</v>
      </c>
    </row>
    <row r="298" spans="1:3" x14ac:dyDescent="0.25">
      <c r="A298" s="8" t="s">
        <v>338</v>
      </c>
      <c r="B298" s="240"/>
      <c r="C298" s="239">
        <v>1764791</v>
      </c>
    </row>
    <row r="299" spans="1:3" x14ac:dyDescent="0.25">
      <c r="A299" s="8" t="s">
        <v>1365</v>
      </c>
      <c r="B299" s="240"/>
      <c r="C299" s="239">
        <v>401154</v>
      </c>
    </row>
    <row r="300" spans="1:3" x14ac:dyDescent="0.25">
      <c r="A300" s="8" t="s">
        <v>340</v>
      </c>
      <c r="B300" s="240"/>
      <c r="C300" s="239">
        <v>14600000</v>
      </c>
    </row>
    <row r="301" spans="1:3" x14ac:dyDescent="0.25">
      <c r="A301" s="8" t="s">
        <v>341</v>
      </c>
      <c r="B301" s="239">
        <v>78364.399999999994</v>
      </c>
      <c r="C301" s="240"/>
    </row>
    <row r="302" spans="1:3" x14ac:dyDescent="0.25">
      <c r="A302" s="8" t="s">
        <v>342</v>
      </c>
      <c r="B302" s="240"/>
      <c r="C302" s="239">
        <v>3874175</v>
      </c>
    </row>
    <row r="303" spans="1:3" x14ac:dyDescent="0.25">
      <c r="A303" s="8" t="s">
        <v>343</v>
      </c>
      <c r="B303" s="240"/>
      <c r="C303" s="239">
        <v>3118016</v>
      </c>
    </row>
    <row r="304" spans="1:3" x14ac:dyDescent="0.25">
      <c r="A304" s="8" t="s">
        <v>344</v>
      </c>
      <c r="B304" s="240"/>
      <c r="C304" s="239">
        <v>117270</v>
      </c>
    </row>
    <row r="305" spans="1:3" x14ac:dyDescent="0.25">
      <c r="A305" s="8" t="s">
        <v>345</v>
      </c>
      <c r="B305" s="240"/>
      <c r="C305" s="239">
        <v>25470</v>
      </c>
    </row>
    <row r="306" spans="1:3" x14ac:dyDescent="0.25">
      <c r="A306" s="8" t="s">
        <v>346</v>
      </c>
      <c r="B306" s="240"/>
      <c r="C306" s="239">
        <v>8664946</v>
      </c>
    </row>
    <row r="307" spans="1:3" x14ac:dyDescent="0.25">
      <c r="A307" s="8" t="s">
        <v>347</v>
      </c>
      <c r="B307" s="239">
        <v>703243</v>
      </c>
      <c r="C307" s="240"/>
    </row>
    <row r="308" spans="1:3" x14ac:dyDescent="0.25">
      <c r="A308" s="8" t="s">
        <v>348</v>
      </c>
      <c r="B308" s="240"/>
      <c r="C308" s="239">
        <v>204940</v>
      </c>
    </row>
    <row r="309" spans="1:3" x14ac:dyDescent="0.25">
      <c r="A309" s="8" t="s">
        <v>349</v>
      </c>
      <c r="B309" s="240"/>
      <c r="C309" s="239">
        <v>18748332</v>
      </c>
    </row>
    <row r="310" spans="1:3" x14ac:dyDescent="0.25">
      <c r="A310" s="8" t="s">
        <v>368</v>
      </c>
      <c r="B310" s="240"/>
      <c r="C310" s="239">
        <v>2852634</v>
      </c>
    </row>
    <row r="311" spans="1:3" x14ac:dyDescent="0.25">
      <c r="A311" s="8" t="s">
        <v>369</v>
      </c>
      <c r="B311" s="239">
        <v>53295.15</v>
      </c>
      <c r="C311" s="240"/>
    </row>
    <row r="312" spans="1:3" x14ac:dyDescent="0.25">
      <c r="A312" s="8" t="s">
        <v>370</v>
      </c>
      <c r="B312" s="239">
        <v>29993</v>
      </c>
      <c r="C312" s="240"/>
    </row>
    <row r="313" spans="1:3" x14ac:dyDescent="0.25">
      <c r="A313" s="8" t="s">
        <v>371</v>
      </c>
      <c r="B313" s="239">
        <v>20183</v>
      </c>
      <c r="C313" s="240"/>
    </row>
    <row r="314" spans="1:3" x14ac:dyDescent="0.25">
      <c r="A314" s="8" t="s">
        <v>824</v>
      </c>
      <c r="B314" s="239">
        <v>59270</v>
      </c>
      <c r="C314" s="240"/>
    </row>
    <row r="315" spans="1:3" x14ac:dyDescent="0.25">
      <c r="A315" s="8" t="s">
        <v>372</v>
      </c>
      <c r="B315" s="240"/>
      <c r="C315" s="239">
        <v>2456715</v>
      </c>
    </row>
    <row r="316" spans="1:3" x14ac:dyDescent="0.25">
      <c r="A316" s="8" t="s">
        <v>373</v>
      </c>
      <c r="B316" s="239">
        <v>2856394</v>
      </c>
      <c r="C316" s="240"/>
    </row>
    <row r="317" spans="1:3" x14ac:dyDescent="0.25">
      <c r="A317" s="8" t="s">
        <v>374</v>
      </c>
      <c r="B317" s="239">
        <v>168822</v>
      </c>
      <c r="C317" s="240"/>
    </row>
    <row r="318" spans="1:3" x14ac:dyDescent="0.25">
      <c r="A318" s="8" t="s">
        <v>376</v>
      </c>
      <c r="B318" s="240"/>
      <c r="C318" s="239">
        <v>19308</v>
      </c>
    </row>
    <row r="319" spans="1:3" x14ac:dyDescent="0.25">
      <c r="A319" s="8" t="s">
        <v>377</v>
      </c>
      <c r="B319" s="240"/>
      <c r="C319" s="239">
        <v>586169</v>
      </c>
    </row>
    <row r="320" spans="1:3" x14ac:dyDescent="0.25">
      <c r="A320" s="8" t="s">
        <v>378</v>
      </c>
      <c r="B320" s="239">
        <v>511714</v>
      </c>
      <c r="C320" s="240"/>
    </row>
    <row r="321" spans="1:3" x14ac:dyDescent="0.25">
      <c r="A321" s="8" t="s">
        <v>379</v>
      </c>
      <c r="B321" s="240"/>
      <c r="C321" s="239">
        <v>134747</v>
      </c>
    </row>
    <row r="322" spans="1:3" x14ac:dyDescent="0.25">
      <c r="A322" s="8" t="s">
        <v>380</v>
      </c>
      <c r="B322" s="239">
        <v>173031</v>
      </c>
      <c r="C322" s="240"/>
    </row>
    <row r="323" spans="1:3" x14ac:dyDescent="0.25">
      <c r="A323" s="8" t="s">
        <v>381</v>
      </c>
      <c r="B323" s="239">
        <v>885649</v>
      </c>
      <c r="C323" s="240"/>
    </row>
    <row r="324" spans="1:3" x14ac:dyDescent="0.25">
      <c r="A324" s="8" t="s">
        <v>382</v>
      </c>
      <c r="B324" s="239">
        <v>55555</v>
      </c>
      <c r="C324" s="240"/>
    </row>
    <row r="325" spans="1:3" x14ac:dyDescent="0.25">
      <c r="A325" s="8" t="s">
        <v>383</v>
      </c>
      <c r="B325" s="239">
        <v>26467</v>
      </c>
      <c r="C325" s="240"/>
    </row>
    <row r="326" spans="1:3" x14ac:dyDescent="0.25">
      <c r="A326" s="8" t="s">
        <v>384</v>
      </c>
      <c r="B326" s="240"/>
      <c r="C326" s="239">
        <v>1882446</v>
      </c>
    </row>
    <row r="327" spans="1:3" x14ac:dyDescent="0.25">
      <c r="A327" s="8" t="s">
        <v>385</v>
      </c>
      <c r="B327" s="240"/>
      <c r="C327" s="239">
        <v>31436</v>
      </c>
    </row>
    <row r="328" spans="1:3" x14ac:dyDescent="0.25">
      <c r="A328" s="8" t="s">
        <v>386</v>
      </c>
      <c r="B328" s="240"/>
      <c r="C328" s="239">
        <v>33750</v>
      </c>
    </row>
    <row r="329" spans="1:3" x14ac:dyDescent="0.25">
      <c r="A329" s="8" t="s">
        <v>387</v>
      </c>
      <c r="B329" s="240"/>
      <c r="C329" s="239">
        <v>2195</v>
      </c>
    </row>
    <row r="330" spans="1:3" x14ac:dyDescent="0.25">
      <c r="A330" s="8" t="s">
        <v>388</v>
      </c>
      <c r="B330" s="240"/>
      <c r="C330" s="239">
        <v>12150</v>
      </c>
    </row>
    <row r="331" spans="1:3" x14ac:dyDescent="0.25">
      <c r="A331" s="8" t="s">
        <v>389</v>
      </c>
      <c r="B331" s="240"/>
      <c r="C331" s="239">
        <v>43576042.979999997</v>
      </c>
    </row>
    <row r="332" spans="1:3" x14ac:dyDescent="0.25">
      <c r="A332" s="8" t="s">
        <v>390</v>
      </c>
      <c r="B332" s="239">
        <v>5000332</v>
      </c>
      <c r="C332" s="240"/>
    </row>
    <row r="333" spans="1:3" x14ac:dyDescent="0.25">
      <c r="A333" s="8" t="s">
        <v>391</v>
      </c>
      <c r="B333" s="239">
        <v>301037.90000000002</v>
      </c>
      <c r="C333" s="240"/>
    </row>
    <row r="334" spans="1:3" x14ac:dyDescent="0.25">
      <c r="A334" s="8" t="s">
        <v>832</v>
      </c>
      <c r="B334" s="239">
        <v>275000</v>
      </c>
      <c r="C334" s="240"/>
    </row>
    <row r="335" spans="1:3" x14ac:dyDescent="0.25">
      <c r="A335" s="8" t="s">
        <v>392</v>
      </c>
      <c r="B335" s="239">
        <v>2500</v>
      </c>
      <c r="C335" s="240"/>
    </row>
    <row r="336" spans="1:3" x14ac:dyDescent="0.25">
      <c r="A336" s="8" t="s">
        <v>393</v>
      </c>
      <c r="B336" s="239">
        <v>37000</v>
      </c>
      <c r="C336" s="240"/>
    </row>
    <row r="337" spans="1:3" x14ac:dyDescent="0.25">
      <c r="A337" s="8" t="s">
        <v>394</v>
      </c>
      <c r="B337" s="240"/>
      <c r="C337" s="239">
        <v>92070</v>
      </c>
    </row>
    <row r="338" spans="1:3" x14ac:dyDescent="0.25">
      <c r="A338" s="8" t="s">
        <v>395</v>
      </c>
      <c r="B338" s="239">
        <v>16101.89</v>
      </c>
      <c r="C338" s="240"/>
    </row>
    <row r="339" spans="1:3" x14ac:dyDescent="0.25">
      <c r="A339" s="8" t="s">
        <v>396</v>
      </c>
      <c r="B339" s="239">
        <v>4000</v>
      </c>
      <c r="C339" s="240"/>
    </row>
    <row r="340" spans="1:3" x14ac:dyDescent="0.25">
      <c r="A340" s="8" t="s">
        <v>397</v>
      </c>
      <c r="B340" s="240"/>
      <c r="C340" s="239">
        <v>455952</v>
      </c>
    </row>
    <row r="341" spans="1:3" x14ac:dyDescent="0.25">
      <c r="A341" s="8" t="s">
        <v>399</v>
      </c>
      <c r="B341" s="239">
        <v>68778.240000000005</v>
      </c>
      <c r="C341" s="240"/>
    </row>
    <row r="342" spans="1:3" x14ac:dyDescent="0.25">
      <c r="A342" s="8" t="s">
        <v>402</v>
      </c>
      <c r="B342" s="240"/>
      <c r="C342" s="239">
        <v>85088.53</v>
      </c>
    </row>
    <row r="343" spans="1:3" x14ac:dyDescent="0.25">
      <c r="A343" s="8" t="s">
        <v>404</v>
      </c>
      <c r="B343" s="239">
        <v>12349</v>
      </c>
      <c r="C343" s="240"/>
    </row>
    <row r="344" spans="1:3" x14ac:dyDescent="0.25">
      <c r="A344" s="8" t="s">
        <v>405</v>
      </c>
      <c r="B344" s="240"/>
      <c r="C344" s="239">
        <v>3756</v>
      </c>
    </row>
    <row r="345" spans="1:3" x14ac:dyDescent="0.25">
      <c r="A345" s="8" t="s">
        <v>406</v>
      </c>
      <c r="B345" s="240"/>
      <c r="C345" s="239">
        <v>12373</v>
      </c>
    </row>
    <row r="346" spans="1:3" x14ac:dyDescent="0.25">
      <c r="A346" s="8" t="s">
        <v>407</v>
      </c>
      <c r="B346" s="240"/>
      <c r="C346" s="239">
        <v>10862.04</v>
      </c>
    </row>
    <row r="347" spans="1:3" x14ac:dyDescent="0.25">
      <c r="A347" s="8" t="s">
        <v>408</v>
      </c>
      <c r="B347" s="240"/>
      <c r="C347" s="239">
        <v>29491</v>
      </c>
    </row>
    <row r="348" spans="1:3" x14ac:dyDescent="0.25">
      <c r="A348" s="8" t="s">
        <v>409</v>
      </c>
      <c r="B348" s="240"/>
      <c r="C348" s="239">
        <v>2925</v>
      </c>
    </row>
    <row r="349" spans="1:3" x14ac:dyDescent="0.25">
      <c r="A349" s="8" t="s">
        <v>410</v>
      </c>
      <c r="B349" s="240"/>
      <c r="C349" s="239">
        <v>80773</v>
      </c>
    </row>
    <row r="350" spans="1:3" x14ac:dyDescent="0.25">
      <c r="A350" s="8" t="s">
        <v>411</v>
      </c>
      <c r="B350" s="240"/>
      <c r="C350" s="239">
        <v>122000</v>
      </c>
    </row>
    <row r="351" spans="1:3" x14ac:dyDescent="0.25">
      <c r="A351" s="8" t="s">
        <v>412</v>
      </c>
      <c r="B351" s="240"/>
      <c r="C351" s="239">
        <v>10850</v>
      </c>
    </row>
    <row r="352" spans="1:3" x14ac:dyDescent="0.25">
      <c r="A352" s="8" t="s">
        <v>413</v>
      </c>
      <c r="B352" s="240"/>
      <c r="C352" s="239">
        <v>5839</v>
      </c>
    </row>
    <row r="353" spans="1:3" x14ac:dyDescent="0.25">
      <c r="A353" s="8" t="s">
        <v>414</v>
      </c>
      <c r="B353" s="239">
        <v>65764</v>
      </c>
      <c r="C353" s="240"/>
    </row>
    <row r="354" spans="1:3" x14ac:dyDescent="0.25">
      <c r="A354" s="8" t="s">
        <v>415</v>
      </c>
      <c r="B354" s="240"/>
      <c r="C354" s="239">
        <v>3662</v>
      </c>
    </row>
    <row r="355" spans="1:3" x14ac:dyDescent="0.25">
      <c r="A355" s="8" t="s">
        <v>416</v>
      </c>
      <c r="B355" s="239">
        <v>40650</v>
      </c>
      <c r="C355" s="240"/>
    </row>
    <row r="356" spans="1:3" x14ac:dyDescent="0.25">
      <c r="A356" s="8" t="s">
        <v>417</v>
      </c>
      <c r="B356" s="240"/>
      <c r="C356" s="239">
        <v>41312</v>
      </c>
    </row>
    <row r="357" spans="1:3" x14ac:dyDescent="0.25">
      <c r="A357" s="8" t="s">
        <v>418</v>
      </c>
      <c r="B357" s="239">
        <v>72962</v>
      </c>
      <c r="C357" s="240"/>
    </row>
    <row r="358" spans="1:3" x14ac:dyDescent="0.25">
      <c r="A358" s="8" t="s">
        <v>419</v>
      </c>
      <c r="B358" s="239">
        <v>116491</v>
      </c>
      <c r="C358" s="240"/>
    </row>
    <row r="359" spans="1:3" x14ac:dyDescent="0.25">
      <c r="A359" s="8" t="s">
        <v>420</v>
      </c>
      <c r="B359" s="240"/>
      <c r="C359" s="239">
        <v>109340</v>
      </c>
    </row>
    <row r="360" spans="1:3" x14ac:dyDescent="0.25">
      <c r="A360" s="8" t="s">
        <v>421</v>
      </c>
      <c r="B360" s="239">
        <v>519122</v>
      </c>
      <c r="C360" s="240"/>
    </row>
    <row r="361" spans="1:3" x14ac:dyDescent="0.25">
      <c r="A361" s="8" t="s">
        <v>422</v>
      </c>
      <c r="B361" s="240"/>
      <c r="C361" s="239">
        <v>34754</v>
      </c>
    </row>
    <row r="362" spans="1:3" x14ac:dyDescent="0.25">
      <c r="A362" s="8" t="s">
        <v>423</v>
      </c>
      <c r="B362" s="239">
        <v>277187</v>
      </c>
      <c r="C362" s="240"/>
    </row>
    <row r="363" spans="1:3" x14ac:dyDescent="0.25">
      <c r="A363" s="8" t="s">
        <v>424</v>
      </c>
      <c r="B363" s="239">
        <v>1264812.5</v>
      </c>
      <c r="C363" s="240"/>
    </row>
    <row r="364" spans="1:3" x14ac:dyDescent="0.25">
      <c r="A364" s="8" t="s">
        <v>426</v>
      </c>
      <c r="B364" s="240"/>
      <c r="C364" s="239">
        <v>377600</v>
      </c>
    </row>
    <row r="365" spans="1:3" x14ac:dyDescent="0.25">
      <c r="A365" s="8" t="s">
        <v>427</v>
      </c>
      <c r="B365" s="240"/>
      <c r="C365" s="239">
        <v>1871806</v>
      </c>
    </row>
    <row r="366" spans="1:3" x14ac:dyDescent="0.25">
      <c r="A366" s="8" t="s">
        <v>428</v>
      </c>
      <c r="B366" s="239">
        <v>122521</v>
      </c>
      <c r="C366" s="240"/>
    </row>
    <row r="367" spans="1:3" x14ac:dyDescent="0.25">
      <c r="A367" s="8" t="s">
        <v>429</v>
      </c>
      <c r="B367" s="239">
        <v>179827</v>
      </c>
      <c r="C367" s="240"/>
    </row>
    <row r="368" spans="1:3" x14ac:dyDescent="0.25">
      <c r="A368" s="8" t="s">
        <v>430</v>
      </c>
      <c r="B368" s="239">
        <v>2991111</v>
      </c>
      <c r="C368" s="240"/>
    </row>
    <row r="369" spans="1:3" x14ac:dyDescent="0.25">
      <c r="A369" s="8" t="s">
        <v>431</v>
      </c>
      <c r="B369" s="239">
        <v>521794</v>
      </c>
      <c r="C369" s="240"/>
    </row>
    <row r="370" spans="1:3" x14ac:dyDescent="0.25">
      <c r="A370" s="8" t="s">
        <v>432</v>
      </c>
      <c r="B370" s="239">
        <v>271912.74</v>
      </c>
      <c r="C370" s="240"/>
    </row>
    <row r="371" spans="1:3" x14ac:dyDescent="0.25">
      <c r="A371" s="8" t="s">
        <v>433</v>
      </c>
      <c r="B371" s="240"/>
      <c r="C371" s="239">
        <v>29906</v>
      </c>
    </row>
    <row r="372" spans="1:3" x14ac:dyDescent="0.25">
      <c r="A372" s="8" t="s">
        <v>434</v>
      </c>
      <c r="B372" s="240"/>
      <c r="C372" s="239">
        <v>1429369</v>
      </c>
    </row>
    <row r="373" spans="1:3" x14ac:dyDescent="0.25">
      <c r="A373" s="8" t="s">
        <v>435</v>
      </c>
      <c r="B373" s="240"/>
      <c r="C373" s="239">
        <v>12900</v>
      </c>
    </row>
    <row r="374" spans="1:3" x14ac:dyDescent="0.25">
      <c r="A374" s="8" t="s">
        <v>436</v>
      </c>
      <c r="B374" s="239">
        <v>5000</v>
      </c>
      <c r="C374" s="240"/>
    </row>
    <row r="375" spans="1:3" x14ac:dyDescent="0.25">
      <c r="A375" s="8" t="s">
        <v>438</v>
      </c>
      <c r="B375" s="240"/>
      <c r="C375" s="239">
        <v>232050</v>
      </c>
    </row>
    <row r="376" spans="1:3" x14ac:dyDescent="0.25">
      <c r="A376" s="8" t="s">
        <v>439</v>
      </c>
      <c r="B376" s="239">
        <v>290915</v>
      </c>
      <c r="C376" s="240"/>
    </row>
    <row r="377" spans="1:3" x14ac:dyDescent="0.25">
      <c r="A377" s="8" t="s">
        <v>440</v>
      </c>
      <c r="B377" s="239">
        <v>6129998</v>
      </c>
      <c r="C377" s="240"/>
    </row>
    <row r="378" spans="1:3" x14ac:dyDescent="0.25">
      <c r="A378" s="8" t="s">
        <v>441</v>
      </c>
      <c r="B378" s="239">
        <v>384685059</v>
      </c>
      <c r="C378" s="240"/>
    </row>
    <row r="379" spans="1:3" x14ac:dyDescent="0.25">
      <c r="A379" s="8" t="s">
        <v>442</v>
      </c>
      <c r="B379" s="239">
        <v>1371677.02</v>
      </c>
      <c r="C379" s="240"/>
    </row>
    <row r="380" spans="1:3" x14ac:dyDescent="0.25">
      <c r="A380" s="8" t="s">
        <v>443</v>
      </c>
      <c r="B380" s="239">
        <v>133008</v>
      </c>
      <c r="C380" s="240"/>
    </row>
    <row r="381" spans="1:3" x14ac:dyDescent="0.25">
      <c r="A381" s="8" t="s">
        <v>444</v>
      </c>
      <c r="B381" s="239">
        <v>180000</v>
      </c>
      <c r="C381" s="240"/>
    </row>
    <row r="382" spans="1:3" x14ac:dyDescent="0.25">
      <c r="A382" s="8" t="s">
        <v>445</v>
      </c>
      <c r="B382" s="239">
        <v>7547</v>
      </c>
      <c r="C382" s="240"/>
    </row>
    <row r="383" spans="1:3" x14ac:dyDescent="0.25">
      <c r="A383" s="8" t="s">
        <v>447</v>
      </c>
      <c r="B383" s="239">
        <v>31034983</v>
      </c>
      <c r="C383" s="240"/>
    </row>
    <row r="384" spans="1:3" x14ac:dyDescent="0.25">
      <c r="A384" s="8" t="s">
        <v>448</v>
      </c>
      <c r="B384" s="240"/>
      <c r="C384" s="239">
        <v>19017</v>
      </c>
    </row>
    <row r="385" spans="1:3" x14ac:dyDescent="0.25">
      <c r="A385" s="1226" t="s">
        <v>3204</v>
      </c>
      <c r="B385" s="240"/>
      <c r="C385" s="239">
        <v>0.22</v>
      </c>
    </row>
    <row r="386" spans="1:3" x14ac:dyDescent="0.25">
      <c r="A386" s="1227" t="s">
        <v>450</v>
      </c>
      <c r="B386" s="1228">
        <v>1414542251.77</v>
      </c>
      <c r="C386" s="1228">
        <v>1414542251.77</v>
      </c>
    </row>
  </sheetData>
  <mergeCells count="7">
    <mergeCell ref="B7:C7"/>
    <mergeCell ref="A1:C1"/>
    <mergeCell ref="A2:C2"/>
    <mergeCell ref="A3:C3"/>
    <mergeCell ref="A4:C4"/>
    <mergeCell ref="B5:C5"/>
    <mergeCell ref="B6:C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94"/>
  <sheetViews>
    <sheetView topLeftCell="A109" workbookViewId="0">
      <selection activeCell="A152" sqref="A152:XFD152"/>
    </sheetView>
  </sheetViews>
  <sheetFormatPr defaultRowHeight="15" x14ac:dyDescent="0.25"/>
  <cols>
    <col min="1" max="1" width="53.7109375" bestFit="1" customWidth="1"/>
    <col min="2" max="3" width="13.5703125" bestFit="1" customWidth="1"/>
    <col min="4" max="4" width="15.140625" customWidth="1"/>
  </cols>
  <sheetData>
    <row r="1" spans="1:3" ht="15.75" x14ac:dyDescent="0.25">
      <c r="A1" s="1841" t="s">
        <v>0</v>
      </c>
      <c r="B1" s="1841"/>
      <c r="C1" s="1841"/>
    </row>
    <row r="2" spans="1:3" x14ac:dyDescent="0.25">
      <c r="A2" s="1834" t="s">
        <v>1</v>
      </c>
      <c r="B2" s="1834"/>
      <c r="C2" s="1834"/>
    </row>
    <row r="3" spans="1:3" x14ac:dyDescent="0.25">
      <c r="A3" s="1834" t="s">
        <v>2</v>
      </c>
      <c r="B3" s="1834"/>
      <c r="C3" s="1834"/>
    </row>
    <row r="4" spans="1:3" x14ac:dyDescent="0.25">
      <c r="A4" s="1834" t="s">
        <v>3</v>
      </c>
      <c r="B4" s="1834"/>
      <c r="C4" s="1834"/>
    </row>
    <row r="5" spans="1:3" x14ac:dyDescent="0.25">
      <c r="A5" s="1842" t="s">
        <v>3201</v>
      </c>
      <c r="B5" s="1842"/>
      <c r="C5" s="1842"/>
    </row>
    <row r="6" spans="1:3" ht="15.75" x14ac:dyDescent="0.25">
      <c r="A6" s="1960" t="s">
        <v>5</v>
      </c>
      <c r="B6" s="1960"/>
      <c r="C6" s="1960"/>
    </row>
    <row r="7" spans="1:3" x14ac:dyDescent="0.25">
      <c r="A7" s="1834" t="s">
        <v>6</v>
      </c>
      <c r="B7" s="1834"/>
      <c r="C7" s="1834"/>
    </row>
    <row r="8" spans="1:3" x14ac:dyDescent="0.25">
      <c r="A8" s="1225" t="s">
        <v>7</v>
      </c>
      <c r="B8" s="1961" t="s">
        <v>8</v>
      </c>
      <c r="C8" s="1962"/>
    </row>
    <row r="9" spans="1:3" x14ac:dyDescent="0.25">
      <c r="A9" s="233" t="s">
        <v>9</v>
      </c>
      <c r="B9" s="1963" t="s">
        <v>6</v>
      </c>
      <c r="C9" s="1964"/>
    </row>
    <row r="10" spans="1:3" x14ac:dyDescent="0.25">
      <c r="A10" s="233" t="s">
        <v>7</v>
      </c>
      <c r="B10" s="1958" t="s">
        <v>10</v>
      </c>
      <c r="C10" s="1959"/>
    </row>
    <row r="11" spans="1:3" x14ac:dyDescent="0.25">
      <c r="A11" s="234" t="s">
        <v>7</v>
      </c>
      <c r="B11" s="235" t="s">
        <v>11</v>
      </c>
      <c r="C11" s="235" t="s">
        <v>12</v>
      </c>
    </row>
    <row r="12" spans="1:3" x14ac:dyDescent="0.25">
      <c r="A12" s="236" t="s">
        <v>13</v>
      </c>
      <c r="B12" s="237">
        <v>67823511</v>
      </c>
      <c r="C12" s="238"/>
    </row>
    <row r="13" spans="1:3" x14ac:dyDescent="0.25">
      <c r="A13" s="8" t="s">
        <v>15</v>
      </c>
      <c r="B13" s="239">
        <v>13000000</v>
      </c>
      <c r="C13" s="240"/>
    </row>
    <row r="14" spans="1:3" x14ac:dyDescent="0.25">
      <c r="A14" s="8" t="s">
        <v>16</v>
      </c>
      <c r="B14" s="239">
        <v>69186</v>
      </c>
      <c r="C14" s="240"/>
    </row>
    <row r="15" spans="1:3" x14ac:dyDescent="0.25">
      <c r="A15" s="8" t="s">
        <v>17</v>
      </c>
      <c r="B15" s="239">
        <v>3825310</v>
      </c>
      <c r="C15" s="240"/>
    </row>
    <row r="16" spans="1:3" x14ac:dyDescent="0.25">
      <c r="A16" s="8" t="s">
        <v>18</v>
      </c>
      <c r="B16" s="240"/>
      <c r="C16" s="239">
        <v>156125</v>
      </c>
    </row>
    <row r="17" spans="1:3" x14ac:dyDescent="0.25">
      <c r="A17" s="8" t="s">
        <v>19</v>
      </c>
      <c r="B17" s="239">
        <v>3124400</v>
      </c>
      <c r="C17" s="240"/>
    </row>
    <row r="18" spans="1:3" x14ac:dyDescent="0.25">
      <c r="A18" s="8" t="s">
        <v>20</v>
      </c>
      <c r="B18" s="239">
        <v>7858026.4299999997</v>
      </c>
      <c r="C18" s="240"/>
    </row>
    <row r="19" spans="1:3" x14ac:dyDescent="0.25">
      <c r="A19" s="8" t="s">
        <v>21</v>
      </c>
      <c r="B19" s="239">
        <v>4500</v>
      </c>
      <c r="C19" s="240"/>
    </row>
    <row r="20" spans="1:3" x14ac:dyDescent="0.25">
      <c r="A20" s="8" t="s">
        <v>22</v>
      </c>
      <c r="B20" s="240"/>
      <c r="C20" s="239">
        <v>68388</v>
      </c>
    </row>
    <row r="21" spans="1:3" x14ac:dyDescent="0.25">
      <c r="A21" s="8" t="s">
        <v>23</v>
      </c>
      <c r="B21" s="239">
        <v>6461</v>
      </c>
      <c r="C21" s="240"/>
    </row>
    <row r="22" spans="1:3" x14ac:dyDescent="0.25">
      <c r="A22" s="8" t="s">
        <v>24</v>
      </c>
      <c r="B22" s="239">
        <v>1585664</v>
      </c>
      <c r="C22" s="240"/>
    </row>
    <row r="23" spans="1:3" x14ac:dyDescent="0.25">
      <c r="A23" s="8" t="s">
        <v>25</v>
      </c>
      <c r="B23" s="240"/>
      <c r="C23" s="239">
        <v>2353055</v>
      </c>
    </row>
    <row r="24" spans="1:3" x14ac:dyDescent="0.25">
      <c r="A24" s="8" t="s">
        <v>26</v>
      </c>
      <c r="B24" s="240"/>
      <c r="C24" s="239">
        <v>941222</v>
      </c>
    </row>
    <row r="25" spans="1:3" x14ac:dyDescent="0.25">
      <c r="A25" s="8" t="s">
        <v>27</v>
      </c>
      <c r="B25" s="239">
        <v>19000</v>
      </c>
      <c r="C25" s="240"/>
    </row>
    <row r="26" spans="1:3" x14ac:dyDescent="0.25">
      <c r="A26" s="8" t="s">
        <v>28</v>
      </c>
      <c r="B26" s="239">
        <v>9000</v>
      </c>
      <c r="C26" s="240"/>
    </row>
    <row r="27" spans="1:3" x14ac:dyDescent="0.25">
      <c r="A27" s="8" t="s">
        <v>29</v>
      </c>
      <c r="B27" s="240"/>
      <c r="C27" s="239">
        <v>50553</v>
      </c>
    </row>
    <row r="28" spans="1:3" x14ac:dyDescent="0.25">
      <c r="A28" s="8" t="s">
        <v>30</v>
      </c>
      <c r="B28" s="239">
        <v>4000</v>
      </c>
      <c r="C28" s="240"/>
    </row>
    <row r="29" spans="1:3" x14ac:dyDescent="0.25">
      <c r="A29" s="8" t="s">
        <v>31</v>
      </c>
      <c r="B29" s="240"/>
      <c r="C29" s="239">
        <v>61249</v>
      </c>
    </row>
    <row r="30" spans="1:3" x14ac:dyDescent="0.25">
      <c r="A30" s="8" t="s">
        <v>32</v>
      </c>
      <c r="B30" s="240"/>
      <c r="C30" s="239">
        <v>1176528</v>
      </c>
    </row>
    <row r="31" spans="1:3" x14ac:dyDescent="0.25">
      <c r="A31" s="8" t="s">
        <v>33</v>
      </c>
      <c r="B31" s="239">
        <v>134911.04000000001</v>
      </c>
      <c r="C31" s="240"/>
    </row>
    <row r="32" spans="1:3" x14ac:dyDescent="0.25">
      <c r="A32" s="8" t="s">
        <v>34</v>
      </c>
      <c r="B32" s="239">
        <v>91200</v>
      </c>
      <c r="C32" s="240"/>
    </row>
    <row r="33" spans="1:3" x14ac:dyDescent="0.25">
      <c r="A33" s="8" t="s">
        <v>35</v>
      </c>
      <c r="B33" s="239">
        <v>97878</v>
      </c>
      <c r="C33" s="240"/>
    </row>
    <row r="34" spans="1:3" x14ac:dyDescent="0.25">
      <c r="A34" s="8" t="s">
        <v>36</v>
      </c>
      <c r="B34" s="239">
        <v>48970</v>
      </c>
      <c r="C34" s="240"/>
    </row>
    <row r="35" spans="1:3" x14ac:dyDescent="0.25">
      <c r="A35" s="8" t="s">
        <v>37</v>
      </c>
      <c r="B35" s="239">
        <v>274305</v>
      </c>
      <c r="C35" s="240"/>
    </row>
    <row r="36" spans="1:3" x14ac:dyDescent="0.25">
      <c r="A36" s="8" t="s">
        <v>38</v>
      </c>
      <c r="B36" s="240"/>
      <c r="C36" s="239">
        <v>262245</v>
      </c>
    </row>
    <row r="37" spans="1:3" x14ac:dyDescent="0.25">
      <c r="A37" s="8" t="s">
        <v>39</v>
      </c>
      <c r="B37" s="240"/>
      <c r="C37" s="239">
        <v>209878</v>
      </c>
    </row>
    <row r="38" spans="1:3" x14ac:dyDescent="0.25">
      <c r="A38" s="8" t="s">
        <v>40</v>
      </c>
      <c r="B38" s="239">
        <v>3207346</v>
      </c>
      <c r="C38" s="240"/>
    </row>
    <row r="39" spans="1:3" x14ac:dyDescent="0.25">
      <c r="A39" s="8" t="s">
        <v>41</v>
      </c>
      <c r="B39" s="239">
        <v>2575</v>
      </c>
      <c r="C39" s="240"/>
    </row>
    <row r="40" spans="1:3" x14ac:dyDescent="0.25">
      <c r="A40" s="8" t="s">
        <v>42</v>
      </c>
      <c r="B40" s="240"/>
      <c r="C40" s="239">
        <v>82125</v>
      </c>
    </row>
    <row r="41" spans="1:3" x14ac:dyDescent="0.25">
      <c r="A41" s="8" t="s">
        <v>43</v>
      </c>
      <c r="B41" s="239">
        <v>58923230.630000003</v>
      </c>
      <c r="C41" s="240"/>
    </row>
    <row r="42" spans="1:3" x14ac:dyDescent="0.25">
      <c r="A42" s="8" t="s">
        <v>45</v>
      </c>
      <c r="B42" s="240"/>
      <c r="C42" s="239">
        <v>20413989</v>
      </c>
    </row>
    <row r="43" spans="1:3" x14ac:dyDescent="0.25">
      <c r="A43" s="8" t="s">
        <v>46</v>
      </c>
      <c r="B43" s="240"/>
      <c r="C43" s="239">
        <v>32332</v>
      </c>
    </row>
    <row r="44" spans="1:3" x14ac:dyDescent="0.25">
      <c r="A44" s="8" t="s">
        <v>47</v>
      </c>
      <c r="B44" s="239">
        <v>364309</v>
      </c>
      <c r="C44" s="240"/>
    </row>
    <row r="45" spans="1:3" x14ac:dyDescent="0.25">
      <c r="A45" s="8" t="s">
        <v>48</v>
      </c>
      <c r="B45" s="239">
        <v>95263</v>
      </c>
      <c r="C45" s="240"/>
    </row>
    <row r="46" spans="1:3" x14ac:dyDescent="0.25">
      <c r="A46" s="8" t="s">
        <v>49</v>
      </c>
      <c r="B46" s="239">
        <v>81600</v>
      </c>
      <c r="C46" s="240"/>
    </row>
    <row r="47" spans="1:3" x14ac:dyDescent="0.25">
      <c r="A47" s="8" t="s">
        <v>50</v>
      </c>
      <c r="B47" s="239">
        <v>255504</v>
      </c>
      <c r="C47" s="240"/>
    </row>
    <row r="48" spans="1:3" x14ac:dyDescent="0.25">
      <c r="A48" s="8" t="s">
        <v>52</v>
      </c>
      <c r="B48" s="240"/>
      <c r="C48" s="239">
        <v>4520</v>
      </c>
    </row>
    <row r="49" spans="1:3" x14ac:dyDescent="0.25">
      <c r="A49" s="8" t="s">
        <v>71</v>
      </c>
      <c r="B49" s="240"/>
      <c r="C49" s="239">
        <v>2852087</v>
      </c>
    </row>
    <row r="50" spans="1:3" x14ac:dyDescent="0.25">
      <c r="A50" s="8" t="s">
        <v>72</v>
      </c>
      <c r="B50" s="239">
        <v>61274.11</v>
      </c>
      <c r="C50" s="240"/>
    </row>
    <row r="51" spans="1:3" x14ac:dyDescent="0.25">
      <c r="A51" s="8" t="s">
        <v>73</v>
      </c>
      <c r="B51" s="239">
        <v>19377618</v>
      </c>
      <c r="C51" s="240"/>
    </row>
    <row r="52" spans="1:3" x14ac:dyDescent="0.25">
      <c r="A52" s="8" t="s">
        <v>1361</v>
      </c>
      <c r="B52" s="239">
        <v>396306</v>
      </c>
      <c r="C52" s="240"/>
    </row>
    <row r="53" spans="1:3" x14ac:dyDescent="0.25">
      <c r="A53" s="8" t="s">
        <v>75</v>
      </c>
      <c r="B53" s="240"/>
      <c r="C53" s="239">
        <v>638291</v>
      </c>
    </row>
    <row r="54" spans="1:3" x14ac:dyDescent="0.25">
      <c r="A54" s="8" t="s">
        <v>76</v>
      </c>
      <c r="B54" s="239">
        <v>4000</v>
      </c>
      <c r="C54" s="240"/>
    </row>
    <row r="55" spans="1:3" x14ac:dyDescent="0.25">
      <c r="A55" s="8" t="s">
        <v>77</v>
      </c>
      <c r="B55" s="239">
        <v>34675595</v>
      </c>
      <c r="C55" s="240"/>
    </row>
    <row r="56" spans="1:3" x14ac:dyDescent="0.25">
      <c r="A56" s="8" t="s">
        <v>78</v>
      </c>
      <c r="B56" s="239">
        <v>614111</v>
      </c>
      <c r="C56" s="240"/>
    </row>
    <row r="57" spans="1:3" x14ac:dyDescent="0.25">
      <c r="A57" s="8" t="s">
        <v>79</v>
      </c>
      <c r="B57" s="239">
        <v>25835930</v>
      </c>
      <c r="C57" s="240"/>
    </row>
    <row r="58" spans="1:3" x14ac:dyDescent="0.25">
      <c r="A58" s="8" t="s">
        <v>80</v>
      </c>
      <c r="B58" s="239">
        <v>171625</v>
      </c>
      <c r="C58" s="240"/>
    </row>
    <row r="59" spans="1:3" x14ac:dyDescent="0.25">
      <c r="A59" s="8" t="s">
        <v>81</v>
      </c>
      <c r="B59" s="239">
        <v>61275</v>
      </c>
      <c r="C59" s="240"/>
    </row>
    <row r="60" spans="1:3" x14ac:dyDescent="0.25">
      <c r="A60" s="8" t="s">
        <v>82</v>
      </c>
      <c r="B60" s="239">
        <v>38717565.439999998</v>
      </c>
      <c r="C60" s="240"/>
    </row>
    <row r="61" spans="1:3" x14ac:dyDescent="0.25">
      <c r="A61" s="8" t="s">
        <v>83</v>
      </c>
      <c r="B61" s="239">
        <v>313371</v>
      </c>
      <c r="C61" s="240"/>
    </row>
    <row r="62" spans="1:3" x14ac:dyDescent="0.25">
      <c r="A62" s="8" t="s">
        <v>84</v>
      </c>
      <c r="B62" s="239">
        <v>81671</v>
      </c>
      <c r="C62" s="240"/>
    </row>
    <row r="63" spans="1:3" x14ac:dyDescent="0.25">
      <c r="A63" s="8" t="s">
        <v>85</v>
      </c>
      <c r="B63" s="239">
        <v>1806809</v>
      </c>
      <c r="C63" s="240"/>
    </row>
    <row r="64" spans="1:3" x14ac:dyDescent="0.25">
      <c r="A64" s="8" t="s">
        <v>86</v>
      </c>
      <c r="B64" s="239">
        <v>1057200.7</v>
      </c>
      <c r="C64" s="240"/>
    </row>
    <row r="65" spans="1:3" x14ac:dyDescent="0.25">
      <c r="A65" s="8" t="s">
        <v>87</v>
      </c>
      <c r="B65" s="239">
        <v>7000</v>
      </c>
      <c r="C65" s="240"/>
    </row>
    <row r="66" spans="1:3" x14ac:dyDescent="0.25">
      <c r="A66" s="8" t="s">
        <v>88</v>
      </c>
      <c r="B66" s="239">
        <v>57713</v>
      </c>
      <c r="C66" s="240"/>
    </row>
    <row r="67" spans="1:3" x14ac:dyDescent="0.25">
      <c r="A67" s="8" t="s">
        <v>89</v>
      </c>
      <c r="B67" s="240"/>
      <c r="C67" s="239">
        <v>23574</v>
      </c>
    </row>
    <row r="68" spans="1:3" x14ac:dyDescent="0.25">
      <c r="A68" s="8" t="s">
        <v>90</v>
      </c>
      <c r="B68" s="240"/>
      <c r="C68" s="239">
        <v>206714</v>
      </c>
    </row>
    <row r="69" spans="1:3" x14ac:dyDescent="0.25">
      <c r="A69" s="8" t="s">
        <v>91</v>
      </c>
      <c r="B69" s="239">
        <v>30655</v>
      </c>
      <c r="C69" s="240"/>
    </row>
    <row r="70" spans="1:3" x14ac:dyDescent="0.25">
      <c r="A70" s="8" t="s">
        <v>92</v>
      </c>
      <c r="B70" s="239">
        <v>25835</v>
      </c>
      <c r="C70" s="240"/>
    </row>
    <row r="71" spans="1:3" x14ac:dyDescent="0.25">
      <c r="A71" s="8" t="s">
        <v>93</v>
      </c>
      <c r="B71" s="239">
        <v>62901</v>
      </c>
      <c r="C71" s="240"/>
    </row>
    <row r="72" spans="1:3" x14ac:dyDescent="0.25">
      <c r="A72" s="8" t="s">
        <v>94</v>
      </c>
      <c r="B72" s="239">
        <v>44221.5</v>
      </c>
      <c r="C72" s="240"/>
    </row>
    <row r="73" spans="1:3" x14ac:dyDescent="0.25">
      <c r="A73" s="8" t="s">
        <v>1437</v>
      </c>
      <c r="B73" s="239">
        <v>500</v>
      </c>
      <c r="C73" s="240"/>
    </row>
    <row r="74" spans="1:3" x14ac:dyDescent="0.25">
      <c r="A74" s="8" t="s">
        <v>95</v>
      </c>
      <c r="B74" s="239">
        <v>629000</v>
      </c>
      <c r="C74" s="240"/>
    </row>
    <row r="75" spans="1:3" x14ac:dyDescent="0.25">
      <c r="A75" s="8" t="s">
        <v>1362</v>
      </c>
      <c r="B75" s="240"/>
      <c r="C75" s="239">
        <v>247500</v>
      </c>
    </row>
    <row r="76" spans="1:3" x14ac:dyDescent="0.25">
      <c r="A76" s="8" t="s">
        <v>98</v>
      </c>
      <c r="B76" s="240"/>
      <c r="C76" s="239">
        <v>2151570</v>
      </c>
    </row>
    <row r="77" spans="1:3" x14ac:dyDescent="0.25">
      <c r="A77" s="8" t="s">
        <v>99</v>
      </c>
      <c r="B77" s="240"/>
      <c r="C77" s="239">
        <v>20264926</v>
      </c>
    </row>
    <row r="78" spans="1:3" x14ac:dyDescent="0.25">
      <c r="A78" s="8" t="s">
        <v>100</v>
      </c>
      <c r="B78" s="239">
        <v>1137100</v>
      </c>
      <c r="C78" s="240"/>
    </row>
    <row r="79" spans="1:3" x14ac:dyDescent="0.25">
      <c r="A79" s="8" t="s">
        <v>101</v>
      </c>
      <c r="B79" s="239">
        <v>6800</v>
      </c>
      <c r="C79" s="240"/>
    </row>
    <row r="80" spans="1:3" x14ac:dyDescent="0.25">
      <c r="A80" s="8" t="s">
        <v>102</v>
      </c>
      <c r="B80" s="239">
        <v>200000</v>
      </c>
      <c r="C80" s="240"/>
    </row>
    <row r="81" spans="1:3" x14ac:dyDescent="0.25">
      <c r="A81" s="8" t="s">
        <v>103</v>
      </c>
      <c r="B81" s="239">
        <v>10777</v>
      </c>
      <c r="C81" s="240"/>
    </row>
    <row r="82" spans="1:3" x14ac:dyDescent="0.25">
      <c r="A82" s="8" t="s">
        <v>104</v>
      </c>
      <c r="B82" s="239">
        <v>4778693</v>
      </c>
      <c r="C82" s="240"/>
    </row>
    <row r="83" spans="1:3" x14ac:dyDescent="0.25">
      <c r="A83" s="8" t="s">
        <v>105</v>
      </c>
      <c r="B83" s="239">
        <v>50000</v>
      </c>
      <c r="C83" s="240"/>
    </row>
    <row r="84" spans="1:3" x14ac:dyDescent="0.25">
      <c r="A84" s="8" t="s">
        <v>106</v>
      </c>
      <c r="B84" s="239">
        <v>248200</v>
      </c>
      <c r="C84" s="240"/>
    </row>
    <row r="85" spans="1:3" x14ac:dyDescent="0.25">
      <c r="A85" s="8" t="s">
        <v>107</v>
      </c>
      <c r="B85" s="239">
        <v>207370.61</v>
      </c>
      <c r="C85" s="240"/>
    </row>
    <row r="86" spans="1:3" x14ac:dyDescent="0.25">
      <c r="A86" s="8" t="s">
        <v>108</v>
      </c>
      <c r="B86" s="239">
        <v>125000</v>
      </c>
      <c r="C86" s="240"/>
    </row>
    <row r="87" spans="1:3" x14ac:dyDescent="0.25">
      <c r="A87" s="8" t="s">
        <v>109</v>
      </c>
      <c r="B87" s="239">
        <v>1865562</v>
      </c>
      <c r="C87" s="240"/>
    </row>
    <row r="88" spans="1:3" x14ac:dyDescent="0.25">
      <c r="A88" s="8" t="s">
        <v>110</v>
      </c>
      <c r="B88" s="239">
        <v>1829578</v>
      </c>
      <c r="C88" s="240"/>
    </row>
    <row r="89" spans="1:3" x14ac:dyDescent="0.25">
      <c r="A89" s="8" t="s">
        <v>111</v>
      </c>
      <c r="B89" s="239">
        <v>86663</v>
      </c>
      <c r="C89" s="240"/>
    </row>
    <row r="90" spans="1:3" x14ac:dyDescent="0.25">
      <c r="A90" s="8" t="s">
        <v>112</v>
      </c>
      <c r="B90" s="239">
        <v>46402</v>
      </c>
      <c r="C90" s="240"/>
    </row>
    <row r="91" spans="1:3" x14ac:dyDescent="0.25">
      <c r="A91" s="8" t="s">
        <v>113</v>
      </c>
      <c r="B91" s="239">
        <v>20856</v>
      </c>
      <c r="C91" s="240"/>
    </row>
    <row r="92" spans="1:3" x14ac:dyDescent="0.25">
      <c r="A92" s="8" t="s">
        <v>114</v>
      </c>
      <c r="B92" s="239">
        <v>12791072</v>
      </c>
      <c r="C92" s="240"/>
    </row>
    <row r="93" spans="1:3" x14ac:dyDescent="0.25">
      <c r="A93" s="8" t="s">
        <v>115</v>
      </c>
      <c r="B93" s="239">
        <v>369149</v>
      </c>
      <c r="C93" s="240"/>
    </row>
    <row r="94" spans="1:3" x14ac:dyDescent="0.25">
      <c r="A94" s="8" t="s">
        <v>598</v>
      </c>
      <c r="B94" s="240"/>
      <c r="C94" s="239">
        <v>24300</v>
      </c>
    </row>
    <row r="95" spans="1:3" x14ac:dyDescent="0.25">
      <c r="A95" s="8" t="s">
        <v>116</v>
      </c>
      <c r="B95" s="240"/>
      <c r="C95" s="239">
        <v>334448</v>
      </c>
    </row>
    <row r="96" spans="1:3" x14ac:dyDescent="0.25">
      <c r="A96" s="8" t="s">
        <v>117</v>
      </c>
      <c r="B96" s="239">
        <v>6000</v>
      </c>
      <c r="C96" s="240"/>
    </row>
    <row r="97" spans="1:3" x14ac:dyDescent="0.25">
      <c r="A97" s="8" t="s">
        <v>118</v>
      </c>
      <c r="B97" s="240"/>
      <c r="C97" s="239">
        <v>16211566</v>
      </c>
    </row>
    <row r="98" spans="1:3" x14ac:dyDescent="0.25">
      <c r="A98" s="8" t="s">
        <v>119</v>
      </c>
      <c r="B98" s="239">
        <v>28500</v>
      </c>
      <c r="C98" s="240"/>
    </row>
    <row r="99" spans="1:3" x14ac:dyDescent="0.25">
      <c r="A99" s="8" t="s">
        <v>120</v>
      </c>
      <c r="B99" s="239">
        <v>30200530</v>
      </c>
      <c r="C99" s="240"/>
    </row>
    <row r="100" spans="1:3" x14ac:dyDescent="0.25">
      <c r="A100" s="8" t="s">
        <v>121</v>
      </c>
      <c r="B100" s="239">
        <v>83852.84</v>
      </c>
      <c r="C100" s="240"/>
    </row>
    <row r="101" spans="1:3" x14ac:dyDescent="0.25">
      <c r="A101" s="8" t="s">
        <v>122</v>
      </c>
      <c r="B101" s="239">
        <v>890949</v>
      </c>
      <c r="C101" s="240"/>
    </row>
    <row r="102" spans="1:3" x14ac:dyDescent="0.25">
      <c r="A102" s="8" t="s">
        <v>123</v>
      </c>
      <c r="B102" s="239">
        <v>56000</v>
      </c>
      <c r="C102" s="240"/>
    </row>
    <row r="103" spans="1:3" x14ac:dyDescent="0.25">
      <c r="A103" s="8" t="s">
        <v>124</v>
      </c>
      <c r="B103" s="240"/>
      <c r="C103" s="239">
        <v>4423234</v>
      </c>
    </row>
    <row r="104" spans="1:3" x14ac:dyDescent="0.25">
      <c r="A104" s="8" t="s">
        <v>125</v>
      </c>
      <c r="B104" s="239">
        <v>28929911.010000002</v>
      </c>
      <c r="C104" s="240"/>
    </row>
    <row r="105" spans="1:3" x14ac:dyDescent="0.25">
      <c r="A105" s="8" t="s">
        <v>126</v>
      </c>
      <c r="B105" s="240"/>
      <c r="C105" s="239">
        <v>26922650</v>
      </c>
    </row>
    <row r="106" spans="1:3" x14ac:dyDescent="0.25">
      <c r="A106" s="8" t="s">
        <v>127</v>
      </c>
      <c r="B106" s="239">
        <v>212650</v>
      </c>
      <c r="C106" s="240"/>
    </row>
    <row r="107" spans="1:3" x14ac:dyDescent="0.25">
      <c r="A107" s="8" t="s">
        <v>128</v>
      </c>
      <c r="B107" s="239">
        <v>15900</v>
      </c>
      <c r="C107" s="240"/>
    </row>
    <row r="108" spans="1:3" x14ac:dyDescent="0.25">
      <c r="A108" s="8" t="s">
        <v>129</v>
      </c>
      <c r="B108" s="239">
        <v>4085113</v>
      </c>
      <c r="C108" s="240"/>
    </row>
    <row r="109" spans="1:3" x14ac:dyDescent="0.25">
      <c r="A109" s="8" t="s">
        <v>130</v>
      </c>
      <c r="B109" s="240"/>
      <c r="C109" s="239">
        <v>11505104.710000001</v>
      </c>
    </row>
    <row r="110" spans="1:3" x14ac:dyDescent="0.25">
      <c r="A110" s="8" t="s">
        <v>131</v>
      </c>
      <c r="B110" s="239">
        <v>64575</v>
      </c>
      <c r="C110" s="240"/>
    </row>
    <row r="111" spans="1:3" x14ac:dyDescent="0.25">
      <c r="A111" s="8" t="s">
        <v>132</v>
      </c>
      <c r="B111" s="239">
        <v>244646.5</v>
      </c>
      <c r="C111" s="240"/>
    </row>
    <row r="112" spans="1:3" x14ac:dyDescent="0.25">
      <c r="A112" s="8" t="s">
        <v>133</v>
      </c>
      <c r="B112" s="239">
        <v>66582536</v>
      </c>
      <c r="C112" s="240"/>
    </row>
    <row r="113" spans="1:3" x14ac:dyDescent="0.25">
      <c r="A113" s="8" t="s">
        <v>134</v>
      </c>
      <c r="B113" s="239">
        <v>218259</v>
      </c>
      <c r="C113" s="240"/>
    </row>
    <row r="114" spans="1:3" x14ac:dyDescent="0.25">
      <c r="A114" s="8" t="s">
        <v>135</v>
      </c>
      <c r="B114" s="239">
        <v>50000</v>
      </c>
      <c r="C114" s="240"/>
    </row>
    <row r="115" spans="1:3" x14ac:dyDescent="0.25">
      <c r="A115" s="8" t="s">
        <v>136</v>
      </c>
      <c r="B115" s="239">
        <v>116330</v>
      </c>
      <c r="C115" s="240"/>
    </row>
    <row r="116" spans="1:3" x14ac:dyDescent="0.25">
      <c r="A116" s="8" t="s">
        <v>137</v>
      </c>
      <c r="B116" s="239">
        <v>7700</v>
      </c>
      <c r="C116" s="240"/>
    </row>
    <row r="117" spans="1:3" x14ac:dyDescent="0.25">
      <c r="A117" s="8" t="s">
        <v>138</v>
      </c>
      <c r="B117" s="239">
        <v>2854617</v>
      </c>
      <c r="C117" s="240"/>
    </row>
    <row r="118" spans="1:3" x14ac:dyDescent="0.25">
      <c r="A118" s="8" t="s">
        <v>139</v>
      </c>
      <c r="B118" s="240"/>
      <c r="C118" s="239">
        <v>279076</v>
      </c>
    </row>
    <row r="119" spans="1:3" x14ac:dyDescent="0.25">
      <c r="A119" s="8" t="s">
        <v>140</v>
      </c>
      <c r="B119" s="239">
        <v>1654054</v>
      </c>
      <c r="C119" s="240"/>
    </row>
    <row r="120" spans="1:3" x14ac:dyDescent="0.25">
      <c r="A120" s="8" t="s">
        <v>141</v>
      </c>
      <c r="B120" s="240"/>
      <c r="C120" s="239">
        <v>1394065</v>
      </c>
    </row>
    <row r="121" spans="1:3" x14ac:dyDescent="0.25">
      <c r="A121" s="8" t="s">
        <v>142</v>
      </c>
      <c r="B121" s="239">
        <v>202312.89</v>
      </c>
      <c r="C121" s="240"/>
    </row>
    <row r="122" spans="1:3" x14ac:dyDescent="0.25">
      <c r="A122" s="8" t="s">
        <v>143</v>
      </c>
      <c r="B122" s="239">
        <v>33965000</v>
      </c>
      <c r="C122" s="240"/>
    </row>
    <row r="123" spans="1:3" x14ac:dyDescent="0.25">
      <c r="A123" s="8" t="s">
        <v>144</v>
      </c>
      <c r="B123" s="239">
        <v>8000</v>
      </c>
      <c r="C123" s="240"/>
    </row>
    <row r="124" spans="1:3" x14ac:dyDescent="0.25">
      <c r="A124" s="8" t="s">
        <v>145</v>
      </c>
      <c r="B124" s="239">
        <v>1868166.03</v>
      </c>
      <c r="C124" s="240"/>
    </row>
    <row r="125" spans="1:3" x14ac:dyDescent="0.25">
      <c r="A125" s="8" t="s">
        <v>146</v>
      </c>
      <c r="B125" s="240"/>
      <c r="C125" s="239">
        <v>57671</v>
      </c>
    </row>
    <row r="126" spans="1:3" x14ac:dyDescent="0.25">
      <c r="A126" s="8" t="s">
        <v>147</v>
      </c>
      <c r="B126" s="240"/>
      <c r="C126" s="239">
        <v>1800000</v>
      </c>
    </row>
    <row r="127" spans="1:3" x14ac:dyDescent="0.25">
      <c r="A127" s="8" t="s">
        <v>1363</v>
      </c>
      <c r="B127" s="239">
        <v>921661</v>
      </c>
      <c r="C127" s="240"/>
    </row>
    <row r="128" spans="1:3" x14ac:dyDescent="0.25">
      <c r="A128" s="8" t="s">
        <v>149</v>
      </c>
      <c r="B128" s="239">
        <v>45000</v>
      </c>
      <c r="C128" s="240"/>
    </row>
    <row r="129" spans="1:3" x14ac:dyDescent="0.25">
      <c r="A129" s="8" t="s">
        <v>151</v>
      </c>
      <c r="B129" s="239">
        <v>36000</v>
      </c>
      <c r="C129" s="240"/>
    </row>
    <row r="130" spans="1:3" x14ac:dyDescent="0.25">
      <c r="A130" s="8" t="s">
        <v>2479</v>
      </c>
      <c r="B130" s="239">
        <v>76133</v>
      </c>
      <c r="C130" s="240"/>
    </row>
    <row r="131" spans="1:3" x14ac:dyDescent="0.25">
      <c r="A131" s="8" t="s">
        <v>152</v>
      </c>
      <c r="B131" s="240"/>
      <c r="C131" s="239">
        <v>8459</v>
      </c>
    </row>
    <row r="132" spans="1:3" x14ac:dyDescent="0.25">
      <c r="A132" s="8" t="s">
        <v>153</v>
      </c>
      <c r="B132" s="240"/>
      <c r="C132" s="239">
        <v>116424</v>
      </c>
    </row>
    <row r="133" spans="1:3" x14ac:dyDescent="0.25">
      <c r="A133" s="8" t="s">
        <v>154</v>
      </c>
      <c r="B133" s="240"/>
      <c r="C133" s="239">
        <v>1176528</v>
      </c>
    </row>
    <row r="134" spans="1:3" x14ac:dyDescent="0.25">
      <c r="A134" s="8" t="s">
        <v>155</v>
      </c>
      <c r="B134" s="239">
        <v>27000</v>
      </c>
      <c r="C134" s="240"/>
    </row>
    <row r="135" spans="1:3" x14ac:dyDescent="0.25">
      <c r="A135" s="8" t="s">
        <v>156</v>
      </c>
      <c r="B135" s="240"/>
      <c r="C135" s="239">
        <v>67381.600000000006</v>
      </c>
    </row>
    <row r="136" spans="1:3" x14ac:dyDescent="0.25">
      <c r="A136" s="8" t="s">
        <v>157</v>
      </c>
      <c r="B136" s="239">
        <v>1753713</v>
      </c>
      <c r="C136" s="240"/>
    </row>
    <row r="137" spans="1:3" x14ac:dyDescent="0.25">
      <c r="A137" s="8" t="s">
        <v>158</v>
      </c>
      <c r="B137" s="239">
        <v>8000</v>
      </c>
      <c r="C137" s="240"/>
    </row>
    <row r="138" spans="1:3" x14ac:dyDescent="0.25">
      <c r="A138" s="8" t="s">
        <v>167</v>
      </c>
      <c r="B138" s="240"/>
      <c r="C138" s="239">
        <v>446301</v>
      </c>
    </row>
    <row r="139" spans="1:3" x14ac:dyDescent="0.25">
      <c r="A139" s="8" t="s">
        <v>168</v>
      </c>
      <c r="B139" s="239">
        <v>74562</v>
      </c>
      <c r="C139" s="240"/>
    </row>
    <row r="140" spans="1:3" x14ac:dyDescent="0.25">
      <c r="A140" s="8" t="s">
        <v>169</v>
      </c>
      <c r="B140" s="239">
        <v>97418771</v>
      </c>
      <c r="C140" s="240"/>
    </row>
    <row r="141" spans="1:3" x14ac:dyDescent="0.25">
      <c r="A141" s="8" t="s">
        <v>1438</v>
      </c>
      <c r="B141" s="240"/>
      <c r="C141" s="239">
        <v>4370857</v>
      </c>
    </row>
    <row r="142" spans="1:3" x14ac:dyDescent="0.25">
      <c r="A142" s="8" t="s">
        <v>170</v>
      </c>
      <c r="B142" s="240"/>
      <c r="C142" s="239">
        <v>1301094</v>
      </c>
    </row>
    <row r="143" spans="1:3" x14ac:dyDescent="0.25">
      <c r="A143" s="8" t="s">
        <v>646</v>
      </c>
      <c r="B143" s="239">
        <v>1301094</v>
      </c>
      <c r="C143" s="240"/>
    </row>
    <row r="144" spans="1:3" x14ac:dyDescent="0.25">
      <c r="A144" s="8" t="s">
        <v>171</v>
      </c>
      <c r="B144" s="239">
        <v>17190</v>
      </c>
      <c r="C144" s="240"/>
    </row>
    <row r="145" spans="1:3" x14ac:dyDescent="0.25">
      <c r="A145" s="8" t="s">
        <v>172</v>
      </c>
      <c r="B145" s="240"/>
      <c r="C145" s="239">
        <v>11630</v>
      </c>
    </row>
    <row r="146" spans="1:3" x14ac:dyDescent="0.25">
      <c r="A146" s="8" t="s">
        <v>173</v>
      </c>
      <c r="B146" s="239">
        <v>330414</v>
      </c>
      <c r="C146" s="240"/>
    </row>
    <row r="147" spans="1:3" x14ac:dyDescent="0.25">
      <c r="A147" s="8" t="s">
        <v>178</v>
      </c>
      <c r="B147" s="239">
        <v>295193</v>
      </c>
      <c r="C147" s="240"/>
    </row>
    <row r="148" spans="1:3" x14ac:dyDescent="0.25">
      <c r="A148" s="8" t="s">
        <v>179</v>
      </c>
      <c r="B148" s="239">
        <v>45574</v>
      </c>
      <c r="C148" s="240"/>
    </row>
    <row r="149" spans="1:3" x14ac:dyDescent="0.25">
      <c r="A149" s="8" t="s">
        <v>180</v>
      </c>
      <c r="B149" s="239">
        <v>893526</v>
      </c>
      <c r="C149" s="240"/>
    </row>
    <row r="150" spans="1:3" x14ac:dyDescent="0.25">
      <c r="A150" s="8" t="s">
        <v>181</v>
      </c>
      <c r="B150" s="239">
        <v>545158</v>
      </c>
      <c r="C150" s="240"/>
    </row>
    <row r="151" spans="1:3" x14ac:dyDescent="0.25">
      <c r="A151" s="8" t="s">
        <v>654</v>
      </c>
      <c r="B151" s="239">
        <v>482741</v>
      </c>
      <c r="C151" s="240"/>
    </row>
    <row r="152" spans="1:3" x14ac:dyDescent="0.25">
      <c r="A152" s="8" t="s">
        <v>3202</v>
      </c>
      <c r="B152" s="240"/>
      <c r="C152" s="239">
        <v>66203</v>
      </c>
    </row>
    <row r="153" spans="1:3" x14ac:dyDescent="0.25">
      <c r="A153" s="8" t="s">
        <v>182</v>
      </c>
      <c r="B153" s="239">
        <v>1838</v>
      </c>
      <c r="C153" s="240"/>
    </row>
    <row r="154" spans="1:3" x14ac:dyDescent="0.25">
      <c r="A154" s="8" t="s">
        <v>183</v>
      </c>
      <c r="B154" s="239">
        <v>2098</v>
      </c>
      <c r="C154" s="240"/>
    </row>
    <row r="155" spans="1:3" x14ac:dyDescent="0.25">
      <c r="A155" s="8" t="s">
        <v>184</v>
      </c>
      <c r="B155" s="240"/>
      <c r="C155" s="239">
        <v>202264.61</v>
      </c>
    </row>
    <row r="156" spans="1:3" x14ac:dyDescent="0.25">
      <c r="A156" s="8" t="s">
        <v>185</v>
      </c>
      <c r="B156" s="239">
        <v>368858</v>
      </c>
      <c r="C156" s="240"/>
    </row>
    <row r="157" spans="1:3" x14ac:dyDescent="0.25">
      <c r="A157" s="8" t="s">
        <v>186</v>
      </c>
      <c r="B157" s="239">
        <v>460969</v>
      </c>
      <c r="C157" s="240"/>
    </row>
    <row r="158" spans="1:3" x14ac:dyDescent="0.25">
      <c r="A158" s="8" t="s">
        <v>187</v>
      </c>
      <c r="B158" s="239">
        <v>7</v>
      </c>
      <c r="C158" s="240"/>
    </row>
    <row r="159" spans="1:3" x14ac:dyDescent="0.25">
      <c r="A159" s="8" t="s">
        <v>188</v>
      </c>
      <c r="B159" s="239">
        <v>10150</v>
      </c>
      <c r="C159" s="240"/>
    </row>
    <row r="160" spans="1:3" x14ac:dyDescent="0.25">
      <c r="A160" s="8" t="s">
        <v>189</v>
      </c>
      <c r="B160" s="239">
        <v>859878</v>
      </c>
      <c r="C160" s="240"/>
    </row>
    <row r="161" spans="1:3" x14ac:dyDescent="0.25">
      <c r="A161" s="8" t="s">
        <v>190</v>
      </c>
      <c r="B161" s="239">
        <v>468</v>
      </c>
      <c r="C161" s="240"/>
    </row>
    <row r="162" spans="1:3" x14ac:dyDescent="0.25">
      <c r="A162" s="8" t="s">
        <v>662</v>
      </c>
      <c r="B162" s="239">
        <v>19982</v>
      </c>
      <c r="C162" s="240"/>
    </row>
    <row r="163" spans="1:3" x14ac:dyDescent="0.25">
      <c r="A163" s="8" t="s">
        <v>2480</v>
      </c>
      <c r="B163" s="239">
        <v>88213</v>
      </c>
      <c r="C163" s="240"/>
    </row>
    <row r="164" spans="1:3" x14ac:dyDescent="0.25">
      <c r="A164" s="8" t="s">
        <v>192</v>
      </c>
      <c r="B164" s="239">
        <v>7</v>
      </c>
      <c r="C164" s="240"/>
    </row>
    <row r="165" spans="1:3" x14ac:dyDescent="0.25">
      <c r="A165" s="8" t="s">
        <v>193</v>
      </c>
      <c r="B165" s="239">
        <v>5531</v>
      </c>
      <c r="C165" s="240"/>
    </row>
    <row r="166" spans="1:3" x14ac:dyDescent="0.25">
      <c r="A166" s="8" t="s">
        <v>194</v>
      </c>
      <c r="B166" s="239">
        <v>4285</v>
      </c>
      <c r="C166" s="240"/>
    </row>
    <row r="167" spans="1:3" x14ac:dyDescent="0.25">
      <c r="A167" s="8" t="s">
        <v>669</v>
      </c>
      <c r="B167" s="240"/>
      <c r="C167" s="239">
        <v>139269</v>
      </c>
    </row>
    <row r="168" spans="1:3" x14ac:dyDescent="0.25">
      <c r="A168" s="8" t="s">
        <v>195</v>
      </c>
      <c r="B168" s="239">
        <v>204217</v>
      </c>
      <c r="C168" s="240"/>
    </row>
    <row r="169" spans="1:3" x14ac:dyDescent="0.25">
      <c r="A169" s="8" t="s">
        <v>196</v>
      </c>
      <c r="B169" s="239">
        <v>2678489.9500000002</v>
      </c>
      <c r="C169" s="240"/>
    </row>
    <row r="170" spans="1:3" x14ac:dyDescent="0.25">
      <c r="A170" s="8" t="s">
        <v>197</v>
      </c>
      <c r="B170" s="239">
        <v>6</v>
      </c>
      <c r="C170" s="240"/>
    </row>
    <row r="171" spans="1:3" x14ac:dyDescent="0.25">
      <c r="A171" s="8" t="s">
        <v>198</v>
      </c>
      <c r="B171" s="239">
        <v>1225</v>
      </c>
      <c r="C171" s="240"/>
    </row>
    <row r="172" spans="1:3" x14ac:dyDescent="0.25">
      <c r="A172" s="8" t="s">
        <v>199</v>
      </c>
      <c r="B172" s="239">
        <v>1577670</v>
      </c>
      <c r="C172" s="240"/>
    </row>
    <row r="173" spans="1:3" x14ac:dyDescent="0.25">
      <c r="A173" s="8" t="s">
        <v>200</v>
      </c>
      <c r="B173" s="239">
        <v>180000</v>
      </c>
      <c r="C173" s="240"/>
    </row>
    <row r="174" spans="1:3" x14ac:dyDescent="0.25">
      <c r="A174" s="8" t="s">
        <v>201</v>
      </c>
      <c r="B174" s="240"/>
      <c r="C174" s="239">
        <v>71036</v>
      </c>
    </row>
    <row r="175" spans="1:3" x14ac:dyDescent="0.25">
      <c r="A175" s="8" t="s">
        <v>202</v>
      </c>
      <c r="B175" s="239">
        <v>36037</v>
      </c>
      <c r="C175" s="240"/>
    </row>
    <row r="176" spans="1:3" x14ac:dyDescent="0.25">
      <c r="A176" s="8" t="s">
        <v>203</v>
      </c>
      <c r="B176" s="239">
        <v>172778</v>
      </c>
      <c r="C176" s="240"/>
    </row>
    <row r="177" spans="1:3" x14ac:dyDescent="0.25">
      <c r="A177" s="8" t="s">
        <v>204</v>
      </c>
      <c r="B177" s="240"/>
      <c r="C177" s="239">
        <v>6384474</v>
      </c>
    </row>
    <row r="178" spans="1:3" x14ac:dyDescent="0.25">
      <c r="A178" s="8" t="s">
        <v>205</v>
      </c>
      <c r="B178" s="239">
        <v>565401</v>
      </c>
      <c r="C178" s="240"/>
    </row>
    <row r="179" spans="1:3" x14ac:dyDescent="0.25">
      <c r="A179" s="8" t="s">
        <v>206</v>
      </c>
      <c r="B179" s="239">
        <v>573513</v>
      </c>
      <c r="C179" s="240"/>
    </row>
    <row r="180" spans="1:3" x14ac:dyDescent="0.25">
      <c r="A180" s="8" t="s">
        <v>207</v>
      </c>
      <c r="B180" s="239">
        <v>66000</v>
      </c>
      <c r="C180" s="240"/>
    </row>
    <row r="181" spans="1:3" x14ac:dyDescent="0.25">
      <c r="A181" s="8" t="s">
        <v>208</v>
      </c>
      <c r="B181" s="240"/>
      <c r="C181" s="239">
        <v>537677</v>
      </c>
    </row>
    <row r="182" spans="1:3" x14ac:dyDescent="0.25">
      <c r="A182" s="8" t="s">
        <v>210</v>
      </c>
      <c r="B182" s="240"/>
      <c r="C182" s="239">
        <v>3529583</v>
      </c>
    </row>
    <row r="183" spans="1:3" x14ac:dyDescent="0.25">
      <c r="A183" s="8" t="s">
        <v>211</v>
      </c>
      <c r="B183" s="240"/>
      <c r="C183" s="239">
        <v>12238807.5</v>
      </c>
    </row>
    <row r="184" spans="1:3" x14ac:dyDescent="0.25">
      <c r="A184" s="8" t="s">
        <v>213</v>
      </c>
      <c r="B184" s="239">
        <v>2745000</v>
      </c>
      <c r="C184" s="240"/>
    </row>
    <row r="185" spans="1:3" x14ac:dyDescent="0.25">
      <c r="A185" s="8" t="s">
        <v>214</v>
      </c>
      <c r="B185" s="240"/>
      <c r="C185" s="239">
        <v>3244</v>
      </c>
    </row>
    <row r="186" spans="1:3" x14ac:dyDescent="0.25">
      <c r="A186" s="8" t="s">
        <v>215</v>
      </c>
      <c r="B186" s="239">
        <v>6000</v>
      </c>
      <c r="C186" s="240"/>
    </row>
    <row r="187" spans="1:3" x14ac:dyDescent="0.25">
      <c r="A187" s="8" t="s">
        <v>216</v>
      </c>
      <c r="B187" s="239">
        <v>14112</v>
      </c>
      <c r="C187" s="240"/>
    </row>
    <row r="188" spans="1:3" x14ac:dyDescent="0.25">
      <c r="A188" s="8" t="s">
        <v>217</v>
      </c>
      <c r="B188" s="240"/>
      <c r="C188" s="239">
        <v>5721513</v>
      </c>
    </row>
    <row r="189" spans="1:3" x14ac:dyDescent="0.25">
      <c r="A189" s="8" t="s">
        <v>218</v>
      </c>
      <c r="B189" s="239">
        <v>45230726</v>
      </c>
      <c r="C189" s="240"/>
    </row>
    <row r="190" spans="1:3" x14ac:dyDescent="0.25">
      <c r="A190" s="8" t="s">
        <v>691</v>
      </c>
      <c r="B190" s="239">
        <v>198086</v>
      </c>
      <c r="C190" s="240"/>
    </row>
    <row r="191" spans="1:3" x14ac:dyDescent="0.25">
      <c r="A191" s="8" t="s">
        <v>692</v>
      </c>
      <c r="B191" s="240"/>
      <c r="C191" s="239">
        <v>198086</v>
      </c>
    </row>
    <row r="192" spans="1:3" x14ac:dyDescent="0.25">
      <c r="A192" s="8" t="s">
        <v>220</v>
      </c>
      <c r="B192" s="239">
        <v>243920</v>
      </c>
      <c r="C192" s="240"/>
    </row>
    <row r="193" spans="1:3" x14ac:dyDescent="0.25">
      <c r="A193" s="8" t="s">
        <v>221</v>
      </c>
      <c r="B193" s="240"/>
      <c r="C193" s="239">
        <v>47229</v>
      </c>
    </row>
    <row r="194" spans="1:3" x14ac:dyDescent="0.25">
      <c r="A194" s="8" t="s">
        <v>222</v>
      </c>
      <c r="B194" s="239">
        <v>86902</v>
      </c>
      <c r="C194" s="240"/>
    </row>
    <row r="195" spans="1:3" x14ac:dyDescent="0.25">
      <c r="A195" s="8" t="s">
        <v>223</v>
      </c>
      <c r="B195" s="240"/>
      <c r="C195" s="239">
        <v>11871807.5</v>
      </c>
    </row>
    <row r="196" spans="1:3" x14ac:dyDescent="0.25">
      <c r="A196" s="8" t="s">
        <v>224</v>
      </c>
      <c r="B196" s="239">
        <v>136767</v>
      </c>
      <c r="C196" s="240"/>
    </row>
    <row r="197" spans="1:3" x14ac:dyDescent="0.25">
      <c r="A197" s="8" t="s">
        <v>225</v>
      </c>
      <c r="B197" s="239">
        <v>1020022</v>
      </c>
      <c r="C197" s="240"/>
    </row>
    <row r="198" spans="1:3" x14ac:dyDescent="0.25">
      <c r="A198" s="8" t="s">
        <v>226</v>
      </c>
      <c r="B198" s="239">
        <v>7737390.6699999999</v>
      </c>
      <c r="C198" s="240"/>
    </row>
    <row r="199" spans="1:3" x14ac:dyDescent="0.25">
      <c r="A199" s="8" t="s">
        <v>227</v>
      </c>
      <c r="B199" s="239">
        <v>1231418.3999999999</v>
      </c>
      <c r="C199" s="240"/>
    </row>
    <row r="200" spans="1:3" x14ac:dyDescent="0.25">
      <c r="A200" s="8" t="s">
        <v>228</v>
      </c>
      <c r="B200" s="239">
        <v>411283</v>
      </c>
      <c r="C200" s="240"/>
    </row>
    <row r="201" spans="1:3" x14ac:dyDescent="0.25">
      <c r="A201" s="8" t="s">
        <v>229</v>
      </c>
      <c r="B201" s="240"/>
      <c r="C201" s="239">
        <v>58240</v>
      </c>
    </row>
    <row r="202" spans="1:3" x14ac:dyDescent="0.25">
      <c r="A202" s="8" t="s">
        <v>230</v>
      </c>
      <c r="B202" s="239">
        <v>11000</v>
      </c>
      <c r="C202" s="240"/>
    </row>
    <row r="203" spans="1:3" x14ac:dyDescent="0.25">
      <c r="A203" s="8" t="s">
        <v>231</v>
      </c>
      <c r="B203" s="240"/>
      <c r="C203" s="239">
        <v>2568965</v>
      </c>
    </row>
    <row r="204" spans="1:3" x14ac:dyDescent="0.25">
      <c r="A204" s="8" t="s">
        <v>232</v>
      </c>
      <c r="B204" s="239">
        <v>3430</v>
      </c>
      <c r="C204" s="240"/>
    </row>
    <row r="205" spans="1:3" x14ac:dyDescent="0.25">
      <c r="A205" s="8" t="s">
        <v>233</v>
      </c>
      <c r="B205" s="239">
        <v>8000</v>
      </c>
      <c r="C205" s="240"/>
    </row>
    <row r="206" spans="1:3" x14ac:dyDescent="0.25">
      <c r="A206" s="8" t="s">
        <v>239</v>
      </c>
      <c r="B206" s="239">
        <v>306631</v>
      </c>
      <c r="C206" s="240"/>
    </row>
    <row r="207" spans="1:3" x14ac:dyDescent="0.25">
      <c r="A207" s="8" t="s">
        <v>242</v>
      </c>
      <c r="B207" s="239">
        <v>2000</v>
      </c>
      <c r="C207" s="240"/>
    </row>
    <row r="208" spans="1:3" x14ac:dyDescent="0.25">
      <c r="A208" s="8" t="s">
        <v>245</v>
      </c>
      <c r="B208" s="240"/>
      <c r="C208" s="239">
        <v>20037</v>
      </c>
    </row>
    <row r="209" spans="1:3" x14ac:dyDescent="0.25">
      <c r="A209" s="8" t="s">
        <v>246</v>
      </c>
      <c r="B209" s="239">
        <v>1000</v>
      </c>
      <c r="C209" s="240"/>
    </row>
    <row r="210" spans="1:3" x14ac:dyDescent="0.25">
      <c r="A210" s="8" t="s">
        <v>248</v>
      </c>
      <c r="B210" s="240"/>
      <c r="C210" s="239">
        <v>379282</v>
      </c>
    </row>
    <row r="211" spans="1:3" x14ac:dyDescent="0.25">
      <c r="A211" s="8" t="s">
        <v>249</v>
      </c>
      <c r="B211" s="239">
        <v>12000</v>
      </c>
      <c r="C211" s="240"/>
    </row>
    <row r="212" spans="1:3" x14ac:dyDescent="0.25">
      <c r="A212" s="8" t="s">
        <v>251</v>
      </c>
      <c r="B212" s="239">
        <v>104715</v>
      </c>
      <c r="C212" s="240"/>
    </row>
    <row r="213" spans="1:3" x14ac:dyDescent="0.25">
      <c r="A213" s="8" t="s">
        <v>252</v>
      </c>
      <c r="B213" s="239">
        <v>88900</v>
      </c>
      <c r="C213" s="240"/>
    </row>
    <row r="214" spans="1:3" x14ac:dyDescent="0.25">
      <c r="A214" s="8" t="s">
        <v>253</v>
      </c>
      <c r="B214" s="240"/>
      <c r="C214" s="239">
        <v>5880</v>
      </c>
    </row>
    <row r="215" spans="1:3" x14ac:dyDescent="0.25">
      <c r="A215" s="8" t="s">
        <v>254</v>
      </c>
      <c r="B215" s="239">
        <v>1299270.47</v>
      </c>
      <c r="C215" s="240"/>
    </row>
    <row r="216" spans="1:3" x14ac:dyDescent="0.25">
      <c r="A216" s="8" t="s">
        <v>255</v>
      </c>
      <c r="B216" s="239">
        <v>59486</v>
      </c>
      <c r="C216" s="240"/>
    </row>
    <row r="217" spans="1:3" x14ac:dyDescent="0.25">
      <c r="A217" s="8" t="s">
        <v>256</v>
      </c>
      <c r="B217" s="239">
        <v>312000</v>
      </c>
      <c r="C217" s="240"/>
    </row>
    <row r="218" spans="1:3" x14ac:dyDescent="0.25">
      <c r="A218" s="8" t="s">
        <v>257</v>
      </c>
      <c r="B218" s="239">
        <v>42660</v>
      </c>
      <c r="C218" s="240"/>
    </row>
    <row r="219" spans="1:3" x14ac:dyDescent="0.25">
      <c r="A219" s="8" t="s">
        <v>258</v>
      </c>
      <c r="B219" s="239">
        <v>2929</v>
      </c>
      <c r="C219" s="240"/>
    </row>
    <row r="220" spans="1:3" x14ac:dyDescent="0.25">
      <c r="A220" s="8" t="s">
        <v>259</v>
      </c>
      <c r="B220" s="239">
        <v>189048</v>
      </c>
      <c r="C220" s="240"/>
    </row>
    <row r="221" spans="1:3" x14ac:dyDescent="0.25">
      <c r="A221" s="8" t="s">
        <v>260</v>
      </c>
      <c r="B221" s="239">
        <v>23600</v>
      </c>
      <c r="C221" s="240"/>
    </row>
    <row r="222" spans="1:3" x14ac:dyDescent="0.25">
      <c r="A222" s="8" t="s">
        <v>261</v>
      </c>
      <c r="B222" s="239">
        <v>3600</v>
      </c>
      <c r="C222" s="240"/>
    </row>
    <row r="223" spans="1:3" x14ac:dyDescent="0.25">
      <c r="A223" s="8" t="s">
        <v>262</v>
      </c>
      <c r="B223" s="239">
        <v>5227186</v>
      </c>
      <c r="C223" s="240"/>
    </row>
    <row r="224" spans="1:3" x14ac:dyDescent="0.25">
      <c r="A224" s="8" t="s">
        <v>263</v>
      </c>
      <c r="B224" s="239">
        <v>870</v>
      </c>
      <c r="C224" s="240"/>
    </row>
    <row r="225" spans="1:3" x14ac:dyDescent="0.25">
      <c r="A225" s="8" t="s">
        <v>264</v>
      </c>
      <c r="B225" s="239">
        <v>1640</v>
      </c>
      <c r="C225" s="240"/>
    </row>
    <row r="226" spans="1:3" x14ac:dyDescent="0.25">
      <c r="A226" s="8" t="s">
        <v>265</v>
      </c>
      <c r="B226" s="239">
        <v>248948</v>
      </c>
      <c r="C226" s="240"/>
    </row>
    <row r="227" spans="1:3" x14ac:dyDescent="0.25">
      <c r="A227" s="8" t="s">
        <v>266</v>
      </c>
      <c r="B227" s="240"/>
      <c r="C227" s="239">
        <v>902538</v>
      </c>
    </row>
    <row r="228" spans="1:3" x14ac:dyDescent="0.25">
      <c r="A228" s="8" t="s">
        <v>267</v>
      </c>
      <c r="B228" s="240"/>
      <c r="C228" s="239">
        <v>25865</v>
      </c>
    </row>
    <row r="229" spans="1:3" x14ac:dyDescent="0.25">
      <c r="A229" s="8" t="s">
        <v>268</v>
      </c>
      <c r="B229" s="240"/>
      <c r="C229" s="239">
        <v>438710</v>
      </c>
    </row>
    <row r="230" spans="1:3" x14ac:dyDescent="0.25">
      <c r="A230" s="8" t="s">
        <v>269</v>
      </c>
      <c r="B230" s="239">
        <v>6671147.8200000003</v>
      </c>
      <c r="C230" s="240"/>
    </row>
    <row r="231" spans="1:3" x14ac:dyDescent="0.25">
      <c r="A231" s="8" t="s">
        <v>270</v>
      </c>
      <c r="B231" s="240"/>
      <c r="C231" s="239">
        <v>700</v>
      </c>
    </row>
    <row r="232" spans="1:3" x14ac:dyDescent="0.25">
      <c r="A232" s="8" t="s">
        <v>271</v>
      </c>
      <c r="B232" s="240"/>
      <c r="C232" s="239">
        <v>269890</v>
      </c>
    </row>
    <row r="233" spans="1:3" x14ac:dyDescent="0.25">
      <c r="A233" s="8" t="s">
        <v>272</v>
      </c>
      <c r="B233" s="240"/>
      <c r="C233" s="239">
        <v>386769</v>
      </c>
    </row>
    <row r="234" spans="1:3" x14ac:dyDescent="0.25">
      <c r="A234" s="8" t="s">
        <v>273</v>
      </c>
      <c r="B234" s="240"/>
      <c r="C234" s="239">
        <v>538166</v>
      </c>
    </row>
    <row r="235" spans="1:3" x14ac:dyDescent="0.25">
      <c r="A235" s="8" t="s">
        <v>274</v>
      </c>
      <c r="B235" s="239">
        <v>75</v>
      </c>
      <c r="C235" s="240"/>
    </row>
    <row r="236" spans="1:3" x14ac:dyDescent="0.25">
      <c r="A236" s="8" t="s">
        <v>275</v>
      </c>
      <c r="B236" s="239">
        <v>15855</v>
      </c>
      <c r="C236" s="240"/>
    </row>
    <row r="237" spans="1:3" x14ac:dyDescent="0.25">
      <c r="A237" s="8" t="s">
        <v>276</v>
      </c>
      <c r="B237" s="239">
        <v>75</v>
      </c>
      <c r="C237" s="240"/>
    </row>
    <row r="238" spans="1:3" x14ac:dyDescent="0.25">
      <c r="A238" s="8" t="s">
        <v>277</v>
      </c>
      <c r="B238" s="239">
        <v>221963738.28</v>
      </c>
      <c r="C238" s="240"/>
    </row>
    <row r="239" spans="1:3" x14ac:dyDescent="0.25">
      <c r="A239" s="8" t="s">
        <v>278</v>
      </c>
      <c r="B239" s="239">
        <v>98736</v>
      </c>
      <c r="C239" s="240"/>
    </row>
    <row r="240" spans="1:3" x14ac:dyDescent="0.25">
      <c r="A240" s="8" t="s">
        <v>279</v>
      </c>
      <c r="B240" s="240"/>
      <c r="C240" s="239">
        <v>6994370</v>
      </c>
    </row>
    <row r="241" spans="1:3" x14ac:dyDescent="0.25">
      <c r="A241" s="8" t="s">
        <v>280</v>
      </c>
      <c r="B241" s="239">
        <v>3897944</v>
      </c>
      <c r="C241" s="240"/>
    </row>
    <row r="242" spans="1:3" x14ac:dyDescent="0.25">
      <c r="A242" s="8" t="s">
        <v>281</v>
      </c>
      <c r="B242" s="240"/>
      <c r="C242" s="239">
        <v>1343333</v>
      </c>
    </row>
    <row r="243" spans="1:3" x14ac:dyDescent="0.25">
      <c r="A243" s="8" t="s">
        <v>747</v>
      </c>
      <c r="B243" s="239">
        <v>167481</v>
      </c>
      <c r="C243" s="240"/>
    </row>
    <row r="244" spans="1:3" x14ac:dyDescent="0.25">
      <c r="A244" s="8" t="s">
        <v>282</v>
      </c>
      <c r="B244" s="239">
        <v>974500</v>
      </c>
      <c r="C244" s="240"/>
    </row>
    <row r="245" spans="1:3" x14ac:dyDescent="0.25">
      <c r="A245" s="8" t="s">
        <v>283</v>
      </c>
      <c r="B245" s="240"/>
      <c r="C245" s="239">
        <v>124185196.38</v>
      </c>
    </row>
    <row r="246" spans="1:3" x14ac:dyDescent="0.25">
      <c r="A246" s="8" t="s">
        <v>284</v>
      </c>
      <c r="B246" s="240"/>
      <c r="C246" s="239">
        <v>18856500</v>
      </c>
    </row>
    <row r="247" spans="1:3" x14ac:dyDescent="0.25">
      <c r="A247" s="8" t="s">
        <v>285</v>
      </c>
      <c r="B247" s="239">
        <v>1147078</v>
      </c>
      <c r="C247" s="240"/>
    </row>
    <row r="248" spans="1:3" x14ac:dyDescent="0.25">
      <c r="A248" s="8" t="s">
        <v>286</v>
      </c>
      <c r="B248" s="240"/>
      <c r="C248" s="239">
        <v>6057874</v>
      </c>
    </row>
    <row r="249" spans="1:3" x14ac:dyDescent="0.25">
      <c r="A249" s="8" t="s">
        <v>287</v>
      </c>
      <c r="B249" s="240"/>
      <c r="C249" s="239">
        <v>5151094</v>
      </c>
    </row>
    <row r="250" spans="1:3" x14ac:dyDescent="0.25">
      <c r="A250" s="8" t="s">
        <v>288</v>
      </c>
      <c r="B250" s="240"/>
      <c r="C250" s="239">
        <v>985127</v>
      </c>
    </row>
    <row r="251" spans="1:3" x14ac:dyDescent="0.25">
      <c r="A251" s="8" t="s">
        <v>289</v>
      </c>
      <c r="B251" s="240"/>
      <c r="C251" s="239">
        <v>18512655</v>
      </c>
    </row>
    <row r="252" spans="1:3" x14ac:dyDescent="0.25">
      <c r="A252" s="8" t="s">
        <v>290</v>
      </c>
      <c r="B252" s="240"/>
      <c r="C252" s="239">
        <v>379192</v>
      </c>
    </row>
    <row r="253" spans="1:3" x14ac:dyDescent="0.25">
      <c r="A253" s="8" t="s">
        <v>291</v>
      </c>
      <c r="B253" s="240"/>
      <c r="C253" s="239">
        <v>1524569</v>
      </c>
    </row>
    <row r="254" spans="1:3" x14ac:dyDescent="0.25">
      <c r="A254" s="8" t="s">
        <v>292</v>
      </c>
      <c r="B254" s="240"/>
      <c r="C254" s="239">
        <v>774695</v>
      </c>
    </row>
    <row r="255" spans="1:3" x14ac:dyDescent="0.25">
      <c r="A255" s="8" t="s">
        <v>293</v>
      </c>
      <c r="B255" s="240"/>
      <c r="C255" s="239">
        <v>104865081</v>
      </c>
    </row>
    <row r="256" spans="1:3" x14ac:dyDescent="0.25">
      <c r="A256" s="8" t="s">
        <v>294</v>
      </c>
      <c r="B256" s="240"/>
      <c r="C256" s="239">
        <v>558720</v>
      </c>
    </row>
    <row r="257" spans="1:3" x14ac:dyDescent="0.25">
      <c r="A257" s="8" t="s">
        <v>296</v>
      </c>
      <c r="B257" s="239">
        <v>122153</v>
      </c>
      <c r="C257" s="240"/>
    </row>
    <row r="258" spans="1:3" x14ac:dyDescent="0.25">
      <c r="A258" s="8" t="s">
        <v>297</v>
      </c>
      <c r="B258" s="239">
        <v>271788</v>
      </c>
      <c r="C258" s="240"/>
    </row>
    <row r="259" spans="1:3" x14ac:dyDescent="0.25">
      <c r="A259" s="8" t="s">
        <v>298</v>
      </c>
      <c r="B259" s="239">
        <v>139678</v>
      </c>
      <c r="C259" s="240"/>
    </row>
    <row r="260" spans="1:3" x14ac:dyDescent="0.25">
      <c r="A260" s="8" t="s">
        <v>299</v>
      </c>
      <c r="B260" s="239">
        <v>34285</v>
      </c>
      <c r="C260" s="240"/>
    </row>
    <row r="261" spans="1:3" x14ac:dyDescent="0.25">
      <c r="A261" s="8" t="s">
        <v>657</v>
      </c>
      <c r="B261" s="239">
        <v>1699939</v>
      </c>
      <c r="C261" s="240"/>
    </row>
    <row r="262" spans="1:3" x14ac:dyDescent="0.25">
      <c r="A262" s="8" t="s">
        <v>300</v>
      </c>
      <c r="B262" s="240"/>
      <c r="C262" s="239">
        <v>3296204.7</v>
      </c>
    </row>
    <row r="263" spans="1:3" x14ac:dyDescent="0.25">
      <c r="A263" s="8" t="s">
        <v>301</v>
      </c>
      <c r="B263" s="239">
        <v>15450441</v>
      </c>
      <c r="C263" s="240"/>
    </row>
    <row r="264" spans="1:3" x14ac:dyDescent="0.25">
      <c r="A264" s="8" t="s">
        <v>302</v>
      </c>
      <c r="B264" s="240"/>
      <c r="C264" s="239">
        <v>12385</v>
      </c>
    </row>
    <row r="265" spans="1:3" x14ac:dyDescent="0.25">
      <c r="A265" s="8" t="s">
        <v>303</v>
      </c>
      <c r="B265" s="240"/>
      <c r="C265" s="239">
        <v>9346</v>
      </c>
    </row>
    <row r="266" spans="1:3" x14ac:dyDescent="0.25">
      <c r="A266" s="8" t="s">
        <v>304</v>
      </c>
      <c r="B266" s="239">
        <v>245315</v>
      </c>
      <c r="C266" s="240"/>
    </row>
    <row r="267" spans="1:3" x14ac:dyDescent="0.25">
      <c r="A267" s="8" t="s">
        <v>305</v>
      </c>
      <c r="B267" s="239">
        <v>6876013</v>
      </c>
      <c r="C267" s="240"/>
    </row>
    <row r="268" spans="1:3" x14ac:dyDescent="0.25">
      <c r="A268" s="8" t="s">
        <v>306</v>
      </c>
      <c r="B268" s="239">
        <v>4380095</v>
      </c>
      <c r="C268" s="240"/>
    </row>
    <row r="269" spans="1:3" x14ac:dyDescent="0.25">
      <c r="A269" s="8" t="s">
        <v>307</v>
      </c>
      <c r="B269" s="239">
        <v>5885577.8399999999</v>
      </c>
      <c r="C269" s="240"/>
    </row>
    <row r="270" spans="1:3" x14ac:dyDescent="0.25">
      <c r="A270" s="8" t="s">
        <v>308</v>
      </c>
      <c r="B270" s="240"/>
      <c r="C270" s="239">
        <v>13051000</v>
      </c>
    </row>
    <row r="271" spans="1:3" x14ac:dyDescent="0.25">
      <c r="A271" s="8" t="s">
        <v>309</v>
      </c>
      <c r="B271" s="240"/>
      <c r="C271" s="239">
        <v>2563</v>
      </c>
    </row>
    <row r="272" spans="1:3" x14ac:dyDescent="0.25">
      <c r="A272" s="8" t="s">
        <v>310</v>
      </c>
      <c r="B272" s="239">
        <v>10000</v>
      </c>
      <c r="C272" s="240"/>
    </row>
    <row r="273" spans="1:3" x14ac:dyDescent="0.25">
      <c r="A273" s="8" t="s">
        <v>311</v>
      </c>
      <c r="B273" s="239">
        <v>11000</v>
      </c>
      <c r="C273" s="240"/>
    </row>
    <row r="274" spans="1:3" x14ac:dyDescent="0.25">
      <c r="A274" s="8" t="s">
        <v>312</v>
      </c>
      <c r="B274" s="239">
        <v>208079</v>
      </c>
      <c r="C274" s="240"/>
    </row>
    <row r="275" spans="1:3" x14ac:dyDescent="0.25">
      <c r="A275" s="8" t="s">
        <v>313</v>
      </c>
      <c r="B275" s="239">
        <v>3861148</v>
      </c>
      <c r="C275" s="240"/>
    </row>
    <row r="276" spans="1:3" x14ac:dyDescent="0.25">
      <c r="A276" s="8" t="s">
        <v>314</v>
      </c>
      <c r="B276" s="239">
        <v>3359955</v>
      </c>
      <c r="C276" s="240"/>
    </row>
    <row r="277" spans="1:3" x14ac:dyDescent="0.25">
      <c r="A277" s="8" t="s">
        <v>315</v>
      </c>
      <c r="B277" s="240"/>
      <c r="C277" s="239">
        <v>20899</v>
      </c>
    </row>
    <row r="278" spans="1:3" x14ac:dyDescent="0.25">
      <c r="A278" s="8" t="s">
        <v>316</v>
      </c>
      <c r="B278" s="240"/>
      <c r="C278" s="239">
        <v>75747</v>
      </c>
    </row>
    <row r="279" spans="1:3" x14ac:dyDescent="0.25">
      <c r="A279" s="8" t="s">
        <v>317</v>
      </c>
      <c r="B279" s="240"/>
      <c r="C279" s="239">
        <v>20899</v>
      </c>
    </row>
    <row r="280" spans="1:3" x14ac:dyDescent="0.25">
      <c r="A280" s="8" t="s">
        <v>2305</v>
      </c>
      <c r="B280" s="240"/>
      <c r="C280" s="239">
        <v>216400</v>
      </c>
    </row>
    <row r="281" spans="1:3" x14ac:dyDescent="0.25">
      <c r="A281" s="8" t="s">
        <v>318</v>
      </c>
      <c r="B281" s="239">
        <v>4800000</v>
      </c>
      <c r="C281" s="240"/>
    </row>
    <row r="282" spans="1:3" x14ac:dyDescent="0.25">
      <c r="A282" s="8" t="s">
        <v>319</v>
      </c>
      <c r="B282" s="239">
        <v>281990</v>
      </c>
      <c r="C282" s="240"/>
    </row>
    <row r="283" spans="1:3" x14ac:dyDescent="0.25">
      <c r="A283" s="8" t="s">
        <v>320</v>
      </c>
      <c r="B283" s="239">
        <v>806397.4</v>
      </c>
      <c r="C283" s="240"/>
    </row>
    <row r="284" spans="1:3" x14ac:dyDescent="0.25">
      <c r="A284" s="8" t="s">
        <v>321</v>
      </c>
      <c r="B284" s="239">
        <v>688233.98</v>
      </c>
      <c r="C284" s="240"/>
    </row>
    <row r="285" spans="1:3" x14ac:dyDescent="0.25">
      <c r="A285" s="8" t="s">
        <v>322</v>
      </c>
      <c r="B285" s="240"/>
      <c r="C285" s="239">
        <v>50905004</v>
      </c>
    </row>
    <row r="286" spans="1:3" x14ac:dyDescent="0.25">
      <c r="A286" s="8" t="s">
        <v>323</v>
      </c>
      <c r="B286" s="239">
        <v>11900</v>
      </c>
      <c r="C286" s="240"/>
    </row>
    <row r="287" spans="1:3" x14ac:dyDescent="0.25">
      <c r="A287" s="8" t="s">
        <v>324</v>
      </c>
      <c r="B287" s="240"/>
      <c r="C287" s="239">
        <v>1692622</v>
      </c>
    </row>
    <row r="288" spans="1:3" x14ac:dyDescent="0.25">
      <c r="A288" s="8" t="s">
        <v>325</v>
      </c>
      <c r="B288" s="240"/>
      <c r="C288" s="239">
        <v>353.41</v>
      </c>
    </row>
    <row r="289" spans="1:3" x14ac:dyDescent="0.25">
      <c r="A289" s="8" t="s">
        <v>326</v>
      </c>
      <c r="B289" s="239">
        <v>25272743</v>
      </c>
      <c r="C289" s="240"/>
    </row>
    <row r="290" spans="1:3" x14ac:dyDescent="0.25">
      <c r="A290" s="8" t="s">
        <v>770</v>
      </c>
      <c r="B290" s="240"/>
      <c r="C290" s="239">
        <v>22960</v>
      </c>
    </row>
    <row r="291" spans="1:3" x14ac:dyDescent="0.25">
      <c r="A291" s="8" t="s">
        <v>327</v>
      </c>
      <c r="B291" s="240"/>
      <c r="C291" s="239">
        <v>19934</v>
      </c>
    </row>
    <row r="292" spans="1:3" x14ac:dyDescent="0.25">
      <c r="A292" s="8" t="s">
        <v>328</v>
      </c>
      <c r="B292" s="239">
        <v>347389</v>
      </c>
      <c r="C292" s="240"/>
    </row>
    <row r="293" spans="1:3" x14ac:dyDescent="0.25">
      <c r="A293" s="8" t="s">
        <v>329</v>
      </c>
      <c r="B293" s="240"/>
      <c r="C293" s="239">
        <v>331346</v>
      </c>
    </row>
    <row r="294" spans="1:3" x14ac:dyDescent="0.25">
      <c r="A294" s="8" t="s">
        <v>330</v>
      </c>
      <c r="B294" s="240"/>
      <c r="C294" s="239">
        <v>1029792</v>
      </c>
    </row>
    <row r="295" spans="1:3" x14ac:dyDescent="0.25">
      <c r="A295" s="8" t="s">
        <v>331</v>
      </c>
      <c r="B295" s="239">
        <v>216000</v>
      </c>
      <c r="C295" s="240"/>
    </row>
    <row r="296" spans="1:3" x14ac:dyDescent="0.25">
      <c r="A296" s="8" t="s">
        <v>332</v>
      </c>
      <c r="B296" s="239">
        <v>1684618</v>
      </c>
      <c r="C296" s="240"/>
    </row>
    <row r="297" spans="1:3" x14ac:dyDescent="0.25">
      <c r="A297" s="8" t="s">
        <v>333</v>
      </c>
      <c r="B297" s="239">
        <v>2423600</v>
      </c>
      <c r="C297" s="240"/>
    </row>
    <row r="298" spans="1:3" x14ac:dyDescent="0.25">
      <c r="A298" s="8" t="s">
        <v>334</v>
      </c>
      <c r="B298" s="239">
        <v>8467719</v>
      </c>
      <c r="C298" s="240"/>
    </row>
    <row r="299" spans="1:3" x14ac:dyDescent="0.25">
      <c r="A299" s="8" t="s">
        <v>335</v>
      </c>
      <c r="B299" s="240"/>
      <c r="C299" s="239">
        <v>714551552.14999998</v>
      </c>
    </row>
    <row r="300" spans="1:3" x14ac:dyDescent="0.25">
      <c r="A300" s="8" t="s">
        <v>3203</v>
      </c>
      <c r="B300" s="240"/>
      <c r="C300" s="239">
        <v>80530681.049999997</v>
      </c>
    </row>
    <row r="301" spans="1:3" x14ac:dyDescent="0.25">
      <c r="A301" s="8" t="s">
        <v>336</v>
      </c>
      <c r="B301" s="240"/>
      <c r="C301" s="239">
        <v>729659</v>
      </c>
    </row>
    <row r="302" spans="1:3" x14ac:dyDescent="0.25">
      <c r="A302" s="8" t="s">
        <v>337</v>
      </c>
      <c r="B302" s="240"/>
      <c r="C302" s="239">
        <v>941222</v>
      </c>
    </row>
    <row r="303" spans="1:3" x14ac:dyDescent="0.25">
      <c r="A303" s="8" t="s">
        <v>338</v>
      </c>
      <c r="B303" s="240"/>
      <c r="C303" s="239">
        <v>1764791</v>
      </c>
    </row>
    <row r="304" spans="1:3" x14ac:dyDescent="0.25">
      <c r="A304" s="8" t="s">
        <v>1365</v>
      </c>
      <c r="B304" s="240"/>
      <c r="C304" s="239">
        <v>401154</v>
      </c>
    </row>
    <row r="305" spans="1:3" x14ac:dyDescent="0.25">
      <c r="A305" s="8" t="s">
        <v>340</v>
      </c>
      <c r="B305" s="240"/>
      <c r="C305" s="239">
        <v>14600000</v>
      </c>
    </row>
    <row r="306" spans="1:3" x14ac:dyDescent="0.25">
      <c r="A306" s="8" t="s">
        <v>341</v>
      </c>
      <c r="B306" s="239">
        <v>78364.399999999994</v>
      </c>
      <c r="C306" s="240"/>
    </row>
    <row r="307" spans="1:3" x14ac:dyDescent="0.25">
      <c r="A307" s="8" t="s">
        <v>342</v>
      </c>
      <c r="B307" s="240"/>
      <c r="C307" s="239">
        <v>3874175</v>
      </c>
    </row>
    <row r="308" spans="1:3" x14ac:dyDescent="0.25">
      <c r="A308" s="8" t="s">
        <v>343</v>
      </c>
      <c r="B308" s="240"/>
      <c r="C308" s="239">
        <v>3118016</v>
      </c>
    </row>
    <row r="309" spans="1:3" x14ac:dyDescent="0.25">
      <c r="A309" s="8" t="s">
        <v>344</v>
      </c>
      <c r="B309" s="240"/>
      <c r="C309" s="239">
        <v>117270</v>
      </c>
    </row>
    <row r="310" spans="1:3" x14ac:dyDescent="0.25">
      <c r="A310" s="8" t="s">
        <v>345</v>
      </c>
      <c r="B310" s="240"/>
      <c r="C310" s="239">
        <v>25470</v>
      </c>
    </row>
    <row r="311" spans="1:3" x14ac:dyDescent="0.25">
      <c r="A311" s="8" t="s">
        <v>346</v>
      </c>
      <c r="B311" s="240"/>
      <c r="C311" s="239">
        <v>8664946</v>
      </c>
    </row>
    <row r="312" spans="1:3" x14ac:dyDescent="0.25">
      <c r="A312" s="8" t="s">
        <v>347</v>
      </c>
      <c r="B312" s="239">
        <v>703243</v>
      </c>
      <c r="C312" s="240"/>
    </row>
    <row r="313" spans="1:3" x14ac:dyDescent="0.25">
      <c r="A313" s="8" t="s">
        <v>348</v>
      </c>
      <c r="B313" s="240"/>
      <c r="C313" s="239">
        <v>204940</v>
      </c>
    </row>
    <row r="314" spans="1:3" x14ac:dyDescent="0.25">
      <c r="A314" s="8" t="s">
        <v>349</v>
      </c>
      <c r="B314" s="240"/>
      <c r="C314" s="239">
        <v>18748332</v>
      </c>
    </row>
    <row r="315" spans="1:3" x14ac:dyDescent="0.25">
      <c r="A315" s="8" t="s">
        <v>368</v>
      </c>
      <c r="B315" s="240"/>
      <c r="C315" s="239">
        <v>2852634</v>
      </c>
    </row>
    <row r="316" spans="1:3" x14ac:dyDescent="0.25">
      <c r="A316" s="8" t="s">
        <v>369</v>
      </c>
      <c r="B316" s="239">
        <v>53295.15</v>
      </c>
      <c r="C316" s="240"/>
    </row>
    <row r="317" spans="1:3" x14ac:dyDescent="0.25">
      <c r="A317" s="8" t="s">
        <v>370</v>
      </c>
      <c r="B317" s="239">
        <v>29993</v>
      </c>
      <c r="C317" s="240"/>
    </row>
    <row r="318" spans="1:3" x14ac:dyDescent="0.25">
      <c r="A318" s="8" t="s">
        <v>371</v>
      </c>
      <c r="B318" s="240"/>
      <c r="C318" s="239">
        <v>1019843</v>
      </c>
    </row>
    <row r="319" spans="1:3" x14ac:dyDescent="0.25">
      <c r="A319" s="8" t="s">
        <v>824</v>
      </c>
      <c r="B319" s="239">
        <v>59270</v>
      </c>
      <c r="C319" s="240"/>
    </row>
    <row r="320" spans="1:3" x14ac:dyDescent="0.25">
      <c r="A320" s="8" t="s">
        <v>372</v>
      </c>
      <c r="B320" s="240"/>
      <c r="C320" s="239">
        <v>2456715</v>
      </c>
    </row>
    <row r="321" spans="1:3" x14ac:dyDescent="0.25">
      <c r="A321" s="8" t="s">
        <v>373</v>
      </c>
      <c r="B321" s="239">
        <v>2856394</v>
      </c>
      <c r="C321" s="240"/>
    </row>
    <row r="322" spans="1:3" x14ac:dyDescent="0.25">
      <c r="A322" s="8" t="s">
        <v>374</v>
      </c>
      <c r="B322" s="239">
        <v>168822</v>
      </c>
      <c r="C322" s="240"/>
    </row>
    <row r="323" spans="1:3" x14ac:dyDescent="0.25">
      <c r="A323" s="8" t="s">
        <v>376</v>
      </c>
      <c r="B323" s="240"/>
      <c r="C323" s="239">
        <v>19308</v>
      </c>
    </row>
    <row r="324" spans="1:3" x14ac:dyDescent="0.25">
      <c r="A324" s="8" t="s">
        <v>377</v>
      </c>
      <c r="B324" s="240"/>
      <c r="C324" s="239">
        <v>586169</v>
      </c>
    </row>
    <row r="325" spans="1:3" x14ac:dyDescent="0.25">
      <c r="A325" s="8" t="s">
        <v>378</v>
      </c>
      <c r="B325" s="239">
        <v>511714</v>
      </c>
      <c r="C325" s="240"/>
    </row>
    <row r="326" spans="1:3" x14ac:dyDescent="0.25">
      <c r="A326" s="8" t="s">
        <v>379</v>
      </c>
      <c r="B326" s="240"/>
      <c r="C326" s="239">
        <v>134747</v>
      </c>
    </row>
    <row r="327" spans="1:3" x14ac:dyDescent="0.25">
      <c r="A327" s="8" t="s">
        <v>380</v>
      </c>
      <c r="B327" s="239">
        <v>173031</v>
      </c>
      <c r="C327" s="240"/>
    </row>
    <row r="328" spans="1:3" x14ac:dyDescent="0.25">
      <c r="A328" s="8" t="s">
        <v>381</v>
      </c>
      <c r="B328" s="239">
        <v>885649</v>
      </c>
      <c r="C328" s="240"/>
    </row>
    <row r="329" spans="1:3" x14ac:dyDescent="0.25">
      <c r="A329" s="8" t="s">
        <v>382</v>
      </c>
      <c r="B329" s="239">
        <v>55555</v>
      </c>
      <c r="C329" s="240"/>
    </row>
    <row r="330" spans="1:3" x14ac:dyDescent="0.25">
      <c r="A330" s="8" t="s">
        <v>383</v>
      </c>
      <c r="B330" s="239">
        <v>26467</v>
      </c>
      <c r="C330" s="240"/>
    </row>
    <row r="331" spans="1:3" x14ac:dyDescent="0.25">
      <c r="A331" s="8" t="s">
        <v>384</v>
      </c>
      <c r="B331" s="240"/>
      <c r="C331" s="239">
        <v>1882446</v>
      </c>
    </row>
    <row r="332" spans="1:3" x14ac:dyDescent="0.25">
      <c r="A332" s="8" t="s">
        <v>385</v>
      </c>
      <c r="B332" s="240"/>
      <c r="C332" s="239">
        <v>31436</v>
      </c>
    </row>
    <row r="333" spans="1:3" x14ac:dyDescent="0.25">
      <c r="A333" s="8" t="s">
        <v>386</v>
      </c>
      <c r="B333" s="240"/>
      <c r="C333" s="239">
        <v>33750</v>
      </c>
    </row>
    <row r="334" spans="1:3" x14ac:dyDescent="0.25">
      <c r="A334" s="8" t="s">
        <v>387</v>
      </c>
      <c r="B334" s="240"/>
      <c r="C334" s="239">
        <v>2195</v>
      </c>
    </row>
    <row r="335" spans="1:3" x14ac:dyDescent="0.25">
      <c r="A335" s="8" t="s">
        <v>388</v>
      </c>
      <c r="B335" s="240"/>
      <c r="C335" s="239">
        <v>12150</v>
      </c>
    </row>
    <row r="336" spans="1:3" x14ac:dyDescent="0.25">
      <c r="A336" s="8" t="s">
        <v>389</v>
      </c>
      <c r="B336" s="240"/>
      <c r="C336" s="239">
        <v>43576042.979999997</v>
      </c>
    </row>
    <row r="337" spans="1:3" x14ac:dyDescent="0.25">
      <c r="A337" s="8" t="s">
        <v>390</v>
      </c>
      <c r="B337" s="239">
        <v>5000332</v>
      </c>
      <c r="C337" s="240"/>
    </row>
    <row r="338" spans="1:3" x14ac:dyDescent="0.25">
      <c r="A338" s="8" t="s">
        <v>391</v>
      </c>
      <c r="B338" s="239">
        <v>301037.90000000002</v>
      </c>
      <c r="C338" s="240"/>
    </row>
    <row r="339" spans="1:3" x14ac:dyDescent="0.25">
      <c r="A339" s="8" t="s">
        <v>832</v>
      </c>
      <c r="B339" s="239">
        <v>275000</v>
      </c>
      <c r="C339" s="240"/>
    </row>
    <row r="340" spans="1:3" x14ac:dyDescent="0.25">
      <c r="A340" s="8" t="s">
        <v>392</v>
      </c>
      <c r="B340" s="239">
        <v>2500</v>
      </c>
      <c r="C340" s="240"/>
    </row>
    <row r="341" spans="1:3" x14ac:dyDescent="0.25">
      <c r="A341" s="8" t="s">
        <v>393</v>
      </c>
      <c r="B341" s="239">
        <v>37000</v>
      </c>
      <c r="C341" s="240"/>
    </row>
    <row r="342" spans="1:3" x14ac:dyDescent="0.25">
      <c r="A342" s="8" t="s">
        <v>394</v>
      </c>
      <c r="B342" s="240"/>
      <c r="C342" s="239">
        <v>92070</v>
      </c>
    </row>
    <row r="343" spans="1:3" x14ac:dyDescent="0.25">
      <c r="A343" s="8" t="s">
        <v>395</v>
      </c>
      <c r="B343" s="239">
        <v>16101.89</v>
      </c>
      <c r="C343" s="240"/>
    </row>
    <row r="344" spans="1:3" x14ac:dyDescent="0.25">
      <c r="A344" s="8" t="s">
        <v>396</v>
      </c>
      <c r="B344" s="239">
        <v>4000</v>
      </c>
      <c r="C344" s="240"/>
    </row>
    <row r="345" spans="1:3" x14ac:dyDescent="0.25">
      <c r="A345" s="8" t="s">
        <v>397</v>
      </c>
      <c r="B345" s="240"/>
      <c r="C345" s="239">
        <v>455952</v>
      </c>
    </row>
    <row r="346" spans="1:3" x14ac:dyDescent="0.25">
      <c r="A346" s="8" t="s">
        <v>399</v>
      </c>
      <c r="B346" s="239">
        <v>32233.24</v>
      </c>
      <c r="C346" s="240"/>
    </row>
    <row r="347" spans="1:3" x14ac:dyDescent="0.25">
      <c r="A347" s="8" t="s">
        <v>400</v>
      </c>
      <c r="B347" s="239">
        <v>3418</v>
      </c>
      <c r="C347" s="240"/>
    </row>
    <row r="348" spans="1:3" x14ac:dyDescent="0.25">
      <c r="A348" s="8" t="s">
        <v>401</v>
      </c>
      <c r="B348" s="239">
        <v>33127</v>
      </c>
      <c r="C348" s="240"/>
    </row>
    <row r="349" spans="1:3" x14ac:dyDescent="0.25">
      <c r="A349" s="8" t="s">
        <v>402</v>
      </c>
      <c r="B349" s="240"/>
      <c r="C349" s="239">
        <v>85088.53</v>
      </c>
    </row>
    <row r="350" spans="1:3" x14ac:dyDescent="0.25">
      <c r="A350" s="8" t="s">
        <v>404</v>
      </c>
      <c r="B350" s="239">
        <v>10231</v>
      </c>
      <c r="C350" s="240"/>
    </row>
    <row r="351" spans="1:3" x14ac:dyDescent="0.25">
      <c r="A351" s="8" t="s">
        <v>405</v>
      </c>
      <c r="B351" s="240"/>
      <c r="C351" s="239">
        <v>3756</v>
      </c>
    </row>
    <row r="352" spans="1:3" x14ac:dyDescent="0.25">
      <c r="A352" s="8" t="s">
        <v>406</v>
      </c>
      <c r="B352" s="240"/>
      <c r="C352" s="239">
        <v>12373</v>
      </c>
    </row>
    <row r="353" spans="1:3" x14ac:dyDescent="0.25">
      <c r="A353" s="8" t="s">
        <v>407</v>
      </c>
      <c r="B353" s="240"/>
      <c r="C353" s="239">
        <v>10862.04</v>
      </c>
    </row>
    <row r="354" spans="1:3" x14ac:dyDescent="0.25">
      <c r="A354" s="8" t="s">
        <v>408</v>
      </c>
      <c r="B354" s="240"/>
      <c r="C354" s="239">
        <v>29491</v>
      </c>
    </row>
    <row r="355" spans="1:3" x14ac:dyDescent="0.25">
      <c r="A355" s="8" t="s">
        <v>409</v>
      </c>
      <c r="B355" s="240"/>
      <c r="C355" s="239">
        <v>2925</v>
      </c>
    </row>
    <row r="356" spans="1:3" x14ac:dyDescent="0.25">
      <c r="A356" s="8" t="s">
        <v>410</v>
      </c>
      <c r="B356" s="240"/>
      <c r="C356" s="239">
        <v>80773</v>
      </c>
    </row>
    <row r="357" spans="1:3" x14ac:dyDescent="0.25">
      <c r="A357" s="8" t="s">
        <v>411</v>
      </c>
      <c r="B357" s="240"/>
      <c r="C357" s="239">
        <v>122000</v>
      </c>
    </row>
    <row r="358" spans="1:3" x14ac:dyDescent="0.25">
      <c r="A358" s="8" t="s">
        <v>412</v>
      </c>
      <c r="B358" s="240"/>
      <c r="C358" s="239">
        <v>10850</v>
      </c>
    </row>
    <row r="359" spans="1:3" x14ac:dyDescent="0.25">
      <c r="A359" s="8" t="s">
        <v>413</v>
      </c>
      <c r="B359" s="240"/>
      <c r="C359" s="239">
        <v>22755</v>
      </c>
    </row>
    <row r="360" spans="1:3" x14ac:dyDescent="0.25">
      <c r="A360" s="8" t="s">
        <v>414</v>
      </c>
      <c r="B360" s="239">
        <v>65764</v>
      </c>
      <c r="C360" s="240"/>
    </row>
    <row r="361" spans="1:3" x14ac:dyDescent="0.25">
      <c r="A361" s="8" t="s">
        <v>415</v>
      </c>
      <c r="B361" s="240"/>
      <c r="C361" s="239">
        <v>3662</v>
      </c>
    </row>
    <row r="362" spans="1:3" x14ac:dyDescent="0.25">
      <c r="A362" s="8" t="s">
        <v>416</v>
      </c>
      <c r="B362" s="239">
        <v>40650</v>
      </c>
      <c r="C362" s="240"/>
    </row>
    <row r="363" spans="1:3" x14ac:dyDescent="0.25">
      <c r="A363" s="8" t="s">
        <v>417</v>
      </c>
      <c r="B363" s="240"/>
      <c r="C363" s="239">
        <v>41312</v>
      </c>
    </row>
    <row r="364" spans="1:3" x14ac:dyDescent="0.25">
      <c r="A364" s="8" t="s">
        <v>418</v>
      </c>
      <c r="B364" s="239">
        <v>72962</v>
      </c>
      <c r="C364" s="240"/>
    </row>
    <row r="365" spans="1:3" x14ac:dyDescent="0.25">
      <c r="A365" s="8" t="s">
        <v>419</v>
      </c>
      <c r="B365" s="239">
        <v>116491</v>
      </c>
      <c r="C365" s="240"/>
    </row>
    <row r="366" spans="1:3" x14ac:dyDescent="0.25">
      <c r="A366" s="8" t="s">
        <v>420</v>
      </c>
      <c r="B366" s="240"/>
      <c r="C366" s="239">
        <v>109340</v>
      </c>
    </row>
    <row r="367" spans="1:3" x14ac:dyDescent="0.25">
      <c r="A367" s="8" t="s">
        <v>421</v>
      </c>
      <c r="B367" s="239">
        <v>519122</v>
      </c>
      <c r="C367" s="240"/>
    </row>
    <row r="368" spans="1:3" x14ac:dyDescent="0.25">
      <c r="A368" s="8" t="s">
        <v>422</v>
      </c>
      <c r="B368" s="240"/>
      <c r="C368" s="239">
        <v>34754</v>
      </c>
    </row>
    <row r="369" spans="1:3" x14ac:dyDescent="0.25">
      <c r="A369" s="8" t="s">
        <v>423</v>
      </c>
      <c r="B369" s="239">
        <v>277187</v>
      </c>
      <c r="C369" s="240"/>
    </row>
    <row r="370" spans="1:3" x14ac:dyDescent="0.25">
      <c r="A370" s="8" t="s">
        <v>424</v>
      </c>
      <c r="B370" s="239">
        <v>1264812.5</v>
      </c>
      <c r="C370" s="240"/>
    </row>
    <row r="371" spans="1:3" x14ac:dyDescent="0.25">
      <c r="A371" s="8" t="s">
        <v>426</v>
      </c>
      <c r="B371" s="240"/>
      <c r="C371" s="239">
        <v>377600</v>
      </c>
    </row>
    <row r="372" spans="1:3" x14ac:dyDescent="0.25">
      <c r="A372" s="8" t="s">
        <v>427</v>
      </c>
      <c r="B372" s="240"/>
      <c r="C372" s="239">
        <v>1871806</v>
      </c>
    </row>
    <row r="373" spans="1:3" x14ac:dyDescent="0.25">
      <c r="A373" s="8" t="s">
        <v>428</v>
      </c>
      <c r="B373" s="239">
        <v>122521</v>
      </c>
      <c r="C373" s="240"/>
    </row>
    <row r="374" spans="1:3" x14ac:dyDescent="0.25">
      <c r="A374" s="8" t="s">
        <v>429</v>
      </c>
      <c r="B374" s="239">
        <v>179827</v>
      </c>
      <c r="C374" s="240"/>
    </row>
    <row r="375" spans="1:3" x14ac:dyDescent="0.25">
      <c r="A375" s="8" t="s">
        <v>430</v>
      </c>
      <c r="B375" s="239">
        <v>2991111</v>
      </c>
      <c r="C375" s="240"/>
    </row>
    <row r="376" spans="1:3" x14ac:dyDescent="0.25">
      <c r="A376" s="8" t="s">
        <v>431</v>
      </c>
      <c r="B376" s="239">
        <v>521794</v>
      </c>
      <c r="C376" s="240"/>
    </row>
    <row r="377" spans="1:3" x14ac:dyDescent="0.25">
      <c r="A377" s="8" t="s">
        <v>432</v>
      </c>
      <c r="B377" s="239">
        <v>271912.74</v>
      </c>
      <c r="C377" s="240"/>
    </row>
    <row r="378" spans="1:3" x14ac:dyDescent="0.25">
      <c r="A378" s="8" t="s">
        <v>433</v>
      </c>
      <c r="B378" s="240"/>
      <c r="C378" s="239">
        <v>29906</v>
      </c>
    </row>
    <row r="379" spans="1:3" x14ac:dyDescent="0.25">
      <c r="A379" s="8" t="s">
        <v>434</v>
      </c>
      <c r="B379" s="240"/>
      <c r="C379" s="239">
        <v>1429369</v>
      </c>
    </row>
    <row r="380" spans="1:3" x14ac:dyDescent="0.25">
      <c r="A380" s="8" t="s">
        <v>435</v>
      </c>
      <c r="B380" s="240"/>
      <c r="C380" s="239">
        <v>12900</v>
      </c>
    </row>
    <row r="381" spans="1:3" x14ac:dyDescent="0.25">
      <c r="A381" s="8" t="s">
        <v>436</v>
      </c>
      <c r="B381" s="239">
        <v>5000</v>
      </c>
      <c r="C381" s="240"/>
    </row>
    <row r="382" spans="1:3" x14ac:dyDescent="0.25">
      <c r="A382" s="8" t="s">
        <v>438</v>
      </c>
      <c r="B382" s="240"/>
      <c r="C382" s="239">
        <v>232050</v>
      </c>
    </row>
    <row r="383" spans="1:3" x14ac:dyDescent="0.25">
      <c r="A383" s="8" t="s">
        <v>439</v>
      </c>
      <c r="B383" s="239">
        <v>290915</v>
      </c>
      <c r="C383" s="240"/>
    </row>
    <row r="384" spans="1:3" x14ac:dyDescent="0.25">
      <c r="A384" s="8" t="s">
        <v>440</v>
      </c>
      <c r="B384" s="239">
        <v>6129998</v>
      </c>
      <c r="C384" s="240"/>
    </row>
    <row r="385" spans="1:3" x14ac:dyDescent="0.25">
      <c r="A385" s="8" t="s">
        <v>441</v>
      </c>
      <c r="B385" s="239">
        <v>384685059</v>
      </c>
      <c r="C385" s="240"/>
    </row>
    <row r="386" spans="1:3" x14ac:dyDescent="0.25">
      <c r="A386" s="8" t="s">
        <v>442</v>
      </c>
      <c r="B386" s="239">
        <v>1371677.02</v>
      </c>
      <c r="C386" s="240"/>
    </row>
    <row r="387" spans="1:3" x14ac:dyDescent="0.25">
      <c r="A387" s="8" t="s">
        <v>443</v>
      </c>
      <c r="B387" s="239">
        <v>133008</v>
      </c>
      <c r="C387" s="240"/>
    </row>
    <row r="388" spans="1:3" x14ac:dyDescent="0.25">
      <c r="A388" s="8" t="s">
        <v>444</v>
      </c>
      <c r="B388" s="239">
        <v>180000</v>
      </c>
      <c r="C388" s="240"/>
    </row>
    <row r="389" spans="1:3" x14ac:dyDescent="0.25">
      <c r="A389" s="8" t="s">
        <v>445</v>
      </c>
      <c r="B389" s="239">
        <v>7547</v>
      </c>
      <c r="C389" s="240"/>
    </row>
    <row r="390" spans="1:3" x14ac:dyDescent="0.25">
      <c r="A390" s="8" t="s">
        <v>447</v>
      </c>
      <c r="B390" s="239">
        <v>31034983</v>
      </c>
      <c r="C390" s="240"/>
    </row>
    <row r="391" spans="1:3" x14ac:dyDescent="0.25">
      <c r="A391" s="8" t="s">
        <v>448</v>
      </c>
      <c r="B391" s="240"/>
      <c r="C391" s="239">
        <v>19017</v>
      </c>
    </row>
    <row r="392" spans="1:3" x14ac:dyDescent="0.25">
      <c r="A392" s="8" t="s">
        <v>449</v>
      </c>
      <c r="B392" s="239">
        <v>11811163</v>
      </c>
      <c r="C392" s="240"/>
    </row>
    <row r="393" spans="1:3" x14ac:dyDescent="0.25">
      <c r="A393" s="1226" t="s">
        <v>3204</v>
      </c>
      <c r="B393" s="240"/>
      <c r="C393" s="239">
        <v>0.22</v>
      </c>
    </row>
    <row r="394" spans="1:3" x14ac:dyDescent="0.25">
      <c r="A394" s="1227" t="s">
        <v>450</v>
      </c>
      <c r="B394" s="1228">
        <v>1436120013.3800001</v>
      </c>
      <c r="C394" s="1228">
        <v>1436120013.3800001</v>
      </c>
    </row>
  </sheetData>
  <mergeCells count="10">
    <mergeCell ref="A7:C7"/>
    <mergeCell ref="B8:C8"/>
    <mergeCell ref="B9:C9"/>
    <mergeCell ref="B10:C10"/>
    <mergeCell ref="A1:C1"/>
    <mergeCell ref="A2:C2"/>
    <mergeCell ref="A3:C3"/>
    <mergeCell ref="A4:C4"/>
    <mergeCell ref="A5:C5"/>
    <mergeCell ref="A6:C6"/>
  </mergeCells>
  <pageMargins left="0.7" right="0.7" top="0.75" bottom="0.75" header="0.3" footer="0.3"/>
  <pageSetup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400"/>
  <sheetViews>
    <sheetView topLeftCell="A377" workbookViewId="0">
      <selection activeCell="A208" sqref="A208"/>
    </sheetView>
  </sheetViews>
  <sheetFormatPr defaultColWidth="9.140625" defaultRowHeight="15" x14ac:dyDescent="0.25"/>
  <cols>
    <col min="1" max="1" width="47.5703125" bestFit="1" customWidth="1"/>
    <col min="2" max="3" width="13.5703125" bestFit="1" customWidth="1"/>
  </cols>
  <sheetData>
    <row r="1" spans="1:3" ht="15.75" x14ac:dyDescent="0.25">
      <c r="A1" s="1841" t="s">
        <v>0</v>
      </c>
      <c r="B1" s="1841"/>
      <c r="C1" s="1841"/>
    </row>
    <row r="2" spans="1:3" x14ac:dyDescent="0.25">
      <c r="A2" s="1842" t="s">
        <v>4</v>
      </c>
      <c r="B2" s="1842"/>
      <c r="C2" s="1842"/>
    </row>
    <row r="3" spans="1:3" ht="15.75" x14ac:dyDescent="0.25">
      <c r="A3" s="1843" t="s">
        <v>5</v>
      </c>
      <c r="B3" s="1843"/>
      <c r="C3" s="1843"/>
    </row>
    <row r="4" spans="1:3" x14ac:dyDescent="0.25">
      <c r="A4" s="1834" t="s">
        <v>6</v>
      </c>
      <c r="B4" s="1834"/>
      <c r="C4" s="1834"/>
    </row>
    <row r="5" spans="1:3" x14ac:dyDescent="0.25">
      <c r="A5" s="232" t="s">
        <v>7</v>
      </c>
      <c r="B5" s="1961" t="s">
        <v>8</v>
      </c>
      <c r="C5" s="1966"/>
    </row>
    <row r="6" spans="1:3" x14ac:dyDescent="0.25">
      <c r="A6" s="233" t="s">
        <v>9</v>
      </c>
      <c r="B6" s="1963" t="s">
        <v>6</v>
      </c>
      <c r="C6" s="1964"/>
    </row>
    <row r="7" spans="1:3" x14ac:dyDescent="0.25">
      <c r="A7" s="233" t="s">
        <v>7</v>
      </c>
      <c r="B7" s="1958" t="s">
        <v>10</v>
      </c>
      <c r="C7" s="1965"/>
    </row>
    <row r="8" spans="1:3" x14ac:dyDescent="0.25">
      <c r="A8" s="234" t="s">
        <v>7</v>
      </c>
      <c r="B8" s="235" t="s">
        <v>11</v>
      </c>
      <c r="C8" s="235" t="s">
        <v>12</v>
      </c>
    </row>
    <row r="9" spans="1:3" x14ac:dyDescent="0.25">
      <c r="A9" s="236" t="s">
        <v>13</v>
      </c>
      <c r="B9" s="237">
        <v>67823511</v>
      </c>
      <c r="C9" s="238"/>
    </row>
    <row r="10" spans="1:3" x14ac:dyDescent="0.25">
      <c r="A10" s="8" t="s">
        <v>15</v>
      </c>
      <c r="B10" s="239">
        <v>13000000</v>
      </c>
      <c r="C10" s="240"/>
    </row>
    <row r="11" spans="1:3" x14ac:dyDescent="0.25">
      <c r="A11" s="8" t="s">
        <v>16</v>
      </c>
      <c r="B11" s="239">
        <v>69186</v>
      </c>
      <c r="C11" s="240"/>
    </row>
    <row r="12" spans="1:3" x14ac:dyDescent="0.25">
      <c r="A12" s="8" t="s">
        <v>17</v>
      </c>
      <c r="B12" s="239">
        <v>3825310</v>
      </c>
      <c r="C12" s="240"/>
    </row>
    <row r="13" spans="1:3" x14ac:dyDescent="0.25">
      <c r="A13" s="8" t="s">
        <v>18</v>
      </c>
      <c r="B13" s="240"/>
      <c r="C13" s="239">
        <v>156125</v>
      </c>
    </row>
    <row r="14" spans="1:3" x14ac:dyDescent="0.25">
      <c r="A14" s="8" t="s">
        <v>19</v>
      </c>
      <c r="B14" s="239">
        <v>3124400</v>
      </c>
      <c r="C14" s="240"/>
    </row>
    <row r="15" spans="1:3" x14ac:dyDescent="0.25">
      <c r="A15" s="8" t="s">
        <v>20</v>
      </c>
      <c r="B15" s="239">
        <v>7858026.4299999997</v>
      </c>
      <c r="C15" s="240"/>
    </row>
    <row r="16" spans="1:3" x14ac:dyDescent="0.25">
      <c r="A16" s="8" t="s">
        <v>21</v>
      </c>
      <c r="B16" s="239">
        <v>4500</v>
      </c>
      <c r="C16" s="240"/>
    </row>
    <row r="17" spans="1:3" x14ac:dyDescent="0.25">
      <c r="A17" s="8" t="s">
        <v>22</v>
      </c>
      <c r="B17" s="240"/>
      <c r="C17" s="239">
        <v>68388</v>
      </c>
    </row>
    <row r="18" spans="1:3" x14ac:dyDescent="0.25">
      <c r="A18" s="8" t="s">
        <v>23</v>
      </c>
      <c r="B18" s="239">
        <v>6461</v>
      </c>
      <c r="C18" s="240"/>
    </row>
    <row r="19" spans="1:3" x14ac:dyDescent="0.25">
      <c r="A19" s="8" t="s">
        <v>24</v>
      </c>
      <c r="B19" s="239">
        <v>1585664</v>
      </c>
      <c r="C19" s="240"/>
    </row>
    <row r="20" spans="1:3" x14ac:dyDescent="0.25">
      <c r="A20" s="8" t="s">
        <v>25</v>
      </c>
      <c r="B20" s="240"/>
      <c r="C20" s="239">
        <v>2353055</v>
      </c>
    </row>
    <row r="21" spans="1:3" x14ac:dyDescent="0.25">
      <c r="A21" s="8" t="s">
        <v>26</v>
      </c>
      <c r="B21" s="240"/>
      <c r="C21" s="239">
        <v>941222</v>
      </c>
    </row>
    <row r="22" spans="1:3" x14ac:dyDescent="0.25">
      <c r="A22" s="8" t="s">
        <v>27</v>
      </c>
      <c r="B22" s="239">
        <v>19000</v>
      </c>
      <c r="C22" s="240"/>
    </row>
    <row r="23" spans="1:3" x14ac:dyDescent="0.25">
      <c r="A23" s="8" t="s">
        <v>28</v>
      </c>
      <c r="B23" s="239">
        <v>9000</v>
      </c>
      <c r="C23" s="240"/>
    </row>
    <row r="24" spans="1:3" x14ac:dyDescent="0.25">
      <c r="A24" s="8" t="s">
        <v>29</v>
      </c>
      <c r="B24" s="240"/>
      <c r="C24" s="239">
        <v>50553</v>
      </c>
    </row>
    <row r="25" spans="1:3" x14ac:dyDescent="0.25">
      <c r="A25" s="8" t="s">
        <v>30</v>
      </c>
      <c r="B25" s="239">
        <v>4000</v>
      </c>
      <c r="C25" s="240"/>
    </row>
    <row r="26" spans="1:3" x14ac:dyDescent="0.25">
      <c r="A26" s="8" t="s">
        <v>31</v>
      </c>
      <c r="B26" s="240"/>
      <c r="C26" s="239">
        <v>61249</v>
      </c>
    </row>
    <row r="27" spans="1:3" x14ac:dyDescent="0.25">
      <c r="A27" s="8" t="s">
        <v>32</v>
      </c>
      <c r="B27" s="240"/>
      <c r="C27" s="239">
        <v>1176528</v>
      </c>
    </row>
    <row r="28" spans="1:3" x14ac:dyDescent="0.25">
      <c r="A28" s="8" t="s">
        <v>33</v>
      </c>
      <c r="B28" s="239">
        <v>134911.04000000001</v>
      </c>
      <c r="C28" s="240"/>
    </row>
    <row r="29" spans="1:3" x14ac:dyDescent="0.25">
      <c r="A29" s="8" t="s">
        <v>34</v>
      </c>
      <c r="B29" s="239">
        <v>91200</v>
      </c>
      <c r="C29" s="240"/>
    </row>
    <row r="30" spans="1:3" x14ac:dyDescent="0.25">
      <c r="A30" s="8" t="s">
        <v>35</v>
      </c>
      <c r="B30" s="239">
        <v>97878</v>
      </c>
      <c r="C30" s="240"/>
    </row>
    <row r="31" spans="1:3" x14ac:dyDescent="0.25">
      <c r="A31" s="8" t="s">
        <v>36</v>
      </c>
      <c r="B31" s="239">
        <v>48970</v>
      </c>
      <c r="C31" s="240"/>
    </row>
    <row r="32" spans="1:3" x14ac:dyDescent="0.25">
      <c r="A32" s="8" t="s">
        <v>37</v>
      </c>
      <c r="B32" s="239">
        <v>274305</v>
      </c>
      <c r="C32" s="240"/>
    </row>
    <row r="33" spans="1:3" x14ac:dyDescent="0.25">
      <c r="A33" s="8" t="s">
        <v>38</v>
      </c>
      <c r="B33" s="240"/>
      <c r="C33" s="239">
        <v>262245</v>
      </c>
    </row>
    <row r="34" spans="1:3" x14ac:dyDescent="0.25">
      <c r="A34" s="8" t="s">
        <v>39</v>
      </c>
      <c r="B34" s="240"/>
      <c r="C34" s="239">
        <v>209878</v>
      </c>
    </row>
    <row r="35" spans="1:3" x14ac:dyDescent="0.25">
      <c r="A35" s="8" t="s">
        <v>40</v>
      </c>
      <c r="B35" s="239">
        <v>3207346</v>
      </c>
      <c r="C35" s="240"/>
    </row>
    <row r="36" spans="1:3" x14ac:dyDescent="0.25">
      <c r="A36" s="8" t="s">
        <v>41</v>
      </c>
      <c r="B36" s="239">
        <v>2575</v>
      </c>
      <c r="C36" s="240"/>
    </row>
    <row r="37" spans="1:3" x14ac:dyDescent="0.25">
      <c r="A37" s="8" t="s">
        <v>42</v>
      </c>
      <c r="B37" s="240"/>
      <c r="C37" s="239">
        <v>82125</v>
      </c>
    </row>
    <row r="38" spans="1:3" x14ac:dyDescent="0.25">
      <c r="A38" s="8" t="s">
        <v>43</v>
      </c>
      <c r="B38" s="239">
        <v>58993008.630000003</v>
      </c>
      <c r="C38" s="240"/>
    </row>
    <row r="39" spans="1:3" x14ac:dyDescent="0.25">
      <c r="A39" s="8" t="s">
        <v>45</v>
      </c>
      <c r="B39" s="240"/>
      <c r="C39" s="239">
        <v>20413989</v>
      </c>
    </row>
    <row r="40" spans="1:3" x14ac:dyDescent="0.25">
      <c r="A40" s="8" t="s">
        <v>46</v>
      </c>
      <c r="B40" s="240"/>
      <c r="C40" s="239">
        <v>32332</v>
      </c>
    </row>
    <row r="41" spans="1:3" x14ac:dyDescent="0.25">
      <c r="A41" s="8" t="s">
        <v>47</v>
      </c>
      <c r="B41" s="239">
        <v>364309</v>
      </c>
      <c r="C41" s="240"/>
    </row>
    <row r="42" spans="1:3" x14ac:dyDescent="0.25">
      <c r="A42" s="8" t="s">
        <v>48</v>
      </c>
      <c r="B42" s="239">
        <v>95263</v>
      </c>
      <c r="C42" s="240"/>
    </row>
    <row r="43" spans="1:3" x14ac:dyDescent="0.25">
      <c r="A43" s="8" t="s">
        <v>49</v>
      </c>
      <c r="B43" s="239">
        <v>81600</v>
      </c>
      <c r="C43" s="240"/>
    </row>
    <row r="44" spans="1:3" x14ac:dyDescent="0.25">
      <c r="A44" s="8" t="s">
        <v>50</v>
      </c>
      <c r="B44" s="239">
        <v>255504</v>
      </c>
      <c r="C44" s="240"/>
    </row>
    <row r="45" spans="1:3" x14ac:dyDescent="0.25">
      <c r="A45" s="8" t="s">
        <v>52</v>
      </c>
      <c r="B45" s="240"/>
      <c r="C45" s="239">
        <v>4520</v>
      </c>
    </row>
    <row r="46" spans="1:3" x14ac:dyDescent="0.25">
      <c r="A46" s="8" t="s">
        <v>66</v>
      </c>
      <c r="B46" s="239">
        <v>229</v>
      </c>
      <c r="C46" s="240"/>
    </row>
    <row r="47" spans="1:3" x14ac:dyDescent="0.25">
      <c r="A47" s="8" t="s">
        <v>67</v>
      </c>
      <c r="B47" s="239">
        <v>1171</v>
      </c>
      <c r="C47" s="240"/>
    </row>
    <row r="48" spans="1:3" x14ac:dyDescent="0.25">
      <c r="A48" s="8" t="s">
        <v>71</v>
      </c>
      <c r="B48" s="240"/>
      <c r="C48" s="239">
        <v>2852087</v>
      </c>
    </row>
    <row r="49" spans="1:3" x14ac:dyDescent="0.25">
      <c r="A49" s="8" t="s">
        <v>72</v>
      </c>
      <c r="B49" s="239">
        <v>59874.11</v>
      </c>
      <c r="C49" s="240"/>
    </row>
    <row r="50" spans="1:3" x14ac:dyDescent="0.25">
      <c r="A50" s="8" t="s">
        <v>73</v>
      </c>
      <c r="B50" s="239">
        <v>19377618</v>
      </c>
      <c r="C50" s="240"/>
    </row>
    <row r="51" spans="1:3" x14ac:dyDescent="0.25">
      <c r="A51" s="8" t="s">
        <v>74</v>
      </c>
      <c r="B51" s="239">
        <v>396306</v>
      </c>
      <c r="C51" s="240"/>
    </row>
    <row r="52" spans="1:3" x14ac:dyDescent="0.25">
      <c r="A52" s="8" t="s">
        <v>75</v>
      </c>
      <c r="B52" s="240"/>
      <c r="C52" s="239">
        <v>638291</v>
      </c>
    </row>
    <row r="53" spans="1:3" x14ac:dyDescent="0.25">
      <c r="A53" s="8" t="s">
        <v>76</v>
      </c>
      <c r="B53" s="239">
        <v>4000</v>
      </c>
      <c r="C53" s="240"/>
    </row>
    <row r="54" spans="1:3" x14ac:dyDescent="0.25">
      <c r="A54" s="8" t="s">
        <v>77</v>
      </c>
      <c r="B54" s="239">
        <v>34675595</v>
      </c>
      <c r="C54" s="240"/>
    </row>
    <row r="55" spans="1:3" x14ac:dyDescent="0.25">
      <c r="A55" s="8" t="s">
        <v>78</v>
      </c>
      <c r="B55" s="239">
        <v>614111</v>
      </c>
      <c r="C55" s="240"/>
    </row>
    <row r="56" spans="1:3" x14ac:dyDescent="0.25">
      <c r="A56" s="8" t="s">
        <v>79</v>
      </c>
      <c r="B56" s="239">
        <v>25835930</v>
      </c>
      <c r="C56" s="240"/>
    </row>
    <row r="57" spans="1:3" x14ac:dyDescent="0.25">
      <c r="A57" s="8" t="s">
        <v>80</v>
      </c>
      <c r="B57" s="239">
        <v>171625</v>
      </c>
      <c r="C57" s="240"/>
    </row>
    <row r="58" spans="1:3" x14ac:dyDescent="0.25">
      <c r="A58" s="8" t="s">
        <v>81</v>
      </c>
      <c r="B58" s="239">
        <v>61275</v>
      </c>
      <c r="C58" s="240"/>
    </row>
    <row r="59" spans="1:3" x14ac:dyDescent="0.25">
      <c r="A59" s="8" t="s">
        <v>82</v>
      </c>
      <c r="B59" s="239">
        <v>38717565.439999998</v>
      </c>
      <c r="C59" s="240"/>
    </row>
    <row r="60" spans="1:3" x14ac:dyDescent="0.25">
      <c r="A60" s="8" t="s">
        <v>83</v>
      </c>
      <c r="B60" s="239">
        <v>313371</v>
      </c>
      <c r="C60" s="240"/>
    </row>
    <row r="61" spans="1:3" x14ac:dyDescent="0.25">
      <c r="A61" s="8" t="s">
        <v>84</v>
      </c>
      <c r="B61" s="239">
        <v>81049</v>
      </c>
      <c r="C61" s="240"/>
    </row>
    <row r="62" spans="1:3" x14ac:dyDescent="0.25">
      <c r="A62" s="8" t="s">
        <v>85</v>
      </c>
      <c r="B62" s="239">
        <v>1806809</v>
      </c>
      <c r="C62" s="240"/>
    </row>
    <row r="63" spans="1:3" x14ac:dyDescent="0.25">
      <c r="A63" s="8" t="s">
        <v>86</v>
      </c>
      <c r="B63" s="239">
        <v>1057200.7</v>
      </c>
      <c r="C63" s="240"/>
    </row>
    <row r="64" spans="1:3" x14ac:dyDescent="0.25">
      <c r="A64" s="8" t="s">
        <v>87</v>
      </c>
      <c r="B64" s="239">
        <v>7000</v>
      </c>
      <c r="C64" s="240"/>
    </row>
    <row r="65" spans="1:3" x14ac:dyDescent="0.25">
      <c r="A65" s="8" t="s">
        <v>88</v>
      </c>
      <c r="B65" s="239">
        <v>57713</v>
      </c>
      <c r="C65" s="240"/>
    </row>
    <row r="66" spans="1:3" x14ac:dyDescent="0.25">
      <c r="A66" s="8" t="s">
        <v>89</v>
      </c>
      <c r="B66" s="240"/>
      <c r="C66" s="239">
        <v>23574</v>
      </c>
    </row>
    <row r="67" spans="1:3" x14ac:dyDescent="0.25">
      <c r="A67" s="8" t="s">
        <v>90</v>
      </c>
      <c r="B67" s="240"/>
      <c r="C67" s="239">
        <v>206714</v>
      </c>
    </row>
    <row r="68" spans="1:3" x14ac:dyDescent="0.25">
      <c r="A68" s="8" t="s">
        <v>91</v>
      </c>
      <c r="B68" s="239">
        <v>30655</v>
      </c>
      <c r="C68" s="240"/>
    </row>
    <row r="69" spans="1:3" x14ac:dyDescent="0.25">
      <c r="A69" s="8" t="s">
        <v>92</v>
      </c>
      <c r="B69" s="239">
        <v>25835</v>
      </c>
      <c r="C69" s="240"/>
    </row>
    <row r="70" spans="1:3" x14ac:dyDescent="0.25">
      <c r="A70" s="8" t="s">
        <v>93</v>
      </c>
      <c r="B70" s="239">
        <v>62901</v>
      </c>
      <c r="C70" s="240"/>
    </row>
    <row r="71" spans="1:3" x14ac:dyDescent="0.25">
      <c r="A71" s="8" t="s">
        <v>94</v>
      </c>
      <c r="B71" s="239">
        <v>44221.5</v>
      </c>
      <c r="C71" s="240"/>
    </row>
    <row r="72" spans="1:3" x14ac:dyDescent="0.25">
      <c r="A72" s="8" t="s">
        <v>1437</v>
      </c>
      <c r="B72" s="239">
        <v>500</v>
      </c>
      <c r="C72" s="240"/>
    </row>
    <row r="73" spans="1:3" x14ac:dyDescent="0.25">
      <c r="A73" s="8" t="s">
        <v>95</v>
      </c>
      <c r="B73" s="239">
        <v>629000</v>
      </c>
      <c r="C73" s="240"/>
    </row>
    <row r="74" spans="1:3" x14ac:dyDescent="0.25">
      <c r="A74" s="8" t="s">
        <v>1362</v>
      </c>
      <c r="B74" s="240"/>
      <c r="C74" s="239">
        <v>247500</v>
      </c>
    </row>
    <row r="75" spans="1:3" x14ac:dyDescent="0.25">
      <c r="A75" s="8" t="s">
        <v>98</v>
      </c>
      <c r="B75" s="240"/>
      <c r="C75" s="239">
        <v>2151570</v>
      </c>
    </row>
    <row r="76" spans="1:3" x14ac:dyDescent="0.25">
      <c r="A76" s="8" t="s">
        <v>99</v>
      </c>
      <c r="B76" s="240"/>
      <c r="C76" s="239">
        <v>20264926</v>
      </c>
    </row>
    <row r="77" spans="1:3" x14ac:dyDescent="0.25">
      <c r="A77" s="8" t="s">
        <v>100</v>
      </c>
      <c r="B77" s="239">
        <v>1137100</v>
      </c>
      <c r="C77" s="240"/>
    </row>
    <row r="78" spans="1:3" x14ac:dyDescent="0.25">
      <c r="A78" s="8" t="s">
        <v>101</v>
      </c>
      <c r="B78" s="239">
        <v>6800</v>
      </c>
      <c r="C78" s="240"/>
    </row>
    <row r="79" spans="1:3" x14ac:dyDescent="0.25">
      <c r="A79" s="8" t="s">
        <v>102</v>
      </c>
      <c r="B79" s="239">
        <v>200000</v>
      </c>
      <c r="C79" s="240"/>
    </row>
    <row r="80" spans="1:3" x14ac:dyDescent="0.25">
      <c r="A80" s="8" t="s">
        <v>103</v>
      </c>
      <c r="B80" s="239">
        <v>10777</v>
      </c>
      <c r="C80" s="240"/>
    </row>
    <row r="81" spans="1:3" x14ac:dyDescent="0.25">
      <c r="A81" s="8" t="s">
        <v>104</v>
      </c>
      <c r="B81" s="239">
        <v>4778693</v>
      </c>
      <c r="C81" s="240"/>
    </row>
    <row r="82" spans="1:3" x14ac:dyDescent="0.25">
      <c r="A82" s="8" t="s">
        <v>105</v>
      </c>
      <c r="B82" s="239">
        <v>50000</v>
      </c>
      <c r="C82" s="240"/>
    </row>
    <row r="83" spans="1:3" x14ac:dyDescent="0.25">
      <c r="A83" s="8" t="s">
        <v>106</v>
      </c>
      <c r="B83" s="239">
        <v>248200</v>
      </c>
      <c r="C83" s="240"/>
    </row>
    <row r="84" spans="1:3" x14ac:dyDescent="0.25">
      <c r="A84" s="8" t="s">
        <v>107</v>
      </c>
      <c r="B84" s="239">
        <v>207370.61</v>
      </c>
      <c r="C84" s="240"/>
    </row>
    <row r="85" spans="1:3" x14ac:dyDescent="0.25">
      <c r="A85" s="8" t="s">
        <v>108</v>
      </c>
      <c r="B85" s="239">
        <v>125000</v>
      </c>
      <c r="C85" s="240"/>
    </row>
    <row r="86" spans="1:3" x14ac:dyDescent="0.25">
      <c r="A86" s="8" t="s">
        <v>109</v>
      </c>
      <c r="B86" s="239">
        <v>1865562</v>
      </c>
      <c r="C86" s="240"/>
    </row>
    <row r="87" spans="1:3" x14ac:dyDescent="0.25">
      <c r="A87" s="8" t="s">
        <v>110</v>
      </c>
      <c r="B87" s="239">
        <v>1829578</v>
      </c>
      <c r="C87" s="240"/>
    </row>
    <row r="88" spans="1:3" x14ac:dyDescent="0.25">
      <c r="A88" s="8" t="s">
        <v>111</v>
      </c>
      <c r="B88" s="239">
        <v>86663</v>
      </c>
      <c r="C88" s="240"/>
    </row>
    <row r="89" spans="1:3" x14ac:dyDescent="0.25">
      <c r="A89" s="8" t="s">
        <v>112</v>
      </c>
      <c r="B89" s="239">
        <v>46402</v>
      </c>
      <c r="C89" s="240"/>
    </row>
    <row r="90" spans="1:3" x14ac:dyDescent="0.25">
      <c r="A90" s="8" t="s">
        <v>113</v>
      </c>
      <c r="B90" s="239">
        <v>20856</v>
      </c>
      <c r="C90" s="240"/>
    </row>
    <row r="91" spans="1:3" x14ac:dyDescent="0.25">
      <c r="A91" s="8" t="s">
        <v>114</v>
      </c>
      <c r="B91" s="239">
        <v>12392974</v>
      </c>
      <c r="C91" s="240"/>
    </row>
    <row r="92" spans="1:3" x14ac:dyDescent="0.25">
      <c r="A92" s="8" t="s">
        <v>115</v>
      </c>
      <c r="B92" s="239">
        <v>369149</v>
      </c>
      <c r="C92" s="240"/>
    </row>
    <row r="93" spans="1:3" x14ac:dyDescent="0.25">
      <c r="A93" s="8" t="s">
        <v>598</v>
      </c>
      <c r="B93" s="240"/>
      <c r="C93" s="239">
        <v>24300</v>
      </c>
    </row>
    <row r="94" spans="1:3" x14ac:dyDescent="0.25">
      <c r="A94" s="8" t="s">
        <v>116</v>
      </c>
      <c r="B94" s="240"/>
      <c r="C94" s="239">
        <v>334448</v>
      </c>
    </row>
    <row r="95" spans="1:3" x14ac:dyDescent="0.25">
      <c r="A95" s="8" t="s">
        <v>117</v>
      </c>
      <c r="B95" s="239">
        <v>6000</v>
      </c>
      <c r="C95" s="240"/>
    </row>
    <row r="96" spans="1:3" x14ac:dyDescent="0.25">
      <c r="A96" s="8" t="s">
        <v>118</v>
      </c>
      <c r="B96" s="240"/>
      <c r="C96" s="239">
        <v>16211566</v>
      </c>
    </row>
    <row r="97" spans="1:3" x14ac:dyDescent="0.25">
      <c r="A97" s="8" t="s">
        <v>119</v>
      </c>
      <c r="B97" s="239">
        <v>28500</v>
      </c>
      <c r="C97" s="240"/>
    </row>
    <row r="98" spans="1:3" x14ac:dyDescent="0.25">
      <c r="A98" s="8" t="s">
        <v>120</v>
      </c>
      <c r="B98" s="239">
        <v>30200530</v>
      </c>
      <c r="C98" s="240"/>
    </row>
    <row r="99" spans="1:3" x14ac:dyDescent="0.25">
      <c r="A99" s="8" t="s">
        <v>121</v>
      </c>
      <c r="B99" s="239">
        <v>83852.84</v>
      </c>
      <c r="C99" s="240"/>
    </row>
    <row r="100" spans="1:3" x14ac:dyDescent="0.25">
      <c r="A100" s="8" t="s">
        <v>122</v>
      </c>
      <c r="B100" s="239">
        <v>890949</v>
      </c>
      <c r="C100" s="240"/>
    </row>
    <row r="101" spans="1:3" x14ac:dyDescent="0.25">
      <c r="A101" s="8" t="s">
        <v>123</v>
      </c>
      <c r="B101" s="239">
        <v>56000</v>
      </c>
      <c r="C101" s="240"/>
    </row>
    <row r="102" spans="1:3" x14ac:dyDescent="0.25">
      <c r="A102" s="8" t="s">
        <v>124</v>
      </c>
      <c r="B102" s="240"/>
      <c r="C102" s="239">
        <v>4423234</v>
      </c>
    </row>
    <row r="103" spans="1:3" x14ac:dyDescent="0.25">
      <c r="A103" s="8" t="s">
        <v>125</v>
      </c>
      <c r="B103" s="239">
        <v>28895808.41</v>
      </c>
      <c r="C103" s="240"/>
    </row>
    <row r="104" spans="1:3" x14ac:dyDescent="0.25">
      <c r="A104" s="8" t="s">
        <v>126</v>
      </c>
      <c r="B104" s="240"/>
      <c r="C104" s="239">
        <v>26922650</v>
      </c>
    </row>
    <row r="105" spans="1:3" x14ac:dyDescent="0.25">
      <c r="A105" s="8" t="s">
        <v>127</v>
      </c>
      <c r="B105" s="239">
        <v>212650</v>
      </c>
      <c r="C105" s="240"/>
    </row>
    <row r="106" spans="1:3" x14ac:dyDescent="0.25">
      <c r="A106" s="8" t="s">
        <v>128</v>
      </c>
      <c r="B106" s="239">
        <v>15900</v>
      </c>
      <c r="C106" s="240"/>
    </row>
    <row r="107" spans="1:3" x14ac:dyDescent="0.25">
      <c r="A107" s="8" t="s">
        <v>129</v>
      </c>
      <c r="B107" s="239">
        <v>4085113</v>
      </c>
      <c r="C107" s="240"/>
    </row>
    <row r="108" spans="1:3" x14ac:dyDescent="0.25">
      <c r="A108" s="8" t="s">
        <v>130</v>
      </c>
      <c r="B108" s="240"/>
      <c r="C108" s="239">
        <v>11505104.710000001</v>
      </c>
    </row>
    <row r="109" spans="1:3" x14ac:dyDescent="0.25">
      <c r="A109" s="8" t="s">
        <v>131</v>
      </c>
      <c r="B109" s="239">
        <v>64575</v>
      </c>
      <c r="C109" s="240"/>
    </row>
    <row r="110" spans="1:3" x14ac:dyDescent="0.25">
      <c r="A110" s="8" t="s">
        <v>132</v>
      </c>
      <c r="B110" s="239">
        <v>244646.5</v>
      </c>
      <c r="C110" s="240"/>
    </row>
    <row r="111" spans="1:3" x14ac:dyDescent="0.25">
      <c r="A111" s="8" t="s">
        <v>133</v>
      </c>
      <c r="B111" s="239">
        <v>66604753.560000002</v>
      </c>
      <c r="C111" s="240"/>
    </row>
    <row r="112" spans="1:3" x14ac:dyDescent="0.25">
      <c r="A112" s="8" t="s">
        <v>134</v>
      </c>
      <c r="B112" s="239">
        <v>218259</v>
      </c>
      <c r="C112" s="240"/>
    </row>
    <row r="113" spans="1:3" x14ac:dyDescent="0.25">
      <c r="A113" s="8" t="s">
        <v>135</v>
      </c>
      <c r="B113" s="239">
        <v>50000</v>
      </c>
      <c r="C113" s="240"/>
    </row>
    <row r="114" spans="1:3" x14ac:dyDescent="0.25">
      <c r="A114" s="8" t="s">
        <v>136</v>
      </c>
      <c r="B114" s="239">
        <v>116330</v>
      </c>
      <c r="C114" s="240"/>
    </row>
    <row r="115" spans="1:3" x14ac:dyDescent="0.25">
      <c r="A115" s="8" t="s">
        <v>137</v>
      </c>
      <c r="B115" s="239">
        <v>7700</v>
      </c>
      <c r="C115" s="240"/>
    </row>
    <row r="116" spans="1:3" x14ac:dyDescent="0.25">
      <c r="A116" s="8" t="s">
        <v>138</v>
      </c>
      <c r="B116" s="239">
        <v>2854617</v>
      </c>
      <c r="C116" s="240"/>
    </row>
    <row r="117" spans="1:3" x14ac:dyDescent="0.25">
      <c r="A117" s="8" t="s">
        <v>139</v>
      </c>
      <c r="B117" s="240"/>
      <c r="C117" s="239">
        <v>279076</v>
      </c>
    </row>
    <row r="118" spans="1:3" x14ac:dyDescent="0.25">
      <c r="A118" s="8" t="s">
        <v>140</v>
      </c>
      <c r="B118" s="239">
        <v>1654054</v>
      </c>
      <c r="C118" s="240"/>
    </row>
    <row r="119" spans="1:3" x14ac:dyDescent="0.25">
      <c r="A119" s="8" t="s">
        <v>141</v>
      </c>
      <c r="B119" s="240"/>
      <c r="C119" s="239">
        <v>1394065</v>
      </c>
    </row>
    <row r="120" spans="1:3" x14ac:dyDescent="0.25">
      <c r="A120" s="8" t="s">
        <v>142</v>
      </c>
      <c r="B120" s="239">
        <v>202312.89</v>
      </c>
      <c r="C120" s="240"/>
    </row>
    <row r="121" spans="1:3" x14ac:dyDescent="0.25">
      <c r="A121" s="8" t="s">
        <v>143</v>
      </c>
      <c r="B121" s="239">
        <v>33965000</v>
      </c>
      <c r="C121" s="240"/>
    </row>
    <row r="122" spans="1:3" x14ac:dyDescent="0.25">
      <c r="A122" s="8" t="s">
        <v>144</v>
      </c>
      <c r="B122" s="239">
        <v>8000</v>
      </c>
      <c r="C122" s="240"/>
    </row>
    <row r="123" spans="1:3" x14ac:dyDescent="0.25">
      <c r="A123" s="8" t="s">
        <v>145</v>
      </c>
      <c r="B123" s="239">
        <v>1868166.03</v>
      </c>
      <c r="C123" s="240"/>
    </row>
    <row r="124" spans="1:3" x14ac:dyDescent="0.25">
      <c r="A124" s="8" t="s">
        <v>146</v>
      </c>
      <c r="B124" s="240"/>
      <c r="C124" s="239">
        <v>57671</v>
      </c>
    </row>
    <row r="125" spans="1:3" x14ac:dyDescent="0.25">
      <c r="A125" s="8" t="s">
        <v>147</v>
      </c>
      <c r="B125" s="240"/>
      <c r="C125" s="239">
        <v>1800000</v>
      </c>
    </row>
    <row r="126" spans="1:3" x14ac:dyDescent="0.25">
      <c r="A126" s="8" t="s">
        <v>1363</v>
      </c>
      <c r="B126" s="239">
        <v>921661</v>
      </c>
      <c r="C126" s="240"/>
    </row>
    <row r="127" spans="1:3" x14ac:dyDescent="0.25">
      <c r="A127" s="8" t="s">
        <v>148</v>
      </c>
      <c r="B127" s="239">
        <v>76133</v>
      </c>
      <c r="C127" s="240"/>
    </row>
    <row r="128" spans="1:3" x14ac:dyDescent="0.25">
      <c r="A128" s="8" t="s">
        <v>149</v>
      </c>
      <c r="B128" s="239">
        <v>45000</v>
      </c>
      <c r="C128" s="240"/>
    </row>
    <row r="129" spans="1:3" x14ac:dyDescent="0.25">
      <c r="A129" s="8" t="s">
        <v>151</v>
      </c>
      <c r="B129" s="239">
        <v>36000</v>
      </c>
      <c r="C129" s="240"/>
    </row>
    <row r="130" spans="1:3" x14ac:dyDescent="0.25">
      <c r="A130" s="8" t="s">
        <v>152</v>
      </c>
      <c r="B130" s="240"/>
      <c r="C130" s="239">
        <v>8459</v>
      </c>
    </row>
    <row r="131" spans="1:3" x14ac:dyDescent="0.25">
      <c r="A131" s="8" t="s">
        <v>153</v>
      </c>
      <c r="B131" s="240"/>
      <c r="C131" s="239">
        <v>116424</v>
      </c>
    </row>
    <row r="132" spans="1:3" x14ac:dyDescent="0.25">
      <c r="A132" s="8" t="s">
        <v>154</v>
      </c>
      <c r="B132" s="240"/>
      <c r="C132" s="239">
        <v>1176528</v>
      </c>
    </row>
    <row r="133" spans="1:3" x14ac:dyDescent="0.25">
      <c r="A133" s="8" t="s">
        <v>155</v>
      </c>
      <c r="B133" s="239">
        <v>27000</v>
      </c>
      <c r="C133" s="240"/>
    </row>
    <row r="134" spans="1:3" x14ac:dyDescent="0.25">
      <c r="A134" s="8" t="s">
        <v>156</v>
      </c>
      <c r="B134" s="240"/>
      <c r="C134" s="239">
        <v>67381.600000000006</v>
      </c>
    </row>
    <row r="135" spans="1:3" x14ac:dyDescent="0.25">
      <c r="A135" s="8" t="s">
        <v>157</v>
      </c>
      <c r="B135" s="239">
        <v>1753713</v>
      </c>
      <c r="C135" s="240"/>
    </row>
    <row r="136" spans="1:3" x14ac:dyDescent="0.25">
      <c r="A136" s="8" t="s">
        <v>158</v>
      </c>
      <c r="B136" s="239">
        <v>8000</v>
      </c>
      <c r="C136" s="240"/>
    </row>
    <row r="137" spans="1:3" x14ac:dyDescent="0.25">
      <c r="A137" s="8" t="s">
        <v>163</v>
      </c>
      <c r="B137" s="239">
        <v>2095</v>
      </c>
      <c r="C137" s="240"/>
    </row>
    <row r="138" spans="1:3" x14ac:dyDescent="0.25">
      <c r="A138" s="8" t="s">
        <v>167</v>
      </c>
      <c r="B138" s="240"/>
      <c r="C138" s="239">
        <v>446301</v>
      </c>
    </row>
    <row r="139" spans="1:3" x14ac:dyDescent="0.25">
      <c r="A139" s="8" t="s">
        <v>168</v>
      </c>
      <c r="B139" s="239">
        <v>72467</v>
      </c>
      <c r="C139" s="240"/>
    </row>
    <row r="140" spans="1:3" x14ac:dyDescent="0.25">
      <c r="A140" s="8" t="s">
        <v>169</v>
      </c>
      <c r="B140" s="239">
        <v>97418771</v>
      </c>
      <c r="C140" s="240"/>
    </row>
    <row r="141" spans="1:3" x14ac:dyDescent="0.25">
      <c r="A141" s="8" t="s">
        <v>1438</v>
      </c>
      <c r="B141" s="240"/>
      <c r="C141" s="239">
        <v>4370857</v>
      </c>
    </row>
    <row r="142" spans="1:3" x14ac:dyDescent="0.25">
      <c r="A142" s="8" t="s">
        <v>170</v>
      </c>
      <c r="B142" s="240"/>
      <c r="C142" s="239">
        <v>1301094</v>
      </c>
    </row>
    <row r="143" spans="1:3" x14ac:dyDescent="0.25">
      <c r="A143" s="8" t="s">
        <v>646</v>
      </c>
      <c r="B143" s="239">
        <v>1301094</v>
      </c>
      <c r="C143" s="240"/>
    </row>
    <row r="144" spans="1:3" x14ac:dyDescent="0.25">
      <c r="A144" s="8" t="s">
        <v>171</v>
      </c>
      <c r="B144" s="239">
        <v>17190</v>
      </c>
      <c r="C144" s="240"/>
    </row>
    <row r="145" spans="1:3" x14ac:dyDescent="0.25">
      <c r="A145" s="8" t="s">
        <v>172</v>
      </c>
      <c r="B145" s="240"/>
      <c r="C145" s="239">
        <v>11630</v>
      </c>
    </row>
    <row r="146" spans="1:3" x14ac:dyDescent="0.25">
      <c r="A146" s="8" t="s">
        <v>173</v>
      </c>
      <c r="B146" s="239">
        <v>330414</v>
      </c>
      <c r="C146" s="240"/>
    </row>
    <row r="147" spans="1:3" x14ac:dyDescent="0.25">
      <c r="A147" s="8" t="s">
        <v>178</v>
      </c>
      <c r="B147" s="239">
        <v>295193</v>
      </c>
      <c r="C147" s="240"/>
    </row>
    <row r="148" spans="1:3" x14ac:dyDescent="0.25">
      <c r="A148" s="8" t="s">
        <v>179</v>
      </c>
      <c r="B148" s="239">
        <v>45574</v>
      </c>
      <c r="C148" s="240"/>
    </row>
    <row r="149" spans="1:3" x14ac:dyDescent="0.25">
      <c r="A149" s="8" t="s">
        <v>180</v>
      </c>
      <c r="B149" s="239">
        <v>893526</v>
      </c>
      <c r="C149" s="240"/>
    </row>
    <row r="150" spans="1:3" x14ac:dyDescent="0.25">
      <c r="A150" s="8" t="s">
        <v>181</v>
      </c>
      <c r="B150" s="239">
        <v>545158</v>
      </c>
      <c r="C150" s="240"/>
    </row>
    <row r="151" spans="1:3" x14ac:dyDescent="0.25">
      <c r="A151" s="8" t="s">
        <v>654</v>
      </c>
      <c r="B151" s="239">
        <v>482741</v>
      </c>
      <c r="C151" s="240"/>
    </row>
    <row r="152" spans="1:3" x14ac:dyDescent="0.25">
      <c r="A152" s="8" t="s">
        <v>182</v>
      </c>
      <c r="B152" s="239">
        <v>1838</v>
      </c>
      <c r="C152" s="240"/>
    </row>
    <row r="153" spans="1:3" x14ac:dyDescent="0.25">
      <c r="A153" s="8" t="s">
        <v>183</v>
      </c>
      <c r="B153" s="239">
        <v>2098</v>
      </c>
      <c r="C153" s="240"/>
    </row>
    <row r="154" spans="1:3" x14ac:dyDescent="0.25">
      <c r="A154" s="8" t="s">
        <v>184</v>
      </c>
      <c r="B154" s="240"/>
      <c r="C154" s="239">
        <v>202264.61</v>
      </c>
    </row>
    <row r="155" spans="1:3" x14ac:dyDescent="0.25">
      <c r="A155" s="8" t="s">
        <v>185</v>
      </c>
      <c r="B155" s="239">
        <v>368858</v>
      </c>
      <c r="C155" s="240"/>
    </row>
    <row r="156" spans="1:3" x14ac:dyDescent="0.25">
      <c r="A156" s="8" t="s">
        <v>186</v>
      </c>
      <c r="B156" s="239">
        <v>460969</v>
      </c>
      <c r="C156" s="240"/>
    </row>
    <row r="157" spans="1:3" x14ac:dyDescent="0.25">
      <c r="A157" s="8" t="s">
        <v>187</v>
      </c>
      <c r="B157" s="239">
        <v>7</v>
      </c>
      <c r="C157" s="240"/>
    </row>
    <row r="158" spans="1:3" x14ac:dyDescent="0.25">
      <c r="A158" s="8" t="s">
        <v>188</v>
      </c>
      <c r="B158" s="239">
        <v>10150</v>
      </c>
      <c r="C158" s="240"/>
    </row>
    <row r="159" spans="1:3" x14ac:dyDescent="0.25">
      <c r="A159" s="8" t="s">
        <v>189</v>
      </c>
      <c r="B159" s="239">
        <v>859878</v>
      </c>
      <c r="C159" s="240"/>
    </row>
    <row r="160" spans="1:3" x14ac:dyDescent="0.25">
      <c r="A160" s="8" t="s">
        <v>190</v>
      </c>
      <c r="B160" s="239">
        <v>468</v>
      </c>
      <c r="C160" s="240"/>
    </row>
    <row r="161" spans="1:3" x14ac:dyDescent="0.25">
      <c r="A161" s="8" t="s">
        <v>662</v>
      </c>
      <c r="B161" s="239">
        <v>19982</v>
      </c>
      <c r="C161" s="240"/>
    </row>
    <row r="162" spans="1:3" x14ac:dyDescent="0.25">
      <c r="A162" s="8" t="s">
        <v>192</v>
      </c>
      <c r="B162" s="239">
        <v>7</v>
      </c>
      <c r="C162" s="240"/>
    </row>
    <row r="163" spans="1:3" x14ac:dyDescent="0.25">
      <c r="A163" s="8" t="s">
        <v>193</v>
      </c>
      <c r="B163" s="239">
        <v>5531</v>
      </c>
      <c r="C163" s="240"/>
    </row>
    <row r="164" spans="1:3" x14ac:dyDescent="0.25">
      <c r="A164" s="8" t="s">
        <v>194</v>
      </c>
      <c r="B164" s="239">
        <v>4285</v>
      </c>
      <c r="C164" s="240"/>
    </row>
    <row r="165" spans="1:3" x14ac:dyDescent="0.25">
      <c r="A165" s="8" t="s">
        <v>669</v>
      </c>
      <c r="B165" s="240"/>
      <c r="C165" s="239">
        <v>139269</v>
      </c>
    </row>
    <row r="166" spans="1:3" x14ac:dyDescent="0.25">
      <c r="A166" s="8" t="s">
        <v>195</v>
      </c>
      <c r="B166" s="239">
        <v>131953</v>
      </c>
      <c r="C166" s="240"/>
    </row>
    <row r="167" spans="1:3" x14ac:dyDescent="0.25">
      <c r="A167" s="8" t="s">
        <v>1439</v>
      </c>
      <c r="B167" s="240"/>
      <c r="C167" s="239">
        <v>10670.56</v>
      </c>
    </row>
    <row r="168" spans="1:3" x14ac:dyDescent="0.25">
      <c r="A168" s="8" t="s">
        <v>196</v>
      </c>
      <c r="B168" s="239">
        <v>2678489.9500000002</v>
      </c>
      <c r="C168" s="240"/>
    </row>
    <row r="169" spans="1:3" x14ac:dyDescent="0.25">
      <c r="A169" s="8" t="s">
        <v>197</v>
      </c>
      <c r="B169" s="239">
        <v>6</v>
      </c>
      <c r="C169" s="240"/>
    </row>
    <row r="170" spans="1:3" x14ac:dyDescent="0.25">
      <c r="A170" s="8" t="s">
        <v>198</v>
      </c>
      <c r="B170" s="239">
        <v>1225</v>
      </c>
      <c r="C170" s="240"/>
    </row>
    <row r="171" spans="1:3" x14ac:dyDescent="0.25">
      <c r="A171" s="8" t="s">
        <v>199</v>
      </c>
      <c r="B171" s="239">
        <v>1577670</v>
      </c>
      <c r="C171" s="240"/>
    </row>
    <row r="172" spans="1:3" x14ac:dyDescent="0.25">
      <c r="A172" s="8" t="s">
        <v>200</v>
      </c>
      <c r="B172" s="239">
        <v>180000</v>
      </c>
      <c r="C172" s="240"/>
    </row>
    <row r="173" spans="1:3" x14ac:dyDescent="0.25">
      <c r="A173" s="8" t="s">
        <v>761</v>
      </c>
      <c r="B173" s="239">
        <v>88213</v>
      </c>
      <c r="C173" s="240"/>
    </row>
    <row r="174" spans="1:3" x14ac:dyDescent="0.25">
      <c r="A174" s="8" t="s">
        <v>201</v>
      </c>
      <c r="B174" s="240"/>
      <c r="C174" s="239">
        <v>71036</v>
      </c>
    </row>
    <row r="175" spans="1:3" x14ac:dyDescent="0.25">
      <c r="A175" s="8" t="s">
        <v>202</v>
      </c>
      <c r="B175" s="239">
        <v>36037</v>
      </c>
      <c r="C175" s="240"/>
    </row>
    <row r="176" spans="1:3" x14ac:dyDescent="0.25">
      <c r="A176" s="8" t="s">
        <v>203</v>
      </c>
      <c r="B176" s="239">
        <v>172778</v>
      </c>
      <c r="C176" s="240"/>
    </row>
    <row r="177" spans="1:3" x14ac:dyDescent="0.25">
      <c r="A177" s="8" t="s">
        <v>204</v>
      </c>
      <c r="B177" s="240"/>
      <c r="C177" s="239">
        <v>6384474</v>
      </c>
    </row>
    <row r="178" spans="1:3" x14ac:dyDescent="0.25">
      <c r="A178" s="8" t="s">
        <v>205</v>
      </c>
      <c r="B178" s="239">
        <v>565401</v>
      </c>
      <c r="C178" s="240"/>
    </row>
    <row r="179" spans="1:3" x14ac:dyDescent="0.25">
      <c r="A179" s="8" t="s">
        <v>206</v>
      </c>
      <c r="B179" s="239">
        <v>573513</v>
      </c>
      <c r="C179" s="240"/>
    </row>
    <row r="180" spans="1:3" x14ac:dyDescent="0.25">
      <c r="A180" s="8" t="s">
        <v>207</v>
      </c>
      <c r="B180" s="239">
        <v>66000</v>
      </c>
      <c r="C180" s="240"/>
    </row>
    <row r="181" spans="1:3" x14ac:dyDescent="0.25">
      <c r="A181" s="8" t="s">
        <v>208</v>
      </c>
      <c r="B181" s="240"/>
      <c r="C181" s="239">
        <v>537677</v>
      </c>
    </row>
    <row r="182" spans="1:3" x14ac:dyDescent="0.25">
      <c r="A182" s="8" t="s">
        <v>209</v>
      </c>
      <c r="B182" s="240"/>
      <c r="C182" s="239">
        <v>216400</v>
      </c>
    </row>
    <row r="183" spans="1:3" x14ac:dyDescent="0.25">
      <c r="A183" s="8" t="s">
        <v>210</v>
      </c>
      <c r="B183" s="240"/>
      <c r="C183" s="239">
        <v>3529583</v>
      </c>
    </row>
    <row r="184" spans="1:3" x14ac:dyDescent="0.25">
      <c r="A184" s="8" t="s">
        <v>211</v>
      </c>
      <c r="B184" s="240"/>
      <c r="C184" s="239">
        <v>12238807.5</v>
      </c>
    </row>
    <row r="185" spans="1:3" x14ac:dyDescent="0.25">
      <c r="A185" s="8" t="s">
        <v>212</v>
      </c>
      <c r="B185" s="240"/>
      <c r="C185" s="239">
        <v>16821</v>
      </c>
    </row>
    <row r="186" spans="1:3" x14ac:dyDescent="0.25">
      <c r="A186" s="8" t="s">
        <v>213</v>
      </c>
      <c r="B186" s="239">
        <v>2745000</v>
      </c>
      <c r="C186" s="240"/>
    </row>
    <row r="187" spans="1:3" x14ac:dyDescent="0.25">
      <c r="A187" s="8" t="s">
        <v>214</v>
      </c>
      <c r="B187" s="240"/>
      <c r="C187" s="239">
        <v>3244</v>
      </c>
    </row>
    <row r="188" spans="1:3" x14ac:dyDescent="0.25">
      <c r="A188" s="8" t="s">
        <v>215</v>
      </c>
      <c r="B188" s="239">
        <v>6000</v>
      </c>
      <c r="C188" s="240"/>
    </row>
    <row r="189" spans="1:3" x14ac:dyDescent="0.25">
      <c r="A189" s="8" t="s">
        <v>216</v>
      </c>
      <c r="B189" s="239">
        <v>14112</v>
      </c>
      <c r="C189" s="240"/>
    </row>
    <row r="190" spans="1:3" x14ac:dyDescent="0.25">
      <c r="A190" s="8" t="s">
        <v>217</v>
      </c>
      <c r="B190" s="240"/>
      <c r="C190" s="239">
        <v>5721513</v>
      </c>
    </row>
    <row r="191" spans="1:3" x14ac:dyDescent="0.25">
      <c r="A191" s="8" t="s">
        <v>218</v>
      </c>
      <c r="B191" s="239">
        <v>45230755</v>
      </c>
      <c r="C191" s="240"/>
    </row>
    <row r="192" spans="1:3" x14ac:dyDescent="0.25">
      <c r="A192" s="8" t="s">
        <v>691</v>
      </c>
      <c r="B192" s="239">
        <v>198086</v>
      </c>
      <c r="C192" s="240"/>
    </row>
    <row r="193" spans="1:3" x14ac:dyDescent="0.25">
      <c r="A193" s="8" t="s">
        <v>692</v>
      </c>
      <c r="B193" s="240"/>
      <c r="C193" s="239">
        <v>198086</v>
      </c>
    </row>
    <row r="194" spans="1:3" x14ac:dyDescent="0.25">
      <c r="A194" s="8" t="s">
        <v>220</v>
      </c>
      <c r="B194" s="239">
        <v>243920</v>
      </c>
      <c r="C194" s="240"/>
    </row>
    <row r="195" spans="1:3" x14ac:dyDescent="0.25">
      <c r="A195" s="8" t="s">
        <v>221</v>
      </c>
      <c r="B195" s="240"/>
      <c r="C195" s="239">
        <v>47229</v>
      </c>
    </row>
    <row r="196" spans="1:3" x14ac:dyDescent="0.25">
      <c r="A196" s="8" t="s">
        <v>222</v>
      </c>
      <c r="B196" s="239">
        <v>86902</v>
      </c>
      <c r="C196" s="240"/>
    </row>
    <row r="197" spans="1:3" x14ac:dyDescent="0.25">
      <c r="A197" s="8" t="s">
        <v>223</v>
      </c>
      <c r="B197" s="240"/>
      <c r="C197" s="239">
        <v>11871807.5</v>
      </c>
    </row>
    <row r="198" spans="1:3" x14ac:dyDescent="0.25">
      <c r="A198" s="8" t="s">
        <v>224</v>
      </c>
      <c r="B198" s="239">
        <v>136767</v>
      </c>
      <c r="C198" s="240"/>
    </row>
    <row r="199" spans="1:3" x14ac:dyDescent="0.25">
      <c r="A199" s="8" t="s">
        <v>225</v>
      </c>
      <c r="B199" s="239">
        <v>1020022</v>
      </c>
      <c r="C199" s="240"/>
    </row>
    <row r="200" spans="1:3" x14ac:dyDescent="0.25">
      <c r="A200" s="8" t="s">
        <v>226</v>
      </c>
      <c r="B200" s="239">
        <v>7737390.6699999999</v>
      </c>
      <c r="C200" s="240"/>
    </row>
    <row r="201" spans="1:3" x14ac:dyDescent="0.25">
      <c r="A201" s="8" t="s">
        <v>227</v>
      </c>
      <c r="B201" s="239">
        <v>1231418.3999999999</v>
      </c>
      <c r="C201" s="240"/>
    </row>
    <row r="202" spans="1:3" x14ac:dyDescent="0.25">
      <c r="A202" s="8" t="s">
        <v>228</v>
      </c>
      <c r="B202" s="239">
        <v>411283</v>
      </c>
      <c r="C202" s="240"/>
    </row>
    <row r="203" spans="1:3" x14ac:dyDescent="0.25">
      <c r="A203" s="8" t="s">
        <v>229</v>
      </c>
      <c r="B203" s="240"/>
      <c r="C203" s="239">
        <v>58240</v>
      </c>
    </row>
    <row r="204" spans="1:3" x14ac:dyDescent="0.25">
      <c r="A204" s="8" t="s">
        <v>230</v>
      </c>
      <c r="B204" s="239">
        <v>11000</v>
      </c>
      <c r="C204" s="240"/>
    </row>
    <row r="205" spans="1:3" x14ac:dyDescent="0.25">
      <c r="A205" s="8" t="s">
        <v>231</v>
      </c>
      <c r="B205" s="240"/>
      <c r="C205" s="239">
        <v>2568965</v>
      </c>
    </row>
    <row r="206" spans="1:3" x14ac:dyDescent="0.25">
      <c r="A206" s="8" t="s">
        <v>232</v>
      </c>
      <c r="B206" s="239">
        <v>3430</v>
      </c>
      <c r="C206" s="240"/>
    </row>
    <row r="207" spans="1:3" x14ac:dyDescent="0.25">
      <c r="A207" s="8" t="s">
        <v>233</v>
      </c>
      <c r="B207" s="239">
        <v>8000</v>
      </c>
      <c r="C207" s="240"/>
    </row>
    <row r="208" spans="1:3" x14ac:dyDescent="0.25">
      <c r="A208" s="8" t="s">
        <v>234</v>
      </c>
      <c r="B208" s="239">
        <v>1021090</v>
      </c>
      <c r="C208" s="240"/>
    </row>
    <row r="209" spans="1:3" x14ac:dyDescent="0.25">
      <c r="A209" s="8" t="s">
        <v>235</v>
      </c>
      <c r="B209" s="239">
        <v>6404071</v>
      </c>
      <c r="C209" s="240"/>
    </row>
    <row r="210" spans="1:3" x14ac:dyDescent="0.25">
      <c r="A210" s="8" t="s">
        <v>236</v>
      </c>
      <c r="B210" s="240"/>
      <c r="C210" s="239">
        <v>7904595</v>
      </c>
    </row>
    <row r="211" spans="1:3" x14ac:dyDescent="0.25">
      <c r="A211" s="8" t="s">
        <v>237</v>
      </c>
      <c r="B211" s="239">
        <v>479434</v>
      </c>
      <c r="C211" s="240"/>
    </row>
    <row r="212" spans="1:3" x14ac:dyDescent="0.25">
      <c r="A212" s="8" t="s">
        <v>239</v>
      </c>
      <c r="B212" s="239">
        <v>306631</v>
      </c>
      <c r="C212" s="240"/>
    </row>
    <row r="213" spans="1:3" x14ac:dyDescent="0.25">
      <c r="A213" s="8" t="s">
        <v>242</v>
      </c>
      <c r="B213" s="239">
        <v>2000</v>
      </c>
      <c r="C213" s="240"/>
    </row>
    <row r="214" spans="1:3" x14ac:dyDescent="0.25">
      <c r="A214" s="8" t="s">
        <v>245</v>
      </c>
      <c r="B214" s="240"/>
      <c r="C214" s="239">
        <v>20037</v>
      </c>
    </row>
    <row r="215" spans="1:3" x14ac:dyDescent="0.25">
      <c r="A215" s="8" t="s">
        <v>246</v>
      </c>
      <c r="B215" s="239">
        <v>1000</v>
      </c>
      <c r="C215" s="240"/>
    </row>
    <row r="216" spans="1:3" x14ac:dyDescent="0.25">
      <c r="A216" s="8" t="s">
        <v>248</v>
      </c>
      <c r="B216" s="240"/>
      <c r="C216" s="239">
        <v>379282</v>
      </c>
    </row>
    <row r="217" spans="1:3" x14ac:dyDescent="0.25">
      <c r="A217" s="8" t="s">
        <v>249</v>
      </c>
      <c r="B217" s="239">
        <v>12000</v>
      </c>
      <c r="C217" s="240"/>
    </row>
    <row r="218" spans="1:3" x14ac:dyDescent="0.25">
      <c r="A218" s="8" t="s">
        <v>251</v>
      </c>
      <c r="B218" s="239">
        <v>104715</v>
      </c>
      <c r="C218" s="240"/>
    </row>
    <row r="219" spans="1:3" x14ac:dyDescent="0.25">
      <c r="A219" s="8" t="s">
        <v>252</v>
      </c>
      <c r="B219" s="239">
        <v>88900</v>
      </c>
      <c r="C219" s="240"/>
    </row>
    <row r="220" spans="1:3" x14ac:dyDescent="0.25">
      <c r="A220" s="8" t="s">
        <v>253</v>
      </c>
      <c r="B220" s="240"/>
      <c r="C220" s="239">
        <v>5880</v>
      </c>
    </row>
    <row r="221" spans="1:3" x14ac:dyDescent="0.25">
      <c r="A221" s="8" t="s">
        <v>254</v>
      </c>
      <c r="B221" s="239">
        <v>1333372.8500000001</v>
      </c>
      <c r="C221" s="240"/>
    </row>
    <row r="222" spans="1:3" x14ac:dyDescent="0.25">
      <c r="A222" s="8" t="s">
        <v>255</v>
      </c>
      <c r="B222" s="239">
        <v>59486</v>
      </c>
      <c r="C222" s="240"/>
    </row>
    <row r="223" spans="1:3" x14ac:dyDescent="0.25">
      <c r="A223" s="8" t="s">
        <v>256</v>
      </c>
      <c r="B223" s="239">
        <v>312000</v>
      </c>
      <c r="C223" s="240"/>
    </row>
    <row r="224" spans="1:3" x14ac:dyDescent="0.25">
      <c r="A224" s="8" t="s">
        <v>257</v>
      </c>
      <c r="B224" s="239">
        <v>42660</v>
      </c>
      <c r="C224" s="240"/>
    </row>
    <row r="225" spans="1:3" x14ac:dyDescent="0.25">
      <c r="A225" s="8" t="s">
        <v>258</v>
      </c>
      <c r="B225" s="239">
        <v>2929</v>
      </c>
      <c r="C225" s="240"/>
    </row>
    <row r="226" spans="1:3" x14ac:dyDescent="0.25">
      <c r="A226" s="8" t="s">
        <v>259</v>
      </c>
      <c r="B226" s="239">
        <v>189048</v>
      </c>
      <c r="C226" s="240"/>
    </row>
    <row r="227" spans="1:3" x14ac:dyDescent="0.25">
      <c r="A227" s="8" t="s">
        <v>260</v>
      </c>
      <c r="B227" s="239">
        <v>23600</v>
      </c>
      <c r="C227" s="240"/>
    </row>
    <row r="228" spans="1:3" x14ac:dyDescent="0.25">
      <c r="A228" s="8" t="s">
        <v>261</v>
      </c>
      <c r="B228" s="239">
        <v>3600</v>
      </c>
      <c r="C228" s="240"/>
    </row>
    <row r="229" spans="1:3" x14ac:dyDescent="0.25">
      <c r="A229" s="8" t="s">
        <v>262</v>
      </c>
      <c r="B229" s="239">
        <v>5227186</v>
      </c>
      <c r="C229" s="240"/>
    </row>
    <row r="230" spans="1:3" x14ac:dyDescent="0.25">
      <c r="A230" s="8" t="s">
        <v>263</v>
      </c>
      <c r="B230" s="239">
        <v>870</v>
      </c>
      <c r="C230" s="240"/>
    </row>
    <row r="231" spans="1:3" x14ac:dyDescent="0.25">
      <c r="A231" s="8" t="s">
        <v>264</v>
      </c>
      <c r="B231" s="239">
        <v>1640</v>
      </c>
      <c r="C231" s="240"/>
    </row>
    <row r="232" spans="1:3" x14ac:dyDescent="0.25">
      <c r="A232" s="8" t="s">
        <v>265</v>
      </c>
      <c r="B232" s="239">
        <v>248948</v>
      </c>
      <c r="C232" s="240"/>
    </row>
    <row r="233" spans="1:3" x14ac:dyDescent="0.25">
      <c r="A233" s="8" t="s">
        <v>266</v>
      </c>
      <c r="B233" s="240"/>
      <c r="C233" s="239">
        <v>902538</v>
      </c>
    </row>
    <row r="234" spans="1:3" x14ac:dyDescent="0.25">
      <c r="A234" s="8" t="s">
        <v>267</v>
      </c>
      <c r="B234" s="240"/>
      <c r="C234" s="239">
        <v>25865</v>
      </c>
    </row>
    <row r="235" spans="1:3" x14ac:dyDescent="0.25">
      <c r="A235" s="8" t="s">
        <v>268</v>
      </c>
      <c r="B235" s="240"/>
      <c r="C235" s="239">
        <v>438710</v>
      </c>
    </row>
    <row r="236" spans="1:3" x14ac:dyDescent="0.25">
      <c r="A236" s="8" t="s">
        <v>269</v>
      </c>
      <c r="B236" s="239">
        <v>6671147.8200000003</v>
      </c>
      <c r="C236" s="240"/>
    </row>
    <row r="237" spans="1:3" x14ac:dyDescent="0.25">
      <c r="A237" s="8" t="s">
        <v>270</v>
      </c>
      <c r="B237" s="240"/>
      <c r="C237" s="239">
        <v>700</v>
      </c>
    </row>
    <row r="238" spans="1:3" x14ac:dyDescent="0.25">
      <c r="A238" s="8" t="s">
        <v>271</v>
      </c>
      <c r="B238" s="240"/>
      <c r="C238" s="239">
        <v>269890</v>
      </c>
    </row>
    <row r="239" spans="1:3" x14ac:dyDescent="0.25">
      <c r="A239" s="8" t="s">
        <v>272</v>
      </c>
      <c r="B239" s="240"/>
      <c r="C239" s="239">
        <v>386769</v>
      </c>
    </row>
    <row r="240" spans="1:3" x14ac:dyDescent="0.25">
      <c r="A240" s="8" t="s">
        <v>273</v>
      </c>
      <c r="B240" s="240"/>
      <c r="C240" s="239">
        <v>538166</v>
      </c>
    </row>
    <row r="241" spans="1:3" x14ac:dyDescent="0.25">
      <c r="A241" s="8" t="s">
        <v>274</v>
      </c>
      <c r="B241" s="239">
        <v>75</v>
      </c>
      <c r="C241" s="240"/>
    </row>
    <row r="242" spans="1:3" x14ac:dyDescent="0.25">
      <c r="A242" s="8" t="s">
        <v>275</v>
      </c>
      <c r="B242" s="239">
        <v>15855</v>
      </c>
      <c r="C242" s="240"/>
    </row>
    <row r="243" spans="1:3" x14ac:dyDescent="0.25">
      <c r="A243" s="8" t="s">
        <v>276</v>
      </c>
      <c r="B243" s="239">
        <v>75</v>
      </c>
      <c r="C243" s="240"/>
    </row>
    <row r="244" spans="1:3" x14ac:dyDescent="0.25">
      <c r="A244" s="8" t="s">
        <v>277</v>
      </c>
      <c r="B244" s="239">
        <v>221963738.28</v>
      </c>
      <c r="C244" s="240"/>
    </row>
    <row r="245" spans="1:3" x14ac:dyDescent="0.25">
      <c r="A245" s="8" t="s">
        <v>278</v>
      </c>
      <c r="B245" s="239">
        <v>98736</v>
      </c>
      <c r="C245" s="240"/>
    </row>
    <row r="246" spans="1:3" x14ac:dyDescent="0.25">
      <c r="A246" s="8" t="s">
        <v>279</v>
      </c>
      <c r="B246" s="240"/>
      <c r="C246" s="239">
        <v>6994370</v>
      </c>
    </row>
    <row r="247" spans="1:3" x14ac:dyDescent="0.25">
      <c r="A247" s="8" t="s">
        <v>280</v>
      </c>
      <c r="B247" s="239">
        <v>3897964</v>
      </c>
      <c r="C247" s="240"/>
    </row>
    <row r="248" spans="1:3" x14ac:dyDescent="0.25">
      <c r="A248" s="8" t="s">
        <v>281</v>
      </c>
      <c r="B248" s="240"/>
      <c r="C248" s="239">
        <v>1343333</v>
      </c>
    </row>
    <row r="249" spans="1:3" x14ac:dyDescent="0.25">
      <c r="A249" s="8" t="s">
        <v>747</v>
      </c>
      <c r="B249" s="239">
        <v>167481</v>
      </c>
      <c r="C249" s="240"/>
    </row>
    <row r="250" spans="1:3" x14ac:dyDescent="0.25">
      <c r="A250" s="8" t="s">
        <v>282</v>
      </c>
      <c r="B250" s="239">
        <v>974500</v>
      </c>
      <c r="C250" s="240"/>
    </row>
    <row r="251" spans="1:3" x14ac:dyDescent="0.25">
      <c r="A251" s="8" t="s">
        <v>283</v>
      </c>
      <c r="B251" s="240"/>
      <c r="C251" s="239">
        <v>124185196.38</v>
      </c>
    </row>
    <row r="252" spans="1:3" x14ac:dyDescent="0.25">
      <c r="A252" s="8" t="s">
        <v>284</v>
      </c>
      <c r="B252" s="240"/>
      <c r="C252" s="239">
        <v>18856500</v>
      </c>
    </row>
    <row r="253" spans="1:3" x14ac:dyDescent="0.25">
      <c r="A253" s="8" t="s">
        <v>285</v>
      </c>
      <c r="B253" s="239">
        <v>1147078</v>
      </c>
      <c r="C253" s="240"/>
    </row>
    <row r="254" spans="1:3" x14ac:dyDescent="0.25">
      <c r="A254" s="8" t="s">
        <v>286</v>
      </c>
      <c r="B254" s="240"/>
      <c r="C254" s="239">
        <v>6057874</v>
      </c>
    </row>
    <row r="255" spans="1:3" x14ac:dyDescent="0.25">
      <c r="A255" s="8" t="s">
        <v>287</v>
      </c>
      <c r="B255" s="240"/>
      <c r="C255" s="239">
        <v>5151094</v>
      </c>
    </row>
    <row r="256" spans="1:3" x14ac:dyDescent="0.25">
      <c r="A256" s="8" t="s">
        <v>288</v>
      </c>
      <c r="B256" s="240"/>
      <c r="C256" s="239">
        <v>944427</v>
      </c>
    </row>
    <row r="257" spans="1:3" x14ac:dyDescent="0.25">
      <c r="A257" s="8" t="s">
        <v>289</v>
      </c>
      <c r="B257" s="240"/>
      <c r="C257" s="239">
        <v>18512655</v>
      </c>
    </row>
    <row r="258" spans="1:3" x14ac:dyDescent="0.25">
      <c r="A258" s="8" t="s">
        <v>290</v>
      </c>
      <c r="B258" s="240"/>
      <c r="C258" s="239">
        <v>379192</v>
      </c>
    </row>
    <row r="259" spans="1:3" x14ac:dyDescent="0.25">
      <c r="A259" s="8" t="s">
        <v>291</v>
      </c>
      <c r="B259" s="240"/>
      <c r="C259" s="239">
        <v>1524569</v>
      </c>
    </row>
    <row r="260" spans="1:3" x14ac:dyDescent="0.25">
      <c r="A260" s="8" t="s">
        <v>292</v>
      </c>
      <c r="B260" s="240"/>
      <c r="C260" s="239">
        <v>774695</v>
      </c>
    </row>
    <row r="261" spans="1:3" x14ac:dyDescent="0.25">
      <c r="A261" s="8" t="s">
        <v>293</v>
      </c>
      <c r="B261" s="240"/>
      <c r="C261" s="239">
        <v>104507683</v>
      </c>
    </row>
    <row r="262" spans="1:3" x14ac:dyDescent="0.25">
      <c r="A262" s="8" t="s">
        <v>294</v>
      </c>
      <c r="B262" s="240"/>
      <c r="C262" s="239">
        <v>558720</v>
      </c>
    </row>
    <row r="263" spans="1:3" x14ac:dyDescent="0.25">
      <c r="A263" s="8" t="s">
        <v>296</v>
      </c>
      <c r="B263" s="239">
        <v>122153</v>
      </c>
      <c r="C263" s="240"/>
    </row>
    <row r="264" spans="1:3" x14ac:dyDescent="0.25">
      <c r="A264" s="8" t="s">
        <v>297</v>
      </c>
      <c r="B264" s="239">
        <v>271788</v>
      </c>
      <c r="C264" s="240"/>
    </row>
    <row r="265" spans="1:3" x14ac:dyDescent="0.25">
      <c r="A265" s="8" t="s">
        <v>298</v>
      </c>
      <c r="B265" s="239">
        <v>139678</v>
      </c>
      <c r="C265" s="240"/>
    </row>
    <row r="266" spans="1:3" x14ac:dyDescent="0.25">
      <c r="A266" s="8" t="s">
        <v>299</v>
      </c>
      <c r="B266" s="239">
        <v>34285</v>
      </c>
      <c r="C266" s="240"/>
    </row>
    <row r="267" spans="1:3" x14ac:dyDescent="0.25">
      <c r="A267" s="8" t="s">
        <v>657</v>
      </c>
      <c r="B267" s="239">
        <v>1699939</v>
      </c>
      <c r="C267" s="240"/>
    </row>
    <row r="268" spans="1:3" x14ac:dyDescent="0.25">
      <c r="A268" s="8" t="s">
        <v>300</v>
      </c>
      <c r="B268" s="240"/>
      <c r="C268" s="239">
        <v>3296204.7</v>
      </c>
    </row>
    <row r="269" spans="1:3" x14ac:dyDescent="0.25">
      <c r="A269" s="8" t="s">
        <v>301</v>
      </c>
      <c r="B269" s="239">
        <v>15450441</v>
      </c>
      <c r="C269" s="240"/>
    </row>
    <row r="270" spans="1:3" x14ac:dyDescent="0.25">
      <c r="A270" s="8" t="s">
        <v>302</v>
      </c>
      <c r="B270" s="240"/>
      <c r="C270" s="239">
        <v>12385</v>
      </c>
    </row>
    <row r="271" spans="1:3" x14ac:dyDescent="0.25">
      <c r="A271" s="8" t="s">
        <v>303</v>
      </c>
      <c r="B271" s="240"/>
      <c r="C271" s="239">
        <v>9346</v>
      </c>
    </row>
    <row r="272" spans="1:3" x14ac:dyDescent="0.25">
      <c r="A272" s="8" t="s">
        <v>304</v>
      </c>
      <c r="B272" s="239">
        <v>245315</v>
      </c>
      <c r="C272" s="240"/>
    </row>
    <row r="273" spans="1:3" x14ac:dyDescent="0.25">
      <c r="A273" s="8" t="s">
        <v>305</v>
      </c>
      <c r="B273" s="239">
        <v>6876013</v>
      </c>
      <c r="C273" s="240"/>
    </row>
    <row r="274" spans="1:3" x14ac:dyDescent="0.25">
      <c r="A274" s="8" t="s">
        <v>306</v>
      </c>
      <c r="B274" s="239">
        <v>4380095</v>
      </c>
      <c r="C274" s="240"/>
    </row>
    <row r="275" spans="1:3" x14ac:dyDescent="0.25">
      <c r="A275" s="8" t="s">
        <v>307</v>
      </c>
      <c r="B275" s="239">
        <v>5885577.8399999999</v>
      </c>
      <c r="C275" s="240"/>
    </row>
    <row r="276" spans="1:3" x14ac:dyDescent="0.25">
      <c r="A276" s="8" t="s">
        <v>308</v>
      </c>
      <c r="B276" s="240"/>
      <c r="C276" s="239">
        <v>13051000</v>
      </c>
    </row>
    <row r="277" spans="1:3" x14ac:dyDescent="0.25">
      <c r="A277" s="8" t="s">
        <v>309</v>
      </c>
      <c r="B277" s="240"/>
      <c r="C277" s="239">
        <v>2563</v>
      </c>
    </row>
    <row r="278" spans="1:3" x14ac:dyDescent="0.25">
      <c r="A278" s="8" t="s">
        <v>310</v>
      </c>
      <c r="B278" s="239">
        <v>10000</v>
      </c>
      <c r="C278" s="240"/>
    </row>
    <row r="279" spans="1:3" x14ac:dyDescent="0.25">
      <c r="A279" s="8" t="s">
        <v>311</v>
      </c>
      <c r="B279" s="239">
        <v>11000</v>
      </c>
      <c r="C279" s="240"/>
    </row>
    <row r="280" spans="1:3" x14ac:dyDescent="0.25">
      <c r="A280" s="8" t="s">
        <v>312</v>
      </c>
      <c r="B280" s="239">
        <v>208079</v>
      </c>
      <c r="C280" s="240"/>
    </row>
    <row r="281" spans="1:3" x14ac:dyDescent="0.25">
      <c r="A281" s="8" t="s">
        <v>313</v>
      </c>
      <c r="B281" s="239">
        <v>3861148</v>
      </c>
      <c r="C281" s="240"/>
    </row>
    <row r="282" spans="1:3" x14ac:dyDescent="0.25">
      <c r="A282" s="8" t="s">
        <v>314</v>
      </c>
      <c r="B282" s="239">
        <v>3359955</v>
      </c>
      <c r="C282" s="240"/>
    </row>
    <row r="283" spans="1:3" x14ac:dyDescent="0.25">
      <c r="A283" s="8" t="s">
        <v>315</v>
      </c>
      <c r="B283" s="240"/>
      <c r="C283" s="239">
        <v>20899</v>
      </c>
    </row>
    <row r="284" spans="1:3" x14ac:dyDescent="0.25">
      <c r="A284" s="8" t="s">
        <v>316</v>
      </c>
      <c r="B284" s="240"/>
      <c r="C284" s="239">
        <v>75747</v>
      </c>
    </row>
    <row r="285" spans="1:3" x14ac:dyDescent="0.25">
      <c r="A285" s="8" t="s">
        <v>317</v>
      </c>
      <c r="B285" s="240"/>
      <c r="C285" s="239">
        <v>20899</v>
      </c>
    </row>
    <row r="286" spans="1:3" x14ac:dyDescent="0.25">
      <c r="A286" s="8" t="s">
        <v>318</v>
      </c>
      <c r="B286" s="239">
        <v>4800000</v>
      </c>
      <c r="C286" s="240"/>
    </row>
    <row r="287" spans="1:3" x14ac:dyDescent="0.25">
      <c r="A287" s="8" t="s">
        <v>319</v>
      </c>
      <c r="B287" s="239">
        <v>281990</v>
      </c>
      <c r="C287" s="240"/>
    </row>
    <row r="288" spans="1:3" x14ac:dyDescent="0.25">
      <c r="A288" s="8" t="s">
        <v>320</v>
      </c>
      <c r="B288" s="239">
        <v>806397.4</v>
      </c>
      <c r="C288" s="240"/>
    </row>
    <row r="289" spans="1:3" x14ac:dyDescent="0.25">
      <c r="A289" s="8" t="s">
        <v>321</v>
      </c>
      <c r="B289" s="239">
        <v>688233.98</v>
      </c>
      <c r="C289" s="240"/>
    </row>
    <row r="290" spans="1:3" x14ac:dyDescent="0.25">
      <c r="A290" s="8" t="s">
        <v>322</v>
      </c>
      <c r="B290" s="240"/>
      <c r="C290" s="239">
        <v>50905004</v>
      </c>
    </row>
    <row r="291" spans="1:3" x14ac:dyDescent="0.25">
      <c r="A291" s="8" t="s">
        <v>323</v>
      </c>
      <c r="B291" s="239">
        <v>11900</v>
      </c>
      <c r="C291" s="240"/>
    </row>
    <row r="292" spans="1:3" x14ac:dyDescent="0.25">
      <c r="A292" s="8" t="s">
        <v>324</v>
      </c>
      <c r="B292" s="240"/>
      <c r="C292" s="239">
        <v>1692622</v>
      </c>
    </row>
    <row r="293" spans="1:3" x14ac:dyDescent="0.25">
      <c r="A293" s="8" t="s">
        <v>325</v>
      </c>
      <c r="B293" s="240"/>
      <c r="C293" s="239">
        <v>353.41</v>
      </c>
    </row>
    <row r="294" spans="1:3" x14ac:dyDescent="0.25">
      <c r="A294" s="8" t="s">
        <v>326</v>
      </c>
      <c r="B294" s="239">
        <v>25272743</v>
      </c>
      <c r="C294" s="240"/>
    </row>
    <row r="295" spans="1:3" x14ac:dyDescent="0.25">
      <c r="A295" s="8" t="s">
        <v>770</v>
      </c>
      <c r="B295" s="240"/>
      <c r="C295" s="239">
        <v>22960</v>
      </c>
    </row>
    <row r="296" spans="1:3" x14ac:dyDescent="0.25">
      <c r="A296" s="8" t="s">
        <v>327</v>
      </c>
      <c r="B296" s="240"/>
      <c r="C296" s="239">
        <v>19934</v>
      </c>
    </row>
    <row r="297" spans="1:3" x14ac:dyDescent="0.25">
      <c r="A297" s="8" t="s">
        <v>328</v>
      </c>
      <c r="B297" s="239">
        <v>347389</v>
      </c>
      <c r="C297" s="240"/>
    </row>
    <row r="298" spans="1:3" x14ac:dyDescent="0.25">
      <c r="A298" s="8" t="s">
        <v>329</v>
      </c>
      <c r="B298" s="240"/>
      <c r="C298" s="239">
        <v>331346</v>
      </c>
    </row>
    <row r="299" spans="1:3" x14ac:dyDescent="0.25">
      <c r="A299" s="8" t="s">
        <v>330</v>
      </c>
      <c r="B299" s="240"/>
      <c r="C299" s="239">
        <v>1029792</v>
      </c>
    </row>
    <row r="300" spans="1:3" x14ac:dyDescent="0.25">
      <c r="A300" s="8" t="s">
        <v>331</v>
      </c>
      <c r="B300" s="239">
        <v>216000</v>
      </c>
      <c r="C300" s="240"/>
    </row>
    <row r="301" spans="1:3" x14ac:dyDescent="0.25">
      <c r="A301" s="8" t="s">
        <v>332</v>
      </c>
      <c r="B301" s="239">
        <v>1684618</v>
      </c>
      <c r="C301" s="240"/>
    </row>
    <row r="302" spans="1:3" x14ac:dyDescent="0.25">
      <c r="A302" s="8" t="s">
        <v>333</v>
      </c>
      <c r="B302" s="239">
        <v>2423600</v>
      </c>
      <c r="C302" s="240"/>
    </row>
    <row r="303" spans="1:3" x14ac:dyDescent="0.25">
      <c r="A303" s="8" t="s">
        <v>334</v>
      </c>
      <c r="B303" s="239">
        <v>8467719</v>
      </c>
      <c r="C303" s="240"/>
    </row>
    <row r="304" spans="1:3" x14ac:dyDescent="0.25">
      <c r="A304" s="8" t="s">
        <v>335</v>
      </c>
      <c r="B304" s="240"/>
      <c r="C304" s="239">
        <v>714551552.14999998</v>
      </c>
    </row>
    <row r="305" spans="1:3" x14ac:dyDescent="0.25">
      <c r="A305" s="8" t="s">
        <v>1436</v>
      </c>
      <c r="B305" s="240"/>
      <c r="C305" s="239">
        <v>80530681.049999997</v>
      </c>
    </row>
    <row r="306" spans="1:3" x14ac:dyDescent="0.25">
      <c r="A306" s="8" t="s">
        <v>336</v>
      </c>
      <c r="B306" s="240"/>
      <c r="C306" s="239">
        <v>729659</v>
      </c>
    </row>
    <row r="307" spans="1:3" x14ac:dyDescent="0.25">
      <c r="A307" s="8" t="s">
        <v>337</v>
      </c>
      <c r="B307" s="240"/>
      <c r="C307" s="239">
        <v>941222</v>
      </c>
    </row>
    <row r="308" spans="1:3" x14ac:dyDescent="0.25">
      <c r="A308" s="8" t="s">
        <v>338</v>
      </c>
      <c r="B308" s="240"/>
      <c r="C308" s="239">
        <v>1764791</v>
      </c>
    </row>
    <row r="309" spans="1:3" x14ac:dyDescent="0.25">
      <c r="A309" s="8" t="s">
        <v>1365</v>
      </c>
      <c r="B309" s="240"/>
      <c r="C309" s="239">
        <v>401154</v>
      </c>
    </row>
    <row r="310" spans="1:3" x14ac:dyDescent="0.25">
      <c r="A310" s="8" t="s">
        <v>340</v>
      </c>
      <c r="B310" s="240"/>
      <c r="C310" s="239">
        <v>14600000</v>
      </c>
    </row>
    <row r="311" spans="1:3" x14ac:dyDescent="0.25">
      <c r="A311" s="8" t="s">
        <v>341</v>
      </c>
      <c r="B311" s="239">
        <v>78364.399999999994</v>
      </c>
      <c r="C311" s="240"/>
    </row>
    <row r="312" spans="1:3" x14ac:dyDescent="0.25">
      <c r="A312" s="8" t="s">
        <v>342</v>
      </c>
      <c r="B312" s="240"/>
      <c r="C312" s="239">
        <v>3874175</v>
      </c>
    </row>
    <row r="313" spans="1:3" x14ac:dyDescent="0.25">
      <c r="A313" s="8" t="s">
        <v>343</v>
      </c>
      <c r="B313" s="240"/>
      <c r="C313" s="239">
        <v>3118016</v>
      </c>
    </row>
    <row r="314" spans="1:3" x14ac:dyDescent="0.25">
      <c r="A314" s="8" t="s">
        <v>344</v>
      </c>
      <c r="B314" s="240"/>
      <c r="C314" s="239">
        <v>117270</v>
      </c>
    </row>
    <row r="315" spans="1:3" x14ac:dyDescent="0.25">
      <c r="A315" s="8" t="s">
        <v>345</v>
      </c>
      <c r="B315" s="240"/>
      <c r="C315" s="239">
        <v>25470</v>
      </c>
    </row>
    <row r="316" spans="1:3" x14ac:dyDescent="0.25">
      <c r="A316" s="8" t="s">
        <v>346</v>
      </c>
      <c r="B316" s="240"/>
      <c r="C316" s="239">
        <v>8664946</v>
      </c>
    </row>
    <row r="317" spans="1:3" x14ac:dyDescent="0.25">
      <c r="A317" s="8" t="s">
        <v>347</v>
      </c>
      <c r="B317" s="239">
        <v>703243</v>
      </c>
      <c r="C317" s="240"/>
    </row>
    <row r="318" spans="1:3" x14ac:dyDescent="0.25">
      <c r="A318" s="8" t="s">
        <v>348</v>
      </c>
      <c r="B318" s="240"/>
      <c r="C318" s="239">
        <v>204940</v>
      </c>
    </row>
    <row r="319" spans="1:3" x14ac:dyDescent="0.25">
      <c r="A319" s="8" t="s">
        <v>349</v>
      </c>
      <c r="B319" s="240"/>
      <c r="C319" s="239">
        <v>18748332</v>
      </c>
    </row>
    <row r="320" spans="1:3" x14ac:dyDescent="0.25">
      <c r="A320" s="8" t="s">
        <v>363</v>
      </c>
      <c r="B320" s="239">
        <v>229</v>
      </c>
      <c r="C320" s="240"/>
    </row>
    <row r="321" spans="1:3" x14ac:dyDescent="0.25">
      <c r="A321" s="8" t="s">
        <v>364</v>
      </c>
      <c r="B321" s="239">
        <v>1171</v>
      </c>
      <c r="C321" s="240"/>
    </row>
    <row r="322" spans="1:3" x14ac:dyDescent="0.25">
      <c r="A322" s="8" t="s">
        <v>368</v>
      </c>
      <c r="B322" s="240"/>
      <c r="C322" s="239">
        <v>2852634</v>
      </c>
    </row>
    <row r="323" spans="1:3" x14ac:dyDescent="0.25">
      <c r="A323" s="8" t="s">
        <v>369</v>
      </c>
      <c r="B323" s="239">
        <v>51895.15</v>
      </c>
      <c r="C323" s="240"/>
    </row>
    <row r="324" spans="1:3" x14ac:dyDescent="0.25">
      <c r="A324" s="8" t="s">
        <v>370</v>
      </c>
      <c r="B324" s="239">
        <v>29993</v>
      </c>
      <c r="C324" s="240"/>
    </row>
    <row r="325" spans="1:3" x14ac:dyDescent="0.25">
      <c r="A325" s="8" t="s">
        <v>371</v>
      </c>
      <c r="B325" s="240"/>
      <c r="C325" s="239">
        <v>1019843</v>
      </c>
    </row>
    <row r="326" spans="1:3" x14ac:dyDescent="0.25">
      <c r="A326" s="8" t="s">
        <v>824</v>
      </c>
      <c r="B326" s="239">
        <v>59270</v>
      </c>
      <c r="C326" s="240"/>
    </row>
    <row r="327" spans="1:3" x14ac:dyDescent="0.25">
      <c r="A327" s="8" t="s">
        <v>372</v>
      </c>
      <c r="B327" s="240"/>
      <c r="C327" s="239">
        <v>2456715</v>
      </c>
    </row>
    <row r="328" spans="1:3" x14ac:dyDescent="0.25">
      <c r="A328" s="8" t="s">
        <v>373</v>
      </c>
      <c r="B328" s="239">
        <v>2856394</v>
      </c>
      <c r="C328" s="240"/>
    </row>
    <row r="329" spans="1:3" x14ac:dyDescent="0.25">
      <c r="A329" s="8" t="s">
        <v>374</v>
      </c>
      <c r="B329" s="239">
        <v>168822</v>
      </c>
      <c r="C329" s="240"/>
    </row>
    <row r="330" spans="1:3" x14ac:dyDescent="0.25">
      <c r="A330" s="8" t="s">
        <v>376</v>
      </c>
      <c r="B330" s="240"/>
      <c r="C330" s="239">
        <v>19308</v>
      </c>
    </row>
    <row r="331" spans="1:3" x14ac:dyDescent="0.25">
      <c r="A331" s="8" t="s">
        <v>377</v>
      </c>
      <c r="B331" s="240"/>
      <c r="C331" s="239">
        <v>586169</v>
      </c>
    </row>
    <row r="332" spans="1:3" x14ac:dyDescent="0.25">
      <c r="A332" s="8" t="s">
        <v>378</v>
      </c>
      <c r="B332" s="239">
        <v>511714</v>
      </c>
      <c r="C332" s="240"/>
    </row>
    <row r="333" spans="1:3" x14ac:dyDescent="0.25">
      <c r="A333" s="8" t="s">
        <v>379</v>
      </c>
      <c r="B333" s="240"/>
      <c r="C333" s="239">
        <v>134747</v>
      </c>
    </row>
    <row r="334" spans="1:3" x14ac:dyDescent="0.25">
      <c r="A334" s="8" t="s">
        <v>380</v>
      </c>
      <c r="B334" s="239">
        <v>173031</v>
      </c>
      <c r="C334" s="240"/>
    </row>
    <row r="335" spans="1:3" x14ac:dyDescent="0.25">
      <c r="A335" s="8" t="s">
        <v>381</v>
      </c>
      <c r="B335" s="239">
        <v>885649</v>
      </c>
      <c r="C335" s="240"/>
    </row>
    <row r="336" spans="1:3" x14ac:dyDescent="0.25">
      <c r="A336" s="8" t="s">
        <v>382</v>
      </c>
      <c r="B336" s="239">
        <v>55555</v>
      </c>
      <c r="C336" s="240"/>
    </row>
    <row r="337" spans="1:3" x14ac:dyDescent="0.25">
      <c r="A337" s="8" t="s">
        <v>383</v>
      </c>
      <c r="B337" s="239">
        <v>26467</v>
      </c>
      <c r="C337" s="240"/>
    </row>
    <row r="338" spans="1:3" x14ac:dyDescent="0.25">
      <c r="A338" s="8" t="s">
        <v>384</v>
      </c>
      <c r="B338" s="240"/>
      <c r="C338" s="239">
        <v>1882446</v>
      </c>
    </row>
    <row r="339" spans="1:3" x14ac:dyDescent="0.25">
      <c r="A339" s="8" t="s">
        <v>385</v>
      </c>
      <c r="B339" s="240"/>
      <c r="C339" s="239">
        <v>31436</v>
      </c>
    </row>
    <row r="340" spans="1:3" x14ac:dyDescent="0.25">
      <c r="A340" s="8" t="s">
        <v>386</v>
      </c>
      <c r="B340" s="240"/>
      <c r="C340" s="239">
        <v>33750</v>
      </c>
    </row>
    <row r="341" spans="1:3" x14ac:dyDescent="0.25">
      <c r="A341" s="8" t="s">
        <v>387</v>
      </c>
      <c r="B341" s="240"/>
      <c r="C341" s="239">
        <v>2195</v>
      </c>
    </row>
    <row r="342" spans="1:3" x14ac:dyDescent="0.25">
      <c r="A342" s="8" t="s">
        <v>388</v>
      </c>
      <c r="B342" s="240"/>
      <c r="C342" s="239">
        <v>12150</v>
      </c>
    </row>
    <row r="343" spans="1:3" x14ac:dyDescent="0.25">
      <c r="A343" s="8" t="s">
        <v>389</v>
      </c>
      <c r="B343" s="240"/>
      <c r="C343" s="239">
        <v>43559221.979999997</v>
      </c>
    </row>
    <row r="344" spans="1:3" x14ac:dyDescent="0.25">
      <c r="A344" s="8" t="s">
        <v>390</v>
      </c>
      <c r="B344" s="239">
        <v>5000332</v>
      </c>
      <c r="C344" s="240"/>
    </row>
    <row r="345" spans="1:3" x14ac:dyDescent="0.25">
      <c r="A345" s="8" t="s">
        <v>391</v>
      </c>
      <c r="B345" s="239">
        <v>301037.90000000002</v>
      </c>
      <c r="C345" s="240"/>
    </row>
    <row r="346" spans="1:3" x14ac:dyDescent="0.25">
      <c r="A346" s="8" t="s">
        <v>832</v>
      </c>
      <c r="B346" s="239">
        <v>275000</v>
      </c>
      <c r="C346" s="240"/>
    </row>
    <row r="347" spans="1:3" x14ac:dyDescent="0.25">
      <c r="A347" s="8" t="s">
        <v>392</v>
      </c>
      <c r="B347" s="239">
        <v>2500</v>
      </c>
      <c r="C347" s="240"/>
    </row>
    <row r="348" spans="1:3" x14ac:dyDescent="0.25">
      <c r="A348" s="8" t="s">
        <v>393</v>
      </c>
      <c r="B348" s="239">
        <v>37000</v>
      </c>
      <c r="C348" s="240"/>
    </row>
    <row r="349" spans="1:3" x14ac:dyDescent="0.25">
      <c r="A349" s="8" t="s">
        <v>394</v>
      </c>
      <c r="B349" s="240"/>
      <c r="C349" s="239">
        <v>92070</v>
      </c>
    </row>
    <row r="350" spans="1:3" x14ac:dyDescent="0.25">
      <c r="A350" s="8" t="s">
        <v>395</v>
      </c>
      <c r="B350" s="239">
        <v>16052.89</v>
      </c>
      <c r="C350" s="240"/>
    </row>
    <row r="351" spans="1:3" x14ac:dyDescent="0.25">
      <c r="A351" s="8" t="s">
        <v>396</v>
      </c>
      <c r="B351" s="239">
        <v>4000</v>
      </c>
      <c r="C351" s="240"/>
    </row>
    <row r="352" spans="1:3" x14ac:dyDescent="0.25">
      <c r="A352" s="8" t="s">
        <v>397</v>
      </c>
      <c r="B352" s="240"/>
      <c r="C352" s="239">
        <v>455952</v>
      </c>
    </row>
    <row r="353" spans="1:3" x14ac:dyDescent="0.25">
      <c r="A353" s="8" t="s">
        <v>399</v>
      </c>
      <c r="B353" s="239">
        <v>32233.24</v>
      </c>
      <c r="C353" s="240"/>
    </row>
    <row r="354" spans="1:3" x14ac:dyDescent="0.25">
      <c r="A354" s="8" t="s">
        <v>400</v>
      </c>
      <c r="B354" s="239">
        <v>3418</v>
      </c>
      <c r="C354" s="240"/>
    </row>
    <row r="355" spans="1:3" x14ac:dyDescent="0.25">
      <c r="A355" s="8" t="s">
        <v>401</v>
      </c>
      <c r="B355" s="239">
        <v>33127</v>
      </c>
      <c r="C355" s="240"/>
    </row>
    <row r="356" spans="1:3" x14ac:dyDescent="0.25">
      <c r="A356" s="8" t="s">
        <v>402</v>
      </c>
      <c r="B356" s="240"/>
      <c r="C356" s="239">
        <v>85088.53</v>
      </c>
    </row>
    <row r="357" spans="1:3" x14ac:dyDescent="0.25">
      <c r="A357" s="8" t="s">
        <v>404</v>
      </c>
      <c r="B357" s="239">
        <v>4745</v>
      </c>
      <c r="C357" s="240"/>
    </row>
    <row r="358" spans="1:3" x14ac:dyDescent="0.25">
      <c r="A358" s="8" t="s">
        <v>405</v>
      </c>
      <c r="B358" s="240"/>
      <c r="C358" s="239">
        <v>3756</v>
      </c>
    </row>
    <row r="359" spans="1:3" x14ac:dyDescent="0.25">
      <c r="A359" s="8" t="s">
        <v>406</v>
      </c>
      <c r="B359" s="240"/>
      <c r="C359" s="239">
        <v>11751</v>
      </c>
    </row>
    <row r="360" spans="1:3" x14ac:dyDescent="0.25">
      <c r="A360" s="8" t="s">
        <v>407</v>
      </c>
      <c r="B360" s="240"/>
      <c r="C360" s="239">
        <v>10862.04</v>
      </c>
    </row>
    <row r="361" spans="1:3" x14ac:dyDescent="0.25">
      <c r="A361" s="8" t="s">
        <v>408</v>
      </c>
      <c r="B361" s="240"/>
      <c r="C361" s="239">
        <v>29491</v>
      </c>
    </row>
    <row r="362" spans="1:3" x14ac:dyDescent="0.25">
      <c r="A362" s="8" t="s">
        <v>409</v>
      </c>
      <c r="B362" s="240"/>
      <c r="C362" s="239">
        <v>2925</v>
      </c>
    </row>
    <row r="363" spans="1:3" x14ac:dyDescent="0.25">
      <c r="A363" s="8" t="s">
        <v>410</v>
      </c>
      <c r="B363" s="240"/>
      <c r="C363" s="239">
        <v>80773</v>
      </c>
    </row>
    <row r="364" spans="1:3" x14ac:dyDescent="0.25">
      <c r="A364" s="8" t="s">
        <v>411</v>
      </c>
      <c r="B364" s="240"/>
      <c r="C364" s="239">
        <v>122000</v>
      </c>
    </row>
    <row r="365" spans="1:3" x14ac:dyDescent="0.25">
      <c r="A365" s="8" t="s">
        <v>412</v>
      </c>
      <c r="B365" s="240"/>
      <c r="C365" s="239">
        <v>10850</v>
      </c>
    </row>
    <row r="366" spans="1:3" x14ac:dyDescent="0.25">
      <c r="A366" s="8" t="s">
        <v>413</v>
      </c>
      <c r="B366" s="240"/>
      <c r="C366" s="239">
        <v>22755</v>
      </c>
    </row>
    <row r="367" spans="1:3" x14ac:dyDescent="0.25">
      <c r="A367" s="8" t="s">
        <v>414</v>
      </c>
      <c r="B367" s="239">
        <v>65764</v>
      </c>
      <c r="C367" s="240"/>
    </row>
    <row r="368" spans="1:3" x14ac:dyDescent="0.25">
      <c r="A368" s="8" t="s">
        <v>415</v>
      </c>
      <c r="B368" s="240"/>
      <c r="C368" s="239">
        <v>3662</v>
      </c>
    </row>
    <row r="369" spans="1:3" x14ac:dyDescent="0.25">
      <c r="A369" s="8" t="s">
        <v>416</v>
      </c>
      <c r="B369" s="239">
        <v>40650</v>
      </c>
      <c r="C369" s="240"/>
    </row>
    <row r="370" spans="1:3" x14ac:dyDescent="0.25">
      <c r="A370" s="8" t="s">
        <v>417</v>
      </c>
      <c r="B370" s="240"/>
      <c r="C370" s="239">
        <v>41312</v>
      </c>
    </row>
    <row r="371" spans="1:3" x14ac:dyDescent="0.25">
      <c r="A371" s="8" t="s">
        <v>418</v>
      </c>
      <c r="B371" s="239">
        <v>72962</v>
      </c>
      <c r="C371" s="240"/>
    </row>
    <row r="372" spans="1:3" x14ac:dyDescent="0.25">
      <c r="A372" s="8" t="s">
        <v>419</v>
      </c>
      <c r="B372" s="239">
        <v>116491</v>
      </c>
      <c r="C372" s="240"/>
    </row>
    <row r="373" spans="1:3" x14ac:dyDescent="0.25">
      <c r="A373" s="8" t="s">
        <v>420</v>
      </c>
      <c r="B373" s="240"/>
      <c r="C373" s="239">
        <v>109340</v>
      </c>
    </row>
    <row r="374" spans="1:3" x14ac:dyDescent="0.25">
      <c r="A374" s="8" t="s">
        <v>421</v>
      </c>
      <c r="B374" s="239">
        <v>519122</v>
      </c>
      <c r="C374" s="240"/>
    </row>
    <row r="375" spans="1:3" x14ac:dyDescent="0.25">
      <c r="A375" s="8" t="s">
        <v>422</v>
      </c>
      <c r="B375" s="240"/>
      <c r="C375" s="239">
        <v>34754</v>
      </c>
    </row>
    <row r="376" spans="1:3" x14ac:dyDescent="0.25">
      <c r="A376" s="8" t="s">
        <v>423</v>
      </c>
      <c r="B376" s="239">
        <v>277187</v>
      </c>
      <c r="C376" s="240"/>
    </row>
    <row r="377" spans="1:3" x14ac:dyDescent="0.25">
      <c r="A377" s="8" t="s">
        <v>424</v>
      </c>
      <c r="B377" s="239">
        <v>1264812.5</v>
      </c>
      <c r="C377" s="240"/>
    </row>
    <row r="378" spans="1:3" x14ac:dyDescent="0.25">
      <c r="A378" s="8" t="s">
        <v>426</v>
      </c>
      <c r="B378" s="240"/>
      <c r="C378" s="239">
        <v>377600</v>
      </c>
    </row>
    <row r="379" spans="1:3" x14ac:dyDescent="0.25">
      <c r="A379" s="8" t="s">
        <v>427</v>
      </c>
      <c r="B379" s="240"/>
      <c r="C379" s="239">
        <v>1871806</v>
      </c>
    </row>
    <row r="380" spans="1:3" x14ac:dyDescent="0.25">
      <c r="A380" s="8" t="s">
        <v>428</v>
      </c>
      <c r="B380" s="239">
        <v>122521</v>
      </c>
      <c r="C380" s="240"/>
    </row>
    <row r="381" spans="1:3" x14ac:dyDescent="0.25">
      <c r="A381" s="8" t="s">
        <v>429</v>
      </c>
      <c r="B381" s="239">
        <v>179827</v>
      </c>
      <c r="C381" s="240"/>
    </row>
    <row r="382" spans="1:3" x14ac:dyDescent="0.25">
      <c r="A382" s="8" t="s">
        <v>430</v>
      </c>
      <c r="B382" s="239">
        <v>2991111</v>
      </c>
      <c r="C382" s="240"/>
    </row>
    <row r="383" spans="1:3" x14ac:dyDescent="0.25">
      <c r="A383" s="8" t="s">
        <v>431</v>
      </c>
      <c r="B383" s="239">
        <v>521794</v>
      </c>
      <c r="C383" s="240"/>
    </row>
    <row r="384" spans="1:3" x14ac:dyDescent="0.25">
      <c r="A384" s="8" t="s">
        <v>432</v>
      </c>
      <c r="B384" s="239">
        <v>271912.74</v>
      </c>
      <c r="C384" s="240"/>
    </row>
    <row r="385" spans="1:3" x14ac:dyDescent="0.25">
      <c r="A385" s="8" t="s">
        <v>433</v>
      </c>
      <c r="B385" s="240"/>
      <c r="C385" s="239">
        <v>29906</v>
      </c>
    </row>
    <row r="386" spans="1:3" x14ac:dyDescent="0.25">
      <c r="A386" s="8" t="s">
        <v>434</v>
      </c>
      <c r="B386" s="240"/>
      <c r="C386" s="239">
        <v>1429369</v>
      </c>
    </row>
    <row r="387" spans="1:3" x14ac:dyDescent="0.25">
      <c r="A387" s="8" t="s">
        <v>435</v>
      </c>
      <c r="B387" s="240"/>
      <c r="C387" s="239">
        <v>12900</v>
      </c>
    </row>
    <row r="388" spans="1:3" x14ac:dyDescent="0.25">
      <c r="A388" s="8" t="s">
        <v>436</v>
      </c>
      <c r="B388" s="239">
        <v>5000</v>
      </c>
      <c r="C388" s="240"/>
    </row>
    <row r="389" spans="1:3" x14ac:dyDescent="0.25">
      <c r="A389" s="8" t="s">
        <v>438</v>
      </c>
      <c r="B389" s="240"/>
      <c r="C389" s="239">
        <v>232050</v>
      </c>
    </row>
    <row r="390" spans="1:3" x14ac:dyDescent="0.25">
      <c r="A390" s="8" t="s">
        <v>439</v>
      </c>
      <c r="B390" s="239">
        <v>290915</v>
      </c>
      <c r="C390" s="240"/>
    </row>
    <row r="391" spans="1:3" x14ac:dyDescent="0.25">
      <c r="A391" s="8" t="s">
        <v>440</v>
      </c>
      <c r="B391" s="239">
        <v>6129998</v>
      </c>
      <c r="C391" s="240"/>
    </row>
    <row r="392" spans="1:3" x14ac:dyDescent="0.25">
      <c r="A392" s="8" t="s">
        <v>441</v>
      </c>
      <c r="B392" s="239">
        <v>384685059</v>
      </c>
      <c r="C392" s="240"/>
    </row>
    <row r="393" spans="1:3" x14ac:dyDescent="0.25">
      <c r="A393" s="8" t="s">
        <v>442</v>
      </c>
      <c r="B393" s="239">
        <v>1371677.02</v>
      </c>
      <c r="C393" s="240"/>
    </row>
    <row r="394" spans="1:3" x14ac:dyDescent="0.25">
      <c r="A394" s="8" t="s">
        <v>443</v>
      </c>
      <c r="B394" s="239">
        <v>63230</v>
      </c>
      <c r="C394" s="240"/>
    </row>
    <row r="395" spans="1:3" x14ac:dyDescent="0.25">
      <c r="A395" s="8" t="s">
        <v>444</v>
      </c>
      <c r="B395" s="239">
        <v>180000</v>
      </c>
      <c r="C395" s="240"/>
    </row>
    <row r="396" spans="1:3" x14ac:dyDescent="0.25">
      <c r="A396" s="8" t="s">
        <v>445</v>
      </c>
      <c r="B396" s="239">
        <v>7547</v>
      </c>
      <c r="C396" s="240"/>
    </row>
    <row r="397" spans="1:3" x14ac:dyDescent="0.25">
      <c r="A397" s="8" t="s">
        <v>447</v>
      </c>
      <c r="B397" s="239">
        <v>31034983</v>
      </c>
      <c r="C397" s="240"/>
    </row>
    <row r="398" spans="1:3" x14ac:dyDescent="0.25">
      <c r="A398" s="8" t="s">
        <v>448</v>
      </c>
      <c r="B398" s="240"/>
      <c r="C398" s="239">
        <v>19017</v>
      </c>
    </row>
    <row r="399" spans="1:3" x14ac:dyDescent="0.25">
      <c r="A399" s="8" t="s">
        <v>449</v>
      </c>
      <c r="B399" s="239">
        <v>11811163</v>
      </c>
      <c r="C399" s="240"/>
    </row>
    <row r="400" spans="1:3" x14ac:dyDescent="0.25">
      <c r="A400" s="241" t="s">
        <v>450</v>
      </c>
      <c r="B400" s="242">
        <v>1443570355.72</v>
      </c>
      <c r="C400" s="242">
        <v>1443570355.72</v>
      </c>
    </row>
  </sheetData>
  <customSheetViews>
    <customSheetView guid="{334DC1DD-AD60-4D12-A532-9CEE6201A253}" topLeftCell="A383">
      <selection activeCell="A208" sqref="A208"/>
      <pageMargins left="0.7" right="0.7" top="0.75" bottom="0.75" header="0.3" footer="0.3"/>
    </customSheetView>
    <customSheetView guid="{BD5AA3B3-719E-4481-B722-8DE3E8101662}" topLeftCell="A383">
      <selection activeCell="A208" sqref="A208"/>
      <pageMargins left="0.7" right="0.7" top="0.75" bottom="0.75" header="0.3" footer="0.3"/>
    </customSheetView>
  </customSheetViews>
  <mergeCells count="7">
    <mergeCell ref="B7:C7"/>
    <mergeCell ref="A1:C1"/>
    <mergeCell ref="A2:C2"/>
    <mergeCell ref="A3:C3"/>
    <mergeCell ref="A4:C4"/>
    <mergeCell ref="B5:C5"/>
    <mergeCell ref="B6:C6"/>
  </mergeCells>
  <pageMargins left="0.7" right="0.7" top="0.75" bottom="0.75" header="0.3" footer="0.3"/>
  <pageSetup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390"/>
  <sheetViews>
    <sheetView topLeftCell="A325" workbookViewId="0">
      <selection activeCell="H257" sqref="H257"/>
    </sheetView>
  </sheetViews>
  <sheetFormatPr defaultColWidth="9.140625" defaultRowHeight="15" x14ac:dyDescent="0.25"/>
  <cols>
    <col min="1" max="1" width="47.5703125" bestFit="1" customWidth="1"/>
    <col min="2" max="3" width="13.5703125" bestFit="1" customWidth="1"/>
  </cols>
  <sheetData>
    <row r="1" spans="1:3" ht="15.75" x14ac:dyDescent="0.25">
      <c r="A1" s="1841" t="s">
        <v>0</v>
      </c>
      <c r="B1" s="1841"/>
      <c r="C1" s="1841"/>
    </row>
    <row r="2" spans="1:3" x14ac:dyDescent="0.25">
      <c r="A2" s="1842" t="s">
        <v>4</v>
      </c>
      <c r="B2" s="1842"/>
      <c r="C2" s="1842"/>
    </row>
    <row r="3" spans="1:3" ht="15.75" x14ac:dyDescent="0.25">
      <c r="A3" s="1843" t="s">
        <v>5</v>
      </c>
      <c r="B3" s="1843"/>
      <c r="C3" s="1843"/>
    </row>
    <row r="4" spans="1:3" x14ac:dyDescent="0.25">
      <c r="A4" s="1834" t="s">
        <v>6</v>
      </c>
      <c r="B4" s="1834"/>
      <c r="C4" s="1834"/>
    </row>
    <row r="5" spans="1:3" x14ac:dyDescent="0.25">
      <c r="A5" s="232" t="s">
        <v>7</v>
      </c>
      <c r="B5" s="1961" t="s">
        <v>8</v>
      </c>
      <c r="C5" s="1966"/>
    </row>
    <row r="6" spans="1:3" x14ac:dyDescent="0.25">
      <c r="A6" s="233" t="s">
        <v>9</v>
      </c>
      <c r="B6" s="1963" t="s">
        <v>6</v>
      </c>
      <c r="C6" s="1964"/>
    </row>
    <row r="7" spans="1:3" x14ac:dyDescent="0.25">
      <c r="A7" s="233" t="s">
        <v>7</v>
      </c>
      <c r="B7" s="1958" t="s">
        <v>10</v>
      </c>
      <c r="C7" s="1965"/>
    </row>
    <row r="8" spans="1:3" x14ac:dyDescent="0.25">
      <c r="A8" s="234" t="s">
        <v>7</v>
      </c>
      <c r="B8" s="235" t="s">
        <v>11</v>
      </c>
      <c r="C8" s="235" t="s">
        <v>12</v>
      </c>
    </row>
    <row r="9" spans="1:3" x14ac:dyDescent="0.25">
      <c r="A9" s="236" t="s">
        <v>13</v>
      </c>
      <c r="B9" s="237">
        <v>67823511</v>
      </c>
      <c r="C9" s="238"/>
    </row>
    <row r="10" spans="1:3" x14ac:dyDescent="0.25">
      <c r="A10" s="8" t="s">
        <v>15</v>
      </c>
      <c r="B10" s="239">
        <v>13000000</v>
      </c>
      <c r="C10" s="240"/>
    </row>
    <row r="11" spans="1:3" x14ac:dyDescent="0.25">
      <c r="A11" s="8" t="s">
        <v>16</v>
      </c>
      <c r="B11" s="239">
        <v>69186</v>
      </c>
      <c r="C11" s="240"/>
    </row>
    <row r="12" spans="1:3" x14ac:dyDescent="0.25">
      <c r="A12" s="8" t="s">
        <v>17</v>
      </c>
      <c r="B12" s="239">
        <v>3825310</v>
      </c>
      <c r="C12" s="240"/>
    </row>
    <row r="13" spans="1:3" x14ac:dyDescent="0.25">
      <c r="A13" s="8" t="s">
        <v>18</v>
      </c>
      <c r="B13" s="240"/>
      <c r="C13" s="239">
        <v>156125</v>
      </c>
    </row>
    <row r="14" spans="1:3" x14ac:dyDescent="0.25">
      <c r="A14" s="8" t="s">
        <v>19</v>
      </c>
      <c r="B14" s="239">
        <v>3124400</v>
      </c>
      <c r="C14" s="240"/>
    </row>
    <row r="15" spans="1:3" x14ac:dyDescent="0.25">
      <c r="A15" s="8" t="s">
        <v>20</v>
      </c>
      <c r="B15" s="239">
        <v>7858026.4299999997</v>
      </c>
      <c r="C15" s="240"/>
    </row>
    <row r="16" spans="1:3" x14ac:dyDescent="0.25">
      <c r="A16" s="8" t="s">
        <v>21</v>
      </c>
      <c r="B16" s="239">
        <v>4500</v>
      </c>
      <c r="C16" s="240"/>
    </row>
    <row r="17" spans="1:3" x14ac:dyDescent="0.25">
      <c r="A17" s="8" t="s">
        <v>22</v>
      </c>
      <c r="B17" s="240"/>
      <c r="C17" s="239">
        <v>68388</v>
      </c>
    </row>
    <row r="18" spans="1:3" x14ac:dyDescent="0.25">
      <c r="A18" s="8" t="s">
        <v>23</v>
      </c>
      <c r="B18" s="239">
        <v>6461</v>
      </c>
      <c r="C18" s="240"/>
    </row>
    <row r="19" spans="1:3" x14ac:dyDescent="0.25">
      <c r="A19" s="8" t="s">
        <v>24</v>
      </c>
      <c r="B19" s="239">
        <v>1585664</v>
      </c>
      <c r="C19" s="240"/>
    </row>
    <row r="20" spans="1:3" x14ac:dyDescent="0.25">
      <c r="A20" s="8" t="s">
        <v>25</v>
      </c>
      <c r="B20" s="240"/>
      <c r="C20" s="239">
        <v>2353055</v>
      </c>
    </row>
    <row r="21" spans="1:3" x14ac:dyDescent="0.25">
      <c r="A21" s="8" t="s">
        <v>26</v>
      </c>
      <c r="B21" s="240"/>
      <c r="C21" s="239">
        <v>941222</v>
      </c>
    </row>
    <row r="22" spans="1:3" x14ac:dyDescent="0.25">
      <c r="A22" s="8" t="s">
        <v>27</v>
      </c>
      <c r="B22" s="239">
        <v>19000</v>
      </c>
      <c r="C22" s="240"/>
    </row>
    <row r="23" spans="1:3" x14ac:dyDescent="0.25">
      <c r="A23" s="8" t="s">
        <v>28</v>
      </c>
      <c r="B23" s="239">
        <v>9000</v>
      </c>
      <c r="C23" s="240"/>
    </row>
    <row r="24" spans="1:3" x14ac:dyDescent="0.25">
      <c r="A24" s="8" t="s">
        <v>29</v>
      </c>
      <c r="B24" s="240"/>
      <c r="C24" s="239">
        <v>50553</v>
      </c>
    </row>
    <row r="25" spans="1:3" x14ac:dyDescent="0.25">
      <c r="A25" s="8" t="s">
        <v>30</v>
      </c>
      <c r="B25" s="239">
        <v>4000</v>
      </c>
      <c r="C25" s="240"/>
    </row>
    <row r="26" spans="1:3" x14ac:dyDescent="0.25">
      <c r="A26" s="8" t="s">
        <v>31</v>
      </c>
      <c r="B26" s="240"/>
      <c r="C26" s="239">
        <v>61249</v>
      </c>
    </row>
    <row r="27" spans="1:3" x14ac:dyDescent="0.25">
      <c r="A27" s="8" t="s">
        <v>32</v>
      </c>
      <c r="B27" s="240"/>
      <c r="C27" s="239">
        <v>1176528</v>
      </c>
    </row>
    <row r="28" spans="1:3" x14ac:dyDescent="0.25">
      <c r="A28" s="8" t="s">
        <v>33</v>
      </c>
      <c r="B28" s="239">
        <v>134911.04000000001</v>
      </c>
      <c r="C28" s="240"/>
    </row>
    <row r="29" spans="1:3" x14ac:dyDescent="0.25">
      <c r="A29" s="8" t="s">
        <v>34</v>
      </c>
      <c r="B29" s="239">
        <v>91200</v>
      </c>
      <c r="C29" s="240"/>
    </row>
    <row r="30" spans="1:3" x14ac:dyDescent="0.25">
      <c r="A30" s="8" t="s">
        <v>35</v>
      </c>
      <c r="B30" s="239">
        <v>97878</v>
      </c>
      <c r="C30" s="240"/>
    </row>
    <row r="31" spans="1:3" x14ac:dyDescent="0.25">
      <c r="A31" s="8" t="s">
        <v>36</v>
      </c>
      <c r="B31" s="239">
        <v>48970</v>
      </c>
      <c r="C31" s="240"/>
    </row>
    <row r="32" spans="1:3" x14ac:dyDescent="0.25">
      <c r="A32" s="8" t="s">
        <v>37</v>
      </c>
      <c r="B32" s="239">
        <v>274305</v>
      </c>
      <c r="C32" s="240"/>
    </row>
    <row r="33" spans="1:3" x14ac:dyDescent="0.25">
      <c r="A33" s="8" t="s">
        <v>38</v>
      </c>
      <c r="B33" s="240"/>
      <c r="C33" s="239">
        <v>262245</v>
      </c>
    </row>
    <row r="34" spans="1:3" x14ac:dyDescent="0.25">
      <c r="A34" s="8" t="s">
        <v>39</v>
      </c>
      <c r="B34" s="240"/>
      <c r="C34" s="239">
        <v>209878</v>
      </c>
    </row>
    <row r="35" spans="1:3" x14ac:dyDescent="0.25">
      <c r="A35" s="8" t="s">
        <v>40</v>
      </c>
      <c r="B35" s="239">
        <v>3207346</v>
      </c>
      <c r="C35" s="240"/>
    </row>
    <row r="36" spans="1:3" x14ac:dyDescent="0.25">
      <c r="A36" s="8" t="s">
        <v>41</v>
      </c>
      <c r="B36" s="239">
        <v>2575</v>
      </c>
      <c r="C36" s="240"/>
    </row>
    <row r="37" spans="1:3" x14ac:dyDescent="0.25">
      <c r="A37" s="8" t="s">
        <v>42</v>
      </c>
      <c r="B37" s="240"/>
      <c r="C37" s="239">
        <v>82125</v>
      </c>
    </row>
    <row r="38" spans="1:3" x14ac:dyDescent="0.25">
      <c r="A38" s="8" t="s">
        <v>43</v>
      </c>
      <c r="B38" s="239">
        <v>58993008.630000003</v>
      </c>
      <c r="C38" s="240"/>
    </row>
    <row r="39" spans="1:3" x14ac:dyDescent="0.25">
      <c r="A39" s="8" t="s">
        <v>45</v>
      </c>
      <c r="B39" s="240"/>
      <c r="C39" s="239">
        <v>20413989</v>
      </c>
    </row>
    <row r="40" spans="1:3" x14ac:dyDescent="0.25">
      <c r="A40" s="8" t="s">
        <v>46</v>
      </c>
      <c r="B40" s="240"/>
      <c r="C40" s="239">
        <v>32332</v>
      </c>
    </row>
    <row r="41" spans="1:3" x14ac:dyDescent="0.25">
      <c r="A41" s="8" t="s">
        <v>47</v>
      </c>
      <c r="B41" s="239">
        <v>364309</v>
      </c>
      <c r="C41" s="240"/>
    </row>
    <row r="42" spans="1:3" x14ac:dyDescent="0.25">
      <c r="A42" s="8" t="s">
        <v>48</v>
      </c>
      <c r="B42" s="239">
        <v>95263</v>
      </c>
      <c r="C42" s="240"/>
    </row>
    <row r="43" spans="1:3" x14ac:dyDescent="0.25">
      <c r="A43" s="8" t="s">
        <v>49</v>
      </c>
      <c r="B43" s="239">
        <v>81600</v>
      </c>
      <c r="C43" s="240"/>
    </row>
    <row r="44" spans="1:3" x14ac:dyDescent="0.25">
      <c r="A44" s="8" t="s">
        <v>50</v>
      </c>
      <c r="B44" s="239">
        <v>255504</v>
      </c>
      <c r="C44" s="240"/>
    </row>
    <row r="45" spans="1:3" x14ac:dyDescent="0.25">
      <c r="A45" s="8" t="s">
        <v>52</v>
      </c>
      <c r="B45" s="240"/>
      <c r="C45" s="239">
        <v>4520</v>
      </c>
    </row>
    <row r="46" spans="1:3" x14ac:dyDescent="0.25">
      <c r="A46" s="8" t="s">
        <v>71</v>
      </c>
      <c r="B46" s="240"/>
      <c r="C46" s="239">
        <v>2852087</v>
      </c>
    </row>
    <row r="47" spans="1:3" x14ac:dyDescent="0.25">
      <c r="A47" s="8" t="s">
        <v>72</v>
      </c>
      <c r="B47" s="239">
        <v>61274.11</v>
      </c>
      <c r="C47" s="240"/>
    </row>
    <row r="48" spans="1:3" x14ac:dyDescent="0.25">
      <c r="A48" s="8" t="s">
        <v>73</v>
      </c>
      <c r="B48" s="239">
        <v>19377618</v>
      </c>
      <c r="C48" s="240"/>
    </row>
    <row r="49" spans="1:3" x14ac:dyDescent="0.25">
      <c r="A49" s="8" t="s">
        <v>74</v>
      </c>
      <c r="B49" s="239">
        <v>396306</v>
      </c>
      <c r="C49" s="240"/>
    </row>
    <row r="50" spans="1:3" x14ac:dyDescent="0.25">
      <c r="A50" s="8" t="s">
        <v>75</v>
      </c>
      <c r="B50" s="240"/>
      <c r="C50" s="239">
        <v>638291</v>
      </c>
    </row>
    <row r="51" spans="1:3" x14ac:dyDescent="0.25">
      <c r="A51" s="8" t="s">
        <v>76</v>
      </c>
      <c r="B51" s="239">
        <v>4000</v>
      </c>
      <c r="C51" s="240"/>
    </row>
    <row r="52" spans="1:3" x14ac:dyDescent="0.25">
      <c r="A52" s="8" t="s">
        <v>77</v>
      </c>
      <c r="B52" s="239">
        <v>34675595</v>
      </c>
      <c r="C52" s="240"/>
    </row>
    <row r="53" spans="1:3" x14ac:dyDescent="0.25">
      <c r="A53" s="8" t="s">
        <v>78</v>
      </c>
      <c r="B53" s="239">
        <v>614111</v>
      </c>
      <c r="C53" s="240"/>
    </row>
    <row r="54" spans="1:3" x14ac:dyDescent="0.25">
      <c r="A54" s="8" t="s">
        <v>79</v>
      </c>
      <c r="B54" s="239">
        <v>25835930</v>
      </c>
      <c r="C54" s="240"/>
    </row>
    <row r="55" spans="1:3" x14ac:dyDescent="0.25">
      <c r="A55" s="8" t="s">
        <v>80</v>
      </c>
      <c r="B55" s="239">
        <v>171625</v>
      </c>
      <c r="C55" s="240"/>
    </row>
    <row r="56" spans="1:3" x14ac:dyDescent="0.25">
      <c r="A56" s="8" t="s">
        <v>81</v>
      </c>
      <c r="B56" s="239">
        <v>61275</v>
      </c>
      <c r="C56" s="240"/>
    </row>
    <row r="57" spans="1:3" x14ac:dyDescent="0.25">
      <c r="A57" s="8" t="s">
        <v>82</v>
      </c>
      <c r="B57" s="239">
        <v>38717565.439999998</v>
      </c>
      <c r="C57" s="240"/>
    </row>
    <row r="58" spans="1:3" x14ac:dyDescent="0.25">
      <c r="A58" s="8" t="s">
        <v>83</v>
      </c>
      <c r="B58" s="239">
        <v>313371</v>
      </c>
      <c r="C58" s="240"/>
    </row>
    <row r="59" spans="1:3" x14ac:dyDescent="0.25">
      <c r="A59" s="8" t="s">
        <v>84</v>
      </c>
      <c r="B59" s="239">
        <v>81671</v>
      </c>
      <c r="C59" s="240"/>
    </row>
    <row r="60" spans="1:3" x14ac:dyDescent="0.25">
      <c r="A60" s="8" t="s">
        <v>85</v>
      </c>
      <c r="B60" s="239">
        <v>1806809</v>
      </c>
      <c r="C60" s="240"/>
    </row>
    <row r="61" spans="1:3" x14ac:dyDescent="0.25">
      <c r="A61" s="8" t="s">
        <v>86</v>
      </c>
      <c r="B61" s="239">
        <v>1057200.7</v>
      </c>
      <c r="C61" s="240"/>
    </row>
    <row r="62" spans="1:3" x14ac:dyDescent="0.25">
      <c r="A62" s="8" t="s">
        <v>87</v>
      </c>
      <c r="B62" s="239">
        <v>7000</v>
      </c>
      <c r="C62" s="240"/>
    </row>
    <row r="63" spans="1:3" x14ac:dyDescent="0.25">
      <c r="A63" s="8" t="s">
        <v>88</v>
      </c>
      <c r="B63" s="239">
        <v>57713</v>
      </c>
      <c r="C63" s="240"/>
    </row>
    <row r="64" spans="1:3" x14ac:dyDescent="0.25">
      <c r="A64" s="8" t="s">
        <v>89</v>
      </c>
      <c r="B64" s="240"/>
      <c r="C64" s="239">
        <v>23574</v>
      </c>
    </row>
    <row r="65" spans="1:3" x14ac:dyDescent="0.25">
      <c r="A65" s="8" t="s">
        <v>90</v>
      </c>
      <c r="B65" s="240"/>
      <c r="C65" s="239">
        <v>206714</v>
      </c>
    </row>
    <row r="66" spans="1:3" x14ac:dyDescent="0.25">
      <c r="A66" s="8" t="s">
        <v>91</v>
      </c>
      <c r="B66" s="239">
        <v>30655</v>
      </c>
      <c r="C66" s="240"/>
    </row>
    <row r="67" spans="1:3" x14ac:dyDescent="0.25">
      <c r="A67" s="8" t="s">
        <v>92</v>
      </c>
      <c r="B67" s="239">
        <v>25835</v>
      </c>
      <c r="C67" s="240"/>
    </row>
    <row r="68" spans="1:3" x14ac:dyDescent="0.25">
      <c r="A68" s="8" t="s">
        <v>93</v>
      </c>
      <c r="B68" s="239">
        <v>62901</v>
      </c>
      <c r="C68" s="240"/>
    </row>
    <row r="69" spans="1:3" x14ac:dyDescent="0.25">
      <c r="A69" s="8" t="s">
        <v>94</v>
      </c>
      <c r="B69" s="239">
        <v>44221.5</v>
      </c>
      <c r="C69" s="240"/>
    </row>
    <row r="70" spans="1:3" x14ac:dyDescent="0.25">
      <c r="A70" s="8" t="s">
        <v>1437</v>
      </c>
      <c r="B70" s="239">
        <v>500</v>
      </c>
      <c r="C70" s="240"/>
    </row>
    <row r="71" spans="1:3" x14ac:dyDescent="0.25">
      <c r="A71" s="8" t="s">
        <v>95</v>
      </c>
      <c r="B71" s="239">
        <v>629000</v>
      </c>
      <c r="C71" s="240"/>
    </row>
    <row r="72" spans="1:3" x14ac:dyDescent="0.25">
      <c r="A72" s="8" t="s">
        <v>1362</v>
      </c>
      <c r="B72" s="240"/>
      <c r="C72" s="239">
        <v>247500</v>
      </c>
    </row>
    <row r="73" spans="1:3" x14ac:dyDescent="0.25">
      <c r="A73" s="8" t="s">
        <v>98</v>
      </c>
      <c r="B73" s="240"/>
      <c r="C73" s="239">
        <v>2151570</v>
      </c>
    </row>
    <row r="74" spans="1:3" x14ac:dyDescent="0.25">
      <c r="A74" s="8" t="s">
        <v>99</v>
      </c>
      <c r="B74" s="240"/>
      <c r="C74" s="239">
        <v>20264926</v>
      </c>
    </row>
    <row r="75" spans="1:3" x14ac:dyDescent="0.25">
      <c r="A75" s="8" t="s">
        <v>100</v>
      </c>
      <c r="B75" s="239">
        <v>1137100</v>
      </c>
      <c r="C75" s="240"/>
    </row>
    <row r="76" spans="1:3" x14ac:dyDescent="0.25">
      <c r="A76" s="8" t="s">
        <v>101</v>
      </c>
      <c r="B76" s="239">
        <v>6800</v>
      </c>
      <c r="C76" s="240"/>
    </row>
    <row r="77" spans="1:3" x14ac:dyDescent="0.25">
      <c r="A77" s="8" t="s">
        <v>102</v>
      </c>
      <c r="B77" s="239">
        <v>200000</v>
      </c>
      <c r="C77" s="240"/>
    </row>
    <row r="78" spans="1:3" x14ac:dyDescent="0.25">
      <c r="A78" s="8" t="s">
        <v>103</v>
      </c>
      <c r="B78" s="239">
        <v>10777</v>
      </c>
      <c r="C78" s="240"/>
    </row>
    <row r="79" spans="1:3" x14ac:dyDescent="0.25">
      <c r="A79" s="8" t="s">
        <v>104</v>
      </c>
      <c r="B79" s="239">
        <v>4778693</v>
      </c>
      <c r="C79" s="240"/>
    </row>
    <row r="80" spans="1:3" x14ac:dyDescent="0.25">
      <c r="A80" s="8" t="s">
        <v>105</v>
      </c>
      <c r="B80" s="239">
        <v>50000</v>
      </c>
      <c r="C80" s="240"/>
    </row>
    <row r="81" spans="1:3" x14ac:dyDescent="0.25">
      <c r="A81" s="8" t="s">
        <v>106</v>
      </c>
      <c r="B81" s="239">
        <v>248200</v>
      </c>
      <c r="C81" s="240"/>
    </row>
    <row r="82" spans="1:3" x14ac:dyDescent="0.25">
      <c r="A82" s="8" t="s">
        <v>107</v>
      </c>
      <c r="B82" s="239">
        <v>207370.61</v>
      </c>
      <c r="C82" s="240"/>
    </row>
    <row r="83" spans="1:3" x14ac:dyDescent="0.25">
      <c r="A83" s="8" t="s">
        <v>108</v>
      </c>
      <c r="B83" s="239">
        <v>125000</v>
      </c>
      <c r="C83" s="240"/>
    </row>
    <row r="84" spans="1:3" x14ac:dyDescent="0.25">
      <c r="A84" s="8" t="s">
        <v>109</v>
      </c>
      <c r="B84" s="239">
        <v>1865562</v>
      </c>
      <c r="C84" s="240"/>
    </row>
    <row r="85" spans="1:3" x14ac:dyDescent="0.25">
      <c r="A85" s="8" t="s">
        <v>110</v>
      </c>
      <c r="B85" s="239">
        <v>1829578</v>
      </c>
      <c r="C85" s="240"/>
    </row>
    <row r="86" spans="1:3" x14ac:dyDescent="0.25">
      <c r="A86" s="8" t="s">
        <v>111</v>
      </c>
      <c r="B86" s="239">
        <v>86663</v>
      </c>
      <c r="C86" s="240"/>
    </row>
    <row r="87" spans="1:3" x14ac:dyDescent="0.25">
      <c r="A87" s="8" t="s">
        <v>112</v>
      </c>
      <c r="B87" s="239">
        <v>46402</v>
      </c>
      <c r="C87" s="240"/>
    </row>
    <row r="88" spans="1:3" x14ac:dyDescent="0.25">
      <c r="A88" s="8" t="s">
        <v>113</v>
      </c>
      <c r="B88" s="239">
        <v>20856</v>
      </c>
      <c r="C88" s="240"/>
    </row>
    <row r="89" spans="1:3" x14ac:dyDescent="0.25">
      <c r="A89" s="8" t="s">
        <v>114</v>
      </c>
      <c r="B89" s="239">
        <v>12392974</v>
      </c>
      <c r="C89" s="240"/>
    </row>
    <row r="90" spans="1:3" x14ac:dyDescent="0.25">
      <c r="A90" s="8" t="s">
        <v>115</v>
      </c>
      <c r="B90" s="239">
        <v>369149</v>
      </c>
      <c r="C90" s="240"/>
    </row>
    <row r="91" spans="1:3" x14ac:dyDescent="0.25">
      <c r="A91" s="8" t="s">
        <v>598</v>
      </c>
      <c r="B91" s="240"/>
      <c r="C91" s="239">
        <v>24300</v>
      </c>
    </row>
    <row r="92" spans="1:3" x14ac:dyDescent="0.25">
      <c r="A92" s="8" t="s">
        <v>116</v>
      </c>
      <c r="B92" s="240"/>
      <c r="C92" s="239">
        <v>334448</v>
      </c>
    </row>
    <row r="93" spans="1:3" x14ac:dyDescent="0.25">
      <c r="A93" s="8" t="s">
        <v>117</v>
      </c>
      <c r="B93" s="239">
        <v>6000</v>
      </c>
      <c r="C93" s="240"/>
    </row>
    <row r="94" spans="1:3" x14ac:dyDescent="0.25">
      <c r="A94" s="8" t="s">
        <v>118</v>
      </c>
      <c r="B94" s="240"/>
      <c r="C94" s="239">
        <v>16211566</v>
      </c>
    </row>
    <row r="95" spans="1:3" x14ac:dyDescent="0.25">
      <c r="A95" s="8" t="s">
        <v>119</v>
      </c>
      <c r="B95" s="239">
        <v>28500</v>
      </c>
      <c r="C95" s="240"/>
    </row>
    <row r="96" spans="1:3" x14ac:dyDescent="0.25">
      <c r="A96" s="8" t="s">
        <v>120</v>
      </c>
      <c r="B96" s="239">
        <v>30200530</v>
      </c>
      <c r="C96" s="240"/>
    </row>
    <row r="97" spans="1:3" x14ac:dyDescent="0.25">
      <c r="A97" s="8" t="s">
        <v>121</v>
      </c>
      <c r="B97" s="239">
        <v>83852.84</v>
      </c>
      <c r="C97" s="240"/>
    </row>
    <row r="98" spans="1:3" x14ac:dyDescent="0.25">
      <c r="A98" s="8" t="s">
        <v>122</v>
      </c>
      <c r="B98" s="239">
        <v>890949</v>
      </c>
      <c r="C98" s="240"/>
    </row>
    <row r="99" spans="1:3" x14ac:dyDescent="0.25">
      <c r="A99" s="8" t="s">
        <v>123</v>
      </c>
      <c r="B99" s="239">
        <v>56000</v>
      </c>
      <c r="C99" s="240"/>
    </row>
    <row r="100" spans="1:3" x14ac:dyDescent="0.25">
      <c r="A100" s="8" t="s">
        <v>124</v>
      </c>
      <c r="B100" s="240"/>
      <c r="C100" s="239">
        <v>4423234</v>
      </c>
    </row>
    <row r="101" spans="1:3" x14ac:dyDescent="0.25">
      <c r="A101" s="8" t="s">
        <v>125</v>
      </c>
      <c r="B101" s="239">
        <v>28895808.41</v>
      </c>
      <c r="C101" s="240"/>
    </row>
    <row r="102" spans="1:3" x14ac:dyDescent="0.25">
      <c r="A102" s="8" t="s">
        <v>126</v>
      </c>
      <c r="B102" s="240"/>
      <c r="C102" s="239">
        <v>26922650</v>
      </c>
    </row>
    <row r="103" spans="1:3" x14ac:dyDescent="0.25">
      <c r="A103" s="8" t="s">
        <v>127</v>
      </c>
      <c r="B103" s="239">
        <v>212650</v>
      </c>
      <c r="C103" s="240"/>
    </row>
    <row r="104" spans="1:3" x14ac:dyDescent="0.25">
      <c r="A104" s="8" t="s">
        <v>128</v>
      </c>
      <c r="B104" s="239">
        <v>15900</v>
      </c>
      <c r="C104" s="240"/>
    </row>
    <row r="105" spans="1:3" x14ac:dyDescent="0.25">
      <c r="A105" s="8" t="s">
        <v>129</v>
      </c>
      <c r="B105" s="239">
        <v>4085113</v>
      </c>
      <c r="C105" s="240"/>
    </row>
    <row r="106" spans="1:3" x14ac:dyDescent="0.25">
      <c r="A106" s="8" t="s">
        <v>130</v>
      </c>
      <c r="B106" s="240"/>
      <c r="C106" s="239">
        <v>11505104.710000001</v>
      </c>
    </row>
    <row r="107" spans="1:3" x14ac:dyDescent="0.25">
      <c r="A107" s="8" t="s">
        <v>131</v>
      </c>
      <c r="B107" s="239">
        <v>64575</v>
      </c>
      <c r="C107" s="240"/>
    </row>
    <row r="108" spans="1:3" x14ac:dyDescent="0.25">
      <c r="A108" s="8" t="s">
        <v>132</v>
      </c>
      <c r="B108" s="239">
        <v>244646.5</v>
      </c>
      <c r="C108" s="240"/>
    </row>
    <row r="109" spans="1:3" x14ac:dyDescent="0.25">
      <c r="A109" s="8" t="s">
        <v>133</v>
      </c>
      <c r="B109" s="239">
        <v>66604753.560000002</v>
      </c>
      <c r="C109" s="240"/>
    </row>
    <row r="110" spans="1:3" x14ac:dyDescent="0.25">
      <c r="A110" s="8" t="s">
        <v>134</v>
      </c>
      <c r="B110" s="239">
        <v>218259</v>
      </c>
      <c r="C110" s="240"/>
    </row>
    <row r="111" spans="1:3" x14ac:dyDescent="0.25">
      <c r="A111" s="8" t="s">
        <v>135</v>
      </c>
      <c r="B111" s="239">
        <v>50000</v>
      </c>
      <c r="C111" s="240"/>
    </row>
    <row r="112" spans="1:3" x14ac:dyDescent="0.25">
      <c r="A112" s="8" t="s">
        <v>136</v>
      </c>
      <c r="B112" s="239">
        <v>116330</v>
      </c>
      <c r="C112" s="240"/>
    </row>
    <row r="113" spans="1:3" x14ac:dyDescent="0.25">
      <c r="A113" s="8" t="s">
        <v>137</v>
      </c>
      <c r="B113" s="239">
        <v>7700</v>
      </c>
      <c r="C113" s="240"/>
    </row>
    <row r="114" spans="1:3" x14ac:dyDescent="0.25">
      <c r="A114" s="8" t="s">
        <v>138</v>
      </c>
      <c r="B114" s="239">
        <v>2854617</v>
      </c>
      <c r="C114" s="240"/>
    </row>
    <row r="115" spans="1:3" x14ac:dyDescent="0.25">
      <c r="A115" s="8" t="s">
        <v>139</v>
      </c>
      <c r="B115" s="240"/>
      <c r="C115" s="239">
        <v>279076</v>
      </c>
    </row>
    <row r="116" spans="1:3" x14ac:dyDescent="0.25">
      <c r="A116" s="8" t="s">
        <v>140</v>
      </c>
      <c r="B116" s="239">
        <v>1654054</v>
      </c>
      <c r="C116" s="240"/>
    </row>
    <row r="117" spans="1:3" x14ac:dyDescent="0.25">
      <c r="A117" s="8" t="s">
        <v>141</v>
      </c>
      <c r="B117" s="240"/>
      <c r="C117" s="239">
        <v>1394065</v>
      </c>
    </row>
    <row r="118" spans="1:3" x14ac:dyDescent="0.25">
      <c r="A118" s="8" t="s">
        <v>142</v>
      </c>
      <c r="B118" s="239">
        <v>202312.89</v>
      </c>
      <c r="C118" s="240"/>
    </row>
    <row r="119" spans="1:3" x14ac:dyDescent="0.25">
      <c r="A119" s="8" t="s">
        <v>143</v>
      </c>
      <c r="B119" s="239">
        <v>33965000</v>
      </c>
      <c r="C119" s="240"/>
    </row>
    <row r="120" spans="1:3" x14ac:dyDescent="0.25">
      <c r="A120" s="8" t="s">
        <v>144</v>
      </c>
      <c r="B120" s="239">
        <v>8000</v>
      </c>
      <c r="C120" s="240"/>
    </row>
    <row r="121" spans="1:3" x14ac:dyDescent="0.25">
      <c r="A121" s="8" t="s">
        <v>145</v>
      </c>
      <c r="B121" s="239">
        <v>1868166.03</v>
      </c>
      <c r="C121" s="240"/>
    </row>
    <row r="122" spans="1:3" x14ac:dyDescent="0.25">
      <c r="A122" s="8" t="s">
        <v>146</v>
      </c>
      <c r="B122" s="240"/>
      <c r="C122" s="239">
        <v>57671</v>
      </c>
    </row>
    <row r="123" spans="1:3" x14ac:dyDescent="0.25">
      <c r="A123" s="8" t="s">
        <v>147</v>
      </c>
      <c r="B123" s="240"/>
      <c r="C123" s="239">
        <v>1800000</v>
      </c>
    </row>
    <row r="124" spans="1:3" x14ac:dyDescent="0.25">
      <c r="A124" s="8" t="s">
        <v>1363</v>
      </c>
      <c r="B124" s="239">
        <v>921661</v>
      </c>
      <c r="C124" s="240"/>
    </row>
    <row r="125" spans="1:3" x14ac:dyDescent="0.25">
      <c r="A125" s="8" t="s">
        <v>149</v>
      </c>
      <c r="B125" s="239">
        <v>45000</v>
      </c>
      <c r="C125" s="240"/>
    </row>
    <row r="126" spans="1:3" x14ac:dyDescent="0.25">
      <c r="A126" s="8" t="s">
        <v>151</v>
      </c>
      <c r="B126" s="239">
        <v>36000</v>
      </c>
      <c r="C126" s="240"/>
    </row>
    <row r="127" spans="1:3" x14ac:dyDescent="0.25">
      <c r="A127" s="8" t="s">
        <v>2479</v>
      </c>
      <c r="B127" s="239">
        <v>76133</v>
      </c>
      <c r="C127" s="240"/>
    </row>
    <row r="128" spans="1:3" x14ac:dyDescent="0.25">
      <c r="A128" s="8" t="s">
        <v>152</v>
      </c>
      <c r="B128" s="240"/>
      <c r="C128" s="239">
        <v>8459</v>
      </c>
    </row>
    <row r="129" spans="1:3" x14ac:dyDescent="0.25">
      <c r="A129" s="8" t="s">
        <v>153</v>
      </c>
      <c r="B129" s="240"/>
      <c r="C129" s="239">
        <v>116424</v>
      </c>
    </row>
    <row r="130" spans="1:3" x14ac:dyDescent="0.25">
      <c r="A130" s="8" t="s">
        <v>154</v>
      </c>
      <c r="B130" s="240"/>
      <c r="C130" s="239">
        <v>1176528</v>
      </c>
    </row>
    <row r="131" spans="1:3" x14ac:dyDescent="0.25">
      <c r="A131" s="8" t="s">
        <v>155</v>
      </c>
      <c r="B131" s="239">
        <v>27000</v>
      </c>
      <c r="C131" s="240"/>
    </row>
    <row r="132" spans="1:3" x14ac:dyDescent="0.25">
      <c r="A132" s="8" t="s">
        <v>156</v>
      </c>
      <c r="B132" s="240"/>
      <c r="C132" s="239">
        <v>67381.600000000006</v>
      </c>
    </row>
    <row r="133" spans="1:3" x14ac:dyDescent="0.25">
      <c r="A133" s="8" t="s">
        <v>157</v>
      </c>
      <c r="B133" s="239">
        <v>1753713</v>
      </c>
      <c r="C133" s="240"/>
    </row>
    <row r="134" spans="1:3" x14ac:dyDescent="0.25">
      <c r="A134" s="8" t="s">
        <v>158</v>
      </c>
      <c r="B134" s="239">
        <v>8000</v>
      </c>
      <c r="C134" s="240"/>
    </row>
    <row r="135" spans="1:3" x14ac:dyDescent="0.25">
      <c r="A135" s="8" t="s">
        <v>167</v>
      </c>
      <c r="B135" s="240"/>
      <c r="C135" s="239">
        <v>446301</v>
      </c>
    </row>
    <row r="136" spans="1:3" x14ac:dyDescent="0.25">
      <c r="A136" s="8" t="s">
        <v>168</v>
      </c>
      <c r="B136" s="239">
        <v>74562</v>
      </c>
      <c r="C136" s="240"/>
    </row>
    <row r="137" spans="1:3" x14ac:dyDescent="0.25">
      <c r="A137" s="8" t="s">
        <v>169</v>
      </c>
      <c r="B137" s="239">
        <v>97418771</v>
      </c>
      <c r="C137" s="240"/>
    </row>
    <row r="138" spans="1:3" x14ac:dyDescent="0.25">
      <c r="A138" s="8" t="s">
        <v>1438</v>
      </c>
      <c r="B138" s="240"/>
      <c r="C138" s="239">
        <v>4370857</v>
      </c>
    </row>
    <row r="139" spans="1:3" x14ac:dyDescent="0.25">
      <c r="A139" s="8" t="s">
        <v>170</v>
      </c>
      <c r="B139" s="240"/>
      <c r="C139" s="239">
        <v>1301094</v>
      </c>
    </row>
    <row r="140" spans="1:3" x14ac:dyDescent="0.25">
      <c r="A140" s="8" t="s">
        <v>646</v>
      </c>
      <c r="B140" s="239">
        <v>1301094</v>
      </c>
      <c r="C140" s="240"/>
    </row>
    <row r="141" spans="1:3" x14ac:dyDescent="0.25">
      <c r="A141" s="8" t="s">
        <v>171</v>
      </c>
      <c r="B141" s="239">
        <v>17190</v>
      </c>
      <c r="C141" s="240"/>
    </row>
    <row r="142" spans="1:3" x14ac:dyDescent="0.25">
      <c r="A142" s="8" t="s">
        <v>172</v>
      </c>
      <c r="B142" s="240"/>
      <c r="C142" s="239">
        <v>11630</v>
      </c>
    </row>
    <row r="143" spans="1:3" x14ac:dyDescent="0.25">
      <c r="A143" s="8" t="s">
        <v>173</v>
      </c>
      <c r="B143" s="239">
        <v>330414</v>
      </c>
      <c r="C143" s="240"/>
    </row>
    <row r="144" spans="1:3" x14ac:dyDescent="0.25">
      <c r="A144" s="8" t="s">
        <v>178</v>
      </c>
      <c r="B144" s="239">
        <v>295193</v>
      </c>
      <c r="C144" s="240"/>
    </row>
    <row r="145" spans="1:3" x14ac:dyDescent="0.25">
      <c r="A145" s="8" t="s">
        <v>179</v>
      </c>
      <c r="B145" s="239">
        <v>45574</v>
      </c>
      <c r="C145" s="240"/>
    </row>
    <row r="146" spans="1:3" x14ac:dyDescent="0.25">
      <c r="A146" s="8" t="s">
        <v>180</v>
      </c>
      <c r="B146" s="239">
        <v>893526</v>
      </c>
      <c r="C146" s="240"/>
    </row>
    <row r="147" spans="1:3" x14ac:dyDescent="0.25">
      <c r="A147" s="8" t="s">
        <v>181</v>
      </c>
      <c r="B147" s="239">
        <v>545158</v>
      </c>
      <c r="C147" s="240"/>
    </row>
    <row r="148" spans="1:3" x14ac:dyDescent="0.25">
      <c r="A148" s="8" t="s">
        <v>654</v>
      </c>
      <c r="B148" s="239">
        <v>482741</v>
      </c>
      <c r="C148" s="240"/>
    </row>
    <row r="149" spans="1:3" x14ac:dyDescent="0.25">
      <c r="A149" s="8" t="s">
        <v>182</v>
      </c>
      <c r="B149" s="239">
        <v>1838</v>
      </c>
      <c r="C149" s="240"/>
    </row>
    <row r="150" spans="1:3" x14ac:dyDescent="0.25">
      <c r="A150" s="8" t="s">
        <v>183</v>
      </c>
      <c r="B150" s="239">
        <v>2098</v>
      </c>
      <c r="C150" s="240"/>
    </row>
    <row r="151" spans="1:3" x14ac:dyDescent="0.25">
      <c r="A151" s="8" t="s">
        <v>184</v>
      </c>
      <c r="B151" s="240"/>
      <c r="C151" s="239">
        <v>202264.61</v>
      </c>
    </row>
    <row r="152" spans="1:3" x14ac:dyDescent="0.25">
      <c r="A152" s="8" t="s">
        <v>185</v>
      </c>
      <c r="B152" s="239">
        <v>368858</v>
      </c>
      <c r="C152" s="240"/>
    </row>
    <row r="153" spans="1:3" x14ac:dyDescent="0.25">
      <c r="A153" s="8" t="s">
        <v>186</v>
      </c>
      <c r="B153" s="239">
        <v>460969</v>
      </c>
      <c r="C153" s="240"/>
    </row>
    <row r="154" spans="1:3" x14ac:dyDescent="0.25">
      <c r="A154" s="8" t="s">
        <v>187</v>
      </c>
      <c r="B154" s="239">
        <v>7</v>
      </c>
      <c r="C154" s="240"/>
    </row>
    <row r="155" spans="1:3" x14ac:dyDescent="0.25">
      <c r="A155" s="8" t="s">
        <v>188</v>
      </c>
      <c r="B155" s="239">
        <v>10150</v>
      </c>
      <c r="C155" s="240"/>
    </row>
    <row r="156" spans="1:3" x14ac:dyDescent="0.25">
      <c r="A156" s="8" t="s">
        <v>189</v>
      </c>
      <c r="B156" s="239">
        <v>859878</v>
      </c>
      <c r="C156" s="240"/>
    </row>
    <row r="157" spans="1:3" x14ac:dyDescent="0.25">
      <c r="A157" s="8" t="s">
        <v>190</v>
      </c>
      <c r="B157" s="239">
        <v>468</v>
      </c>
      <c r="C157" s="240"/>
    </row>
    <row r="158" spans="1:3" x14ac:dyDescent="0.25">
      <c r="A158" s="8" t="s">
        <v>662</v>
      </c>
      <c r="B158" s="239">
        <v>19982</v>
      </c>
      <c r="C158" s="240"/>
    </row>
    <row r="159" spans="1:3" x14ac:dyDescent="0.25">
      <c r="A159" s="8" t="s">
        <v>2480</v>
      </c>
      <c r="B159" s="239">
        <v>88213</v>
      </c>
      <c r="C159" s="240"/>
    </row>
    <row r="160" spans="1:3" x14ac:dyDescent="0.25">
      <c r="A160" s="8" t="s">
        <v>192</v>
      </c>
      <c r="B160" s="239">
        <v>7</v>
      </c>
      <c r="C160" s="240"/>
    </row>
    <row r="161" spans="1:3" x14ac:dyDescent="0.25">
      <c r="A161" s="8" t="s">
        <v>193</v>
      </c>
      <c r="B161" s="239">
        <v>5531</v>
      </c>
      <c r="C161" s="240"/>
    </row>
    <row r="162" spans="1:3" x14ac:dyDescent="0.25">
      <c r="A162" s="8" t="s">
        <v>194</v>
      </c>
      <c r="B162" s="239">
        <v>4285</v>
      </c>
      <c r="C162" s="240"/>
    </row>
    <row r="163" spans="1:3" x14ac:dyDescent="0.25">
      <c r="A163" s="8" t="s">
        <v>669</v>
      </c>
      <c r="B163" s="240"/>
      <c r="C163" s="239">
        <v>139269</v>
      </c>
    </row>
    <row r="164" spans="1:3" x14ac:dyDescent="0.25">
      <c r="A164" s="8" t="s">
        <v>195</v>
      </c>
      <c r="B164" s="239">
        <v>131953</v>
      </c>
      <c r="C164" s="240"/>
    </row>
    <row r="165" spans="1:3" x14ac:dyDescent="0.25">
      <c r="A165" s="8" t="s">
        <v>1439</v>
      </c>
      <c r="B165" s="240"/>
      <c r="C165" s="239">
        <v>10670.56</v>
      </c>
    </row>
    <row r="166" spans="1:3" x14ac:dyDescent="0.25">
      <c r="A166" s="8" t="s">
        <v>196</v>
      </c>
      <c r="B166" s="239">
        <v>2678489.9500000002</v>
      </c>
      <c r="C166" s="240"/>
    </row>
    <row r="167" spans="1:3" x14ac:dyDescent="0.25">
      <c r="A167" s="8" t="s">
        <v>197</v>
      </c>
      <c r="B167" s="239">
        <v>6</v>
      </c>
      <c r="C167" s="240"/>
    </row>
    <row r="168" spans="1:3" x14ac:dyDescent="0.25">
      <c r="A168" s="8" t="s">
        <v>198</v>
      </c>
      <c r="B168" s="239">
        <v>1225</v>
      </c>
      <c r="C168" s="240"/>
    </row>
    <row r="169" spans="1:3" x14ac:dyDescent="0.25">
      <c r="A169" s="8" t="s">
        <v>199</v>
      </c>
      <c r="B169" s="239">
        <v>1577670</v>
      </c>
      <c r="C169" s="240"/>
    </row>
    <row r="170" spans="1:3" x14ac:dyDescent="0.25">
      <c r="A170" s="8" t="s">
        <v>200</v>
      </c>
      <c r="B170" s="239">
        <v>180000</v>
      </c>
      <c r="C170" s="240"/>
    </row>
    <row r="171" spans="1:3" x14ac:dyDescent="0.25">
      <c r="A171" s="8" t="s">
        <v>201</v>
      </c>
      <c r="B171" s="240"/>
      <c r="C171" s="239">
        <v>71036</v>
      </c>
    </row>
    <row r="172" spans="1:3" x14ac:dyDescent="0.25">
      <c r="A172" s="8" t="s">
        <v>202</v>
      </c>
      <c r="B172" s="239">
        <v>36037</v>
      </c>
      <c r="C172" s="240"/>
    </row>
    <row r="173" spans="1:3" x14ac:dyDescent="0.25">
      <c r="A173" s="8" t="s">
        <v>203</v>
      </c>
      <c r="B173" s="239">
        <v>172778</v>
      </c>
      <c r="C173" s="240"/>
    </row>
    <row r="174" spans="1:3" x14ac:dyDescent="0.25">
      <c r="A174" s="8" t="s">
        <v>204</v>
      </c>
      <c r="B174" s="240"/>
      <c r="C174" s="239">
        <v>6384474</v>
      </c>
    </row>
    <row r="175" spans="1:3" x14ac:dyDescent="0.25">
      <c r="A175" s="8" t="s">
        <v>205</v>
      </c>
      <c r="B175" s="239">
        <v>565401</v>
      </c>
      <c r="C175" s="240"/>
    </row>
    <row r="176" spans="1:3" x14ac:dyDescent="0.25">
      <c r="A176" s="8" t="s">
        <v>206</v>
      </c>
      <c r="B176" s="239">
        <v>573513</v>
      </c>
      <c r="C176" s="240"/>
    </row>
    <row r="177" spans="1:3" x14ac:dyDescent="0.25">
      <c r="A177" s="8" t="s">
        <v>207</v>
      </c>
      <c r="B177" s="239">
        <v>66000</v>
      </c>
      <c r="C177" s="240"/>
    </row>
    <row r="178" spans="1:3" x14ac:dyDescent="0.25">
      <c r="A178" s="8" t="s">
        <v>208</v>
      </c>
      <c r="B178" s="240"/>
      <c r="C178" s="239">
        <v>537677</v>
      </c>
    </row>
    <row r="179" spans="1:3" x14ac:dyDescent="0.25">
      <c r="A179" s="8" t="s">
        <v>210</v>
      </c>
      <c r="B179" s="240"/>
      <c r="C179" s="239">
        <v>3529583</v>
      </c>
    </row>
    <row r="180" spans="1:3" x14ac:dyDescent="0.25">
      <c r="A180" s="8" t="s">
        <v>211</v>
      </c>
      <c r="B180" s="240"/>
      <c r="C180" s="239">
        <v>12238807.5</v>
      </c>
    </row>
    <row r="181" spans="1:3" x14ac:dyDescent="0.25">
      <c r="A181" s="8" t="s">
        <v>213</v>
      </c>
      <c r="B181" s="239">
        <v>2745000</v>
      </c>
      <c r="C181" s="240"/>
    </row>
    <row r="182" spans="1:3" x14ac:dyDescent="0.25">
      <c r="A182" s="8" t="s">
        <v>214</v>
      </c>
      <c r="B182" s="240"/>
      <c r="C182" s="239">
        <v>3244</v>
      </c>
    </row>
    <row r="183" spans="1:3" x14ac:dyDescent="0.25">
      <c r="A183" s="8" t="s">
        <v>215</v>
      </c>
      <c r="B183" s="239">
        <v>6000</v>
      </c>
      <c r="C183" s="240"/>
    </row>
    <row r="184" spans="1:3" x14ac:dyDescent="0.25">
      <c r="A184" s="8" t="s">
        <v>216</v>
      </c>
      <c r="B184" s="239">
        <v>14112</v>
      </c>
      <c r="C184" s="240"/>
    </row>
    <row r="185" spans="1:3" x14ac:dyDescent="0.25">
      <c r="A185" s="8" t="s">
        <v>217</v>
      </c>
      <c r="B185" s="240"/>
      <c r="C185" s="239">
        <v>5721513</v>
      </c>
    </row>
    <row r="186" spans="1:3" x14ac:dyDescent="0.25">
      <c r="A186" s="8" t="s">
        <v>218</v>
      </c>
      <c r="B186" s="239">
        <v>45230755</v>
      </c>
      <c r="C186" s="240"/>
    </row>
    <row r="187" spans="1:3" x14ac:dyDescent="0.25">
      <c r="A187" s="8" t="s">
        <v>691</v>
      </c>
      <c r="B187" s="239">
        <v>198086</v>
      </c>
      <c r="C187" s="240"/>
    </row>
    <row r="188" spans="1:3" x14ac:dyDescent="0.25">
      <c r="A188" s="8" t="s">
        <v>692</v>
      </c>
      <c r="B188" s="240"/>
      <c r="C188" s="239">
        <v>198086</v>
      </c>
    </row>
    <row r="189" spans="1:3" x14ac:dyDescent="0.25">
      <c r="A189" s="8" t="s">
        <v>220</v>
      </c>
      <c r="B189" s="239">
        <v>243920</v>
      </c>
      <c r="C189" s="240"/>
    </row>
    <row r="190" spans="1:3" x14ac:dyDescent="0.25">
      <c r="A190" s="8" t="s">
        <v>221</v>
      </c>
      <c r="B190" s="240"/>
      <c r="C190" s="239">
        <v>47229</v>
      </c>
    </row>
    <row r="191" spans="1:3" x14ac:dyDescent="0.25">
      <c r="A191" s="8" t="s">
        <v>222</v>
      </c>
      <c r="B191" s="239">
        <v>86902</v>
      </c>
      <c r="C191" s="240"/>
    </row>
    <row r="192" spans="1:3" x14ac:dyDescent="0.25">
      <c r="A192" s="8" t="s">
        <v>223</v>
      </c>
      <c r="B192" s="240"/>
      <c r="C192" s="239">
        <v>11871807.5</v>
      </c>
    </row>
    <row r="193" spans="1:3" x14ac:dyDescent="0.25">
      <c r="A193" s="8" t="s">
        <v>224</v>
      </c>
      <c r="B193" s="239">
        <v>136767</v>
      </c>
      <c r="C193" s="240"/>
    </row>
    <row r="194" spans="1:3" x14ac:dyDescent="0.25">
      <c r="A194" s="8" t="s">
        <v>225</v>
      </c>
      <c r="B194" s="239">
        <v>1020022</v>
      </c>
      <c r="C194" s="240"/>
    </row>
    <row r="195" spans="1:3" x14ac:dyDescent="0.25">
      <c r="A195" s="8" t="s">
        <v>226</v>
      </c>
      <c r="B195" s="239">
        <v>7737390.6699999999</v>
      </c>
      <c r="C195" s="240"/>
    </row>
    <row r="196" spans="1:3" x14ac:dyDescent="0.25">
      <c r="A196" s="8" t="s">
        <v>227</v>
      </c>
      <c r="B196" s="239">
        <v>1231418.3999999999</v>
      </c>
      <c r="C196" s="240"/>
    </row>
    <row r="197" spans="1:3" x14ac:dyDescent="0.25">
      <c r="A197" s="8" t="s">
        <v>228</v>
      </c>
      <c r="B197" s="239">
        <v>411283</v>
      </c>
      <c r="C197" s="240"/>
    </row>
    <row r="198" spans="1:3" x14ac:dyDescent="0.25">
      <c r="A198" s="8" t="s">
        <v>229</v>
      </c>
      <c r="B198" s="240"/>
      <c r="C198" s="239">
        <v>58240</v>
      </c>
    </row>
    <row r="199" spans="1:3" x14ac:dyDescent="0.25">
      <c r="A199" s="8" t="s">
        <v>230</v>
      </c>
      <c r="B199" s="239">
        <v>11000</v>
      </c>
      <c r="C199" s="240"/>
    </row>
    <row r="200" spans="1:3" x14ac:dyDescent="0.25">
      <c r="A200" s="8" t="s">
        <v>231</v>
      </c>
      <c r="B200" s="240"/>
      <c r="C200" s="239">
        <v>2568965</v>
      </c>
    </row>
    <row r="201" spans="1:3" x14ac:dyDescent="0.25">
      <c r="A201" s="8" t="s">
        <v>232</v>
      </c>
      <c r="B201" s="239">
        <v>3430</v>
      </c>
      <c r="C201" s="240"/>
    </row>
    <row r="202" spans="1:3" x14ac:dyDescent="0.25">
      <c r="A202" s="8" t="s">
        <v>233</v>
      </c>
      <c r="B202" s="239">
        <v>8000</v>
      </c>
      <c r="C202" s="240"/>
    </row>
    <row r="203" spans="1:3" x14ac:dyDescent="0.25">
      <c r="A203" s="8" t="s">
        <v>239</v>
      </c>
      <c r="B203" s="239">
        <v>306631</v>
      </c>
      <c r="C203" s="240"/>
    </row>
    <row r="204" spans="1:3" x14ac:dyDescent="0.25">
      <c r="A204" s="8" t="s">
        <v>242</v>
      </c>
      <c r="B204" s="239">
        <v>2000</v>
      </c>
      <c r="C204" s="240"/>
    </row>
    <row r="205" spans="1:3" x14ac:dyDescent="0.25">
      <c r="A205" s="8" t="s">
        <v>245</v>
      </c>
      <c r="B205" s="240"/>
      <c r="C205" s="239">
        <v>20037</v>
      </c>
    </row>
    <row r="206" spans="1:3" x14ac:dyDescent="0.25">
      <c r="A206" s="8" t="s">
        <v>246</v>
      </c>
      <c r="B206" s="239">
        <v>1000</v>
      </c>
      <c r="C206" s="240"/>
    </row>
    <row r="207" spans="1:3" x14ac:dyDescent="0.25">
      <c r="A207" s="8" t="s">
        <v>248</v>
      </c>
      <c r="B207" s="240"/>
      <c r="C207" s="239">
        <v>379282</v>
      </c>
    </row>
    <row r="208" spans="1:3" x14ac:dyDescent="0.25">
      <c r="A208" s="8" t="s">
        <v>249</v>
      </c>
      <c r="B208" s="239">
        <v>12000</v>
      </c>
      <c r="C208" s="240"/>
    </row>
    <row r="209" spans="1:3" x14ac:dyDescent="0.25">
      <c r="A209" s="8" t="s">
        <v>251</v>
      </c>
      <c r="B209" s="239">
        <v>104715</v>
      </c>
      <c r="C209" s="240"/>
    </row>
    <row r="210" spans="1:3" x14ac:dyDescent="0.25">
      <c r="A210" s="8" t="s">
        <v>252</v>
      </c>
      <c r="B210" s="239">
        <v>88900</v>
      </c>
      <c r="C210" s="240"/>
    </row>
    <row r="211" spans="1:3" x14ac:dyDescent="0.25">
      <c r="A211" s="8" t="s">
        <v>253</v>
      </c>
      <c r="B211" s="240"/>
      <c r="C211" s="239">
        <v>5880</v>
      </c>
    </row>
    <row r="212" spans="1:3" x14ac:dyDescent="0.25">
      <c r="A212" s="8" t="s">
        <v>254</v>
      </c>
      <c r="B212" s="239">
        <v>1333372.8500000001</v>
      </c>
      <c r="C212" s="240"/>
    </row>
    <row r="213" spans="1:3" x14ac:dyDescent="0.25">
      <c r="A213" s="8" t="s">
        <v>255</v>
      </c>
      <c r="B213" s="239">
        <v>59486</v>
      </c>
      <c r="C213" s="240"/>
    </row>
    <row r="214" spans="1:3" x14ac:dyDescent="0.25">
      <c r="A214" s="8" t="s">
        <v>256</v>
      </c>
      <c r="B214" s="239">
        <v>312000</v>
      </c>
      <c r="C214" s="240"/>
    </row>
    <row r="215" spans="1:3" x14ac:dyDescent="0.25">
      <c r="A215" s="8" t="s">
        <v>257</v>
      </c>
      <c r="B215" s="239">
        <v>42660</v>
      </c>
      <c r="C215" s="240"/>
    </row>
    <row r="216" spans="1:3" x14ac:dyDescent="0.25">
      <c r="A216" s="8" t="s">
        <v>258</v>
      </c>
      <c r="B216" s="239">
        <v>2929</v>
      </c>
      <c r="C216" s="240"/>
    </row>
    <row r="217" spans="1:3" x14ac:dyDescent="0.25">
      <c r="A217" s="8" t="s">
        <v>259</v>
      </c>
      <c r="B217" s="239">
        <v>189048</v>
      </c>
      <c r="C217" s="240"/>
    </row>
    <row r="218" spans="1:3" x14ac:dyDescent="0.25">
      <c r="A218" s="8" t="s">
        <v>260</v>
      </c>
      <c r="B218" s="239">
        <v>23600</v>
      </c>
      <c r="C218" s="240"/>
    </row>
    <row r="219" spans="1:3" x14ac:dyDescent="0.25">
      <c r="A219" s="8" t="s">
        <v>261</v>
      </c>
      <c r="B219" s="239">
        <v>3600</v>
      </c>
      <c r="C219" s="240"/>
    </row>
    <row r="220" spans="1:3" x14ac:dyDescent="0.25">
      <c r="A220" s="8" t="s">
        <v>262</v>
      </c>
      <c r="B220" s="239">
        <v>5227186</v>
      </c>
      <c r="C220" s="240"/>
    </row>
    <row r="221" spans="1:3" x14ac:dyDescent="0.25">
      <c r="A221" s="8" t="s">
        <v>263</v>
      </c>
      <c r="B221" s="239">
        <v>870</v>
      </c>
      <c r="C221" s="240"/>
    </row>
    <row r="222" spans="1:3" x14ac:dyDescent="0.25">
      <c r="A222" s="8" t="s">
        <v>264</v>
      </c>
      <c r="B222" s="239">
        <v>1640</v>
      </c>
      <c r="C222" s="240"/>
    </row>
    <row r="223" spans="1:3" x14ac:dyDescent="0.25">
      <c r="A223" s="8" t="s">
        <v>265</v>
      </c>
      <c r="B223" s="239">
        <v>248948</v>
      </c>
      <c r="C223" s="240"/>
    </row>
    <row r="224" spans="1:3" x14ac:dyDescent="0.25">
      <c r="A224" s="8" t="s">
        <v>266</v>
      </c>
      <c r="B224" s="240"/>
      <c r="C224" s="239">
        <v>902538</v>
      </c>
    </row>
    <row r="225" spans="1:3" x14ac:dyDescent="0.25">
      <c r="A225" s="8" t="s">
        <v>267</v>
      </c>
      <c r="B225" s="240"/>
      <c r="C225" s="239">
        <v>25865</v>
      </c>
    </row>
    <row r="226" spans="1:3" x14ac:dyDescent="0.25">
      <c r="A226" s="8" t="s">
        <v>268</v>
      </c>
      <c r="B226" s="240"/>
      <c r="C226" s="239">
        <v>438710</v>
      </c>
    </row>
    <row r="227" spans="1:3" x14ac:dyDescent="0.25">
      <c r="A227" s="8" t="s">
        <v>269</v>
      </c>
      <c r="B227" s="239">
        <v>6671147.8200000003</v>
      </c>
      <c r="C227" s="240"/>
    </row>
    <row r="228" spans="1:3" x14ac:dyDescent="0.25">
      <c r="A228" s="8" t="s">
        <v>270</v>
      </c>
      <c r="B228" s="240"/>
      <c r="C228" s="239">
        <v>700</v>
      </c>
    </row>
    <row r="229" spans="1:3" x14ac:dyDescent="0.25">
      <c r="A229" s="8" t="s">
        <v>271</v>
      </c>
      <c r="B229" s="240"/>
      <c r="C229" s="239">
        <v>269890</v>
      </c>
    </row>
    <row r="230" spans="1:3" x14ac:dyDescent="0.25">
      <c r="A230" s="8" t="s">
        <v>272</v>
      </c>
      <c r="B230" s="240"/>
      <c r="C230" s="239">
        <v>386769</v>
      </c>
    </row>
    <row r="231" spans="1:3" x14ac:dyDescent="0.25">
      <c r="A231" s="8" t="s">
        <v>273</v>
      </c>
      <c r="B231" s="240"/>
      <c r="C231" s="239">
        <v>538166</v>
      </c>
    </row>
    <row r="232" spans="1:3" x14ac:dyDescent="0.25">
      <c r="A232" s="8" t="s">
        <v>274</v>
      </c>
      <c r="B232" s="239">
        <v>75</v>
      </c>
      <c r="C232" s="240"/>
    </row>
    <row r="233" spans="1:3" x14ac:dyDescent="0.25">
      <c r="A233" s="8" t="s">
        <v>275</v>
      </c>
      <c r="B233" s="239">
        <v>15855</v>
      </c>
      <c r="C233" s="240"/>
    </row>
    <row r="234" spans="1:3" x14ac:dyDescent="0.25">
      <c r="A234" s="8" t="s">
        <v>276</v>
      </c>
      <c r="B234" s="239">
        <v>75</v>
      </c>
      <c r="C234" s="240"/>
    </row>
    <row r="235" spans="1:3" x14ac:dyDescent="0.25">
      <c r="A235" s="8" t="s">
        <v>277</v>
      </c>
      <c r="B235" s="239">
        <v>221963738.28</v>
      </c>
      <c r="C235" s="240"/>
    </row>
    <row r="236" spans="1:3" x14ac:dyDescent="0.25">
      <c r="A236" s="8" t="s">
        <v>278</v>
      </c>
      <c r="B236" s="239">
        <v>98736</v>
      </c>
      <c r="C236" s="240"/>
    </row>
    <row r="237" spans="1:3" x14ac:dyDescent="0.25">
      <c r="A237" s="8" t="s">
        <v>279</v>
      </c>
      <c r="B237" s="240"/>
      <c r="C237" s="239">
        <v>6994370</v>
      </c>
    </row>
    <row r="238" spans="1:3" x14ac:dyDescent="0.25">
      <c r="A238" s="8" t="s">
        <v>280</v>
      </c>
      <c r="B238" s="239">
        <v>3897944</v>
      </c>
      <c r="C238" s="240"/>
    </row>
    <row r="239" spans="1:3" x14ac:dyDescent="0.25">
      <c r="A239" s="8" t="s">
        <v>281</v>
      </c>
      <c r="B239" s="240"/>
      <c r="C239" s="239">
        <v>1343333</v>
      </c>
    </row>
    <row r="240" spans="1:3" x14ac:dyDescent="0.25">
      <c r="A240" s="8" t="s">
        <v>747</v>
      </c>
      <c r="B240" s="239">
        <v>167481</v>
      </c>
      <c r="C240" s="240"/>
    </row>
    <row r="241" spans="1:3" x14ac:dyDescent="0.25">
      <c r="A241" s="8" t="s">
        <v>282</v>
      </c>
      <c r="B241" s="239">
        <v>974500</v>
      </c>
      <c r="C241" s="240"/>
    </row>
    <row r="242" spans="1:3" x14ac:dyDescent="0.25">
      <c r="A242" s="8" t="s">
        <v>283</v>
      </c>
      <c r="B242" s="240"/>
      <c r="C242" s="239">
        <v>124185196.38</v>
      </c>
    </row>
    <row r="243" spans="1:3" x14ac:dyDescent="0.25">
      <c r="A243" s="8" t="s">
        <v>284</v>
      </c>
      <c r="B243" s="240"/>
      <c r="C243" s="239">
        <v>18856500</v>
      </c>
    </row>
    <row r="244" spans="1:3" x14ac:dyDescent="0.25">
      <c r="A244" s="8" t="s">
        <v>285</v>
      </c>
      <c r="B244" s="239">
        <v>1147078</v>
      </c>
      <c r="C244" s="240"/>
    </row>
    <row r="245" spans="1:3" x14ac:dyDescent="0.25">
      <c r="A245" s="8" t="s">
        <v>286</v>
      </c>
      <c r="B245" s="240"/>
      <c r="C245" s="239">
        <v>6057874</v>
      </c>
    </row>
    <row r="246" spans="1:3" x14ac:dyDescent="0.25">
      <c r="A246" s="8" t="s">
        <v>287</v>
      </c>
      <c r="B246" s="240"/>
      <c r="C246" s="239">
        <v>5151094</v>
      </c>
    </row>
    <row r="247" spans="1:3" x14ac:dyDescent="0.25">
      <c r="A247" s="8" t="s">
        <v>288</v>
      </c>
      <c r="B247" s="240"/>
      <c r="C247" s="239">
        <v>944427</v>
      </c>
    </row>
    <row r="248" spans="1:3" x14ac:dyDescent="0.25">
      <c r="A248" s="8" t="s">
        <v>289</v>
      </c>
      <c r="B248" s="240"/>
      <c r="C248" s="239">
        <v>18512655</v>
      </c>
    </row>
    <row r="249" spans="1:3" x14ac:dyDescent="0.25">
      <c r="A249" s="8" t="s">
        <v>290</v>
      </c>
      <c r="B249" s="240"/>
      <c r="C249" s="239">
        <v>379192</v>
      </c>
    </row>
    <row r="250" spans="1:3" x14ac:dyDescent="0.25">
      <c r="A250" s="8" t="s">
        <v>291</v>
      </c>
      <c r="B250" s="240"/>
      <c r="C250" s="239">
        <v>1524569</v>
      </c>
    </row>
    <row r="251" spans="1:3" x14ac:dyDescent="0.25">
      <c r="A251" s="8" t="s">
        <v>292</v>
      </c>
      <c r="B251" s="240"/>
      <c r="C251" s="239">
        <v>774695</v>
      </c>
    </row>
    <row r="252" spans="1:3" x14ac:dyDescent="0.25">
      <c r="A252" s="8" t="s">
        <v>293</v>
      </c>
      <c r="B252" s="240"/>
      <c r="C252" s="239">
        <v>104507683</v>
      </c>
    </row>
    <row r="253" spans="1:3" x14ac:dyDescent="0.25">
      <c r="A253" s="8" t="s">
        <v>294</v>
      </c>
      <c r="B253" s="240"/>
      <c r="C253" s="239">
        <v>558720</v>
      </c>
    </row>
    <row r="254" spans="1:3" x14ac:dyDescent="0.25">
      <c r="A254" s="8" t="s">
        <v>296</v>
      </c>
      <c r="B254" s="239">
        <v>122153</v>
      </c>
      <c r="C254" s="240"/>
    </row>
    <row r="255" spans="1:3" x14ac:dyDescent="0.25">
      <c r="A255" s="8" t="s">
        <v>297</v>
      </c>
      <c r="B255" s="239">
        <v>271788</v>
      </c>
      <c r="C255" s="240"/>
    </row>
    <row r="256" spans="1:3" x14ac:dyDescent="0.25">
      <c r="A256" s="8" t="s">
        <v>298</v>
      </c>
      <c r="B256" s="239">
        <v>139678</v>
      </c>
      <c r="C256" s="240"/>
    </row>
    <row r="257" spans="1:3" x14ac:dyDescent="0.25">
      <c r="A257" s="8" t="s">
        <v>299</v>
      </c>
      <c r="B257" s="239">
        <v>34285</v>
      </c>
      <c r="C257" s="240"/>
    </row>
    <row r="258" spans="1:3" x14ac:dyDescent="0.25">
      <c r="A258" s="8" t="s">
        <v>657</v>
      </c>
      <c r="B258" s="239">
        <v>1699939</v>
      </c>
      <c r="C258" s="240"/>
    </row>
    <row r="259" spans="1:3" x14ac:dyDescent="0.25">
      <c r="A259" s="8" t="s">
        <v>300</v>
      </c>
      <c r="B259" s="240"/>
      <c r="C259" s="239">
        <v>3296204.7</v>
      </c>
    </row>
    <row r="260" spans="1:3" x14ac:dyDescent="0.25">
      <c r="A260" s="8" t="s">
        <v>301</v>
      </c>
      <c r="B260" s="239">
        <v>15450441</v>
      </c>
      <c r="C260" s="240"/>
    </row>
    <row r="261" spans="1:3" x14ac:dyDescent="0.25">
      <c r="A261" s="8" t="s">
        <v>302</v>
      </c>
      <c r="B261" s="240"/>
      <c r="C261" s="239">
        <v>12385</v>
      </c>
    </row>
    <row r="262" spans="1:3" x14ac:dyDescent="0.25">
      <c r="A262" s="8" t="s">
        <v>303</v>
      </c>
      <c r="B262" s="240"/>
      <c r="C262" s="239">
        <v>9346</v>
      </c>
    </row>
    <row r="263" spans="1:3" x14ac:dyDescent="0.25">
      <c r="A263" s="8" t="s">
        <v>304</v>
      </c>
      <c r="B263" s="239">
        <v>245315</v>
      </c>
      <c r="C263" s="240"/>
    </row>
    <row r="264" spans="1:3" x14ac:dyDescent="0.25">
      <c r="A264" s="8" t="s">
        <v>305</v>
      </c>
      <c r="B264" s="239">
        <v>6876013</v>
      </c>
      <c r="C264" s="240"/>
    </row>
    <row r="265" spans="1:3" x14ac:dyDescent="0.25">
      <c r="A265" s="8" t="s">
        <v>306</v>
      </c>
      <c r="B265" s="239">
        <v>4380095</v>
      </c>
      <c r="C265" s="240"/>
    </row>
    <row r="266" spans="1:3" x14ac:dyDescent="0.25">
      <c r="A266" s="8" t="s">
        <v>307</v>
      </c>
      <c r="B266" s="239">
        <v>5885577.8399999999</v>
      </c>
      <c r="C266" s="240"/>
    </row>
    <row r="267" spans="1:3" x14ac:dyDescent="0.25">
      <c r="A267" s="8" t="s">
        <v>308</v>
      </c>
      <c r="B267" s="240"/>
      <c r="C267" s="239">
        <v>13051000</v>
      </c>
    </row>
    <row r="268" spans="1:3" x14ac:dyDescent="0.25">
      <c r="A268" s="8" t="s">
        <v>309</v>
      </c>
      <c r="B268" s="240"/>
      <c r="C268" s="239">
        <v>2563</v>
      </c>
    </row>
    <row r="269" spans="1:3" x14ac:dyDescent="0.25">
      <c r="A269" s="8" t="s">
        <v>310</v>
      </c>
      <c r="B269" s="239">
        <v>10000</v>
      </c>
      <c r="C269" s="240"/>
    </row>
    <row r="270" spans="1:3" x14ac:dyDescent="0.25">
      <c r="A270" s="8" t="s">
        <v>311</v>
      </c>
      <c r="B270" s="239">
        <v>11000</v>
      </c>
      <c r="C270" s="240"/>
    </row>
    <row r="271" spans="1:3" x14ac:dyDescent="0.25">
      <c r="A271" s="8" t="s">
        <v>312</v>
      </c>
      <c r="B271" s="239">
        <v>208079</v>
      </c>
      <c r="C271" s="240"/>
    </row>
    <row r="272" spans="1:3" x14ac:dyDescent="0.25">
      <c r="A272" s="8" t="s">
        <v>313</v>
      </c>
      <c r="B272" s="239">
        <v>3861148</v>
      </c>
      <c r="C272" s="240"/>
    </row>
    <row r="273" spans="1:3" x14ac:dyDescent="0.25">
      <c r="A273" s="8" t="s">
        <v>314</v>
      </c>
      <c r="B273" s="239">
        <v>3359955</v>
      </c>
      <c r="C273" s="240"/>
    </row>
    <row r="274" spans="1:3" x14ac:dyDescent="0.25">
      <c r="A274" s="8" t="s">
        <v>315</v>
      </c>
      <c r="B274" s="240"/>
      <c r="C274" s="239">
        <v>20899</v>
      </c>
    </row>
    <row r="275" spans="1:3" x14ac:dyDescent="0.25">
      <c r="A275" s="8" t="s">
        <v>316</v>
      </c>
      <c r="B275" s="240"/>
      <c r="C275" s="239">
        <v>75747</v>
      </c>
    </row>
    <row r="276" spans="1:3" x14ac:dyDescent="0.25">
      <c r="A276" s="8" t="s">
        <v>317</v>
      </c>
      <c r="B276" s="240"/>
      <c r="C276" s="239">
        <v>20899</v>
      </c>
    </row>
    <row r="277" spans="1:3" x14ac:dyDescent="0.25">
      <c r="A277" s="8" t="s">
        <v>2305</v>
      </c>
      <c r="B277" s="240"/>
      <c r="C277" s="239">
        <v>216400</v>
      </c>
    </row>
    <row r="278" spans="1:3" x14ac:dyDescent="0.25">
      <c r="A278" s="8" t="s">
        <v>318</v>
      </c>
      <c r="B278" s="239">
        <v>4800000</v>
      </c>
      <c r="C278" s="240"/>
    </row>
    <row r="279" spans="1:3" x14ac:dyDescent="0.25">
      <c r="A279" s="8" t="s">
        <v>319</v>
      </c>
      <c r="B279" s="239">
        <v>281990</v>
      </c>
      <c r="C279" s="240"/>
    </row>
    <row r="280" spans="1:3" x14ac:dyDescent="0.25">
      <c r="A280" s="8" t="s">
        <v>320</v>
      </c>
      <c r="B280" s="239">
        <v>806397.4</v>
      </c>
      <c r="C280" s="240"/>
    </row>
    <row r="281" spans="1:3" x14ac:dyDescent="0.25">
      <c r="A281" s="8" t="s">
        <v>321</v>
      </c>
      <c r="B281" s="239">
        <v>688233.98</v>
      </c>
      <c r="C281" s="240"/>
    </row>
    <row r="282" spans="1:3" x14ac:dyDescent="0.25">
      <c r="A282" s="8" t="s">
        <v>322</v>
      </c>
      <c r="B282" s="240"/>
      <c r="C282" s="239">
        <v>50905004</v>
      </c>
    </row>
    <row r="283" spans="1:3" x14ac:dyDescent="0.25">
      <c r="A283" s="8" t="s">
        <v>323</v>
      </c>
      <c r="B283" s="239">
        <v>11900</v>
      </c>
      <c r="C283" s="240"/>
    </row>
    <row r="284" spans="1:3" x14ac:dyDescent="0.25">
      <c r="A284" s="8" t="s">
        <v>324</v>
      </c>
      <c r="B284" s="240"/>
      <c r="C284" s="239">
        <v>1692622</v>
      </c>
    </row>
    <row r="285" spans="1:3" x14ac:dyDescent="0.25">
      <c r="A285" s="8" t="s">
        <v>325</v>
      </c>
      <c r="B285" s="240"/>
      <c r="C285" s="239">
        <v>353.41</v>
      </c>
    </row>
    <row r="286" spans="1:3" x14ac:dyDescent="0.25">
      <c r="A286" s="8" t="s">
        <v>326</v>
      </c>
      <c r="B286" s="239">
        <v>25272743</v>
      </c>
      <c r="C286" s="240"/>
    </row>
    <row r="287" spans="1:3" x14ac:dyDescent="0.25">
      <c r="A287" s="8" t="s">
        <v>770</v>
      </c>
      <c r="B287" s="240"/>
      <c r="C287" s="239">
        <v>22960</v>
      </c>
    </row>
    <row r="288" spans="1:3" x14ac:dyDescent="0.25">
      <c r="A288" s="8" t="s">
        <v>327</v>
      </c>
      <c r="B288" s="240"/>
      <c r="C288" s="239">
        <v>19934</v>
      </c>
    </row>
    <row r="289" spans="1:3" x14ac:dyDescent="0.25">
      <c r="A289" s="8" t="s">
        <v>328</v>
      </c>
      <c r="B289" s="239">
        <v>347389</v>
      </c>
      <c r="C289" s="240"/>
    </row>
    <row r="290" spans="1:3" x14ac:dyDescent="0.25">
      <c r="A290" s="8" t="s">
        <v>329</v>
      </c>
      <c r="B290" s="240"/>
      <c r="C290" s="239">
        <v>331346</v>
      </c>
    </row>
    <row r="291" spans="1:3" x14ac:dyDescent="0.25">
      <c r="A291" s="8" t="s">
        <v>330</v>
      </c>
      <c r="B291" s="240"/>
      <c r="C291" s="239">
        <v>1029792</v>
      </c>
    </row>
    <row r="292" spans="1:3" x14ac:dyDescent="0.25">
      <c r="A292" s="8" t="s">
        <v>331</v>
      </c>
      <c r="B292" s="239">
        <v>216000</v>
      </c>
      <c r="C292" s="240"/>
    </row>
    <row r="293" spans="1:3" x14ac:dyDescent="0.25">
      <c r="A293" s="8" t="s">
        <v>332</v>
      </c>
      <c r="B293" s="239">
        <v>1684618</v>
      </c>
      <c r="C293" s="240"/>
    </row>
    <row r="294" spans="1:3" x14ac:dyDescent="0.25">
      <c r="A294" s="8" t="s">
        <v>333</v>
      </c>
      <c r="B294" s="239">
        <v>2423600</v>
      </c>
      <c r="C294" s="240"/>
    </row>
    <row r="295" spans="1:3" x14ac:dyDescent="0.25">
      <c r="A295" s="8" t="s">
        <v>334</v>
      </c>
      <c r="B295" s="239">
        <v>8467719</v>
      </c>
      <c r="C295" s="240"/>
    </row>
    <row r="296" spans="1:3" x14ac:dyDescent="0.25">
      <c r="A296" s="8" t="s">
        <v>335</v>
      </c>
      <c r="B296" s="240"/>
      <c r="C296" s="239">
        <v>714551552.14999998</v>
      </c>
    </row>
    <row r="297" spans="1:3" x14ac:dyDescent="0.25">
      <c r="A297" s="8" t="s">
        <v>1436</v>
      </c>
      <c r="B297" s="240"/>
      <c r="C297" s="239">
        <v>80530681.049999997</v>
      </c>
    </row>
    <row r="298" spans="1:3" x14ac:dyDescent="0.25">
      <c r="A298" s="8" t="s">
        <v>336</v>
      </c>
      <c r="B298" s="240"/>
      <c r="C298" s="239">
        <v>729659</v>
      </c>
    </row>
    <row r="299" spans="1:3" x14ac:dyDescent="0.25">
      <c r="A299" s="8" t="s">
        <v>337</v>
      </c>
      <c r="B299" s="240"/>
      <c r="C299" s="239">
        <v>941222</v>
      </c>
    </row>
    <row r="300" spans="1:3" x14ac:dyDescent="0.25">
      <c r="A300" s="8" t="s">
        <v>338</v>
      </c>
      <c r="B300" s="240"/>
      <c r="C300" s="239">
        <v>1764791</v>
      </c>
    </row>
    <row r="301" spans="1:3" x14ac:dyDescent="0.25">
      <c r="A301" s="8" t="s">
        <v>1365</v>
      </c>
      <c r="B301" s="240"/>
      <c r="C301" s="239">
        <v>401154</v>
      </c>
    </row>
    <row r="302" spans="1:3" x14ac:dyDescent="0.25">
      <c r="A302" s="8" t="s">
        <v>340</v>
      </c>
      <c r="B302" s="240"/>
      <c r="C302" s="239">
        <v>14600000</v>
      </c>
    </row>
    <row r="303" spans="1:3" x14ac:dyDescent="0.25">
      <c r="A303" s="8" t="s">
        <v>341</v>
      </c>
      <c r="B303" s="239">
        <v>78364.399999999994</v>
      </c>
      <c r="C303" s="240"/>
    </row>
    <row r="304" spans="1:3" x14ac:dyDescent="0.25">
      <c r="A304" s="8" t="s">
        <v>342</v>
      </c>
      <c r="B304" s="240"/>
      <c r="C304" s="239">
        <v>3874175</v>
      </c>
    </row>
    <row r="305" spans="1:3" x14ac:dyDescent="0.25">
      <c r="A305" s="8" t="s">
        <v>343</v>
      </c>
      <c r="B305" s="240"/>
      <c r="C305" s="239">
        <v>3118016</v>
      </c>
    </row>
    <row r="306" spans="1:3" x14ac:dyDescent="0.25">
      <c r="A306" s="8" t="s">
        <v>344</v>
      </c>
      <c r="B306" s="240"/>
      <c r="C306" s="239">
        <v>117270</v>
      </c>
    </row>
    <row r="307" spans="1:3" x14ac:dyDescent="0.25">
      <c r="A307" s="8" t="s">
        <v>345</v>
      </c>
      <c r="B307" s="240"/>
      <c r="C307" s="239">
        <v>25470</v>
      </c>
    </row>
    <row r="308" spans="1:3" x14ac:dyDescent="0.25">
      <c r="A308" s="8" t="s">
        <v>346</v>
      </c>
      <c r="B308" s="240"/>
      <c r="C308" s="239">
        <v>8664946</v>
      </c>
    </row>
    <row r="309" spans="1:3" x14ac:dyDescent="0.25">
      <c r="A309" s="8" t="s">
        <v>347</v>
      </c>
      <c r="B309" s="239">
        <v>703243</v>
      </c>
      <c r="C309" s="240"/>
    </row>
    <row r="310" spans="1:3" x14ac:dyDescent="0.25">
      <c r="A310" s="8" t="s">
        <v>348</v>
      </c>
      <c r="B310" s="240"/>
      <c r="C310" s="239">
        <v>204940</v>
      </c>
    </row>
    <row r="311" spans="1:3" x14ac:dyDescent="0.25">
      <c r="A311" s="8" t="s">
        <v>349</v>
      </c>
      <c r="B311" s="240"/>
      <c r="C311" s="239">
        <v>18748332</v>
      </c>
    </row>
    <row r="312" spans="1:3" x14ac:dyDescent="0.25">
      <c r="A312" s="8" t="s">
        <v>368</v>
      </c>
      <c r="B312" s="240"/>
      <c r="C312" s="239">
        <v>2852634</v>
      </c>
    </row>
    <row r="313" spans="1:3" x14ac:dyDescent="0.25">
      <c r="A313" s="8" t="s">
        <v>369</v>
      </c>
      <c r="B313" s="239">
        <v>53295.15</v>
      </c>
      <c r="C313" s="240"/>
    </row>
    <row r="314" spans="1:3" x14ac:dyDescent="0.25">
      <c r="A314" s="8" t="s">
        <v>370</v>
      </c>
      <c r="B314" s="239">
        <v>29993</v>
      </c>
      <c r="C314" s="240"/>
    </row>
    <row r="315" spans="1:3" x14ac:dyDescent="0.25">
      <c r="A315" s="8" t="s">
        <v>371</v>
      </c>
      <c r="B315" s="240"/>
      <c r="C315" s="239">
        <v>1019843</v>
      </c>
    </row>
    <row r="316" spans="1:3" x14ac:dyDescent="0.25">
      <c r="A316" s="8" t="s">
        <v>824</v>
      </c>
      <c r="B316" s="239">
        <v>59270</v>
      </c>
      <c r="C316" s="240"/>
    </row>
    <row r="317" spans="1:3" x14ac:dyDescent="0.25">
      <c r="A317" s="8" t="s">
        <v>372</v>
      </c>
      <c r="B317" s="240"/>
      <c r="C317" s="239">
        <v>2456715</v>
      </c>
    </row>
    <row r="318" spans="1:3" x14ac:dyDescent="0.25">
      <c r="A318" s="8" t="s">
        <v>373</v>
      </c>
      <c r="B318" s="239">
        <v>2856394</v>
      </c>
      <c r="C318" s="240"/>
    </row>
    <row r="319" spans="1:3" x14ac:dyDescent="0.25">
      <c r="A319" s="8" t="s">
        <v>374</v>
      </c>
      <c r="B319" s="239">
        <v>168822</v>
      </c>
      <c r="C319" s="240"/>
    </row>
    <row r="320" spans="1:3" x14ac:dyDescent="0.25">
      <c r="A320" s="8" t="s">
        <v>376</v>
      </c>
      <c r="B320" s="240"/>
      <c r="C320" s="239">
        <v>19308</v>
      </c>
    </row>
    <row r="321" spans="1:3" x14ac:dyDescent="0.25">
      <c r="A321" s="8" t="s">
        <v>377</v>
      </c>
      <c r="B321" s="240"/>
      <c r="C321" s="239">
        <v>586169</v>
      </c>
    </row>
    <row r="322" spans="1:3" x14ac:dyDescent="0.25">
      <c r="A322" s="8" t="s">
        <v>378</v>
      </c>
      <c r="B322" s="239">
        <v>511714</v>
      </c>
      <c r="C322" s="240"/>
    </row>
    <row r="323" spans="1:3" x14ac:dyDescent="0.25">
      <c r="A323" s="8" t="s">
        <v>379</v>
      </c>
      <c r="B323" s="240"/>
      <c r="C323" s="239">
        <v>134747</v>
      </c>
    </row>
    <row r="324" spans="1:3" x14ac:dyDescent="0.25">
      <c r="A324" s="8" t="s">
        <v>380</v>
      </c>
      <c r="B324" s="239">
        <v>173031</v>
      </c>
      <c r="C324" s="240"/>
    </row>
    <row r="325" spans="1:3" x14ac:dyDescent="0.25">
      <c r="A325" s="8" t="s">
        <v>381</v>
      </c>
      <c r="B325" s="239">
        <v>885649</v>
      </c>
      <c r="C325" s="240"/>
    </row>
    <row r="326" spans="1:3" x14ac:dyDescent="0.25">
      <c r="A326" s="8" t="s">
        <v>382</v>
      </c>
      <c r="B326" s="239">
        <v>55555</v>
      </c>
      <c r="C326" s="240"/>
    </row>
    <row r="327" spans="1:3" x14ac:dyDescent="0.25">
      <c r="A327" s="8" t="s">
        <v>383</v>
      </c>
      <c r="B327" s="239">
        <v>26467</v>
      </c>
      <c r="C327" s="240"/>
    </row>
    <row r="328" spans="1:3" x14ac:dyDescent="0.25">
      <c r="A328" s="8" t="s">
        <v>384</v>
      </c>
      <c r="B328" s="240"/>
      <c r="C328" s="239">
        <v>1882446</v>
      </c>
    </row>
    <row r="329" spans="1:3" x14ac:dyDescent="0.25">
      <c r="A329" s="8" t="s">
        <v>385</v>
      </c>
      <c r="B329" s="240"/>
      <c r="C329" s="239">
        <v>31436</v>
      </c>
    </row>
    <row r="330" spans="1:3" x14ac:dyDescent="0.25">
      <c r="A330" s="8" t="s">
        <v>386</v>
      </c>
      <c r="B330" s="240"/>
      <c r="C330" s="239">
        <v>33750</v>
      </c>
    </row>
    <row r="331" spans="1:3" x14ac:dyDescent="0.25">
      <c r="A331" s="8" t="s">
        <v>387</v>
      </c>
      <c r="B331" s="240"/>
      <c r="C331" s="239">
        <v>2195</v>
      </c>
    </row>
    <row r="332" spans="1:3" x14ac:dyDescent="0.25">
      <c r="A332" s="8" t="s">
        <v>388</v>
      </c>
      <c r="B332" s="240"/>
      <c r="C332" s="239">
        <v>12150</v>
      </c>
    </row>
    <row r="333" spans="1:3" x14ac:dyDescent="0.25">
      <c r="A333" s="8" t="s">
        <v>389</v>
      </c>
      <c r="B333" s="240"/>
      <c r="C333" s="239">
        <v>43576042.979999997</v>
      </c>
    </row>
    <row r="334" spans="1:3" x14ac:dyDescent="0.25">
      <c r="A334" s="8" t="s">
        <v>390</v>
      </c>
      <c r="B334" s="239">
        <v>5000332</v>
      </c>
      <c r="C334" s="240"/>
    </row>
    <row r="335" spans="1:3" x14ac:dyDescent="0.25">
      <c r="A335" s="8" t="s">
        <v>391</v>
      </c>
      <c r="B335" s="239">
        <v>301037.90000000002</v>
      </c>
      <c r="C335" s="240"/>
    </row>
    <row r="336" spans="1:3" x14ac:dyDescent="0.25">
      <c r="A336" s="8" t="s">
        <v>832</v>
      </c>
      <c r="B336" s="239">
        <v>275000</v>
      </c>
      <c r="C336" s="240"/>
    </row>
    <row r="337" spans="1:3" x14ac:dyDescent="0.25">
      <c r="A337" s="8" t="s">
        <v>392</v>
      </c>
      <c r="B337" s="239">
        <v>2500</v>
      </c>
      <c r="C337" s="240"/>
    </row>
    <row r="338" spans="1:3" x14ac:dyDescent="0.25">
      <c r="A338" s="8" t="s">
        <v>393</v>
      </c>
      <c r="B338" s="239">
        <v>37000</v>
      </c>
      <c r="C338" s="240"/>
    </row>
    <row r="339" spans="1:3" x14ac:dyDescent="0.25">
      <c r="A339" s="8" t="s">
        <v>394</v>
      </c>
      <c r="B339" s="240"/>
      <c r="C339" s="239">
        <v>92070</v>
      </c>
    </row>
    <row r="340" spans="1:3" x14ac:dyDescent="0.25">
      <c r="A340" s="8" t="s">
        <v>395</v>
      </c>
      <c r="B340" s="239">
        <v>16072.89</v>
      </c>
      <c r="C340" s="240"/>
    </row>
    <row r="341" spans="1:3" x14ac:dyDescent="0.25">
      <c r="A341" s="8" t="s">
        <v>396</v>
      </c>
      <c r="B341" s="239">
        <v>4000</v>
      </c>
      <c r="C341" s="240"/>
    </row>
    <row r="342" spans="1:3" x14ac:dyDescent="0.25">
      <c r="A342" s="8" t="s">
        <v>397</v>
      </c>
      <c r="B342" s="240"/>
      <c r="C342" s="239">
        <v>455952</v>
      </c>
    </row>
    <row r="343" spans="1:3" x14ac:dyDescent="0.25">
      <c r="A343" s="8" t="s">
        <v>399</v>
      </c>
      <c r="B343" s="239">
        <v>32233.24</v>
      </c>
      <c r="C343" s="240"/>
    </row>
    <row r="344" spans="1:3" x14ac:dyDescent="0.25">
      <c r="A344" s="8" t="s">
        <v>400</v>
      </c>
      <c r="B344" s="239">
        <v>3418</v>
      </c>
      <c r="C344" s="240"/>
    </row>
    <row r="345" spans="1:3" x14ac:dyDescent="0.25">
      <c r="A345" s="8" t="s">
        <v>401</v>
      </c>
      <c r="B345" s="239">
        <v>33127</v>
      </c>
      <c r="C345" s="240"/>
    </row>
    <row r="346" spans="1:3" x14ac:dyDescent="0.25">
      <c r="A346" s="8" t="s">
        <v>402</v>
      </c>
      <c r="B346" s="240"/>
      <c r="C346" s="239">
        <v>85088.53</v>
      </c>
    </row>
    <row r="347" spans="1:3" x14ac:dyDescent="0.25">
      <c r="A347" s="8" t="s">
        <v>404</v>
      </c>
      <c r="B347" s="239">
        <v>4745</v>
      </c>
      <c r="C347" s="240"/>
    </row>
    <row r="348" spans="1:3" x14ac:dyDescent="0.25">
      <c r="A348" s="8" t="s">
        <v>405</v>
      </c>
      <c r="B348" s="240"/>
      <c r="C348" s="239">
        <v>3756</v>
      </c>
    </row>
    <row r="349" spans="1:3" x14ac:dyDescent="0.25">
      <c r="A349" s="8" t="s">
        <v>406</v>
      </c>
      <c r="B349" s="240"/>
      <c r="C349" s="239">
        <v>12373</v>
      </c>
    </row>
    <row r="350" spans="1:3" x14ac:dyDescent="0.25">
      <c r="A350" s="8" t="s">
        <v>407</v>
      </c>
      <c r="B350" s="240"/>
      <c r="C350" s="239">
        <v>10862.04</v>
      </c>
    </row>
    <row r="351" spans="1:3" x14ac:dyDescent="0.25">
      <c r="A351" s="8" t="s">
        <v>408</v>
      </c>
      <c r="B351" s="240"/>
      <c r="C351" s="239">
        <v>29491</v>
      </c>
    </row>
    <row r="352" spans="1:3" x14ac:dyDescent="0.25">
      <c r="A352" s="8" t="s">
        <v>409</v>
      </c>
      <c r="B352" s="240"/>
      <c r="C352" s="239">
        <v>2925</v>
      </c>
    </row>
    <row r="353" spans="1:3" x14ac:dyDescent="0.25">
      <c r="A353" s="8" t="s">
        <v>410</v>
      </c>
      <c r="B353" s="240"/>
      <c r="C353" s="239">
        <v>80773</v>
      </c>
    </row>
    <row r="354" spans="1:3" x14ac:dyDescent="0.25">
      <c r="A354" s="8" t="s">
        <v>411</v>
      </c>
      <c r="B354" s="240"/>
      <c r="C354" s="239">
        <v>122000</v>
      </c>
    </row>
    <row r="355" spans="1:3" x14ac:dyDescent="0.25">
      <c r="A355" s="8" t="s">
        <v>412</v>
      </c>
      <c r="B355" s="240"/>
      <c r="C355" s="239">
        <v>10850</v>
      </c>
    </row>
    <row r="356" spans="1:3" x14ac:dyDescent="0.25">
      <c r="A356" s="8" t="s">
        <v>413</v>
      </c>
      <c r="B356" s="240"/>
      <c r="C356" s="239">
        <v>22755</v>
      </c>
    </row>
    <row r="357" spans="1:3" x14ac:dyDescent="0.25">
      <c r="A357" s="8" t="s">
        <v>414</v>
      </c>
      <c r="B357" s="239">
        <v>65764</v>
      </c>
      <c r="C357" s="240"/>
    </row>
    <row r="358" spans="1:3" x14ac:dyDescent="0.25">
      <c r="A358" s="8" t="s">
        <v>415</v>
      </c>
      <c r="B358" s="240"/>
      <c r="C358" s="239">
        <v>3662</v>
      </c>
    </row>
    <row r="359" spans="1:3" x14ac:dyDescent="0.25">
      <c r="A359" s="8" t="s">
        <v>416</v>
      </c>
      <c r="B359" s="239">
        <v>40650</v>
      </c>
      <c r="C359" s="240"/>
    </row>
    <row r="360" spans="1:3" x14ac:dyDescent="0.25">
      <c r="A360" s="8" t="s">
        <v>417</v>
      </c>
      <c r="B360" s="240"/>
      <c r="C360" s="239">
        <v>41312</v>
      </c>
    </row>
    <row r="361" spans="1:3" x14ac:dyDescent="0.25">
      <c r="A361" s="8" t="s">
        <v>418</v>
      </c>
      <c r="B361" s="239">
        <v>72962</v>
      </c>
      <c r="C361" s="240"/>
    </row>
    <row r="362" spans="1:3" x14ac:dyDescent="0.25">
      <c r="A362" s="8" t="s">
        <v>419</v>
      </c>
      <c r="B362" s="239">
        <v>116491</v>
      </c>
      <c r="C362" s="240"/>
    </row>
    <row r="363" spans="1:3" x14ac:dyDescent="0.25">
      <c r="A363" s="8" t="s">
        <v>420</v>
      </c>
      <c r="B363" s="240"/>
      <c r="C363" s="239">
        <v>109340</v>
      </c>
    </row>
    <row r="364" spans="1:3" x14ac:dyDescent="0.25">
      <c r="A364" s="8" t="s">
        <v>421</v>
      </c>
      <c r="B364" s="239">
        <v>519122</v>
      </c>
      <c r="C364" s="240"/>
    </row>
    <row r="365" spans="1:3" x14ac:dyDescent="0.25">
      <c r="A365" s="8" t="s">
        <v>422</v>
      </c>
      <c r="B365" s="240"/>
      <c r="C365" s="239">
        <v>34754</v>
      </c>
    </row>
    <row r="366" spans="1:3" x14ac:dyDescent="0.25">
      <c r="A366" s="8" t="s">
        <v>423</v>
      </c>
      <c r="B366" s="239">
        <v>277187</v>
      </c>
      <c r="C366" s="240"/>
    </row>
    <row r="367" spans="1:3" x14ac:dyDescent="0.25">
      <c r="A367" s="8" t="s">
        <v>424</v>
      </c>
      <c r="B367" s="239">
        <v>1264812.5</v>
      </c>
      <c r="C367" s="240"/>
    </row>
    <row r="368" spans="1:3" x14ac:dyDescent="0.25">
      <c r="A368" s="8" t="s">
        <v>426</v>
      </c>
      <c r="B368" s="240"/>
      <c r="C368" s="239">
        <v>377600</v>
      </c>
    </row>
    <row r="369" spans="1:3" x14ac:dyDescent="0.25">
      <c r="A369" s="8" t="s">
        <v>427</v>
      </c>
      <c r="B369" s="240"/>
      <c r="C369" s="239">
        <v>1871806</v>
      </c>
    </row>
    <row r="370" spans="1:3" x14ac:dyDescent="0.25">
      <c r="A370" s="8" t="s">
        <v>428</v>
      </c>
      <c r="B370" s="239">
        <v>122521</v>
      </c>
      <c r="C370" s="240"/>
    </row>
    <row r="371" spans="1:3" x14ac:dyDescent="0.25">
      <c r="A371" s="8" t="s">
        <v>429</v>
      </c>
      <c r="B371" s="239">
        <v>179827</v>
      </c>
      <c r="C371" s="240"/>
    </row>
    <row r="372" spans="1:3" x14ac:dyDescent="0.25">
      <c r="A372" s="8" t="s">
        <v>430</v>
      </c>
      <c r="B372" s="239">
        <v>2991111</v>
      </c>
      <c r="C372" s="240"/>
    </row>
    <row r="373" spans="1:3" x14ac:dyDescent="0.25">
      <c r="A373" s="8" t="s">
        <v>431</v>
      </c>
      <c r="B373" s="239">
        <v>521794</v>
      </c>
      <c r="C373" s="240"/>
    </row>
    <row r="374" spans="1:3" x14ac:dyDescent="0.25">
      <c r="A374" s="8" t="s">
        <v>432</v>
      </c>
      <c r="B374" s="239">
        <v>271912.74</v>
      </c>
      <c r="C374" s="240"/>
    </row>
    <row r="375" spans="1:3" x14ac:dyDescent="0.25">
      <c r="A375" s="8" t="s">
        <v>433</v>
      </c>
      <c r="B375" s="240"/>
      <c r="C375" s="239">
        <v>29906</v>
      </c>
    </row>
    <row r="376" spans="1:3" x14ac:dyDescent="0.25">
      <c r="A376" s="8" t="s">
        <v>434</v>
      </c>
      <c r="B376" s="240"/>
      <c r="C376" s="239">
        <v>1429369</v>
      </c>
    </row>
    <row r="377" spans="1:3" x14ac:dyDescent="0.25">
      <c r="A377" s="8" t="s">
        <v>435</v>
      </c>
      <c r="B377" s="240"/>
      <c r="C377" s="239">
        <v>12900</v>
      </c>
    </row>
    <row r="378" spans="1:3" x14ac:dyDescent="0.25">
      <c r="A378" s="8" t="s">
        <v>436</v>
      </c>
      <c r="B378" s="239">
        <v>5000</v>
      </c>
      <c r="C378" s="240"/>
    </row>
    <row r="379" spans="1:3" x14ac:dyDescent="0.25">
      <c r="A379" s="8" t="s">
        <v>438</v>
      </c>
      <c r="B379" s="240"/>
      <c r="C379" s="239">
        <v>232050</v>
      </c>
    </row>
    <row r="380" spans="1:3" x14ac:dyDescent="0.25">
      <c r="A380" s="8" t="s">
        <v>439</v>
      </c>
      <c r="B380" s="239">
        <v>290915</v>
      </c>
      <c r="C380" s="240"/>
    </row>
    <row r="381" spans="1:3" x14ac:dyDescent="0.25">
      <c r="A381" s="8" t="s">
        <v>440</v>
      </c>
      <c r="B381" s="239">
        <v>6129998</v>
      </c>
      <c r="C381" s="240"/>
    </row>
    <row r="382" spans="1:3" x14ac:dyDescent="0.25">
      <c r="A382" s="8" t="s">
        <v>441</v>
      </c>
      <c r="B382" s="239">
        <v>384685059</v>
      </c>
      <c r="C382" s="240"/>
    </row>
    <row r="383" spans="1:3" x14ac:dyDescent="0.25">
      <c r="A383" s="8" t="s">
        <v>442</v>
      </c>
      <c r="B383" s="239">
        <v>1371677.02</v>
      </c>
      <c r="C383" s="240"/>
    </row>
    <row r="384" spans="1:3" x14ac:dyDescent="0.25">
      <c r="A384" s="8" t="s">
        <v>443</v>
      </c>
      <c r="B384" s="239">
        <v>63230</v>
      </c>
      <c r="C384" s="240"/>
    </row>
    <row r="385" spans="1:3" x14ac:dyDescent="0.25">
      <c r="A385" s="8" t="s">
        <v>444</v>
      </c>
      <c r="B385" s="239">
        <v>180000</v>
      </c>
      <c r="C385" s="240"/>
    </row>
    <row r="386" spans="1:3" x14ac:dyDescent="0.25">
      <c r="A386" s="8" t="s">
        <v>445</v>
      </c>
      <c r="B386" s="239">
        <v>7547</v>
      </c>
      <c r="C386" s="240"/>
    </row>
    <row r="387" spans="1:3" x14ac:dyDescent="0.25">
      <c r="A387" s="8" t="s">
        <v>447</v>
      </c>
      <c r="B387" s="239">
        <v>31034983</v>
      </c>
      <c r="C387" s="240"/>
    </row>
    <row r="388" spans="1:3" x14ac:dyDescent="0.25">
      <c r="A388" s="8" t="s">
        <v>448</v>
      </c>
      <c r="B388" s="240"/>
      <c r="C388" s="239">
        <v>19017</v>
      </c>
    </row>
    <row r="389" spans="1:3" x14ac:dyDescent="0.25">
      <c r="A389" s="8" t="s">
        <v>449</v>
      </c>
      <c r="B389" s="239">
        <v>11811163</v>
      </c>
      <c r="C389" s="240"/>
    </row>
    <row r="390" spans="1:3" x14ac:dyDescent="0.25">
      <c r="A390" s="241" t="s">
        <v>450</v>
      </c>
      <c r="B390" s="242">
        <v>1435666382.72</v>
      </c>
      <c r="C390" s="242">
        <v>1435666382.72</v>
      </c>
    </row>
  </sheetData>
  <autoFilter ref="A8:C390" xr:uid="{00000000-0009-0000-0000-00001D000000}"/>
  <customSheetViews>
    <customSheetView guid="{334DC1DD-AD60-4D12-A532-9CEE6201A253}" filter="1" showAutoFilter="1">
      <selection activeCell="H257" sqref="H257"/>
      <pageMargins left="0.7" right="0.7" top="0.75" bottom="0.75" header="0.3" footer="0.3"/>
      <autoFilter ref="A8:C390" xr:uid="{FCD4108F-B133-4C7C-829F-73FE371493E2}">
        <filterColumn colId="0">
          <filters>
            <filter val="Provision for I.T, A.Y.2017-18"/>
            <filter val="Provision For I.T. A.Y, 2005-06"/>
            <filter val="Provision for I.T. A.Y, 2013-14"/>
            <filter val="Provision for I.T. A.Y. 2008-09"/>
            <filter val="Provision of Earlier Year"/>
            <filter val="Short Provision of Incentive/Bonus"/>
          </filters>
        </filterColumn>
        <filterColumn colId="1">
          <customFilters>
            <customFilter operator="notEqual" val=" "/>
          </customFilters>
        </filterColumn>
      </autoFilter>
    </customSheetView>
    <customSheetView guid="{BD5AA3B3-719E-4481-B722-8DE3E8101662}" filter="1" showAutoFilter="1">
      <selection activeCell="H257" sqref="H257"/>
      <pageMargins left="0.7" right="0.7" top="0.75" bottom="0.75" header="0.3" footer="0.3"/>
      <autoFilter ref="A8:C390" xr:uid="{20FB0750-0F52-495D-8F87-D944A59C9B80}">
        <filterColumn colId="0">
          <filters>
            <filter val="Provision for I.T, A.Y.2017-18"/>
            <filter val="Provision For I.T. A.Y, 2005-06"/>
            <filter val="Provision for I.T. A.Y, 2013-14"/>
            <filter val="Provision for I.T. A.Y. 2008-09"/>
            <filter val="Provision of Earlier Year"/>
            <filter val="Short Provision of Incentive/Bonus"/>
          </filters>
        </filterColumn>
        <filterColumn colId="1">
          <customFilters>
            <customFilter operator="notEqual" val=" "/>
          </customFilters>
        </filterColumn>
      </autoFilter>
    </customSheetView>
  </customSheetViews>
  <mergeCells count="7">
    <mergeCell ref="B7:C7"/>
    <mergeCell ref="A1:C1"/>
    <mergeCell ref="A2:C2"/>
    <mergeCell ref="A3:C3"/>
    <mergeCell ref="A4:C4"/>
    <mergeCell ref="B5:C5"/>
    <mergeCell ref="B6:C6"/>
  </mergeCells>
  <pageMargins left="0.7" right="0.7" top="0.75" bottom="0.75" header="0.3" footer="0.3"/>
  <pageSetup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filterMode="1"/>
  <dimension ref="A1:I415"/>
  <sheetViews>
    <sheetView workbookViewId="0">
      <pane ySplit="52" topLeftCell="A53" activePane="bottomLeft" state="frozen"/>
      <selection pane="bottomLeft" activeCell="B132" sqref="B132:B134"/>
    </sheetView>
  </sheetViews>
  <sheetFormatPr defaultColWidth="9.140625" defaultRowHeight="15" x14ac:dyDescent="0.25"/>
  <cols>
    <col min="1" max="1" width="47.5703125" bestFit="1" customWidth="1"/>
    <col min="2" max="3" width="13.5703125" bestFit="1" customWidth="1"/>
    <col min="5" max="6" width="15.28515625" bestFit="1" customWidth="1"/>
    <col min="7" max="9" width="16.85546875" bestFit="1" customWidth="1"/>
  </cols>
  <sheetData>
    <row r="1" spans="1:9" ht="15.75" x14ac:dyDescent="0.25">
      <c r="A1" s="1841" t="s">
        <v>0</v>
      </c>
      <c r="B1" s="1841"/>
      <c r="C1" s="1841"/>
      <c r="E1" s="244"/>
      <c r="F1" s="244"/>
      <c r="G1" s="244"/>
      <c r="H1" s="244"/>
      <c r="I1" s="244"/>
    </row>
    <row r="2" spans="1:9" x14ac:dyDescent="0.25">
      <c r="A2" s="1834" t="s">
        <v>1</v>
      </c>
      <c r="B2" s="1834"/>
      <c r="C2" s="1834"/>
      <c r="E2" s="244"/>
      <c r="F2" s="244"/>
      <c r="G2" s="244"/>
      <c r="H2" s="244"/>
      <c r="I2" s="244"/>
    </row>
    <row r="3" spans="1:9" x14ac:dyDescent="0.25">
      <c r="A3" s="1834" t="s">
        <v>2</v>
      </c>
      <c r="B3" s="1834"/>
      <c r="C3" s="1834"/>
      <c r="E3" s="244"/>
      <c r="F3" s="244"/>
      <c r="G3" s="244"/>
      <c r="H3" s="244"/>
      <c r="I3" s="244"/>
    </row>
    <row r="4" spans="1:9" x14ac:dyDescent="0.25">
      <c r="A4" s="1834" t="s">
        <v>3</v>
      </c>
      <c r="B4" s="1834"/>
      <c r="C4" s="1834"/>
      <c r="E4" s="244"/>
      <c r="F4" s="244"/>
      <c r="G4" s="244"/>
      <c r="H4" s="244"/>
      <c r="I4" s="244"/>
    </row>
    <row r="5" spans="1:9" x14ac:dyDescent="0.25">
      <c r="A5" s="1842" t="s">
        <v>4</v>
      </c>
      <c r="B5" s="1842"/>
      <c r="C5" s="1842"/>
      <c r="E5" s="244"/>
      <c r="F5" s="244"/>
      <c r="G5" s="244"/>
      <c r="H5" s="244"/>
      <c r="I5" s="244"/>
    </row>
    <row r="6" spans="1:9" ht="15.75" x14ac:dyDescent="0.25">
      <c r="A6" s="1843" t="s">
        <v>5</v>
      </c>
      <c r="B6" s="1843"/>
      <c r="C6" s="1843"/>
      <c r="E6" s="244"/>
      <c r="F6" s="244"/>
      <c r="G6" s="244"/>
      <c r="H6" s="244"/>
      <c r="I6" s="244"/>
    </row>
    <row r="7" spans="1:9" x14ac:dyDescent="0.25">
      <c r="A7" s="1834" t="s">
        <v>1368</v>
      </c>
      <c r="B7" s="1834"/>
      <c r="C7" s="1834"/>
      <c r="E7" s="244"/>
      <c r="F7" s="244"/>
      <c r="G7" s="244"/>
      <c r="H7" s="244"/>
      <c r="I7" s="244"/>
    </row>
    <row r="8" spans="1:9" ht="15" customHeight="1" x14ac:dyDescent="0.25">
      <c r="A8" s="232" t="s">
        <v>7</v>
      </c>
      <c r="B8" s="1961" t="s">
        <v>1369</v>
      </c>
      <c r="C8" s="1966"/>
      <c r="E8" s="244"/>
      <c r="F8" s="244"/>
      <c r="G8" s="244"/>
      <c r="H8" s="244"/>
      <c r="I8" s="244"/>
    </row>
    <row r="9" spans="1:9" ht="15" customHeight="1" x14ac:dyDescent="0.25">
      <c r="A9" s="233" t="s">
        <v>9</v>
      </c>
      <c r="B9" s="1963" t="s">
        <v>1368</v>
      </c>
      <c r="C9" s="1964"/>
      <c r="E9" s="244"/>
      <c r="F9" s="244"/>
      <c r="G9" s="244"/>
      <c r="H9" s="244"/>
      <c r="I9" s="244"/>
    </row>
    <row r="10" spans="1:9" x14ac:dyDescent="0.25">
      <c r="A10" s="233" t="s">
        <v>7</v>
      </c>
      <c r="B10" s="1958" t="s">
        <v>10</v>
      </c>
      <c r="C10" s="1965"/>
      <c r="E10" s="244"/>
      <c r="F10" s="244"/>
      <c r="G10" s="244"/>
      <c r="H10" s="244"/>
      <c r="I10" s="244"/>
    </row>
    <row r="11" spans="1:9" x14ac:dyDescent="0.25">
      <c r="A11" s="234" t="s">
        <v>7</v>
      </c>
      <c r="B11" s="235" t="s">
        <v>11</v>
      </c>
      <c r="C11" s="235" t="s">
        <v>12</v>
      </c>
      <c r="E11" s="244" t="s">
        <v>1370</v>
      </c>
      <c r="F11" s="244" t="s">
        <v>1371</v>
      </c>
      <c r="G11" s="244" t="s">
        <v>902</v>
      </c>
      <c r="H11" s="257" t="s">
        <v>903</v>
      </c>
      <c r="I11" s="257" t="s">
        <v>904</v>
      </c>
    </row>
    <row r="12" spans="1:9" ht="15" hidden="1" customHeight="1" x14ac:dyDescent="0.25">
      <c r="A12" s="236" t="s">
        <v>13</v>
      </c>
      <c r="B12" s="237">
        <v>51184927.25</v>
      </c>
      <c r="C12" s="238"/>
      <c r="E12" s="244">
        <f>+IFERROR(VLOOKUP(A12,'TB final'!$A$4:$P$727,11,0),0)</f>
        <v>51184927.25</v>
      </c>
      <c r="F12" s="244">
        <f>+IFERROR(VLOOKUP(A12,'TB final'!$A$4:$P$727,14,0),0)</f>
        <v>0</v>
      </c>
      <c r="G12" s="244">
        <f>+B12-E12</f>
        <v>0</v>
      </c>
      <c r="H12" s="244">
        <f>+C12-F12</f>
        <v>0</v>
      </c>
      <c r="I12" s="244">
        <f>+G12+H12</f>
        <v>0</v>
      </c>
    </row>
    <row r="13" spans="1:9" ht="15" hidden="1" customHeight="1" x14ac:dyDescent="0.25">
      <c r="A13" s="8" t="s">
        <v>461</v>
      </c>
      <c r="B13" s="240"/>
      <c r="C13" s="239">
        <v>892701</v>
      </c>
      <c r="E13" s="244">
        <f>+IFERROR(VLOOKUP(A13,'TB final'!$A$4:$P$727,11,0),0)</f>
        <v>0</v>
      </c>
      <c r="F13" s="244">
        <f>+IFERROR(VLOOKUP(A13,'TB final'!$A$4:$P$727,14,0),0)</f>
        <v>892701</v>
      </c>
      <c r="G13" s="244">
        <f t="shared" ref="G13:H76" si="0">+B13-E13</f>
        <v>0</v>
      </c>
      <c r="H13" s="244">
        <f t="shared" si="0"/>
        <v>0</v>
      </c>
      <c r="I13" s="244">
        <f t="shared" ref="I13:I76" si="1">+G13+H13</f>
        <v>0</v>
      </c>
    </row>
    <row r="14" spans="1:9" ht="15" hidden="1" customHeight="1" x14ac:dyDescent="0.25">
      <c r="A14" s="8" t="s">
        <v>14</v>
      </c>
      <c r="B14" s="239">
        <v>3800000</v>
      </c>
      <c r="C14" s="240"/>
      <c r="E14" s="244">
        <f>+IFERROR(VLOOKUP(A14,'TB final'!$A$4:$P$727,11,0),0)</f>
        <v>3800000</v>
      </c>
      <c r="F14" s="244">
        <f>+IFERROR(VLOOKUP(A14,'TB final'!$A$4:$P$727,14,0),0)</f>
        <v>0</v>
      </c>
      <c r="G14" s="244">
        <f t="shared" si="0"/>
        <v>0</v>
      </c>
      <c r="H14" s="244">
        <f t="shared" si="0"/>
        <v>0</v>
      </c>
      <c r="I14" s="244">
        <f t="shared" si="1"/>
        <v>0</v>
      </c>
    </row>
    <row r="15" spans="1:9" ht="15" hidden="1" customHeight="1" x14ac:dyDescent="0.25">
      <c r="A15" s="8" t="s">
        <v>16</v>
      </c>
      <c r="B15" s="239">
        <v>113158</v>
      </c>
      <c r="C15" s="240"/>
      <c r="E15" s="244">
        <f>+IFERROR(VLOOKUP(A15,'TB final'!$A$4:$P$727,11,0),0)</f>
        <v>113158</v>
      </c>
      <c r="F15" s="244">
        <f>+IFERROR(VLOOKUP(A15,'TB final'!$A$4:$P$727,14,0),0)</f>
        <v>0</v>
      </c>
      <c r="G15" s="244">
        <f t="shared" si="0"/>
        <v>0</v>
      </c>
      <c r="H15" s="244">
        <f t="shared" si="0"/>
        <v>0</v>
      </c>
      <c r="I15" s="244">
        <f t="shared" si="1"/>
        <v>0</v>
      </c>
    </row>
    <row r="16" spans="1:9" ht="15" hidden="1" customHeight="1" x14ac:dyDescent="0.25">
      <c r="A16" s="8" t="s">
        <v>17</v>
      </c>
      <c r="B16" s="239">
        <v>1426108</v>
      </c>
      <c r="C16" s="240"/>
      <c r="E16" s="244">
        <f>+IFERROR(VLOOKUP(A16,'TB final'!$A$4:$P$727,11,0),0)</f>
        <v>1426108</v>
      </c>
      <c r="F16" s="244">
        <f>+IFERROR(VLOOKUP(A16,'TB final'!$A$4:$P$727,14,0),0)</f>
        <v>0</v>
      </c>
      <c r="G16" s="244">
        <f t="shared" si="0"/>
        <v>0</v>
      </c>
      <c r="H16" s="244">
        <f t="shared" si="0"/>
        <v>0</v>
      </c>
      <c r="I16" s="244">
        <f t="shared" si="1"/>
        <v>0</v>
      </c>
    </row>
    <row r="17" spans="1:9" ht="15" hidden="1" customHeight="1" x14ac:dyDescent="0.25">
      <c r="A17" s="8" t="s">
        <v>471</v>
      </c>
      <c r="B17" s="240"/>
      <c r="C17" s="239">
        <v>6800</v>
      </c>
      <c r="E17" s="244">
        <f>+IFERROR(VLOOKUP(A17,'TB final'!$A$4:$P$727,11,0),0)</f>
        <v>0</v>
      </c>
      <c r="F17" s="244">
        <f>+IFERROR(VLOOKUP(A17,'TB final'!$A$4:$P$727,14,0),0)</f>
        <v>6800</v>
      </c>
      <c r="G17" s="244">
        <f t="shared" si="0"/>
        <v>0</v>
      </c>
      <c r="H17" s="244">
        <f t="shared" si="0"/>
        <v>0</v>
      </c>
      <c r="I17" s="244">
        <f t="shared" si="1"/>
        <v>0</v>
      </c>
    </row>
    <row r="18" spans="1:9" ht="15" hidden="1" customHeight="1" x14ac:dyDescent="0.25">
      <c r="A18" s="8" t="s">
        <v>18</v>
      </c>
      <c r="B18" s="240"/>
      <c r="C18" s="239">
        <v>135000</v>
      </c>
      <c r="E18" s="244">
        <f>+IFERROR(VLOOKUP(A18,'TB final'!$A$4:$P$727,11,0),0)</f>
        <v>0</v>
      </c>
      <c r="F18" s="244">
        <f>+IFERROR(VLOOKUP(A18,'TB final'!$A$4:$P$727,14,0),0)</f>
        <v>135000</v>
      </c>
      <c r="G18" s="244">
        <f t="shared" si="0"/>
        <v>0</v>
      </c>
      <c r="H18" s="244">
        <f t="shared" si="0"/>
        <v>0</v>
      </c>
      <c r="I18" s="244">
        <f t="shared" si="1"/>
        <v>0</v>
      </c>
    </row>
    <row r="19" spans="1:9" ht="15" hidden="1" customHeight="1" x14ac:dyDescent="0.25">
      <c r="A19" s="8" t="s">
        <v>19</v>
      </c>
      <c r="B19" s="239">
        <v>1152502</v>
      </c>
      <c r="C19" s="240"/>
      <c r="E19" s="244">
        <f>+IFERROR(VLOOKUP(A19,'TB final'!$A$4:$P$727,11,0),0)</f>
        <v>1152502</v>
      </c>
      <c r="F19" s="244">
        <f>+IFERROR(VLOOKUP(A19,'TB final'!$A$4:$P$727,14,0),0)</f>
        <v>0</v>
      </c>
      <c r="G19" s="244">
        <f t="shared" si="0"/>
        <v>0</v>
      </c>
      <c r="H19" s="244">
        <f t="shared" si="0"/>
        <v>0</v>
      </c>
      <c r="I19" s="244">
        <f t="shared" si="1"/>
        <v>0</v>
      </c>
    </row>
    <row r="20" spans="1:9" ht="15" hidden="1" customHeight="1" x14ac:dyDescent="0.25">
      <c r="A20" s="8" t="s">
        <v>20</v>
      </c>
      <c r="B20" s="239">
        <v>3898375</v>
      </c>
      <c r="C20" s="240"/>
      <c r="E20" s="244">
        <f>+IFERROR(VLOOKUP(A20,'TB final'!$A$4:$P$727,11,0),0)</f>
        <v>3898375</v>
      </c>
      <c r="F20" s="244">
        <f>+IFERROR(VLOOKUP(A20,'TB final'!$A$4:$P$727,14,0),0)</f>
        <v>0</v>
      </c>
      <c r="G20" s="244">
        <f t="shared" si="0"/>
        <v>0</v>
      </c>
      <c r="H20" s="244">
        <f t="shared" si="0"/>
        <v>0</v>
      </c>
      <c r="I20" s="244">
        <f t="shared" si="1"/>
        <v>0</v>
      </c>
    </row>
    <row r="21" spans="1:9" ht="15" hidden="1" customHeight="1" x14ac:dyDescent="0.25">
      <c r="A21" s="8" t="s">
        <v>477</v>
      </c>
      <c r="B21" s="240"/>
      <c r="C21" s="239">
        <v>54318</v>
      </c>
      <c r="E21" s="244">
        <f>+IFERROR(VLOOKUP(A21,'TB final'!$A$4:$P$727,11,0),0)</f>
        <v>0</v>
      </c>
      <c r="F21" s="244">
        <f>+IFERROR(VLOOKUP(A21,'TB final'!$A$4:$P$727,14,0),0)</f>
        <v>54318</v>
      </c>
      <c r="G21" s="244">
        <f t="shared" si="0"/>
        <v>0</v>
      </c>
      <c r="H21" s="244">
        <f t="shared" si="0"/>
        <v>0</v>
      </c>
      <c r="I21" s="244">
        <f t="shared" si="1"/>
        <v>0</v>
      </c>
    </row>
    <row r="22" spans="1:9" ht="15" hidden="1" customHeight="1" x14ac:dyDescent="0.25">
      <c r="A22" s="8" t="s">
        <v>21</v>
      </c>
      <c r="B22" s="239">
        <v>4000</v>
      </c>
      <c r="C22" s="240"/>
      <c r="E22" s="244">
        <f>+IFERROR(VLOOKUP(A22,'TB final'!$A$4:$P$727,11,0),0)</f>
        <v>4000</v>
      </c>
      <c r="F22" s="244">
        <f>+IFERROR(VLOOKUP(A22,'TB final'!$A$4:$P$727,14,0),0)</f>
        <v>0</v>
      </c>
      <c r="G22" s="244">
        <f t="shared" si="0"/>
        <v>0</v>
      </c>
      <c r="H22" s="244">
        <f t="shared" si="0"/>
        <v>0</v>
      </c>
      <c r="I22" s="244">
        <f t="shared" si="1"/>
        <v>0</v>
      </c>
    </row>
    <row r="23" spans="1:9" ht="15" hidden="1" customHeight="1" x14ac:dyDescent="0.25">
      <c r="A23" s="8" t="s">
        <v>22</v>
      </c>
      <c r="B23" s="240"/>
      <c r="C23" s="239">
        <v>136776</v>
      </c>
      <c r="E23" s="244">
        <f>+IFERROR(VLOOKUP(A23,'TB final'!$A$4:$P$727,11,0),0)</f>
        <v>0</v>
      </c>
      <c r="F23" s="244">
        <f>+IFERROR(VLOOKUP(A23,'TB final'!$A$4:$P$727,14,0),0)</f>
        <v>136776</v>
      </c>
      <c r="G23" s="244">
        <f t="shared" si="0"/>
        <v>0</v>
      </c>
      <c r="H23" s="244">
        <f t="shared" si="0"/>
        <v>0</v>
      </c>
      <c r="I23" s="244">
        <f t="shared" si="1"/>
        <v>0</v>
      </c>
    </row>
    <row r="24" spans="1:9" ht="15" hidden="1" customHeight="1" x14ac:dyDescent="0.25">
      <c r="A24" s="8" t="s">
        <v>23</v>
      </c>
      <c r="B24" s="240"/>
      <c r="C24" s="239">
        <v>222332</v>
      </c>
      <c r="E24" s="244">
        <f>+IFERROR(VLOOKUP(A24,'TB final'!$A$4:$P$727,11,0),0)</f>
        <v>0</v>
      </c>
      <c r="F24" s="244">
        <f>+IFERROR(VLOOKUP(A24,'TB final'!$A$4:$P$727,14,0),0)</f>
        <v>222332</v>
      </c>
      <c r="G24" s="244">
        <f t="shared" si="0"/>
        <v>0</v>
      </c>
      <c r="H24" s="244">
        <f t="shared" si="0"/>
        <v>0</v>
      </c>
      <c r="I24" s="244">
        <f t="shared" si="1"/>
        <v>0</v>
      </c>
    </row>
    <row r="25" spans="1:9" ht="15" hidden="1" customHeight="1" x14ac:dyDescent="0.25">
      <c r="A25" s="8" t="s">
        <v>25</v>
      </c>
      <c r="B25" s="240"/>
      <c r="C25" s="239">
        <v>2186694</v>
      </c>
      <c r="E25" s="244">
        <f>+IFERROR(VLOOKUP(A25,'TB final'!$A$4:$P$727,11,0),0)</f>
        <v>0</v>
      </c>
      <c r="F25" s="244">
        <f>+IFERROR(VLOOKUP(A25,'TB final'!$A$4:$P$727,14,0),0)</f>
        <v>2186694</v>
      </c>
      <c r="G25" s="244">
        <f t="shared" si="0"/>
        <v>0</v>
      </c>
      <c r="H25" s="244">
        <f t="shared" si="0"/>
        <v>0</v>
      </c>
      <c r="I25" s="244">
        <f t="shared" si="1"/>
        <v>0</v>
      </c>
    </row>
    <row r="26" spans="1:9" ht="15" hidden="1" customHeight="1" x14ac:dyDescent="0.25">
      <c r="A26" s="8" t="s">
        <v>26</v>
      </c>
      <c r="B26" s="240"/>
      <c r="C26" s="239">
        <v>874676</v>
      </c>
      <c r="E26" s="244">
        <f>+IFERROR(VLOOKUP(A26,'TB final'!$A$4:$P$727,11,0),0)</f>
        <v>0</v>
      </c>
      <c r="F26" s="244">
        <f>+IFERROR(VLOOKUP(A26,'TB final'!$A$4:$P$727,14,0),0)</f>
        <v>874676</v>
      </c>
      <c r="G26" s="244">
        <f t="shared" si="0"/>
        <v>0</v>
      </c>
      <c r="H26" s="244">
        <f t="shared" si="0"/>
        <v>0</v>
      </c>
      <c r="I26" s="244">
        <f t="shared" si="1"/>
        <v>0</v>
      </c>
    </row>
    <row r="27" spans="1:9" ht="15" hidden="1" customHeight="1" x14ac:dyDescent="0.25">
      <c r="A27" s="8" t="s">
        <v>492</v>
      </c>
      <c r="B27" s="240"/>
      <c r="C27" s="239">
        <v>30012</v>
      </c>
      <c r="E27" s="244">
        <f>+IFERROR(VLOOKUP(A27,'TB final'!$A$4:$P$727,11,0),0)</f>
        <v>0</v>
      </c>
      <c r="F27" s="244">
        <f>+IFERROR(VLOOKUP(A27,'TB final'!$A$4:$P$727,14,0),0)</f>
        <v>30012</v>
      </c>
      <c r="G27" s="244">
        <f t="shared" si="0"/>
        <v>0</v>
      </c>
      <c r="H27" s="244">
        <f t="shared" si="0"/>
        <v>0</v>
      </c>
      <c r="I27" s="244">
        <f t="shared" si="1"/>
        <v>0</v>
      </c>
    </row>
    <row r="28" spans="1:9" ht="15" hidden="1" customHeight="1" x14ac:dyDescent="0.25">
      <c r="A28" s="8" t="s">
        <v>27</v>
      </c>
      <c r="B28" s="239">
        <v>9000</v>
      </c>
      <c r="C28" s="240"/>
      <c r="E28" s="244">
        <f>+IFERROR(VLOOKUP(A28,'TB final'!$A$4:$P$727,11,0),0)</f>
        <v>9000</v>
      </c>
      <c r="F28" s="244">
        <f>+IFERROR(VLOOKUP(A28,'TB final'!$A$4:$P$727,14,0),0)</f>
        <v>0</v>
      </c>
      <c r="G28" s="244">
        <f t="shared" si="0"/>
        <v>0</v>
      </c>
      <c r="H28" s="244">
        <f t="shared" si="0"/>
        <v>0</v>
      </c>
      <c r="I28" s="244">
        <f t="shared" si="1"/>
        <v>0</v>
      </c>
    </row>
    <row r="29" spans="1:9" ht="15" hidden="1" customHeight="1" x14ac:dyDescent="0.25">
      <c r="A29" s="8" t="s">
        <v>28</v>
      </c>
      <c r="B29" s="239">
        <v>64000</v>
      </c>
      <c r="C29" s="240"/>
      <c r="E29" s="244">
        <f>+IFERROR(VLOOKUP(A29,'TB final'!$A$4:$P$727,11,0),0)</f>
        <v>64000</v>
      </c>
      <c r="F29" s="244">
        <f>+IFERROR(VLOOKUP(A29,'TB final'!$A$4:$P$727,14,0),0)</f>
        <v>0</v>
      </c>
      <c r="G29" s="244">
        <f t="shared" si="0"/>
        <v>0</v>
      </c>
      <c r="H29" s="244">
        <f t="shared" si="0"/>
        <v>0</v>
      </c>
      <c r="I29" s="244">
        <f t="shared" si="1"/>
        <v>0</v>
      </c>
    </row>
    <row r="30" spans="1:9" ht="15" hidden="1" customHeight="1" x14ac:dyDescent="0.25">
      <c r="A30" s="8" t="s">
        <v>503</v>
      </c>
      <c r="B30" s="240"/>
      <c r="C30" s="239">
        <v>46846</v>
      </c>
      <c r="E30" s="244">
        <f>+IFERROR(VLOOKUP(A30,'TB final'!$A$4:$P$727,11,0),0)</f>
        <v>0</v>
      </c>
      <c r="F30" s="244">
        <f>+IFERROR(VLOOKUP(A30,'TB final'!$A$4:$P$727,14,0),0)</f>
        <v>46846</v>
      </c>
      <c r="G30" s="244">
        <f t="shared" si="0"/>
        <v>0</v>
      </c>
      <c r="H30" s="244">
        <f t="shared" si="0"/>
        <v>0</v>
      </c>
      <c r="I30" s="244">
        <f t="shared" si="1"/>
        <v>0</v>
      </c>
    </row>
    <row r="31" spans="1:9" ht="15" hidden="1" customHeight="1" x14ac:dyDescent="0.25">
      <c r="A31" s="8" t="s">
        <v>504</v>
      </c>
      <c r="B31" s="240"/>
      <c r="C31" s="239">
        <v>6442</v>
      </c>
      <c r="E31" s="244">
        <f>+IFERROR(VLOOKUP(A31,'TB final'!$A$4:$P$727,11,0),0)</f>
        <v>0</v>
      </c>
      <c r="F31" s="244">
        <f>+IFERROR(VLOOKUP(A31,'TB final'!$A$4:$P$727,14,0),0)</f>
        <v>6442</v>
      </c>
      <c r="G31" s="244">
        <f t="shared" si="0"/>
        <v>0</v>
      </c>
      <c r="H31" s="244">
        <f t="shared" si="0"/>
        <v>0</v>
      </c>
      <c r="I31" s="244">
        <f t="shared" si="1"/>
        <v>0</v>
      </c>
    </row>
    <row r="32" spans="1:9" ht="15" hidden="1" customHeight="1" x14ac:dyDescent="0.25">
      <c r="A32" s="8" t="s">
        <v>506</v>
      </c>
      <c r="B32" s="239">
        <v>3827</v>
      </c>
      <c r="C32" s="240"/>
      <c r="E32" s="244">
        <f>+IFERROR(VLOOKUP(A32,'TB final'!$A$4:$P$727,11,0),0)</f>
        <v>3827</v>
      </c>
      <c r="F32" s="244">
        <f>+IFERROR(VLOOKUP(A32,'TB final'!$A$4:$P$727,14,0),0)</f>
        <v>0</v>
      </c>
      <c r="G32" s="244">
        <f t="shared" si="0"/>
        <v>0</v>
      </c>
      <c r="H32" s="244">
        <f t="shared" si="0"/>
        <v>0</v>
      </c>
      <c r="I32" s="244">
        <f t="shared" si="1"/>
        <v>0</v>
      </c>
    </row>
    <row r="33" spans="1:9" ht="15" hidden="1" customHeight="1" x14ac:dyDescent="0.25">
      <c r="A33" s="8" t="s">
        <v>508</v>
      </c>
      <c r="B33" s="239">
        <v>7719</v>
      </c>
      <c r="C33" s="240"/>
      <c r="E33" s="244">
        <f>+IFERROR(VLOOKUP(A33,'TB final'!$A$4:$P$727,11,0),0)</f>
        <v>7719</v>
      </c>
      <c r="F33" s="244">
        <f>+IFERROR(VLOOKUP(A33,'TB final'!$A$4:$P$727,14,0),0)</f>
        <v>0</v>
      </c>
      <c r="G33" s="244">
        <f t="shared" si="0"/>
        <v>0</v>
      </c>
      <c r="H33" s="244">
        <f t="shared" si="0"/>
        <v>0</v>
      </c>
      <c r="I33" s="244">
        <f t="shared" si="1"/>
        <v>0</v>
      </c>
    </row>
    <row r="34" spans="1:9" ht="15" hidden="1" customHeight="1" x14ac:dyDescent="0.25">
      <c r="A34" s="8" t="s">
        <v>510</v>
      </c>
      <c r="B34" s="240"/>
      <c r="C34" s="239">
        <v>243500</v>
      </c>
      <c r="E34" s="244">
        <f>+IFERROR(VLOOKUP(A34,'TB final'!$A$4:$P$727,11,0),0)</f>
        <v>0</v>
      </c>
      <c r="F34" s="244">
        <f>+IFERROR(VLOOKUP(A34,'TB final'!$A$4:$P$727,14,0),0)</f>
        <v>243500</v>
      </c>
      <c r="G34" s="244">
        <f t="shared" si="0"/>
        <v>0</v>
      </c>
      <c r="H34" s="244">
        <f t="shared" si="0"/>
        <v>0</v>
      </c>
      <c r="I34" s="244">
        <f t="shared" si="1"/>
        <v>0</v>
      </c>
    </row>
    <row r="35" spans="1:9" ht="15" hidden="1" customHeight="1" x14ac:dyDescent="0.25">
      <c r="A35" s="8" t="s">
        <v>519</v>
      </c>
      <c r="B35" s="239">
        <v>2927</v>
      </c>
      <c r="C35" s="240"/>
      <c r="E35" s="244">
        <f>+IFERROR(VLOOKUP(A35,'TB final'!$A$4:$P$727,11,0),0)</f>
        <v>2927</v>
      </c>
      <c r="F35" s="244">
        <f>+IFERROR(VLOOKUP(A35,'TB final'!$A$4:$P$727,14,0),0)</f>
        <v>0</v>
      </c>
      <c r="G35" s="244">
        <f t="shared" si="0"/>
        <v>0</v>
      </c>
      <c r="H35" s="244">
        <f t="shared" si="0"/>
        <v>0</v>
      </c>
      <c r="I35" s="244">
        <f t="shared" si="1"/>
        <v>0</v>
      </c>
    </row>
    <row r="36" spans="1:9" ht="15" hidden="1" customHeight="1" x14ac:dyDescent="0.25">
      <c r="A36" s="8" t="s">
        <v>31</v>
      </c>
      <c r="B36" s="240"/>
      <c r="C36" s="239">
        <v>72103</v>
      </c>
      <c r="E36" s="244">
        <f>+IFERROR(VLOOKUP(A36,'TB final'!$A$4:$P$727,11,0),0)</f>
        <v>0</v>
      </c>
      <c r="F36" s="244">
        <f>+IFERROR(VLOOKUP(A36,'TB final'!$A$4:$P$727,14,0),0)</f>
        <v>72103</v>
      </c>
      <c r="G36" s="244">
        <f t="shared" si="0"/>
        <v>0</v>
      </c>
      <c r="H36" s="244">
        <f t="shared" si="0"/>
        <v>0</v>
      </c>
      <c r="I36" s="244">
        <f t="shared" si="1"/>
        <v>0</v>
      </c>
    </row>
    <row r="37" spans="1:9" ht="15" hidden="1" customHeight="1" x14ac:dyDescent="0.25">
      <c r="A37" s="8" t="s">
        <v>32</v>
      </c>
      <c r="B37" s="240"/>
      <c r="C37" s="239">
        <v>1093348</v>
      </c>
      <c r="E37" s="244">
        <f>+IFERROR(VLOOKUP(A37,'TB final'!$A$4:$P$727,11,0),0)</f>
        <v>0</v>
      </c>
      <c r="F37" s="244">
        <f>+IFERROR(VLOOKUP(A37,'TB final'!$A$4:$P$727,14,0),0)</f>
        <v>1093348</v>
      </c>
      <c r="G37" s="244">
        <f t="shared" si="0"/>
        <v>0</v>
      </c>
      <c r="H37" s="244">
        <f t="shared" si="0"/>
        <v>0</v>
      </c>
      <c r="I37" s="244">
        <f t="shared" si="1"/>
        <v>0</v>
      </c>
    </row>
    <row r="38" spans="1:9" ht="15" hidden="1" customHeight="1" x14ac:dyDescent="0.25">
      <c r="A38" s="8" t="s">
        <v>33</v>
      </c>
      <c r="B38" s="239">
        <v>475603.13</v>
      </c>
      <c r="C38" s="240"/>
      <c r="E38" s="244">
        <f>+IFERROR(VLOOKUP(A38,'TB final'!$A$4:$P$727,11,0),0)</f>
        <v>475603.13</v>
      </c>
      <c r="F38" s="244">
        <f>+IFERROR(VLOOKUP(A38,'TB final'!$A$4:$P$727,14,0),0)</f>
        <v>0</v>
      </c>
      <c r="G38" s="244">
        <f t="shared" si="0"/>
        <v>0</v>
      </c>
      <c r="H38" s="244">
        <f t="shared" si="0"/>
        <v>0</v>
      </c>
      <c r="I38" s="244">
        <f t="shared" si="1"/>
        <v>0</v>
      </c>
    </row>
    <row r="39" spans="1:9" ht="15" hidden="1" customHeight="1" x14ac:dyDescent="0.25">
      <c r="A39" s="8" t="s">
        <v>34</v>
      </c>
      <c r="B39" s="239">
        <v>132600</v>
      </c>
      <c r="C39" s="240"/>
      <c r="E39" s="244">
        <f>+IFERROR(VLOOKUP(A39,'TB final'!$A$4:$P$727,11,0),0)</f>
        <v>132600</v>
      </c>
      <c r="F39" s="244">
        <f>+IFERROR(VLOOKUP(A39,'TB final'!$A$4:$P$727,14,0),0)</f>
        <v>0</v>
      </c>
      <c r="G39" s="244">
        <f t="shared" si="0"/>
        <v>0</v>
      </c>
      <c r="H39" s="244">
        <f t="shared" si="0"/>
        <v>0</v>
      </c>
      <c r="I39" s="244">
        <f t="shared" si="1"/>
        <v>0</v>
      </c>
    </row>
    <row r="40" spans="1:9" ht="15" hidden="1" customHeight="1" x14ac:dyDescent="0.25">
      <c r="A40" s="8" t="s">
        <v>35</v>
      </c>
      <c r="B40" s="239">
        <v>185908</v>
      </c>
      <c r="C40" s="240"/>
      <c r="E40" s="244">
        <f>+IFERROR(VLOOKUP(A40,'TB final'!$A$4:$P$727,11,0),0)</f>
        <v>185908</v>
      </c>
      <c r="F40" s="244">
        <f>+IFERROR(VLOOKUP(A40,'TB final'!$A$4:$P$727,14,0),0)</f>
        <v>0</v>
      </c>
      <c r="G40" s="244">
        <f t="shared" si="0"/>
        <v>0</v>
      </c>
      <c r="H40" s="244">
        <f t="shared" si="0"/>
        <v>0</v>
      </c>
      <c r="I40" s="244">
        <f t="shared" si="1"/>
        <v>0</v>
      </c>
    </row>
    <row r="41" spans="1:9" ht="15" hidden="1" customHeight="1" x14ac:dyDescent="0.25">
      <c r="A41" s="8" t="s">
        <v>37</v>
      </c>
      <c r="B41" s="239">
        <v>140000</v>
      </c>
      <c r="C41" s="240"/>
      <c r="E41" s="244">
        <f>+IFERROR(VLOOKUP(A41,'TB final'!$A$4:$P$727,11,0),0)</f>
        <v>140000</v>
      </c>
      <c r="F41" s="244">
        <f>+IFERROR(VLOOKUP(A41,'TB final'!$A$4:$P$727,14,0),0)</f>
        <v>0</v>
      </c>
      <c r="G41" s="244">
        <f t="shared" si="0"/>
        <v>0</v>
      </c>
      <c r="H41" s="244">
        <f t="shared" si="0"/>
        <v>0</v>
      </c>
      <c r="I41" s="244">
        <f t="shared" si="1"/>
        <v>0</v>
      </c>
    </row>
    <row r="42" spans="1:9" ht="15" hidden="1" customHeight="1" x14ac:dyDescent="0.25">
      <c r="A42" s="8" t="s">
        <v>39</v>
      </c>
      <c r="B42" s="240"/>
      <c r="C42" s="239">
        <v>53563</v>
      </c>
      <c r="E42" s="244">
        <f>+IFERROR(VLOOKUP(A42,'TB final'!$A$4:$P$727,11,0),0)</f>
        <v>0</v>
      </c>
      <c r="F42" s="244">
        <f>+IFERROR(VLOOKUP(A42,'TB final'!$A$4:$P$727,14,0),0)</f>
        <v>53563</v>
      </c>
      <c r="G42" s="244">
        <f t="shared" si="0"/>
        <v>0</v>
      </c>
      <c r="H42" s="244">
        <f t="shared" si="0"/>
        <v>0</v>
      </c>
      <c r="I42" s="244">
        <f t="shared" si="1"/>
        <v>0</v>
      </c>
    </row>
    <row r="43" spans="1:9" ht="15" hidden="1" customHeight="1" x14ac:dyDescent="0.25">
      <c r="A43" s="8" t="s">
        <v>529</v>
      </c>
      <c r="B43" s="239">
        <v>2000</v>
      </c>
      <c r="C43" s="240"/>
      <c r="E43" s="244">
        <f>+IFERROR(VLOOKUP(A43,'TB final'!$A$4:$P$727,11,0),0)</f>
        <v>2000</v>
      </c>
      <c r="F43" s="244">
        <f>+IFERROR(VLOOKUP(A43,'TB final'!$A$4:$P$727,14,0),0)</f>
        <v>0</v>
      </c>
      <c r="G43" s="244">
        <f t="shared" si="0"/>
        <v>0</v>
      </c>
      <c r="H43" s="244">
        <f t="shared" si="0"/>
        <v>0</v>
      </c>
      <c r="I43" s="244">
        <f t="shared" si="1"/>
        <v>0</v>
      </c>
    </row>
    <row r="44" spans="1:9" ht="15" hidden="1" customHeight="1" x14ac:dyDescent="0.25">
      <c r="A44" s="8" t="s">
        <v>40</v>
      </c>
      <c r="B44" s="239">
        <v>3586075</v>
      </c>
      <c r="C44" s="240"/>
      <c r="E44" s="244">
        <f>+IFERROR(VLOOKUP(A44,'TB final'!$A$4:$P$727,11,0),0)</f>
        <v>3586075</v>
      </c>
      <c r="F44" s="244">
        <f>+IFERROR(VLOOKUP(A44,'TB final'!$A$4:$P$727,14,0),0)</f>
        <v>0</v>
      </c>
      <c r="G44" s="244">
        <f t="shared" si="0"/>
        <v>0</v>
      </c>
      <c r="H44" s="244">
        <f t="shared" si="0"/>
        <v>0</v>
      </c>
      <c r="I44" s="244">
        <f t="shared" si="1"/>
        <v>0</v>
      </c>
    </row>
    <row r="45" spans="1:9" ht="15" hidden="1" customHeight="1" x14ac:dyDescent="0.25">
      <c r="A45" s="8" t="s">
        <v>41</v>
      </c>
      <c r="B45" s="239">
        <v>3442</v>
      </c>
      <c r="C45" s="240"/>
      <c r="E45" s="244">
        <f>+IFERROR(VLOOKUP(A45,'TB final'!$A$4:$P$727,11,0),0)</f>
        <v>3442</v>
      </c>
      <c r="F45" s="244">
        <f>+IFERROR(VLOOKUP(A45,'TB final'!$A$4:$P$727,14,0),0)</f>
        <v>0</v>
      </c>
      <c r="G45" s="244">
        <f t="shared" si="0"/>
        <v>0</v>
      </c>
      <c r="H45" s="244">
        <f t="shared" si="0"/>
        <v>0</v>
      </c>
      <c r="I45" s="244">
        <f t="shared" si="1"/>
        <v>0</v>
      </c>
    </row>
    <row r="46" spans="1:9" ht="15" hidden="1" customHeight="1" x14ac:dyDescent="0.25">
      <c r="A46" s="8" t="s">
        <v>43</v>
      </c>
      <c r="B46" s="239">
        <v>56016203.549999997</v>
      </c>
      <c r="C46" s="240"/>
      <c r="E46" s="244">
        <f>+IFERROR(VLOOKUP(A46,'TB final'!$A$4:$P$727,11,0),0)</f>
        <v>56016203.549999997</v>
      </c>
      <c r="F46" s="244">
        <f>+IFERROR(VLOOKUP(A46,'TB final'!$A$4:$P$727,14,0),0)</f>
        <v>0</v>
      </c>
      <c r="G46" s="244">
        <f t="shared" si="0"/>
        <v>0</v>
      </c>
      <c r="H46" s="244">
        <f t="shared" si="0"/>
        <v>0</v>
      </c>
      <c r="I46" s="244">
        <f t="shared" si="1"/>
        <v>0</v>
      </c>
    </row>
    <row r="47" spans="1:9" ht="15" hidden="1" customHeight="1" x14ac:dyDescent="0.25">
      <c r="A47" s="8" t="s">
        <v>45</v>
      </c>
      <c r="B47" s="240"/>
      <c r="C47" s="239">
        <v>20413989</v>
      </c>
      <c r="E47" s="244">
        <f>+IFERROR(VLOOKUP(A47,'TB final'!$A$4:$P$727,11,0),0)</f>
        <v>0</v>
      </c>
      <c r="F47" s="244">
        <f>+IFERROR(VLOOKUP(A47,'TB final'!$A$4:$P$727,14,0),0)</f>
        <v>20413989</v>
      </c>
      <c r="G47" s="244">
        <f t="shared" si="0"/>
        <v>0</v>
      </c>
      <c r="H47" s="244">
        <f t="shared" si="0"/>
        <v>0</v>
      </c>
      <c r="I47" s="244">
        <f t="shared" si="1"/>
        <v>0</v>
      </c>
    </row>
    <row r="48" spans="1:9" ht="15" hidden="1" customHeight="1" x14ac:dyDescent="0.25">
      <c r="A48" s="8" t="s">
        <v>47</v>
      </c>
      <c r="B48" s="239">
        <v>373855</v>
      </c>
      <c r="C48" s="240"/>
      <c r="E48" s="244">
        <f>+IFERROR(VLOOKUP(A48,'TB final'!$A$4:$P$727,11,0),0)</f>
        <v>373855</v>
      </c>
      <c r="F48" s="244">
        <f>+IFERROR(VLOOKUP(A48,'TB final'!$A$4:$P$727,14,0),0)</f>
        <v>0</v>
      </c>
      <c r="G48" s="244">
        <f t="shared" si="0"/>
        <v>0</v>
      </c>
      <c r="H48" s="244">
        <f t="shared" si="0"/>
        <v>0</v>
      </c>
      <c r="I48" s="244">
        <f t="shared" si="1"/>
        <v>0</v>
      </c>
    </row>
    <row r="49" spans="1:9" ht="15" hidden="1" customHeight="1" x14ac:dyDescent="0.25">
      <c r="A49" s="8" t="s">
        <v>540</v>
      </c>
      <c r="B49" s="239">
        <v>6500</v>
      </c>
      <c r="C49" s="240"/>
      <c r="E49" s="244">
        <f>+IFERROR(VLOOKUP(A49,'TB final'!$A$4:$P$727,11,0),0)</f>
        <v>6500</v>
      </c>
      <c r="F49" s="244">
        <f>+IFERROR(VLOOKUP(A49,'TB final'!$A$4:$P$727,14,0),0)</f>
        <v>0</v>
      </c>
      <c r="G49" s="244">
        <f t="shared" si="0"/>
        <v>0</v>
      </c>
      <c r="H49" s="244">
        <f t="shared" si="0"/>
        <v>0</v>
      </c>
      <c r="I49" s="244">
        <f t="shared" si="1"/>
        <v>0</v>
      </c>
    </row>
    <row r="50" spans="1:9" ht="15" hidden="1" customHeight="1" x14ac:dyDescent="0.25">
      <c r="A50" s="8" t="s">
        <v>48</v>
      </c>
      <c r="B50" s="239">
        <v>95134</v>
      </c>
      <c r="C50" s="240"/>
      <c r="E50" s="244">
        <f>+IFERROR(VLOOKUP(A50,'TB final'!$A$4:$P$727,11,0),0)</f>
        <v>95134</v>
      </c>
      <c r="F50" s="244">
        <f>+IFERROR(VLOOKUP(A50,'TB final'!$A$4:$P$727,14,0),0)</f>
        <v>0</v>
      </c>
      <c r="G50" s="244">
        <f t="shared" si="0"/>
        <v>0</v>
      </c>
      <c r="H50" s="244">
        <f t="shared" si="0"/>
        <v>0</v>
      </c>
      <c r="I50" s="244">
        <f t="shared" si="1"/>
        <v>0</v>
      </c>
    </row>
    <row r="51" spans="1:9" ht="15" hidden="1" customHeight="1" x14ac:dyDescent="0.25">
      <c r="A51" s="8" t="s">
        <v>49</v>
      </c>
      <c r="B51" s="239">
        <v>64762</v>
      </c>
      <c r="C51" s="240"/>
      <c r="E51" s="244">
        <f>+IFERROR(VLOOKUP(A51,'TB final'!$A$4:$P$727,11,0),0)</f>
        <v>64762</v>
      </c>
      <c r="F51" s="244">
        <f>+IFERROR(VLOOKUP(A51,'TB final'!$A$4:$P$727,14,0),0)</f>
        <v>0</v>
      </c>
      <c r="G51" s="244">
        <f t="shared" si="0"/>
        <v>0</v>
      </c>
      <c r="H51" s="244">
        <f t="shared" si="0"/>
        <v>0</v>
      </c>
      <c r="I51" s="244">
        <f t="shared" si="1"/>
        <v>0</v>
      </c>
    </row>
    <row r="52" spans="1:9" ht="15" hidden="1" customHeight="1" x14ac:dyDescent="0.25">
      <c r="A52" s="8" t="s">
        <v>50</v>
      </c>
      <c r="B52" s="239">
        <v>234166</v>
      </c>
      <c r="C52" s="240"/>
      <c r="E52" s="244">
        <f>+IFERROR(VLOOKUP(A52,'TB final'!$A$4:$P$727,11,0),0)</f>
        <v>234166</v>
      </c>
      <c r="F52" s="244">
        <f>+IFERROR(VLOOKUP(A52,'TB final'!$A$4:$P$727,14,0),0)</f>
        <v>0</v>
      </c>
      <c r="G52" s="244">
        <f t="shared" si="0"/>
        <v>0</v>
      </c>
      <c r="H52" s="244">
        <f t="shared" si="0"/>
        <v>0</v>
      </c>
      <c r="I52" s="244">
        <f t="shared" si="1"/>
        <v>0</v>
      </c>
    </row>
    <row r="53" spans="1:9" x14ac:dyDescent="0.25">
      <c r="A53" s="8" t="s">
        <v>553</v>
      </c>
      <c r="B53" s="239">
        <v>1108272.6399999999</v>
      </c>
      <c r="C53" s="240"/>
      <c r="E53" s="244">
        <f>+IFERROR(VLOOKUP(A53,'TB final'!$A$4:$P$727,11,0),0)</f>
        <v>1108272.6399999999</v>
      </c>
      <c r="F53" s="244">
        <f>+IFERROR(VLOOKUP(A53,'TB final'!$A$4:$P$727,14,0),0)</f>
        <v>0</v>
      </c>
      <c r="G53" s="244">
        <f t="shared" si="0"/>
        <v>0</v>
      </c>
      <c r="H53" s="244">
        <f t="shared" si="0"/>
        <v>0</v>
      </c>
      <c r="I53" s="244">
        <f t="shared" si="1"/>
        <v>0</v>
      </c>
    </row>
    <row r="54" spans="1:9" ht="15" hidden="1" customHeight="1" x14ac:dyDescent="0.25">
      <c r="A54" s="8" t="s">
        <v>555</v>
      </c>
      <c r="B54" s="240"/>
      <c r="C54" s="239">
        <v>7300</v>
      </c>
      <c r="E54" s="244">
        <f>+IFERROR(VLOOKUP(A54,'TB final'!$A$4:$P$727,11,0),0)</f>
        <v>0</v>
      </c>
      <c r="F54" s="244">
        <f>+IFERROR(VLOOKUP(A54,'TB final'!$A$4:$P$727,14,0),0)</f>
        <v>7300</v>
      </c>
      <c r="G54" s="244">
        <f t="shared" si="0"/>
        <v>0</v>
      </c>
      <c r="H54" s="244">
        <f t="shared" si="0"/>
        <v>0</v>
      </c>
      <c r="I54" s="244">
        <f t="shared" si="1"/>
        <v>0</v>
      </c>
    </row>
    <row r="55" spans="1:9" ht="15" hidden="1" customHeight="1" x14ac:dyDescent="0.25">
      <c r="A55" s="8" t="s">
        <v>556</v>
      </c>
      <c r="B55" s="240"/>
      <c r="C55" s="239">
        <v>173652</v>
      </c>
      <c r="E55" s="244">
        <f>+IFERROR(VLOOKUP(A55,'TB final'!$A$4:$P$727,11,0),0)</f>
        <v>0</v>
      </c>
      <c r="F55" s="244">
        <f>+IFERROR(VLOOKUP(A55,'TB final'!$A$4:$P$727,14,0),0)</f>
        <v>173652</v>
      </c>
      <c r="G55" s="244">
        <f t="shared" si="0"/>
        <v>0</v>
      </c>
      <c r="H55" s="244">
        <f t="shared" si="0"/>
        <v>0</v>
      </c>
      <c r="I55" s="244">
        <f t="shared" si="1"/>
        <v>0</v>
      </c>
    </row>
    <row r="56" spans="1:9" ht="15" hidden="1" customHeight="1" x14ac:dyDescent="0.25">
      <c r="A56" s="8" t="s">
        <v>73</v>
      </c>
      <c r="B56" s="239">
        <v>2655823</v>
      </c>
      <c r="C56" s="240"/>
      <c r="E56" s="244">
        <f>+IFERROR(VLOOKUP(A56,'TB final'!$A$4:$P$727,11,0),0)</f>
        <v>2655823</v>
      </c>
      <c r="F56" s="244">
        <f>+IFERROR(VLOOKUP(A56,'TB final'!$A$4:$P$727,14,0),0)</f>
        <v>0</v>
      </c>
      <c r="G56" s="244">
        <f t="shared" si="0"/>
        <v>0</v>
      </c>
      <c r="H56" s="244">
        <f t="shared" si="0"/>
        <v>0</v>
      </c>
      <c r="I56" s="244">
        <f t="shared" si="1"/>
        <v>0</v>
      </c>
    </row>
    <row r="57" spans="1:9" ht="15" hidden="1" customHeight="1" x14ac:dyDescent="0.25">
      <c r="A57" s="8" t="s">
        <v>74</v>
      </c>
      <c r="B57" s="239">
        <v>4304700</v>
      </c>
      <c r="C57" s="240"/>
      <c r="E57" s="244">
        <f>+IFERROR(VLOOKUP(A57,'TB final'!$A$4:$P$727,11,0),0)</f>
        <v>4304700</v>
      </c>
      <c r="F57" s="244">
        <f>+IFERROR(VLOOKUP(A57,'TB final'!$A$4:$P$727,14,0),0)</f>
        <v>0</v>
      </c>
      <c r="G57" s="244">
        <f t="shared" si="0"/>
        <v>0</v>
      </c>
      <c r="H57" s="244">
        <f t="shared" si="0"/>
        <v>0</v>
      </c>
      <c r="I57" s="244">
        <f t="shared" si="1"/>
        <v>0</v>
      </c>
    </row>
    <row r="58" spans="1:9" ht="15" hidden="1" customHeight="1" x14ac:dyDescent="0.25">
      <c r="A58" s="8" t="s">
        <v>76</v>
      </c>
      <c r="B58" s="239">
        <v>7000</v>
      </c>
      <c r="C58" s="240"/>
      <c r="E58" s="244">
        <f>+IFERROR(VLOOKUP(A58,'TB final'!$A$4:$P$727,11,0),0)</f>
        <v>7000</v>
      </c>
      <c r="F58" s="244">
        <f>+IFERROR(VLOOKUP(A58,'TB final'!$A$4:$P$727,14,0),0)</f>
        <v>0</v>
      </c>
      <c r="G58" s="244">
        <f t="shared" si="0"/>
        <v>0</v>
      </c>
      <c r="H58" s="244">
        <f t="shared" si="0"/>
        <v>0</v>
      </c>
      <c r="I58" s="244">
        <f t="shared" si="1"/>
        <v>0</v>
      </c>
    </row>
    <row r="59" spans="1:9" ht="15" hidden="1" customHeight="1" x14ac:dyDescent="0.25">
      <c r="A59" s="8" t="s">
        <v>77</v>
      </c>
      <c r="B59" s="239">
        <v>41533028.75</v>
      </c>
      <c r="C59" s="240"/>
      <c r="E59" s="244">
        <f>+IFERROR(VLOOKUP(A59,'TB final'!$A$4:$P$727,11,0),0)</f>
        <v>41533028.75</v>
      </c>
      <c r="F59" s="244">
        <f>+IFERROR(VLOOKUP(A59,'TB final'!$A$4:$P$727,14,0),0)</f>
        <v>0</v>
      </c>
      <c r="G59" s="244">
        <f t="shared" si="0"/>
        <v>0</v>
      </c>
      <c r="H59" s="244">
        <f t="shared" si="0"/>
        <v>0</v>
      </c>
      <c r="I59" s="244">
        <f t="shared" si="1"/>
        <v>0</v>
      </c>
    </row>
    <row r="60" spans="1:9" ht="15" hidden="1" customHeight="1" x14ac:dyDescent="0.25">
      <c r="A60" s="8" t="s">
        <v>78</v>
      </c>
      <c r="B60" s="239">
        <v>886060</v>
      </c>
      <c r="C60" s="240"/>
      <c r="E60" s="244">
        <f>+IFERROR(VLOOKUP(A60,'TB final'!$A$4:$P$727,11,0),0)</f>
        <v>886060</v>
      </c>
      <c r="F60" s="244">
        <f>+IFERROR(VLOOKUP(A60,'TB final'!$A$4:$P$727,14,0),0)</f>
        <v>0</v>
      </c>
      <c r="G60" s="244">
        <f t="shared" si="0"/>
        <v>0</v>
      </c>
      <c r="H60" s="244">
        <f t="shared" si="0"/>
        <v>0</v>
      </c>
      <c r="I60" s="244">
        <f t="shared" si="1"/>
        <v>0</v>
      </c>
    </row>
    <row r="61" spans="1:9" ht="15" hidden="1" customHeight="1" x14ac:dyDescent="0.25">
      <c r="A61" s="8" t="s">
        <v>79</v>
      </c>
      <c r="B61" s="239">
        <v>48514808.600000001</v>
      </c>
      <c r="C61" s="240"/>
      <c r="E61" s="244">
        <f>+IFERROR(VLOOKUP(A61,'TB final'!$A$4:$P$727,11,0),0)</f>
        <v>48514808.600000001</v>
      </c>
      <c r="F61" s="244">
        <f>+IFERROR(VLOOKUP(A61,'TB final'!$A$4:$P$727,14,0),0)</f>
        <v>0</v>
      </c>
      <c r="G61" s="244">
        <f t="shared" si="0"/>
        <v>0</v>
      </c>
      <c r="H61" s="244">
        <f t="shared" si="0"/>
        <v>0</v>
      </c>
      <c r="I61" s="244">
        <f t="shared" si="1"/>
        <v>0</v>
      </c>
    </row>
    <row r="62" spans="1:9" ht="15" hidden="1" customHeight="1" x14ac:dyDescent="0.25">
      <c r="A62" s="8" t="s">
        <v>80</v>
      </c>
      <c r="B62" s="239">
        <v>219361</v>
      </c>
      <c r="C62" s="240"/>
      <c r="E62" s="244">
        <f>+IFERROR(VLOOKUP(A62,'TB final'!$A$4:$P$727,11,0),0)</f>
        <v>219361</v>
      </c>
      <c r="F62" s="244">
        <f>+IFERROR(VLOOKUP(A62,'TB final'!$A$4:$P$727,14,0),0)</f>
        <v>0</v>
      </c>
      <c r="G62" s="244">
        <f t="shared" si="0"/>
        <v>0</v>
      </c>
      <c r="H62" s="244">
        <f t="shared" si="0"/>
        <v>0</v>
      </c>
      <c r="I62" s="244">
        <f t="shared" si="1"/>
        <v>0</v>
      </c>
    </row>
    <row r="63" spans="1:9" ht="15" hidden="1" customHeight="1" x14ac:dyDescent="0.25">
      <c r="A63" s="8" t="s">
        <v>81</v>
      </c>
      <c r="B63" s="239">
        <v>923225</v>
      </c>
      <c r="C63" s="240"/>
      <c r="E63" s="244">
        <f>+IFERROR(VLOOKUP(A63,'TB final'!$A$4:$P$727,11,0),0)</f>
        <v>923225</v>
      </c>
      <c r="F63" s="244">
        <f>+IFERROR(VLOOKUP(A63,'TB final'!$A$4:$P$727,14,0),0)</f>
        <v>0</v>
      </c>
      <c r="G63" s="244">
        <f t="shared" si="0"/>
        <v>0</v>
      </c>
      <c r="H63" s="244">
        <f t="shared" si="0"/>
        <v>0</v>
      </c>
      <c r="I63" s="244">
        <f t="shared" si="1"/>
        <v>0</v>
      </c>
    </row>
    <row r="64" spans="1:9" ht="15" hidden="1" customHeight="1" x14ac:dyDescent="0.25">
      <c r="A64" s="8" t="s">
        <v>82</v>
      </c>
      <c r="B64" s="239">
        <v>44460025.039999999</v>
      </c>
      <c r="C64" s="240"/>
      <c r="E64" s="244">
        <f>+IFERROR(VLOOKUP(A64,'TB final'!$A$4:$P$727,11,0),0)</f>
        <v>44460025.039999999</v>
      </c>
      <c r="F64" s="244">
        <f>+IFERROR(VLOOKUP(A64,'TB final'!$A$4:$P$727,14,0),0)</f>
        <v>0</v>
      </c>
      <c r="G64" s="244">
        <f t="shared" si="0"/>
        <v>0</v>
      </c>
      <c r="H64" s="244">
        <f t="shared" si="0"/>
        <v>0</v>
      </c>
      <c r="I64" s="244">
        <f t="shared" si="1"/>
        <v>0</v>
      </c>
    </row>
    <row r="65" spans="1:9" ht="15" hidden="1" customHeight="1" x14ac:dyDescent="0.25">
      <c r="A65" s="8" t="s">
        <v>84</v>
      </c>
      <c r="B65" s="239">
        <v>38030</v>
      </c>
      <c r="C65" s="240"/>
      <c r="E65" s="244">
        <f>+IFERROR(VLOOKUP(A65,'TB final'!$A$4:$P$727,11,0),0)</f>
        <v>38030</v>
      </c>
      <c r="F65" s="244">
        <f>+IFERROR(VLOOKUP(A65,'TB final'!$A$4:$P$727,14,0),0)</f>
        <v>0</v>
      </c>
      <c r="G65" s="244">
        <f t="shared" si="0"/>
        <v>0</v>
      </c>
      <c r="H65" s="244">
        <f t="shared" si="0"/>
        <v>0</v>
      </c>
      <c r="I65" s="244">
        <f t="shared" si="1"/>
        <v>0</v>
      </c>
    </row>
    <row r="66" spans="1:9" ht="15" hidden="1" customHeight="1" x14ac:dyDescent="0.25">
      <c r="A66" s="8" t="s">
        <v>85</v>
      </c>
      <c r="B66" s="239">
        <v>1723504</v>
      </c>
      <c r="C66" s="240"/>
      <c r="E66" s="244">
        <f>+IFERROR(VLOOKUP(A66,'TB final'!$A$4:$P$727,11,0),0)</f>
        <v>1723504</v>
      </c>
      <c r="F66" s="244">
        <f>+IFERROR(VLOOKUP(A66,'TB final'!$A$4:$P$727,14,0),0)</f>
        <v>0</v>
      </c>
      <c r="G66" s="244">
        <f t="shared" si="0"/>
        <v>0</v>
      </c>
      <c r="H66" s="244">
        <f t="shared" si="0"/>
        <v>0</v>
      </c>
      <c r="I66" s="244">
        <f t="shared" si="1"/>
        <v>0</v>
      </c>
    </row>
    <row r="67" spans="1:9" ht="15" hidden="1" customHeight="1" x14ac:dyDescent="0.25">
      <c r="A67" s="8" t="s">
        <v>86</v>
      </c>
      <c r="B67" s="239">
        <v>1057200.7</v>
      </c>
      <c r="C67" s="240"/>
      <c r="E67" s="244">
        <f>+IFERROR(VLOOKUP(A67,'TB final'!$A$4:$P$727,11,0),0)</f>
        <v>1057200.7</v>
      </c>
      <c r="F67" s="244">
        <f>+IFERROR(VLOOKUP(A67,'TB final'!$A$4:$P$727,14,0),0)</f>
        <v>0</v>
      </c>
      <c r="G67" s="244">
        <f t="shared" si="0"/>
        <v>0</v>
      </c>
      <c r="H67" s="244">
        <f t="shared" si="0"/>
        <v>0</v>
      </c>
      <c r="I67" s="244">
        <f t="shared" si="1"/>
        <v>0</v>
      </c>
    </row>
    <row r="68" spans="1:9" ht="15" hidden="1" customHeight="1" x14ac:dyDescent="0.25">
      <c r="A68" s="8" t="s">
        <v>87</v>
      </c>
      <c r="B68" s="239">
        <v>7000</v>
      </c>
      <c r="C68" s="240"/>
      <c r="E68" s="244">
        <f>+IFERROR(VLOOKUP(A68,'TB final'!$A$4:$P$727,11,0),0)</f>
        <v>7000</v>
      </c>
      <c r="F68" s="244">
        <f>+IFERROR(VLOOKUP(A68,'TB final'!$A$4:$P$727,14,0),0)</f>
        <v>0</v>
      </c>
      <c r="G68" s="244">
        <f t="shared" si="0"/>
        <v>0</v>
      </c>
      <c r="H68" s="244">
        <f t="shared" si="0"/>
        <v>0</v>
      </c>
      <c r="I68" s="244">
        <f t="shared" si="1"/>
        <v>0</v>
      </c>
    </row>
    <row r="69" spans="1:9" ht="15" hidden="1" customHeight="1" x14ac:dyDescent="0.25">
      <c r="A69" s="8" t="s">
        <v>566</v>
      </c>
      <c r="B69" s="239">
        <v>42915.89</v>
      </c>
      <c r="C69" s="240"/>
      <c r="E69" s="244">
        <f>+IFERROR(VLOOKUP(A69,'TB final'!$A$4:$P$727,11,0),0)</f>
        <v>42915.89</v>
      </c>
      <c r="F69" s="244">
        <f>+IFERROR(VLOOKUP(A69,'TB final'!$A$4:$P$727,14,0),0)</f>
        <v>0</v>
      </c>
      <c r="G69" s="244">
        <f t="shared" si="0"/>
        <v>0</v>
      </c>
      <c r="H69" s="244">
        <f t="shared" si="0"/>
        <v>0</v>
      </c>
      <c r="I69" s="244">
        <f t="shared" si="1"/>
        <v>0</v>
      </c>
    </row>
    <row r="70" spans="1:9" ht="15" hidden="1" customHeight="1" x14ac:dyDescent="0.25">
      <c r="A70" s="8" t="s">
        <v>89</v>
      </c>
      <c r="B70" s="240"/>
      <c r="C70" s="239">
        <v>21838</v>
      </c>
      <c r="E70" s="244">
        <f>+IFERROR(VLOOKUP(A70,'TB final'!$A$4:$P$727,11,0),0)</f>
        <v>0</v>
      </c>
      <c r="F70" s="244">
        <f>+IFERROR(VLOOKUP(A70,'TB final'!$A$4:$P$727,14,0),0)</f>
        <v>21838</v>
      </c>
      <c r="G70" s="244">
        <f t="shared" si="0"/>
        <v>0</v>
      </c>
      <c r="H70" s="244">
        <f t="shared" si="0"/>
        <v>0</v>
      </c>
      <c r="I70" s="244">
        <f t="shared" si="1"/>
        <v>0</v>
      </c>
    </row>
    <row r="71" spans="1:9" ht="15" hidden="1" customHeight="1" x14ac:dyDescent="0.25">
      <c r="A71" s="8" t="s">
        <v>90</v>
      </c>
      <c r="B71" s="240"/>
      <c r="C71" s="239">
        <v>184366</v>
      </c>
      <c r="E71" s="244">
        <f>+IFERROR(VLOOKUP(A71,'TB final'!$A$4:$P$727,11,0),0)</f>
        <v>0</v>
      </c>
      <c r="F71" s="244">
        <f>+IFERROR(VLOOKUP(A71,'TB final'!$A$4:$P$727,14,0),0)</f>
        <v>184366</v>
      </c>
      <c r="G71" s="244">
        <f t="shared" si="0"/>
        <v>0</v>
      </c>
      <c r="H71" s="244">
        <f t="shared" si="0"/>
        <v>0</v>
      </c>
      <c r="I71" s="244">
        <f t="shared" si="1"/>
        <v>0</v>
      </c>
    </row>
    <row r="72" spans="1:9" ht="15" hidden="1" customHeight="1" x14ac:dyDescent="0.25">
      <c r="A72" s="8" t="s">
        <v>91</v>
      </c>
      <c r="B72" s="239">
        <v>28640</v>
      </c>
      <c r="C72" s="240"/>
      <c r="E72" s="244">
        <f>+IFERROR(VLOOKUP(A72,'TB final'!$A$4:$P$727,11,0),0)</f>
        <v>28640</v>
      </c>
      <c r="F72" s="244">
        <f>+IFERROR(VLOOKUP(A72,'TB final'!$A$4:$P$727,14,0),0)</f>
        <v>0</v>
      </c>
      <c r="G72" s="244">
        <f t="shared" si="0"/>
        <v>0</v>
      </c>
      <c r="H72" s="244">
        <f t="shared" si="0"/>
        <v>0</v>
      </c>
      <c r="I72" s="244">
        <f t="shared" si="1"/>
        <v>0</v>
      </c>
    </row>
    <row r="73" spans="1:9" ht="15" hidden="1" customHeight="1" x14ac:dyDescent="0.25">
      <c r="A73" s="8" t="s">
        <v>92</v>
      </c>
      <c r="B73" s="239">
        <v>45845</v>
      </c>
      <c r="C73" s="240"/>
      <c r="E73" s="244">
        <f>+IFERROR(VLOOKUP(A73,'TB final'!$A$4:$P$727,11,0),0)</f>
        <v>45845</v>
      </c>
      <c r="F73" s="244">
        <f>+IFERROR(VLOOKUP(A73,'TB final'!$A$4:$P$727,14,0),0)</f>
        <v>0</v>
      </c>
      <c r="G73" s="244">
        <f t="shared" si="0"/>
        <v>0</v>
      </c>
      <c r="H73" s="244">
        <f t="shared" si="0"/>
        <v>0</v>
      </c>
      <c r="I73" s="244">
        <f t="shared" si="1"/>
        <v>0</v>
      </c>
    </row>
    <row r="74" spans="1:9" ht="15" hidden="1" customHeight="1" x14ac:dyDescent="0.25">
      <c r="A74" s="8" t="s">
        <v>93</v>
      </c>
      <c r="B74" s="239">
        <v>2786944</v>
      </c>
      <c r="C74" s="240"/>
      <c r="E74" s="244">
        <f>+IFERROR(VLOOKUP(A74,'TB final'!$A$4:$P$727,11,0),0)</f>
        <v>2786944</v>
      </c>
      <c r="F74" s="244">
        <f>+IFERROR(VLOOKUP(A74,'TB final'!$A$4:$P$727,14,0),0)</f>
        <v>0</v>
      </c>
      <c r="G74" s="244">
        <f t="shared" si="0"/>
        <v>0</v>
      </c>
      <c r="H74" s="244">
        <f t="shared" si="0"/>
        <v>0</v>
      </c>
      <c r="I74" s="244">
        <f t="shared" si="1"/>
        <v>0</v>
      </c>
    </row>
    <row r="75" spans="1:9" ht="15" hidden="1" customHeight="1" x14ac:dyDescent="0.25">
      <c r="A75" s="8" t="s">
        <v>94</v>
      </c>
      <c r="B75" s="239">
        <v>60454</v>
      </c>
      <c r="C75" s="240"/>
      <c r="E75" s="244">
        <f>+IFERROR(VLOOKUP(A75,'TB final'!$A$4:$P$727,11,0),0)</f>
        <v>60454</v>
      </c>
      <c r="F75" s="244">
        <f>+IFERROR(VLOOKUP(A75,'TB final'!$A$4:$P$727,14,0),0)</f>
        <v>0</v>
      </c>
      <c r="G75" s="244">
        <f t="shared" si="0"/>
        <v>0</v>
      </c>
      <c r="H75" s="244">
        <f t="shared" si="0"/>
        <v>0</v>
      </c>
      <c r="I75" s="244">
        <f t="shared" si="1"/>
        <v>0</v>
      </c>
    </row>
    <row r="76" spans="1:9" ht="15" hidden="1" customHeight="1" x14ac:dyDescent="0.25">
      <c r="A76" s="8" t="s">
        <v>95</v>
      </c>
      <c r="B76" s="239">
        <v>380250</v>
      </c>
      <c r="C76" s="240"/>
      <c r="E76" s="244">
        <f>+IFERROR(VLOOKUP(A76,'TB final'!$A$4:$P$727,11,0),0)</f>
        <v>380250</v>
      </c>
      <c r="F76" s="244">
        <f>+IFERROR(VLOOKUP(A76,'TB final'!$A$4:$P$727,14,0),0)</f>
        <v>0</v>
      </c>
      <c r="G76" s="244">
        <f t="shared" si="0"/>
        <v>0</v>
      </c>
      <c r="H76" s="244">
        <f t="shared" si="0"/>
        <v>0</v>
      </c>
      <c r="I76" s="244">
        <f t="shared" si="1"/>
        <v>0</v>
      </c>
    </row>
    <row r="77" spans="1:9" ht="15" hidden="1" customHeight="1" x14ac:dyDescent="0.25">
      <c r="A77" s="8" t="s">
        <v>1372</v>
      </c>
      <c r="B77" s="239">
        <v>2500</v>
      </c>
      <c r="C77" s="240"/>
      <c r="E77" s="244">
        <f>+IFERROR(VLOOKUP(A77,'TB final'!$A$4:$P$727,11,0),0)</f>
        <v>2500</v>
      </c>
      <c r="F77" s="244">
        <f>+IFERROR(VLOOKUP(A77,'TB final'!$A$4:$P$727,14,0),0)</f>
        <v>0</v>
      </c>
      <c r="G77" s="244">
        <f t="shared" ref="G77:H140" si="2">+B77-E77</f>
        <v>0</v>
      </c>
      <c r="H77" s="244">
        <f t="shared" si="2"/>
        <v>0</v>
      </c>
      <c r="I77" s="244">
        <f t="shared" ref="I77:I140" si="3">+G77+H77</f>
        <v>0</v>
      </c>
    </row>
    <row r="78" spans="1:9" ht="15" hidden="1" customHeight="1" x14ac:dyDescent="0.25">
      <c r="A78" s="8" t="s">
        <v>98</v>
      </c>
      <c r="B78" s="240"/>
      <c r="C78" s="239">
        <v>2430503</v>
      </c>
      <c r="E78" s="244">
        <f>+IFERROR(VLOOKUP(A78,'TB final'!$A$4:$P$727,11,0),0)</f>
        <v>0</v>
      </c>
      <c r="F78" s="244">
        <f>+IFERROR(VLOOKUP(A78,'TB final'!$A$4:$P$727,14,0),0)</f>
        <v>2430503</v>
      </c>
      <c r="G78" s="244">
        <f t="shared" si="2"/>
        <v>0</v>
      </c>
      <c r="H78" s="244">
        <f t="shared" si="2"/>
        <v>0</v>
      </c>
      <c r="I78" s="244">
        <f t="shared" si="3"/>
        <v>0</v>
      </c>
    </row>
    <row r="79" spans="1:9" ht="15" hidden="1" customHeight="1" x14ac:dyDescent="0.25">
      <c r="A79" s="8" t="s">
        <v>99</v>
      </c>
      <c r="B79" s="240"/>
      <c r="C79" s="239">
        <v>20113961</v>
      </c>
      <c r="E79" s="244">
        <f>+IFERROR(VLOOKUP(A79,'TB final'!$A$4:$P$727,11,0),0)</f>
        <v>0</v>
      </c>
      <c r="F79" s="244">
        <f>+IFERROR(VLOOKUP(A79,'TB final'!$A$4:$P$727,14,0),0)</f>
        <v>20113961</v>
      </c>
      <c r="G79" s="244">
        <f t="shared" si="2"/>
        <v>0</v>
      </c>
      <c r="H79" s="244">
        <f t="shared" si="2"/>
        <v>0</v>
      </c>
      <c r="I79" s="244">
        <f t="shared" si="3"/>
        <v>0</v>
      </c>
    </row>
    <row r="80" spans="1:9" ht="15" hidden="1" customHeight="1" x14ac:dyDescent="0.25">
      <c r="A80" s="8" t="s">
        <v>100</v>
      </c>
      <c r="B80" s="239">
        <v>1137100</v>
      </c>
      <c r="C80" s="240"/>
      <c r="E80" s="244">
        <f>+IFERROR(VLOOKUP(A80,'TB final'!$A$4:$P$727,11,0),0)</f>
        <v>1137100</v>
      </c>
      <c r="F80" s="244">
        <f>+IFERROR(VLOOKUP(A80,'TB final'!$A$4:$P$727,14,0),0)</f>
        <v>0</v>
      </c>
      <c r="G80" s="244">
        <f t="shared" si="2"/>
        <v>0</v>
      </c>
      <c r="H80" s="244">
        <f t="shared" si="2"/>
        <v>0</v>
      </c>
      <c r="I80" s="244">
        <f t="shared" si="3"/>
        <v>0</v>
      </c>
    </row>
    <row r="81" spans="1:9" ht="15" hidden="1" customHeight="1" x14ac:dyDescent="0.25">
      <c r="A81" s="8" t="s">
        <v>101</v>
      </c>
      <c r="B81" s="239">
        <v>6800</v>
      </c>
      <c r="C81" s="240"/>
      <c r="E81" s="244">
        <f>+IFERROR(VLOOKUP(A81,'TB final'!$A$4:$P$727,11,0),0)</f>
        <v>6800</v>
      </c>
      <c r="F81" s="244">
        <f>+IFERROR(VLOOKUP(A81,'TB final'!$A$4:$P$727,14,0),0)</f>
        <v>0</v>
      </c>
      <c r="G81" s="244">
        <f t="shared" si="2"/>
        <v>0</v>
      </c>
      <c r="H81" s="244">
        <f t="shared" si="2"/>
        <v>0</v>
      </c>
      <c r="I81" s="244">
        <f t="shared" si="3"/>
        <v>0</v>
      </c>
    </row>
    <row r="82" spans="1:9" ht="15" hidden="1" customHeight="1" x14ac:dyDescent="0.25">
      <c r="A82" s="8" t="s">
        <v>102</v>
      </c>
      <c r="B82" s="239">
        <v>200000</v>
      </c>
      <c r="C82" s="240"/>
      <c r="E82" s="244">
        <f>+IFERROR(VLOOKUP(A82,'TB final'!$A$4:$P$727,11,0),0)</f>
        <v>200000</v>
      </c>
      <c r="F82" s="244">
        <f>+IFERROR(VLOOKUP(A82,'TB final'!$A$4:$P$727,14,0),0)</f>
        <v>0</v>
      </c>
      <c r="G82" s="244">
        <f t="shared" si="2"/>
        <v>0</v>
      </c>
      <c r="H82" s="244">
        <f t="shared" si="2"/>
        <v>0</v>
      </c>
      <c r="I82" s="244">
        <f t="shared" si="3"/>
        <v>0</v>
      </c>
    </row>
    <row r="83" spans="1:9" ht="15" hidden="1" customHeight="1" x14ac:dyDescent="0.25">
      <c r="A83" s="8" t="s">
        <v>103</v>
      </c>
      <c r="B83" s="239">
        <v>9500</v>
      </c>
      <c r="C83" s="240"/>
      <c r="E83" s="244">
        <f>+IFERROR(VLOOKUP(A83,'TB final'!$A$4:$P$727,11,0),0)</f>
        <v>9500</v>
      </c>
      <c r="F83" s="244">
        <f>+IFERROR(VLOOKUP(A83,'TB final'!$A$4:$P$727,14,0),0)</f>
        <v>0</v>
      </c>
      <c r="G83" s="244">
        <f t="shared" si="2"/>
        <v>0</v>
      </c>
      <c r="H83" s="244">
        <f t="shared" si="2"/>
        <v>0</v>
      </c>
      <c r="I83" s="244">
        <f t="shared" si="3"/>
        <v>0</v>
      </c>
    </row>
    <row r="84" spans="1:9" ht="15" hidden="1" customHeight="1" x14ac:dyDescent="0.25">
      <c r="A84" s="8" t="s">
        <v>104</v>
      </c>
      <c r="B84" s="239">
        <v>4494616</v>
      </c>
      <c r="C84" s="240"/>
      <c r="E84" s="244">
        <f>+IFERROR(VLOOKUP(A84,'TB final'!$A$4:$P$727,11,0),0)</f>
        <v>4494616</v>
      </c>
      <c r="F84" s="244">
        <f>+IFERROR(VLOOKUP(A84,'TB final'!$A$4:$P$727,14,0),0)</f>
        <v>0</v>
      </c>
      <c r="G84" s="244">
        <f t="shared" si="2"/>
        <v>0</v>
      </c>
      <c r="H84" s="244">
        <f t="shared" si="2"/>
        <v>0</v>
      </c>
      <c r="I84" s="244">
        <f t="shared" si="3"/>
        <v>0</v>
      </c>
    </row>
    <row r="85" spans="1:9" ht="15" hidden="1" customHeight="1" x14ac:dyDescent="0.25">
      <c r="A85" s="8" t="s">
        <v>105</v>
      </c>
      <c r="B85" s="239">
        <v>470000</v>
      </c>
      <c r="C85" s="240"/>
      <c r="E85" s="244">
        <f>+IFERROR(VLOOKUP(A85,'TB final'!$A$4:$P$727,11,0),0)</f>
        <v>470000</v>
      </c>
      <c r="F85" s="244">
        <f>+IFERROR(VLOOKUP(A85,'TB final'!$A$4:$P$727,14,0),0)</f>
        <v>0</v>
      </c>
      <c r="G85" s="244">
        <f t="shared" si="2"/>
        <v>0</v>
      </c>
      <c r="H85" s="244">
        <f t="shared" si="2"/>
        <v>0</v>
      </c>
      <c r="I85" s="244">
        <f t="shared" si="3"/>
        <v>0</v>
      </c>
    </row>
    <row r="86" spans="1:9" ht="15" hidden="1" customHeight="1" x14ac:dyDescent="0.25">
      <c r="A86" s="8" t="s">
        <v>106</v>
      </c>
      <c r="B86" s="239">
        <v>248200</v>
      </c>
      <c r="C86" s="240"/>
      <c r="E86" s="244">
        <f>+IFERROR(VLOOKUP(A86,'TB final'!$A$4:$P$727,11,0),0)</f>
        <v>248200</v>
      </c>
      <c r="F86" s="244">
        <f>+IFERROR(VLOOKUP(A86,'TB final'!$A$4:$P$727,14,0),0)</f>
        <v>0</v>
      </c>
      <c r="G86" s="244">
        <f t="shared" si="2"/>
        <v>0</v>
      </c>
      <c r="H86" s="244">
        <f t="shared" si="2"/>
        <v>0</v>
      </c>
      <c r="I86" s="244">
        <f t="shared" si="3"/>
        <v>0</v>
      </c>
    </row>
    <row r="87" spans="1:9" ht="15" hidden="1" customHeight="1" x14ac:dyDescent="0.25">
      <c r="A87" s="8" t="s">
        <v>108</v>
      </c>
      <c r="B87" s="239">
        <v>125000</v>
      </c>
      <c r="C87" s="240"/>
      <c r="E87" s="244">
        <f>+IFERROR(VLOOKUP(A87,'TB final'!$A$4:$P$727,11,0),0)</f>
        <v>125000</v>
      </c>
      <c r="F87" s="244">
        <f>+IFERROR(VLOOKUP(A87,'TB final'!$A$4:$P$727,14,0),0)</f>
        <v>0</v>
      </c>
      <c r="G87" s="244">
        <f t="shared" si="2"/>
        <v>0</v>
      </c>
      <c r="H87" s="244">
        <f t="shared" si="2"/>
        <v>0</v>
      </c>
      <c r="I87" s="244">
        <f t="shared" si="3"/>
        <v>0</v>
      </c>
    </row>
    <row r="88" spans="1:9" ht="15" hidden="1" customHeight="1" x14ac:dyDescent="0.25">
      <c r="A88" s="8" t="s">
        <v>109</v>
      </c>
      <c r="B88" s="239">
        <v>1885458</v>
      </c>
      <c r="C88" s="240"/>
      <c r="E88" s="244">
        <f>+IFERROR(VLOOKUP(A88,'TB final'!$A$4:$P$727,11,0),0)</f>
        <v>1885458</v>
      </c>
      <c r="F88" s="244">
        <f>+IFERROR(VLOOKUP(A88,'TB final'!$A$4:$P$727,14,0),0)</f>
        <v>0</v>
      </c>
      <c r="G88" s="244">
        <f t="shared" si="2"/>
        <v>0</v>
      </c>
      <c r="H88" s="244">
        <f t="shared" si="2"/>
        <v>0</v>
      </c>
      <c r="I88" s="244">
        <f t="shared" si="3"/>
        <v>0</v>
      </c>
    </row>
    <row r="89" spans="1:9" ht="15" hidden="1" customHeight="1" x14ac:dyDescent="0.25">
      <c r="A89" s="8" t="s">
        <v>110</v>
      </c>
      <c r="B89" s="239">
        <v>1743151</v>
      </c>
      <c r="C89" s="240"/>
      <c r="E89" s="244">
        <f>+IFERROR(VLOOKUP(A89,'TB final'!$A$4:$P$727,11,0),0)</f>
        <v>1743151</v>
      </c>
      <c r="F89" s="244">
        <f>+IFERROR(VLOOKUP(A89,'TB final'!$A$4:$P$727,14,0),0)</f>
        <v>0</v>
      </c>
      <c r="G89" s="244">
        <f t="shared" si="2"/>
        <v>0</v>
      </c>
      <c r="H89" s="244">
        <f t="shared" si="2"/>
        <v>0</v>
      </c>
      <c r="I89" s="244">
        <f t="shared" si="3"/>
        <v>0</v>
      </c>
    </row>
    <row r="90" spans="1:9" ht="15" hidden="1" customHeight="1" x14ac:dyDescent="0.25">
      <c r="A90" s="8" t="s">
        <v>111</v>
      </c>
      <c r="B90" s="239">
        <v>92736</v>
      </c>
      <c r="C90" s="240"/>
      <c r="E90" s="244">
        <f>+IFERROR(VLOOKUP(A90,'TB final'!$A$4:$P$727,11,0),0)</f>
        <v>92736</v>
      </c>
      <c r="F90" s="244">
        <f>+IFERROR(VLOOKUP(A90,'TB final'!$A$4:$P$727,14,0),0)</f>
        <v>0</v>
      </c>
      <c r="G90" s="244">
        <f t="shared" si="2"/>
        <v>0</v>
      </c>
      <c r="H90" s="244">
        <f t="shared" si="2"/>
        <v>0</v>
      </c>
      <c r="I90" s="244">
        <f t="shared" si="3"/>
        <v>0</v>
      </c>
    </row>
    <row r="91" spans="1:9" ht="15" hidden="1" customHeight="1" x14ac:dyDescent="0.25">
      <c r="A91" s="8" t="s">
        <v>112</v>
      </c>
      <c r="B91" s="239">
        <v>57979</v>
      </c>
      <c r="C91" s="240"/>
      <c r="E91" s="244">
        <f>+IFERROR(VLOOKUP(A91,'TB final'!$A$4:$P$727,11,0),0)</f>
        <v>57979</v>
      </c>
      <c r="F91" s="244">
        <f>+IFERROR(VLOOKUP(A91,'TB final'!$A$4:$P$727,14,0),0)</f>
        <v>0</v>
      </c>
      <c r="G91" s="244">
        <f t="shared" si="2"/>
        <v>0</v>
      </c>
      <c r="H91" s="244">
        <f t="shared" si="2"/>
        <v>0</v>
      </c>
      <c r="I91" s="244">
        <f t="shared" si="3"/>
        <v>0</v>
      </c>
    </row>
    <row r="92" spans="1:9" ht="15" hidden="1" customHeight="1" x14ac:dyDescent="0.25">
      <c r="A92" s="8" t="s">
        <v>113</v>
      </c>
      <c r="B92" s="239">
        <v>24077</v>
      </c>
      <c r="C92" s="240"/>
      <c r="E92" s="244">
        <f>+IFERROR(VLOOKUP(A92,'TB final'!$A$4:$P$727,11,0),0)</f>
        <v>24077</v>
      </c>
      <c r="F92" s="244">
        <f>+IFERROR(VLOOKUP(A92,'TB final'!$A$4:$P$727,14,0),0)</f>
        <v>0</v>
      </c>
      <c r="G92" s="244">
        <f t="shared" si="2"/>
        <v>0</v>
      </c>
      <c r="H92" s="244">
        <f t="shared" si="2"/>
        <v>0</v>
      </c>
      <c r="I92" s="244">
        <f t="shared" si="3"/>
        <v>0</v>
      </c>
    </row>
    <row r="93" spans="1:9" ht="15" hidden="1" customHeight="1" x14ac:dyDescent="0.25">
      <c r="A93" s="8" t="s">
        <v>114</v>
      </c>
      <c r="B93" s="239">
        <v>13101740</v>
      </c>
      <c r="C93" s="240"/>
      <c r="E93" s="244">
        <f>+IFERROR(VLOOKUP(A93,'TB final'!$A$4:$P$727,11,0),0)</f>
        <v>13101740</v>
      </c>
      <c r="F93" s="244">
        <f>+IFERROR(VLOOKUP(A93,'TB final'!$A$4:$P$727,14,0),0)</f>
        <v>0</v>
      </c>
      <c r="G93" s="244">
        <f t="shared" si="2"/>
        <v>0</v>
      </c>
      <c r="H93" s="244">
        <f t="shared" si="2"/>
        <v>0</v>
      </c>
      <c r="I93" s="244">
        <f t="shared" si="3"/>
        <v>0</v>
      </c>
    </row>
    <row r="94" spans="1:9" ht="15" hidden="1" customHeight="1" x14ac:dyDescent="0.25">
      <c r="A94" s="8" t="s">
        <v>115</v>
      </c>
      <c r="B94" s="239">
        <v>287798</v>
      </c>
      <c r="C94" s="240"/>
      <c r="E94" s="244">
        <f>+IFERROR(VLOOKUP(A94,'TB final'!$A$4:$P$727,11,0),0)</f>
        <v>287798</v>
      </c>
      <c r="F94" s="244">
        <f>+IFERROR(VLOOKUP(A94,'TB final'!$A$4:$P$727,14,0),0)</f>
        <v>0</v>
      </c>
      <c r="G94" s="244">
        <f t="shared" si="2"/>
        <v>0</v>
      </c>
      <c r="H94" s="244">
        <f t="shared" si="2"/>
        <v>0</v>
      </c>
      <c r="I94" s="244">
        <f t="shared" si="3"/>
        <v>0</v>
      </c>
    </row>
    <row r="95" spans="1:9" ht="15" hidden="1" customHeight="1" x14ac:dyDescent="0.25">
      <c r="A95" s="8" t="s">
        <v>595</v>
      </c>
      <c r="B95" s="240"/>
      <c r="C95" s="239">
        <v>10037</v>
      </c>
      <c r="E95" s="244">
        <f>+IFERROR(VLOOKUP(A95,'TB final'!$A$4:$P$727,11,0),0)</f>
        <v>0</v>
      </c>
      <c r="F95" s="244">
        <f>+IFERROR(VLOOKUP(A95,'TB final'!$A$4:$P$727,14,0),0)</f>
        <v>10037</v>
      </c>
      <c r="G95" s="244">
        <f t="shared" si="2"/>
        <v>0</v>
      </c>
      <c r="H95" s="244">
        <f t="shared" si="2"/>
        <v>0</v>
      </c>
      <c r="I95" s="244">
        <f t="shared" si="3"/>
        <v>0</v>
      </c>
    </row>
    <row r="96" spans="1:9" ht="15" hidden="1" customHeight="1" x14ac:dyDescent="0.25">
      <c r="A96" s="8" t="s">
        <v>598</v>
      </c>
      <c r="B96" s="240"/>
      <c r="C96" s="239">
        <v>29160</v>
      </c>
      <c r="E96" s="244">
        <f>+IFERROR(VLOOKUP(A96,'TB final'!$A$4:$P$727,11,0),0)</f>
        <v>0</v>
      </c>
      <c r="F96" s="244">
        <f>+IFERROR(VLOOKUP(A96,'TB final'!$A$4:$P$727,14,0),0)</f>
        <v>29160</v>
      </c>
      <c r="G96" s="244">
        <f t="shared" si="2"/>
        <v>0</v>
      </c>
      <c r="H96" s="244">
        <f t="shared" si="2"/>
        <v>0</v>
      </c>
      <c r="I96" s="244">
        <f t="shared" si="3"/>
        <v>0</v>
      </c>
    </row>
    <row r="97" spans="1:9" ht="15" hidden="1" customHeight="1" x14ac:dyDescent="0.25">
      <c r="A97" s="8" t="s">
        <v>119</v>
      </c>
      <c r="B97" s="239">
        <v>15000</v>
      </c>
      <c r="C97" s="240"/>
      <c r="E97" s="244">
        <f>+IFERROR(VLOOKUP(A97,'TB final'!$A$4:$P$727,11,0),0)</f>
        <v>15000</v>
      </c>
      <c r="F97" s="244">
        <f>+IFERROR(VLOOKUP(A97,'TB final'!$A$4:$P$727,14,0),0)</f>
        <v>0</v>
      </c>
      <c r="G97" s="244">
        <f t="shared" si="2"/>
        <v>0</v>
      </c>
      <c r="H97" s="244">
        <f t="shared" si="2"/>
        <v>0</v>
      </c>
      <c r="I97" s="244">
        <f t="shared" si="3"/>
        <v>0</v>
      </c>
    </row>
    <row r="98" spans="1:9" ht="15" hidden="1" customHeight="1" x14ac:dyDescent="0.25">
      <c r="A98" s="8" t="s">
        <v>120</v>
      </c>
      <c r="B98" s="239">
        <v>30585779</v>
      </c>
      <c r="C98" s="240"/>
      <c r="E98" s="244">
        <f>+IFERROR(VLOOKUP(A98,'TB final'!$A$4:$P$727,11,0),0)</f>
        <v>30585779</v>
      </c>
      <c r="F98" s="244">
        <f>+IFERROR(VLOOKUP(A98,'TB final'!$A$4:$P$727,14,0),0)</f>
        <v>0</v>
      </c>
      <c r="G98" s="244">
        <f t="shared" si="2"/>
        <v>0</v>
      </c>
      <c r="H98" s="244">
        <f t="shared" si="2"/>
        <v>0</v>
      </c>
      <c r="I98" s="244">
        <f t="shared" si="3"/>
        <v>0</v>
      </c>
    </row>
    <row r="99" spans="1:9" ht="15" hidden="1" customHeight="1" x14ac:dyDescent="0.25">
      <c r="A99" s="8" t="s">
        <v>121</v>
      </c>
      <c r="B99" s="240"/>
      <c r="C99" s="239">
        <v>49644.76</v>
      </c>
      <c r="E99" s="244">
        <f>+IFERROR(VLOOKUP(A99,'TB final'!$A$4:$P$727,11,0),0)</f>
        <v>0</v>
      </c>
      <c r="F99" s="244">
        <f>+IFERROR(VLOOKUP(A99,'TB final'!$A$4:$P$727,14,0),0)</f>
        <v>49644.76</v>
      </c>
      <c r="G99" s="244">
        <f t="shared" si="2"/>
        <v>0</v>
      </c>
      <c r="H99" s="244">
        <f t="shared" si="2"/>
        <v>0</v>
      </c>
      <c r="I99" s="244">
        <f t="shared" si="3"/>
        <v>0</v>
      </c>
    </row>
    <row r="100" spans="1:9" ht="15" hidden="1" customHeight="1" x14ac:dyDescent="0.25">
      <c r="A100" s="8" t="s">
        <v>123</v>
      </c>
      <c r="B100" s="239">
        <v>13002</v>
      </c>
      <c r="C100" s="240"/>
      <c r="E100" s="244">
        <f>+IFERROR(VLOOKUP(A100,'TB final'!$A$4:$P$727,11,0),0)</f>
        <v>13002</v>
      </c>
      <c r="F100" s="244">
        <f>+IFERROR(VLOOKUP(A100,'TB final'!$A$4:$P$727,14,0),0)</f>
        <v>0</v>
      </c>
      <c r="G100" s="244">
        <f t="shared" si="2"/>
        <v>0</v>
      </c>
      <c r="H100" s="244">
        <f t="shared" si="2"/>
        <v>0</v>
      </c>
      <c r="I100" s="244">
        <f t="shared" si="3"/>
        <v>0</v>
      </c>
    </row>
    <row r="101" spans="1:9" ht="15" hidden="1" customHeight="1" x14ac:dyDescent="0.25">
      <c r="A101" s="8" t="s">
        <v>607</v>
      </c>
      <c r="B101" s="239">
        <v>18000</v>
      </c>
      <c r="C101" s="240"/>
      <c r="E101" s="244">
        <f>+IFERROR(VLOOKUP(A101,'TB final'!$A$4:$P$727,11,0),0)</f>
        <v>18000</v>
      </c>
      <c r="F101" s="244">
        <f>+IFERROR(VLOOKUP(A101,'TB final'!$A$4:$P$727,14,0),0)</f>
        <v>0</v>
      </c>
      <c r="G101" s="244">
        <f t="shared" si="2"/>
        <v>0</v>
      </c>
      <c r="H101" s="244">
        <f t="shared" si="2"/>
        <v>0</v>
      </c>
      <c r="I101" s="244">
        <f t="shared" si="3"/>
        <v>0</v>
      </c>
    </row>
    <row r="102" spans="1:9" ht="15" hidden="1" customHeight="1" x14ac:dyDescent="0.25">
      <c r="A102" s="8" t="s">
        <v>482</v>
      </c>
      <c r="B102" s="239">
        <v>2384</v>
      </c>
      <c r="C102" s="240"/>
      <c r="E102" s="244">
        <f>+IFERROR(VLOOKUP(A102,'TB final'!$A$4:$P$727,11,0),0)</f>
        <v>2384</v>
      </c>
      <c r="F102" s="244">
        <f>+IFERROR(VLOOKUP(A102,'TB final'!$A$4:$P$727,14,0),0)</f>
        <v>0</v>
      </c>
      <c r="G102" s="244">
        <f t="shared" si="2"/>
        <v>0</v>
      </c>
      <c r="H102" s="244">
        <f t="shared" si="2"/>
        <v>0</v>
      </c>
      <c r="I102" s="244">
        <f t="shared" si="3"/>
        <v>0</v>
      </c>
    </row>
    <row r="103" spans="1:9" ht="15" hidden="1" customHeight="1" x14ac:dyDescent="0.25">
      <c r="A103" s="8" t="s">
        <v>608</v>
      </c>
      <c r="B103" s="240"/>
      <c r="C103" s="239">
        <v>56640</v>
      </c>
      <c r="E103" s="244">
        <f>+IFERROR(VLOOKUP(A103,'TB final'!$A$4:$P$727,11,0),0)</f>
        <v>0</v>
      </c>
      <c r="F103" s="244">
        <f>+IFERROR(VLOOKUP(A103,'TB final'!$A$4:$P$727,14,0),0)</f>
        <v>56640</v>
      </c>
      <c r="G103" s="244">
        <f t="shared" si="2"/>
        <v>0</v>
      </c>
      <c r="H103" s="244">
        <f t="shared" si="2"/>
        <v>0</v>
      </c>
      <c r="I103" s="244">
        <f t="shared" si="3"/>
        <v>0</v>
      </c>
    </row>
    <row r="104" spans="1:9" ht="15" hidden="1" customHeight="1" x14ac:dyDescent="0.25">
      <c r="A104" s="8" t="s">
        <v>124</v>
      </c>
      <c r="B104" s="240"/>
      <c r="C104" s="239">
        <v>5099431</v>
      </c>
      <c r="E104" s="244">
        <f>+IFERROR(VLOOKUP(A104,'TB final'!$A$4:$P$727,11,0),0)</f>
        <v>0</v>
      </c>
      <c r="F104" s="244">
        <f>+IFERROR(VLOOKUP(A104,'TB final'!$A$4:$P$727,14,0),0)</f>
        <v>5099431</v>
      </c>
      <c r="G104" s="244">
        <f t="shared" si="2"/>
        <v>0</v>
      </c>
      <c r="H104" s="244">
        <f t="shared" si="2"/>
        <v>0</v>
      </c>
      <c r="I104" s="244">
        <f t="shared" si="3"/>
        <v>0</v>
      </c>
    </row>
    <row r="105" spans="1:9" ht="15" hidden="1" customHeight="1" x14ac:dyDescent="0.25">
      <c r="A105" s="8" t="s">
        <v>125</v>
      </c>
      <c r="B105" s="239">
        <v>28473033.399999999</v>
      </c>
      <c r="C105" s="240"/>
      <c r="E105" s="244">
        <f>+IFERROR(VLOOKUP(A105,'TB final'!$A$4:$P$727,11,0),0)</f>
        <v>28473033.399999999</v>
      </c>
      <c r="F105" s="244">
        <f>+IFERROR(VLOOKUP(A105,'TB final'!$A$4:$P$727,14,0),0)</f>
        <v>0</v>
      </c>
      <c r="G105" s="244">
        <f t="shared" si="2"/>
        <v>0</v>
      </c>
      <c r="H105" s="244">
        <f t="shared" si="2"/>
        <v>0</v>
      </c>
      <c r="I105" s="244">
        <f t="shared" si="3"/>
        <v>0</v>
      </c>
    </row>
    <row r="106" spans="1:9" ht="15" hidden="1" customHeight="1" x14ac:dyDescent="0.25">
      <c r="A106" s="8" t="s">
        <v>126</v>
      </c>
      <c r="B106" s="240"/>
      <c r="C106" s="239">
        <v>26922650</v>
      </c>
      <c r="E106" s="244">
        <f>+IFERROR(VLOOKUP(A106,'TB final'!$A$4:$P$727,11,0),0)</f>
        <v>0</v>
      </c>
      <c r="F106" s="244">
        <f>+IFERROR(VLOOKUP(A106,'TB final'!$A$4:$P$727,14,0),0)</f>
        <v>26922650</v>
      </c>
      <c r="G106" s="244">
        <f t="shared" si="2"/>
        <v>0</v>
      </c>
      <c r="H106" s="244">
        <f t="shared" si="2"/>
        <v>0</v>
      </c>
      <c r="I106" s="244">
        <f t="shared" si="3"/>
        <v>0</v>
      </c>
    </row>
    <row r="107" spans="1:9" ht="15" hidden="1" customHeight="1" x14ac:dyDescent="0.25">
      <c r="A107" s="8" t="s">
        <v>127</v>
      </c>
      <c r="B107" s="239">
        <v>236394</v>
      </c>
      <c r="C107" s="240"/>
      <c r="E107" s="244">
        <f>+IFERROR(VLOOKUP(A107,'TB final'!$A$4:$P$727,11,0),0)</f>
        <v>236394</v>
      </c>
      <c r="F107" s="244">
        <f>+IFERROR(VLOOKUP(A107,'TB final'!$A$4:$P$727,14,0),0)</f>
        <v>0</v>
      </c>
      <c r="G107" s="244">
        <f t="shared" si="2"/>
        <v>0</v>
      </c>
      <c r="H107" s="244">
        <f t="shared" si="2"/>
        <v>0</v>
      </c>
      <c r="I107" s="244">
        <f t="shared" si="3"/>
        <v>0</v>
      </c>
    </row>
    <row r="108" spans="1:9" ht="15" hidden="1" customHeight="1" x14ac:dyDescent="0.25">
      <c r="A108" s="8" t="s">
        <v>128</v>
      </c>
      <c r="B108" s="239">
        <v>57414</v>
      </c>
      <c r="C108" s="240"/>
      <c r="E108" s="244">
        <f>+IFERROR(VLOOKUP(A108,'TB final'!$A$4:$P$727,11,0),0)</f>
        <v>57414</v>
      </c>
      <c r="F108" s="244">
        <f>+IFERROR(VLOOKUP(A108,'TB final'!$A$4:$P$727,14,0),0)</f>
        <v>0</v>
      </c>
      <c r="G108" s="244">
        <f t="shared" si="2"/>
        <v>0</v>
      </c>
      <c r="H108" s="244">
        <f t="shared" si="2"/>
        <v>0</v>
      </c>
      <c r="I108" s="244">
        <f t="shared" si="3"/>
        <v>0</v>
      </c>
    </row>
    <row r="109" spans="1:9" ht="15" hidden="1" customHeight="1" x14ac:dyDescent="0.25">
      <c r="A109" s="8" t="s">
        <v>129</v>
      </c>
      <c r="B109" s="239">
        <v>491501</v>
      </c>
      <c r="C109" s="240"/>
      <c r="E109" s="244">
        <f>+IFERROR(VLOOKUP(A109,'TB final'!$A$4:$P$727,11,0),0)</f>
        <v>491501</v>
      </c>
      <c r="F109" s="244">
        <f>+IFERROR(VLOOKUP(A109,'TB final'!$A$4:$P$727,14,0),0)</f>
        <v>0</v>
      </c>
      <c r="G109" s="244">
        <f t="shared" si="2"/>
        <v>0</v>
      </c>
      <c r="H109" s="244">
        <f t="shared" si="2"/>
        <v>0</v>
      </c>
      <c r="I109" s="244">
        <f t="shared" si="3"/>
        <v>0</v>
      </c>
    </row>
    <row r="110" spans="1:9" ht="15" hidden="1" customHeight="1" x14ac:dyDescent="0.25">
      <c r="A110" s="8" t="s">
        <v>130</v>
      </c>
      <c r="B110" s="240"/>
      <c r="C110" s="239">
        <v>10652264</v>
      </c>
      <c r="E110" s="244">
        <f>+IFERROR(VLOOKUP(A110,'TB final'!$A$4:$P$727,11,0),0)</f>
        <v>0</v>
      </c>
      <c r="F110" s="244">
        <f>+IFERROR(VLOOKUP(A110,'TB final'!$A$4:$P$727,14,0),0)</f>
        <v>10652264</v>
      </c>
      <c r="G110" s="244">
        <f t="shared" si="2"/>
        <v>0</v>
      </c>
      <c r="H110" s="244">
        <f t="shared" si="2"/>
        <v>0</v>
      </c>
      <c r="I110" s="244">
        <f t="shared" si="3"/>
        <v>0</v>
      </c>
    </row>
    <row r="111" spans="1:9" ht="15" hidden="1" customHeight="1" x14ac:dyDescent="0.25">
      <c r="A111" s="8" t="s">
        <v>131</v>
      </c>
      <c r="B111" s="239">
        <v>58090</v>
      </c>
      <c r="C111" s="240"/>
      <c r="E111" s="244">
        <f>+IFERROR(VLOOKUP(A111,'TB final'!$A$4:$P$727,11,0),0)</f>
        <v>58090</v>
      </c>
      <c r="F111" s="244">
        <f>+IFERROR(VLOOKUP(A111,'TB final'!$A$4:$P$727,14,0),0)</f>
        <v>0</v>
      </c>
      <c r="G111" s="244">
        <f t="shared" si="2"/>
        <v>0</v>
      </c>
      <c r="H111" s="244">
        <f t="shared" si="2"/>
        <v>0</v>
      </c>
      <c r="I111" s="244">
        <f t="shared" si="3"/>
        <v>0</v>
      </c>
    </row>
    <row r="112" spans="1:9" ht="15" hidden="1" customHeight="1" x14ac:dyDescent="0.25">
      <c r="A112" s="8" t="s">
        <v>132</v>
      </c>
      <c r="B112" s="239">
        <v>242450</v>
      </c>
      <c r="C112" s="240"/>
      <c r="E112" s="244">
        <f>+IFERROR(VLOOKUP(A112,'TB final'!$A$4:$P$727,11,0),0)</f>
        <v>242450</v>
      </c>
      <c r="F112" s="244">
        <f>+IFERROR(VLOOKUP(A112,'TB final'!$A$4:$P$727,14,0),0)</f>
        <v>0</v>
      </c>
      <c r="G112" s="244">
        <f t="shared" si="2"/>
        <v>0</v>
      </c>
      <c r="H112" s="244">
        <f t="shared" si="2"/>
        <v>0</v>
      </c>
      <c r="I112" s="244">
        <f t="shared" si="3"/>
        <v>0</v>
      </c>
    </row>
    <row r="113" spans="1:9" ht="15" hidden="1" customHeight="1" x14ac:dyDescent="0.25">
      <c r="A113" s="8" t="s">
        <v>133</v>
      </c>
      <c r="B113" s="239">
        <v>70499746</v>
      </c>
      <c r="C113" s="240"/>
      <c r="E113" s="244">
        <f>+IFERROR(VLOOKUP(A113,'TB final'!$A$4:$P$727,11,0),0)</f>
        <v>70499746</v>
      </c>
      <c r="F113" s="244">
        <f>+IFERROR(VLOOKUP(A113,'TB final'!$A$4:$P$727,14,0),0)</f>
        <v>0</v>
      </c>
      <c r="G113" s="244">
        <f t="shared" si="2"/>
        <v>0</v>
      </c>
      <c r="H113" s="244">
        <f t="shared" si="2"/>
        <v>0</v>
      </c>
      <c r="I113" s="244">
        <f t="shared" si="3"/>
        <v>0</v>
      </c>
    </row>
    <row r="114" spans="1:9" ht="15" hidden="1" customHeight="1" x14ac:dyDescent="0.25">
      <c r="A114" s="8" t="s">
        <v>134</v>
      </c>
      <c r="B114" s="239">
        <v>289245</v>
      </c>
      <c r="C114" s="240"/>
      <c r="E114" s="244">
        <f>+IFERROR(VLOOKUP(A114,'TB final'!$A$4:$P$727,11,0),0)</f>
        <v>289245</v>
      </c>
      <c r="F114" s="244">
        <f>+IFERROR(VLOOKUP(A114,'TB final'!$A$4:$P$727,14,0),0)</f>
        <v>0</v>
      </c>
      <c r="G114" s="244">
        <f t="shared" si="2"/>
        <v>0</v>
      </c>
      <c r="H114" s="244">
        <f t="shared" si="2"/>
        <v>0</v>
      </c>
      <c r="I114" s="244">
        <f t="shared" si="3"/>
        <v>0</v>
      </c>
    </row>
    <row r="115" spans="1:9" ht="15" hidden="1" customHeight="1" x14ac:dyDescent="0.25">
      <c r="A115" s="8" t="s">
        <v>135</v>
      </c>
      <c r="B115" s="239">
        <v>50000</v>
      </c>
      <c r="C115" s="240"/>
      <c r="E115" s="244">
        <f>+IFERROR(VLOOKUP(A115,'TB final'!$A$4:$P$727,11,0),0)</f>
        <v>50000</v>
      </c>
      <c r="F115" s="244">
        <f>+IFERROR(VLOOKUP(A115,'TB final'!$A$4:$P$727,14,0),0)</f>
        <v>0</v>
      </c>
      <c r="G115" s="244">
        <f t="shared" si="2"/>
        <v>0</v>
      </c>
      <c r="H115" s="244">
        <f t="shared" si="2"/>
        <v>0</v>
      </c>
      <c r="I115" s="244">
        <f t="shared" si="3"/>
        <v>0</v>
      </c>
    </row>
    <row r="116" spans="1:9" ht="15" hidden="1" customHeight="1" x14ac:dyDescent="0.25">
      <c r="A116" s="8" t="s">
        <v>137</v>
      </c>
      <c r="B116" s="239">
        <v>28970.799999999999</v>
      </c>
      <c r="C116" s="240"/>
      <c r="E116" s="244">
        <f>+IFERROR(VLOOKUP(A116,'TB final'!$A$4:$P$727,11,0),0)</f>
        <v>28970.799999999999</v>
      </c>
      <c r="F116" s="244">
        <f>+IFERROR(VLOOKUP(A116,'TB final'!$A$4:$P$727,14,0),0)</f>
        <v>0</v>
      </c>
      <c r="G116" s="244">
        <f t="shared" si="2"/>
        <v>0</v>
      </c>
      <c r="H116" s="244">
        <f t="shared" si="2"/>
        <v>0</v>
      </c>
      <c r="I116" s="244">
        <f t="shared" si="3"/>
        <v>0</v>
      </c>
    </row>
    <row r="117" spans="1:9" ht="15" hidden="1" customHeight="1" x14ac:dyDescent="0.25">
      <c r="A117" s="8" t="s">
        <v>138</v>
      </c>
      <c r="B117" s="239">
        <v>2841598</v>
      </c>
      <c r="C117" s="240"/>
      <c r="E117" s="244">
        <f>+IFERROR(VLOOKUP(A117,'TB final'!$A$4:$P$727,11,0),0)</f>
        <v>2841598</v>
      </c>
      <c r="F117" s="244">
        <f>+IFERROR(VLOOKUP(A117,'TB final'!$A$4:$P$727,14,0),0)</f>
        <v>0</v>
      </c>
      <c r="G117" s="244">
        <f t="shared" si="2"/>
        <v>0</v>
      </c>
      <c r="H117" s="244">
        <f t="shared" si="2"/>
        <v>0</v>
      </c>
      <c r="I117" s="244">
        <f t="shared" si="3"/>
        <v>0</v>
      </c>
    </row>
    <row r="118" spans="1:9" ht="15" hidden="1" customHeight="1" x14ac:dyDescent="0.25">
      <c r="A118" s="8" t="s">
        <v>139</v>
      </c>
      <c r="B118" s="240"/>
      <c r="C118" s="239">
        <v>303501</v>
      </c>
      <c r="E118" s="244">
        <f>+IFERROR(VLOOKUP(A118,'TB final'!$A$4:$P$727,11,0),0)</f>
        <v>0</v>
      </c>
      <c r="F118" s="244">
        <f>+IFERROR(VLOOKUP(A118,'TB final'!$A$4:$P$727,14,0),0)</f>
        <v>303501</v>
      </c>
      <c r="G118" s="244">
        <f t="shared" si="2"/>
        <v>0</v>
      </c>
      <c r="H118" s="244">
        <f t="shared" si="2"/>
        <v>0</v>
      </c>
      <c r="I118" s="244">
        <f t="shared" si="3"/>
        <v>0</v>
      </c>
    </row>
    <row r="119" spans="1:9" ht="15" hidden="1" customHeight="1" x14ac:dyDescent="0.25">
      <c r="A119" s="8" t="s">
        <v>624</v>
      </c>
      <c r="B119" s="239">
        <v>447710</v>
      </c>
      <c r="C119" s="240"/>
      <c r="E119" s="244">
        <f>+IFERROR(VLOOKUP(A119,'TB final'!$A$4:$P$727,11,0),0)</f>
        <v>447710</v>
      </c>
      <c r="F119" s="244">
        <f>+IFERROR(VLOOKUP(A119,'TB final'!$A$4:$P$727,14,0),0)</f>
        <v>0</v>
      </c>
      <c r="G119" s="244">
        <f t="shared" si="2"/>
        <v>0</v>
      </c>
      <c r="H119" s="244">
        <f t="shared" si="2"/>
        <v>0</v>
      </c>
      <c r="I119" s="244">
        <f t="shared" si="3"/>
        <v>0</v>
      </c>
    </row>
    <row r="120" spans="1:9" ht="15" hidden="1" customHeight="1" x14ac:dyDescent="0.25">
      <c r="A120" s="8" t="s">
        <v>140</v>
      </c>
      <c r="B120" s="239">
        <v>1508572</v>
      </c>
      <c r="C120" s="240"/>
      <c r="E120" s="244">
        <f>+IFERROR(VLOOKUP(A120,'TB final'!$A$4:$P$727,11,0),0)</f>
        <v>1508572</v>
      </c>
      <c r="F120" s="244">
        <f>+IFERROR(VLOOKUP(A120,'TB final'!$A$4:$P$727,14,0),0)</f>
        <v>0</v>
      </c>
      <c r="G120" s="244">
        <f t="shared" si="2"/>
        <v>0</v>
      </c>
      <c r="H120" s="244">
        <f t="shared" si="2"/>
        <v>0</v>
      </c>
      <c r="I120" s="244">
        <f t="shared" si="3"/>
        <v>0</v>
      </c>
    </row>
    <row r="121" spans="1:9" ht="15" hidden="1" customHeight="1" x14ac:dyDescent="0.25">
      <c r="A121" s="8" t="s">
        <v>141</v>
      </c>
      <c r="B121" s="240"/>
      <c r="C121" s="239">
        <v>588805</v>
      </c>
      <c r="E121" s="244">
        <f>+IFERROR(VLOOKUP(A121,'TB final'!$A$4:$P$727,11,0),0)</f>
        <v>0</v>
      </c>
      <c r="F121" s="244">
        <f>+IFERROR(VLOOKUP(A121,'TB final'!$A$4:$P$727,14,0),0)</f>
        <v>588805</v>
      </c>
      <c r="G121" s="244">
        <f t="shared" si="2"/>
        <v>0</v>
      </c>
      <c r="H121" s="244">
        <f t="shared" si="2"/>
        <v>0</v>
      </c>
      <c r="I121" s="244">
        <f t="shared" si="3"/>
        <v>0</v>
      </c>
    </row>
    <row r="122" spans="1:9" ht="15" hidden="1" customHeight="1" x14ac:dyDescent="0.25">
      <c r="A122" s="8" t="s">
        <v>142</v>
      </c>
      <c r="B122" s="239">
        <v>358420</v>
      </c>
      <c r="C122" s="240"/>
      <c r="E122" s="244">
        <f>+IFERROR(VLOOKUP(A122,'TB final'!$A$4:$P$727,11,0),0)</f>
        <v>358420</v>
      </c>
      <c r="F122" s="244">
        <f>+IFERROR(VLOOKUP(A122,'TB final'!$A$4:$P$727,14,0),0)</f>
        <v>0</v>
      </c>
      <c r="G122" s="244">
        <f t="shared" si="2"/>
        <v>0</v>
      </c>
      <c r="H122" s="244">
        <f t="shared" si="2"/>
        <v>0</v>
      </c>
      <c r="I122" s="244">
        <f t="shared" si="3"/>
        <v>0</v>
      </c>
    </row>
    <row r="123" spans="1:9" ht="15" hidden="1" customHeight="1" x14ac:dyDescent="0.25">
      <c r="A123" s="8" t="s">
        <v>626</v>
      </c>
      <c r="B123" s="240"/>
      <c r="C123" s="239">
        <v>83450</v>
      </c>
      <c r="E123" s="244">
        <f>+IFERROR(VLOOKUP(A123,'TB final'!$A$4:$P$727,11,0),0)</f>
        <v>0</v>
      </c>
      <c r="F123" s="244">
        <f>+IFERROR(VLOOKUP(A123,'TB final'!$A$4:$P$727,14,0),0)</f>
        <v>83450</v>
      </c>
      <c r="G123" s="244">
        <f t="shared" si="2"/>
        <v>0</v>
      </c>
      <c r="H123" s="244">
        <f t="shared" si="2"/>
        <v>0</v>
      </c>
      <c r="I123" s="244">
        <f t="shared" si="3"/>
        <v>0</v>
      </c>
    </row>
    <row r="124" spans="1:9" ht="15" hidden="1" customHeight="1" x14ac:dyDescent="0.25">
      <c r="A124" s="8" t="s">
        <v>143</v>
      </c>
      <c r="B124" s="239">
        <v>33965000</v>
      </c>
      <c r="C124" s="240"/>
      <c r="E124" s="244">
        <f>+IFERROR(VLOOKUP(A124,'TB final'!$A$4:$P$727,11,0),0)</f>
        <v>33965000</v>
      </c>
      <c r="F124" s="244">
        <f>+IFERROR(VLOOKUP(A124,'TB final'!$A$4:$P$727,14,0),0)</f>
        <v>0</v>
      </c>
      <c r="G124" s="244">
        <f t="shared" si="2"/>
        <v>0</v>
      </c>
      <c r="H124" s="244">
        <f t="shared" si="2"/>
        <v>0</v>
      </c>
      <c r="I124" s="244">
        <f t="shared" si="3"/>
        <v>0</v>
      </c>
    </row>
    <row r="125" spans="1:9" ht="15" hidden="1" customHeight="1" x14ac:dyDescent="0.25">
      <c r="A125" s="8" t="s">
        <v>144</v>
      </c>
      <c r="B125" s="240"/>
      <c r="C125" s="239">
        <v>1160</v>
      </c>
      <c r="E125" s="244">
        <f>+IFERROR(VLOOKUP(A125,'TB final'!$A$4:$P$727,11,0),0)</f>
        <v>0</v>
      </c>
      <c r="F125" s="244">
        <f>+IFERROR(VLOOKUP(A125,'TB final'!$A$4:$P$727,14,0),0)</f>
        <v>1160</v>
      </c>
      <c r="G125" s="244">
        <f t="shared" si="2"/>
        <v>0</v>
      </c>
      <c r="H125" s="244">
        <f t="shared" si="2"/>
        <v>0</v>
      </c>
      <c r="I125" s="244">
        <f t="shared" si="3"/>
        <v>0</v>
      </c>
    </row>
    <row r="126" spans="1:9" ht="15" hidden="1" customHeight="1" x14ac:dyDescent="0.25">
      <c r="A126" s="8" t="s">
        <v>145</v>
      </c>
      <c r="B126" s="239">
        <v>1820294</v>
      </c>
      <c r="C126" s="240"/>
      <c r="E126" s="244">
        <f>+IFERROR(VLOOKUP(A126,'TB final'!$A$4:$P$727,11,0),0)</f>
        <v>1820294</v>
      </c>
      <c r="F126" s="244">
        <f>+IFERROR(VLOOKUP(A126,'TB final'!$A$4:$P$727,14,0),0)</f>
        <v>0</v>
      </c>
      <c r="G126" s="244">
        <f t="shared" si="2"/>
        <v>0</v>
      </c>
      <c r="H126" s="244">
        <f t="shared" si="2"/>
        <v>0</v>
      </c>
      <c r="I126" s="244">
        <f t="shared" si="3"/>
        <v>0</v>
      </c>
    </row>
    <row r="127" spans="1:9" ht="15" hidden="1" customHeight="1" x14ac:dyDescent="0.25">
      <c r="A127" s="8" t="s">
        <v>146</v>
      </c>
      <c r="B127" s="240"/>
      <c r="C127" s="239">
        <v>136007</v>
      </c>
      <c r="E127" s="244">
        <f>+IFERROR(VLOOKUP(A127,'TB final'!$A$4:$P$727,11,0),0)</f>
        <v>0</v>
      </c>
      <c r="F127" s="244">
        <f>+IFERROR(VLOOKUP(A127,'TB final'!$A$4:$P$727,14,0),0)</f>
        <v>136007</v>
      </c>
      <c r="G127" s="244">
        <f t="shared" si="2"/>
        <v>0</v>
      </c>
      <c r="H127" s="244">
        <f t="shared" si="2"/>
        <v>0</v>
      </c>
      <c r="I127" s="244">
        <f t="shared" si="3"/>
        <v>0</v>
      </c>
    </row>
    <row r="128" spans="1:9" ht="15" hidden="1" customHeight="1" x14ac:dyDescent="0.25">
      <c r="A128" s="8" t="s">
        <v>147</v>
      </c>
      <c r="B128" s="240"/>
      <c r="C128" s="239">
        <v>1800000</v>
      </c>
      <c r="E128" s="244">
        <f>+IFERROR(VLOOKUP(A128,'TB final'!$A$4:$P$727,11,0),0)</f>
        <v>0</v>
      </c>
      <c r="F128" s="244">
        <f>+IFERROR(VLOOKUP(A128,'TB final'!$A$4:$P$727,14,0),0)</f>
        <v>1800000</v>
      </c>
      <c r="G128" s="244">
        <f t="shared" si="2"/>
        <v>0</v>
      </c>
      <c r="H128" s="244">
        <f t="shared" si="2"/>
        <v>0</v>
      </c>
      <c r="I128" s="244">
        <f t="shared" si="3"/>
        <v>0</v>
      </c>
    </row>
    <row r="129" spans="1:9" ht="15" hidden="1" customHeight="1" x14ac:dyDescent="0.25">
      <c r="A129" s="8" t="s">
        <v>1363</v>
      </c>
      <c r="B129" s="239">
        <v>850764</v>
      </c>
      <c r="C129" s="240"/>
      <c r="E129" s="244">
        <f>+IFERROR(VLOOKUP(A129,'TB final'!$A$4:$P$727,11,0),0)</f>
        <v>850764</v>
      </c>
      <c r="F129" s="244">
        <f>+IFERROR(VLOOKUP(A129,'TB final'!$A$4:$P$727,14,0),0)</f>
        <v>0</v>
      </c>
      <c r="G129" s="244">
        <f t="shared" si="2"/>
        <v>0</v>
      </c>
      <c r="H129" s="244">
        <f t="shared" si="2"/>
        <v>0</v>
      </c>
      <c r="I129" s="244">
        <f t="shared" si="3"/>
        <v>0</v>
      </c>
    </row>
    <row r="130" spans="1:9" ht="15" hidden="1" customHeight="1" x14ac:dyDescent="0.25">
      <c r="A130" s="8" t="s">
        <v>631</v>
      </c>
      <c r="B130" s="240"/>
      <c r="C130" s="239">
        <v>175820</v>
      </c>
      <c r="E130" s="244">
        <f>+IFERROR(VLOOKUP(A130,'TB final'!$A$4:$P$727,11,0),0)</f>
        <v>0</v>
      </c>
      <c r="F130" s="244">
        <f>+IFERROR(VLOOKUP(A130,'TB final'!$A$4:$P$727,14,0),0)</f>
        <v>175820</v>
      </c>
      <c r="G130" s="244">
        <f t="shared" si="2"/>
        <v>0</v>
      </c>
      <c r="H130" s="244">
        <f t="shared" si="2"/>
        <v>0</v>
      </c>
      <c r="I130" s="244">
        <f t="shared" si="3"/>
        <v>0</v>
      </c>
    </row>
    <row r="131" spans="1:9" ht="15" customHeight="1" x14ac:dyDescent="0.25">
      <c r="A131" s="8" t="s">
        <v>632</v>
      </c>
      <c r="B131" s="239">
        <v>25123</v>
      </c>
      <c r="C131" s="240"/>
      <c r="E131" s="244">
        <f>+IFERROR(VLOOKUP(A131,'TB final'!$A$4:$P$727,11,0),0)</f>
        <v>25123</v>
      </c>
      <c r="F131" s="244">
        <f>+IFERROR(VLOOKUP(A131,'TB final'!$A$4:$P$727,14,0),0)</f>
        <v>0</v>
      </c>
      <c r="G131" s="244">
        <f t="shared" si="2"/>
        <v>0</v>
      </c>
      <c r="H131" s="244">
        <f t="shared" si="2"/>
        <v>0</v>
      </c>
      <c r="I131" s="244">
        <f t="shared" si="3"/>
        <v>0</v>
      </c>
    </row>
    <row r="132" spans="1:9" ht="15" customHeight="1" x14ac:dyDescent="0.25">
      <c r="A132" s="8" t="s">
        <v>149</v>
      </c>
      <c r="B132" s="239">
        <v>10000</v>
      </c>
      <c r="C132" s="240"/>
      <c r="E132" s="244">
        <f>+IFERROR(VLOOKUP(A132,'TB final'!$A$4:$P$727,11,0),0)</f>
        <v>10000</v>
      </c>
      <c r="F132" s="244">
        <f>+IFERROR(VLOOKUP(A132,'TB final'!$A$4:$P$727,14,0),0)</f>
        <v>0</v>
      </c>
      <c r="G132" s="244">
        <f t="shared" si="2"/>
        <v>0</v>
      </c>
      <c r="H132" s="244">
        <f t="shared" si="2"/>
        <v>0</v>
      </c>
      <c r="I132" s="244">
        <f t="shared" si="3"/>
        <v>0</v>
      </c>
    </row>
    <row r="133" spans="1:9" x14ac:dyDescent="0.25">
      <c r="A133" s="8" t="s">
        <v>634</v>
      </c>
      <c r="B133" s="239">
        <v>45000</v>
      </c>
      <c r="C133" s="240"/>
      <c r="E133" s="244">
        <f>+IFERROR(VLOOKUP(A133,'TB final'!$A$4:$P$727,11,0),0)</f>
        <v>45000</v>
      </c>
      <c r="F133" s="244">
        <f>+IFERROR(VLOOKUP(A133,'TB final'!$A$4:$P$727,14,0),0)</f>
        <v>0</v>
      </c>
      <c r="G133" s="244">
        <f t="shared" si="2"/>
        <v>0</v>
      </c>
      <c r="H133" s="244">
        <f t="shared" si="2"/>
        <v>0</v>
      </c>
      <c r="I133" s="244">
        <f t="shared" si="3"/>
        <v>0</v>
      </c>
    </row>
    <row r="134" spans="1:9" x14ac:dyDescent="0.25">
      <c r="A134" s="8" t="s">
        <v>635</v>
      </c>
      <c r="B134" s="239">
        <v>40000</v>
      </c>
      <c r="C134" s="240"/>
      <c r="E134" s="244">
        <f>+IFERROR(VLOOKUP(A134,'TB final'!$A$4:$P$727,11,0),0)</f>
        <v>40000</v>
      </c>
      <c r="F134" s="244">
        <f>+IFERROR(VLOOKUP(A134,'TB final'!$A$4:$P$727,14,0),0)</f>
        <v>0</v>
      </c>
      <c r="G134" s="244">
        <f t="shared" si="2"/>
        <v>0</v>
      </c>
      <c r="H134" s="244">
        <f t="shared" si="2"/>
        <v>0</v>
      </c>
      <c r="I134" s="244">
        <f t="shared" si="3"/>
        <v>0</v>
      </c>
    </row>
    <row r="135" spans="1:9" ht="15" customHeight="1" x14ac:dyDescent="0.25">
      <c r="A135" s="8" t="s">
        <v>150</v>
      </c>
      <c r="B135" s="240"/>
      <c r="C135" s="239">
        <v>76500</v>
      </c>
      <c r="E135" s="244">
        <f>+IFERROR(VLOOKUP(A135,'TB final'!$A$4:$P$727,11,0),0)</f>
        <v>0</v>
      </c>
      <c r="F135" s="244">
        <f>+IFERROR(VLOOKUP(A135,'TB final'!$A$4:$P$727,14,0),0)</f>
        <v>76500</v>
      </c>
      <c r="G135" s="244">
        <f t="shared" si="2"/>
        <v>0</v>
      </c>
      <c r="H135" s="244">
        <f t="shared" si="2"/>
        <v>0</v>
      </c>
      <c r="I135" s="244">
        <f t="shared" si="3"/>
        <v>0</v>
      </c>
    </row>
    <row r="136" spans="1:9" ht="15" customHeight="1" x14ac:dyDescent="0.25">
      <c r="A136" s="8" t="s">
        <v>151</v>
      </c>
      <c r="B136" s="239">
        <v>36000</v>
      </c>
      <c r="C136" s="240"/>
      <c r="E136" s="244">
        <f>+IFERROR(VLOOKUP(A136,'TB final'!$A$4:$P$727,11,0),0)</f>
        <v>36000</v>
      </c>
      <c r="F136" s="244">
        <f>+IFERROR(VLOOKUP(A136,'TB final'!$A$4:$P$727,14,0),0)</f>
        <v>0</v>
      </c>
      <c r="G136" s="244">
        <f t="shared" si="2"/>
        <v>0</v>
      </c>
      <c r="H136" s="244">
        <f t="shared" si="2"/>
        <v>0</v>
      </c>
      <c r="I136" s="244">
        <f t="shared" si="3"/>
        <v>0</v>
      </c>
    </row>
    <row r="137" spans="1:9" ht="15" hidden="1" customHeight="1" x14ac:dyDescent="0.25">
      <c r="A137" s="8" t="s">
        <v>637</v>
      </c>
      <c r="B137" s="240"/>
      <c r="C137" s="239">
        <v>2016000</v>
      </c>
      <c r="E137" s="244">
        <f>+IFERROR(VLOOKUP(A137,'TB final'!$A$4:$P$727,11,0),0)</f>
        <v>0</v>
      </c>
      <c r="F137" s="244">
        <f>+IFERROR(VLOOKUP(A137,'TB final'!$A$4:$P$727,14,0),0)</f>
        <v>2016000</v>
      </c>
      <c r="G137" s="244">
        <f t="shared" si="2"/>
        <v>0</v>
      </c>
      <c r="H137" s="244">
        <f t="shared" si="2"/>
        <v>0</v>
      </c>
      <c r="I137" s="244">
        <f t="shared" si="3"/>
        <v>0</v>
      </c>
    </row>
    <row r="138" spans="1:9" ht="15" hidden="1" customHeight="1" x14ac:dyDescent="0.25">
      <c r="A138" s="8" t="s">
        <v>152</v>
      </c>
      <c r="B138" s="240"/>
      <c r="C138" s="239">
        <v>7608</v>
      </c>
      <c r="E138" s="244">
        <f>+IFERROR(VLOOKUP(A138,'TB final'!$A$4:$P$727,11,0),0)</f>
        <v>0</v>
      </c>
      <c r="F138" s="244">
        <f>+IFERROR(VLOOKUP(A138,'TB final'!$A$4:$P$727,14,0),0)</f>
        <v>7608</v>
      </c>
      <c r="G138" s="244">
        <f t="shared" si="2"/>
        <v>0</v>
      </c>
      <c r="H138" s="244">
        <f t="shared" si="2"/>
        <v>0</v>
      </c>
      <c r="I138" s="244">
        <f t="shared" si="3"/>
        <v>0</v>
      </c>
    </row>
    <row r="139" spans="1:9" ht="15" hidden="1" customHeight="1" x14ac:dyDescent="0.25">
      <c r="A139" s="8" t="s">
        <v>154</v>
      </c>
      <c r="B139" s="240"/>
      <c r="C139" s="239">
        <v>1093348</v>
      </c>
      <c r="E139" s="244">
        <f>+IFERROR(VLOOKUP(A139,'TB final'!$A$4:$P$727,11,0),0)</f>
        <v>0</v>
      </c>
      <c r="F139" s="244">
        <f>+IFERROR(VLOOKUP(A139,'TB final'!$A$4:$P$727,14,0),0)</f>
        <v>1093348</v>
      </c>
      <c r="G139" s="244">
        <f t="shared" si="2"/>
        <v>0</v>
      </c>
      <c r="H139" s="244">
        <f t="shared" si="2"/>
        <v>0</v>
      </c>
      <c r="I139" s="244">
        <f t="shared" si="3"/>
        <v>0</v>
      </c>
    </row>
    <row r="140" spans="1:9" ht="15" hidden="1" customHeight="1" x14ac:dyDescent="0.25">
      <c r="A140" s="8" t="s">
        <v>155</v>
      </c>
      <c r="B140" s="239">
        <v>38000</v>
      </c>
      <c r="C140" s="240"/>
      <c r="E140" s="244">
        <f>+IFERROR(VLOOKUP(A140,'TB final'!$A$4:$P$727,11,0),0)</f>
        <v>38000</v>
      </c>
      <c r="F140" s="244">
        <f>+IFERROR(VLOOKUP(A140,'TB final'!$A$4:$P$727,14,0),0)</f>
        <v>0</v>
      </c>
      <c r="G140" s="244">
        <f t="shared" si="2"/>
        <v>0</v>
      </c>
      <c r="H140" s="244">
        <f t="shared" si="2"/>
        <v>0</v>
      </c>
      <c r="I140" s="244">
        <f t="shared" si="3"/>
        <v>0</v>
      </c>
    </row>
    <row r="141" spans="1:9" ht="15" hidden="1" customHeight="1" x14ac:dyDescent="0.25">
      <c r="A141" s="8" t="s">
        <v>156</v>
      </c>
      <c r="B141" s="240"/>
      <c r="C141" s="239">
        <v>67845.8</v>
      </c>
      <c r="E141" s="244">
        <f>+IFERROR(VLOOKUP(A141,'TB final'!$A$4:$P$727,11,0),0)</f>
        <v>0</v>
      </c>
      <c r="F141" s="244">
        <f>+IFERROR(VLOOKUP(A141,'TB final'!$A$4:$P$727,14,0),0)</f>
        <v>67845.8</v>
      </c>
      <c r="G141" s="244">
        <f t="shared" ref="G141:H204" si="4">+B141-E141</f>
        <v>0</v>
      </c>
      <c r="H141" s="244">
        <f t="shared" si="4"/>
        <v>0</v>
      </c>
      <c r="I141" s="244">
        <f t="shared" ref="I141:I204" si="5">+G141+H141</f>
        <v>0</v>
      </c>
    </row>
    <row r="142" spans="1:9" ht="15" customHeight="1" x14ac:dyDescent="0.25">
      <c r="A142" s="8" t="s">
        <v>643</v>
      </c>
      <c r="B142" s="240"/>
      <c r="C142" s="239">
        <v>208713.56</v>
      </c>
      <c r="E142" s="244">
        <f>+IFERROR(VLOOKUP(A142,'TB final'!$A$4:$P$727,11,0),0)</f>
        <v>0</v>
      </c>
      <c r="F142" s="244">
        <f>+IFERROR(VLOOKUP(A142,'TB final'!$A$4:$P$727,14,0),0)</f>
        <v>208713.56</v>
      </c>
      <c r="G142" s="244">
        <f t="shared" si="4"/>
        <v>0</v>
      </c>
      <c r="H142" s="244">
        <f t="shared" si="4"/>
        <v>0</v>
      </c>
      <c r="I142" s="244">
        <f t="shared" si="5"/>
        <v>0</v>
      </c>
    </row>
    <row r="143" spans="1:9" ht="15" hidden="1" customHeight="1" x14ac:dyDescent="0.25">
      <c r="A143" s="8" t="s">
        <v>645</v>
      </c>
      <c r="B143" s="240"/>
      <c r="C143" s="239">
        <v>1762042</v>
      </c>
      <c r="E143" s="244">
        <f>+IFERROR(VLOOKUP(A143,'TB final'!$A$4:$P$727,11,0),0)</f>
        <v>0</v>
      </c>
      <c r="F143" s="244">
        <f>+IFERROR(VLOOKUP(A143,'TB final'!$A$4:$P$727,14,0),0)</f>
        <v>1762042</v>
      </c>
      <c r="G143" s="244">
        <f t="shared" si="4"/>
        <v>0</v>
      </c>
      <c r="H143" s="244">
        <f t="shared" si="4"/>
        <v>0</v>
      </c>
      <c r="I143" s="244">
        <f t="shared" si="5"/>
        <v>0</v>
      </c>
    </row>
    <row r="144" spans="1:9" ht="15" hidden="1" customHeight="1" x14ac:dyDescent="0.25">
      <c r="A144" s="8" t="s">
        <v>169</v>
      </c>
      <c r="B144" s="239">
        <v>119902440.14</v>
      </c>
      <c r="C144" s="240"/>
      <c r="E144" s="244">
        <f>+IFERROR(VLOOKUP(A144,'TB final'!$A$4:$P$727,11,0),0)</f>
        <v>119902440.14</v>
      </c>
      <c r="F144" s="244">
        <f>+IFERROR(VLOOKUP(A144,'TB final'!$A$4:$P$727,14,0),0)</f>
        <v>0</v>
      </c>
      <c r="G144" s="244">
        <f t="shared" si="4"/>
        <v>0</v>
      </c>
      <c r="H144" s="244">
        <f t="shared" si="4"/>
        <v>0</v>
      </c>
      <c r="I144" s="244">
        <f t="shared" si="5"/>
        <v>0</v>
      </c>
    </row>
    <row r="145" spans="1:9" ht="15" hidden="1" customHeight="1" x14ac:dyDescent="0.25">
      <c r="A145" s="8" t="s">
        <v>170</v>
      </c>
      <c r="B145" s="240"/>
      <c r="C145" s="239">
        <v>1259230</v>
      </c>
      <c r="E145" s="244">
        <f>+IFERROR(VLOOKUP(A145,'TB final'!$A$4:$P$727,11,0),0)</f>
        <v>0</v>
      </c>
      <c r="F145" s="244">
        <f>+IFERROR(VLOOKUP(A145,'TB final'!$A$4:$P$727,14,0),0)</f>
        <v>1259230</v>
      </c>
      <c r="G145" s="244">
        <f t="shared" si="4"/>
        <v>0</v>
      </c>
      <c r="H145" s="244">
        <f t="shared" si="4"/>
        <v>0</v>
      </c>
      <c r="I145" s="244">
        <f t="shared" si="5"/>
        <v>0</v>
      </c>
    </row>
    <row r="146" spans="1:9" ht="15" hidden="1" customHeight="1" x14ac:dyDescent="0.25">
      <c r="A146" s="8" t="s">
        <v>646</v>
      </c>
      <c r="B146" s="239">
        <v>1259230</v>
      </c>
      <c r="C146" s="240"/>
      <c r="E146" s="244">
        <f>+IFERROR(VLOOKUP(A146,'TB final'!$A$4:$P$727,11,0),0)</f>
        <v>1259230</v>
      </c>
      <c r="F146" s="244">
        <f>+IFERROR(VLOOKUP(A146,'TB final'!$A$4:$P$727,14,0),0)</f>
        <v>0</v>
      </c>
      <c r="G146" s="244">
        <f t="shared" si="4"/>
        <v>0</v>
      </c>
      <c r="H146" s="244">
        <f t="shared" si="4"/>
        <v>0</v>
      </c>
      <c r="I146" s="244">
        <f t="shared" si="5"/>
        <v>0</v>
      </c>
    </row>
    <row r="147" spans="1:9" ht="15" hidden="1" customHeight="1" x14ac:dyDescent="0.25">
      <c r="A147" s="8" t="s">
        <v>171</v>
      </c>
      <c r="B147" s="239">
        <v>17190</v>
      </c>
      <c r="C147" s="240"/>
      <c r="E147" s="244">
        <f>+IFERROR(VLOOKUP(A147,'TB final'!$A$4:$P$727,11,0),0)</f>
        <v>17190</v>
      </c>
      <c r="F147" s="244">
        <f>+IFERROR(VLOOKUP(A147,'TB final'!$A$4:$P$727,14,0),0)</f>
        <v>0</v>
      </c>
      <c r="G147" s="244">
        <f t="shared" si="4"/>
        <v>0</v>
      </c>
      <c r="H147" s="244">
        <f t="shared" si="4"/>
        <v>0</v>
      </c>
      <c r="I147" s="244">
        <f t="shared" si="5"/>
        <v>0</v>
      </c>
    </row>
    <row r="148" spans="1:9" ht="15" hidden="1" customHeight="1" x14ac:dyDescent="0.25">
      <c r="A148" s="8" t="s">
        <v>172</v>
      </c>
      <c r="B148" s="240"/>
      <c r="C148" s="239">
        <v>102556</v>
      </c>
      <c r="E148" s="244">
        <f>+IFERROR(VLOOKUP(A148,'TB final'!$A$4:$P$727,11,0),0)</f>
        <v>0</v>
      </c>
      <c r="F148" s="244">
        <f>+IFERROR(VLOOKUP(A148,'TB final'!$A$4:$P$727,14,0),0)</f>
        <v>102556</v>
      </c>
      <c r="G148" s="244">
        <f t="shared" si="4"/>
        <v>0</v>
      </c>
      <c r="H148" s="244">
        <f t="shared" si="4"/>
        <v>0</v>
      </c>
      <c r="I148" s="244">
        <f t="shared" si="5"/>
        <v>0</v>
      </c>
    </row>
    <row r="149" spans="1:9" ht="15" hidden="1" customHeight="1" x14ac:dyDescent="0.25">
      <c r="A149" s="8" t="s">
        <v>173</v>
      </c>
      <c r="B149" s="239">
        <v>238781</v>
      </c>
      <c r="C149" s="240"/>
      <c r="E149" s="244">
        <f>+IFERROR(VLOOKUP(A149,'TB final'!$A$4:$P$727,11,0),0)</f>
        <v>238781</v>
      </c>
      <c r="F149" s="244">
        <f>+IFERROR(VLOOKUP(A149,'TB final'!$A$4:$P$727,14,0),0)</f>
        <v>0</v>
      </c>
      <c r="G149" s="244">
        <f t="shared" si="4"/>
        <v>0</v>
      </c>
      <c r="H149" s="244">
        <f t="shared" si="4"/>
        <v>0</v>
      </c>
      <c r="I149" s="244">
        <f t="shared" si="5"/>
        <v>0</v>
      </c>
    </row>
    <row r="150" spans="1:9" ht="15" hidden="1" customHeight="1" x14ac:dyDescent="0.25">
      <c r="A150" s="8" t="s">
        <v>648</v>
      </c>
      <c r="B150" s="239">
        <v>932</v>
      </c>
      <c r="C150" s="240"/>
      <c r="E150" s="244">
        <f>+IFERROR(VLOOKUP(A150,'TB final'!$A$4:$P$727,11,0),0)</f>
        <v>932</v>
      </c>
      <c r="F150" s="244">
        <f>+IFERROR(VLOOKUP(A150,'TB final'!$A$4:$P$727,14,0),0)</f>
        <v>0</v>
      </c>
      <c r="G150" s="244">
        <f t="shared" si="4"/>
        <v>0</v>
      </c>
      <c r="H150" s="244">
        <f t="shared" si="4"/>
        <v>0</v>
      </c>
      <c r="I150" s="244">
        <f t="shared" si="5"/>
        <v>0</v>
      </c>
    </row>
    <row r="151" spans="1:9" ht="15" hidden="1" customHeight="1" x14ac:dyDescent="0.25">
      <c r="A151" s="8" t="s">
        <v>178</v>
      </c>
      <c r="B151" s="239">
        <v>86275</v>
      </c>
      <c r="C151" s="240"/>
      <c r="E151" s="244">
        <f>+IFERROR(VLOOKUP(A151,'TB final'!$A$4:$P$727,11,0),0)</f>
        <v>86275</v>
      </c>
      <c r="F151" s="244">
        <f>+IFERROR(VLOOKUP(A151,'TB final'!$A$4:$P$727,14,0),0)</f>
        <v>0</v>
      </c>
      <c r="G151" s="244">
        <f t="shared" si="4"/>
        <v>0</v>
      </c>
      <c r="H151" s="244">
        <f t="shared" si="4"/>
        <v>0</v>
      </c>
      <c r="I151" s="244">
        <f t="shared" si="5"/>
        <v>0</v>
      </c>
    </row>
    <row r="152" spans="1:9" ht="15" hidden="1" customHeight="1" x14ac:dyDescent="0.25">
      <c r="A152" s="8" t="s">
        <v>179</v>
      </c>
      <c r="B152" s="239">
        <v>25000</v>
      </c>
      <c r="C152" s="240"/>
      <c r="E152" s="244">
        <f>+IFERROR(VLOOKUP(A152,'TB final'!$A$4:$P$727,11,0),0)</f>
        <v>25000</v>
      </c>
      <c r="F152" s="244">
        <f>+IFERROR(VLOOKUP(A152,'TB final'!$A$4:$P$727,14,0),0)</f>
        <v>0</v>
      </c>
      <c r="G152" s="244">
        <f t="shared" si="4"/>
        <v>0</v>
      </c>
      <c r="H152" s="244">
        <f t="shared" si="4"/>
        <v>0</v>
      </c>
      <c r="I152" s="244">
        <f t="shared" si="5"/>
        <v>0</v>
      </c>
    </row>
    <row r="153" spans="1:9" ht="15" hidden="1" customHeight="1" x14ac:dyDescent="0.25">
      <c r="A153" s="8" t="s">
        <v>180</v>
      </c>
      <c r="B153" s="239">
        <v>944137</v>
      </c>
      <c r="C153" s="240"/>
      <c r="E153" s="244">
        <f>+IFERROR(VLOOKUP(A153,'TB final'!$A$4:$P$727,11,0),0)</f>
        <v>944137</v>
      </c>
      <c r="F153" s="244">
        <f>+IFERROR(VLOOKUP(A153,'TB final'!$A$4:$P$727,14,0),0)</f>
        <v>0</v>
      </c>
      <c r="G153" s="244">
        <f t="shared" si="4"/>
        <v>0</v>
      </c>
      <c r="H153" s="244">
        <f t="shared" si="4"/>
        <v>0</v>
      </c>
      <c r="I153" s="244">
        <f t="shared" si="5"/>
        <v>0</v>
      </c>
    </row>
    <row r="154" spans="1:9" ht="15" hidden="1" customHeight="1" x14ac:dyDescent="0.25">
      <c r="A154" s="8" t="s">
        <v>654</v>
      </c>
      <c r="B154" s="239">
        <v>414161</v>
      </c>
      <c r="C154" s="240"/>
      <c r="E154" s="244">
        <f>+IFERROR(VLOOKUP(A154,'TB final'!$A$4:$P$727,11,0),0)</f>
        <v>414161</v>
      </c>
      <c r="F154" s="244">
        <f>+IFERROR(VLOOKUP(A154,'TB final'!$A$4:$P$727,14,0),0)</f>
        <v>0</v>
      </c>
      <c r="G154" s="244">
        <f t="shared" si="4"/>
        <v>0</v>
      </c>
      <c r="H154" s="244">
        <f t="shared" si="4"/>
        <v>0</v>
      </c>
      <c r="I154" s="244">
        <f t="shared" si="5"/>
        <v>0</v>
      </c>
    </row>
    <row r="155" spans="1:9" ht="15" hidden="1" customHeight="1" x14ac:dyDescent="0.25">
      <c r="A155" s="8" t="s">
        <v>660</v>
      </c>
      <c r="B155" s="239">
        <v>3023</v>
      </c>
      <c r="C155" s="240"/>
      <c r="E155" s="244">
        <f>+IFERROR(VLOOKUP(A155,'TB final'!$A$4:$P$727,11,0),0)</f>
        <v>3023</v>
      </c>
      <c r="F155" s="244">
        <f>+IFERROR(VLOOKUP(A155,'TB final'!$A$4:$P$727,14,0),0)</f>
        <v>0</v>
      </c>
      <c r="G155" s="244">
        <f t="shared" si="4"/>
        <v>0</v>
      </c>
      <c r="H155" s="244">
        <f t="shared" si="4"/>
        <v>0</v>
      </c>
      <c r="I155" s="244">
        <f t="shared" si="5"/>
        <v>0</v>
      </c>
    </row>
    <row r="156" spans="1:9" ht="15" hidden="1" customHeight="1" x14ac:dyDescent="0.25">
      <c r="A156" s="8" t="s">
        <v>182</v>
      </c>
      <c r="B156" s="239">
        <v>29695</v>
      </c>
      <c r="C156" s="240"/>
      <c r="E156" s="244">
        <f>+IFERROR(VLOOKUP(A156,'TB final'!$A$4:$P$727,11,0),0)</f>
        <v>29695</v>
      </c>
      <c r="F156" s="244">
        <f>+IFERROR(VLOOKUP(A156,'TB final'!$A$4:$P$727,14,0),0)</f>
        <v>0</v>
      </c>
      <c r="G156" s="244">
        <f t="shared" si="4"/>
        <v>0</v>
      </c>
      <c r="H156" s="244">
        <f t="shared" si="4"/>
        <v>0</v>
      </c>
      <c r="I156" s="244">
        <f t="shared" si="5"/>
        <v>0</v>
      </c>
    </row>
    <row r="157" spans="1:9" ht="15" hidden="1" customHeight="1" x14ac:dyDescent="0.25">
      <c r="A157" s="8" t="s">
        <v>183</v>
      </c>
      <c r="B157" s="239">
        <v>38511</v>
      </c>
      <c r="C157" s="240"/>
      <c r="E157" s="244">
        <f>+IFERROR(VLOOKUP(A157,'TB final'!$A$4:$P$727,11,0),0)</f>
        <v>38511</v>
      </c>
      <c r="F157" s="244">
        <f>+IFERROR(VLOOKUP(A157,'TB final'!$A$4:$P$727,14,0),0)</f>
        <v>0</v>
      </c>
      <c r="G157" s="244">
        <f t="shared" si="4"/>
        <v>0</v>
      </c>
      <c r="H157" s="244">
        <f t="shared" si="4"/>
        <v>0</v>
      </c>
      <c r="I157" s="244">
        <f t="shared" si="5"/>
        <v>0</v>
      </c>
    </row>
    <row r="158" spans="1:9" ht="15" hidden="1" customHeight="1" x14ac:dyDescent="0.25">
      <c r="A158" s="8" t="s">
        <v>184</v>
      </c>
      <c r="B158" s="240"/>
      <c r="C158" s="239">
        <v>169041</v>
      </c>
      <c r="E158" s="244">
        <f>+IFERROR(VLOOKUP(A158,'TB final'!$A$4:$P$727,11,0),0)</f>
        <v>0</v>
      </c>
      <c r="F158" s="244">
        <f>+IFERROR(VLOOKUP(A158,'TB final'!$A$4:$P$727,14,0),0)</f>
        <v>169041</v>
      </c>
      <c r="G158" s="244">
        <f t="shared" si="4"/>
        <v>0</v>
      </c>
      <c r="H158" s="244">
        <f t="shared" si="4"/>
        <v>0</v>
      </c>
      <c r="I158" s="244">
        <f t="shared" si="5"/>
        <v>0</v>
      </c>
    </row>
    <row r="159" spans="1:9" ht="15" hidden="1" customHeight="1" x14ac:dyDescent="0.25">
      <c r="A159" s="8" t="s">
        <v>185</v>
      </c>
      <c r="B159" s="239">
        <v>672181</v>
      </c>
      <c r="C159" s="240"/>
      <c r="E159" s="244">
        <f>+IFERROR(VLOOKUP(A159,'TB final'!$A$4:$P$727,11,0),0)</f>
        <v>672181</v>
      </c>
      <c r="F159" s="244">
        <f>+IFERROR(VLOOKUP(A159,'TB final'!$A$4:$P$727,14,0),0)</f>
        <v>0</v>
      </c>
      <c r="G159" s="244">
        <f t="shared" si="4"/>
        <v>0</v>
      </c>
      <c r="H159" s="244">
        <f t="shared" si="4"/>
        <v>0</v>
      </c>
      <c r="I159" s="244">
        <f t="shared" si="5"/>
        <v>0</v>
      </c>
    </row>
    <row r="160" spans="1:9" ht="15" hidden="1" customHeight="1" x14ac:dyDescent="0.25">
      <c r="A160" s="8" t="s">
        <v>186</v>
      </c>
      <c r="B160" s="239">
        <v>867002</v>
      </c>
      <c r="C160" s="240"/>
      <c r="E160" s="244">
        <f>+IFERROR(VLOOKUP(A160,'TB final'!$A$4:$P$727,11,0),0)</f>
        <v>867002</v>
      </c>
      <c r="F160" s="244">
        <f>+IFERROR(VLOOKUP(A160,'TB final'!$A$4:$P$727,14,0),0)</f>
        <v>0</v>
      </c>
      <c r="G160" s="244">
        <f t="shared" si="4"/>
        <v>0</v>
      </c>
      <c r="H160" s="244">
        <f t="shared" si="4"/>
        <v>0</v>
      </c>
      <c r="I160" s="244">
        <f t="shared" si="5"/>
        <v>0</v>
      </c>
    </row>
    <row r="161" spans="1:9" ht="15" customHeight="1" x14ac:dyDescent="0.25">
      <c r="A161" s="8" t="s">
        <v>187</v>
      </c>
      <c r="B161" s="239">
        <v>5436</v>
      </c>
      <c r="C161" s="240"/>
      <c r="E161" s="244">
        <f>+IFERROR(VLOOKUP(A161,'TB final'!$A$4:$P$727,11,0),0)</f>
        <v>5436</v>
      </c>
      <c r="F161" s="244">
        <f>+IFERROR(VLOOKUP(A161,'TB final'!$A$4:$P$727,14,0),0)</f>
        <v>0</v>
      </c>
      <c r="G161" s="244">
        <f t="shared" si="4"/>
        <v>0</v>
      </c>
      <c r="H161" s="244">
        <f t="shared" si="4"/>
        <v>0</v>
      </c>
      <c r="I161" s="244">
        <f t="shared" si="5"/>
        <v>0</v>
      </c>
    </row>
    <row r="162" spans="1:9" ht="15" hidden="1" customHeight="1" x14ac:dyDescent="0.25">
      <c r="A162" s="8" t="s">
        <v>188</v>
      </c>
      <c r="B162" s="239">
        <v>27865</v>
      </c>
      <c r="C162" s="240"/>
      <c r="E162" s="244">
        <f>+IFERROR(VLOOKUP(A162,'TB final'!$A$4:$P$727,11,0),0)</f>
        <v>27865</v>
      </c>
      <c r="F162" s="244">
        <f>+IFERROR(VLOOKUP(A162,'TB final'!$A$4:$P$727,14,0),0)</f>
        <v>0</v>
      </c>
      <c r="G162" s="244">
        <f t="shared" si="4"/>
        <v>0</v>
      </c>
      <c r="H162" s="244">
        <f t="shared" si="4"/>
        <v>0</v>
      </c>
      <c r="I162" s="244">
        <f t="shared" si="5"/>
        <v>0</v>
      </c>
    </row>
    <row r="163" spans="1:9" ht="15" customHeight="1" x14ac:dyDescent="0.25">
      <c r="A163" s="8" t="s">
        <v>190</v>
      </c>
      <c r="B163" s="239">
        <v>2414</v>
      </c>
      <c r="C163" s="240"/>
      <c r="E163" s="244">
        <f>+IFERROR(VLOOKUP(A163,'TB final'!$A$4:$P$727,11,0),0)</f>
        <v>2414</v>
      </c>
      <c r="F163" s="244">
        <f>+IFERROR(VLOOKUP(A163,'TB final'!$A$4:$P$727,14,0),0)</f>
        <v>0</v>
      </c>
      <c r="G163" s="244">
        <f t="shared" si="4"/>
        <v>0</v>
      </c>
      <c r="H163" s="244">
        <f t="shared" si="4"/>
        <v>0</v>
      </c>
      <c r="I163" s="244">
        <f t="shared" si="5"/>
        <v>0</v>
      </c>
    </row>
    <row r="164" spans="1:9" ht="15" hidden="1" customHeight="1" x14ac:dyDescent="0.25">
      <c r="A164" s="8" t="s">
        <v>662</v>
      </c>
      <c r="B164" s="239">
        <v>285659</v>
      </c>
      <c r="C164" s="240"/>
      <c r="E164" s="244">
        <f>+IFERROR(VLOOKUP(A164,'TB final'!$A$4:$P$727,11,0),0)</f>
        <v>285659</v>
      </c>
      <c r="F164" s="244">
        <f>+IFERROR(VLOOKUP(A164,'TB final'!$A$4:$P$727,14,0),0)</f>
        <v>0</v>
      </c>
      <c r="G164" s="244">
        <f t="shared" si="4"/>
        <v>0</v>
      </c>
      <c r="H164" s="244">
        <f t="shared" si="4"/>
        <v>0</v>
      </c>
      <c r="I164" s="244">
        <f t="shared" si="5"/>
        <v>0</v>
      </c>
    </row>
    <row r="165" spans="1:9" ht="15" hidden="1" customHeight="1" x14ac:dyDescent="0.25">
      <c r="A165" s="8" t="s">
        <v>663</v>
      </c>
      <c r="B165" s="239">
        <v>200</v>
      </c>
      <c r="C165" s="240"/>
      <c r="E165" s="244">
        <f>+IFERROR(VLOOKUP(A165,'TB final'!$A$4:$P$727,11,0),0)</f>
        <v>200</v>
      </c>
      <c r="F165" s="244">
        <f>+IFERROR(VLOOKUP(A165,'TB final'!$A$4:$P$727,14,0),0)</f>
        <v>0</v>
      </c>
      <c r="G165" s="244">
        <f t="shared" si="4"/>
        <v>0</v>
      </c>
      <c r="H165" s="244">
        <f t="shared" si="4"/>
        <v>0</v>
      </c>
      <c r="I165" s="244">
        <f t="shared" si="5"/>
        <v>0</v>
      </c>
    </row>
    <row r="166" spans="1:9" ht="15" hidden="1" customHeight="1" x14ac:dyDescent="0.25">
      <c r="A166" s="8" t="s">
        <v>664</v>
      </c>
      <c r="B166" s="239">
        <v>5485</v>
      </c>
      <c r="C166" s="240"/>
      <c r="E166" s="244">
        <f>+IFERROR(VLOOKUP(A166,'TB final'!$A$4:$P$727,11,0),0)</f>
        <v>5485</v>
      </c>
      <c r="F166" s="244">
        <f>+IFERROR(VLOOKUP(A166,'TB final'!$A$4:$P$727,14,0),0)</f>
        <v>0</v>
      </c>
      <c r="G166" s="244">
        <f t="shared" si="4"/>
        <v>0</v>
      </c>
      <c r="H166" s="244">
        <f t="shared" si="4"/>
        <v>0</v>
      </c>
      <c r="I166" s="244">
        <f t="shared" si="5"/>
        <v>0</v>
      </c>
    </row>
    <row r="167" spans="1:9" ht="15" hidden="1" customHeight="1" x14ac:dyDescent="0.25">
      <c r="A167" s="8" t="s">
        <v>665</v>
      </c>
      <c r="B167" s="239">
        <v>29250</v>
      </c>
      <c r="C167" s="240"/>
      <c r="E167" s="244">
        <f>+IFERROR(VLOOKUP(A167,'TB final'!$A$4:$P$727,11,0),0)</f>
        <v>29250</v>
      </c>
      <c r="F167" s="244">
        <f>+IFERROR(VLOOKUP(A167,'TB final'!$A$4:$P$727,14,0),0)</f>
        <v>0</v>
      </c>
      <c r="G167" s="244">
        <f t="shared" si="4"/>
        <v>0</v>
      </c>
      <c r="H167" s="244">
        <f t="shared" si="4"/>
        <v>0</v>
      </c>
      <c r="I167" s="244">
        <f t="shared" si="5"/>
        <v>0</v>
      </c>
    </row>
    <row r="168" spans="1:9" ht="15" customHeight="1" x14ac:dyDescent="0.25">
      <c r="A168" s="8" t="s">
        <v>192</v>
      </c>
      <c r="B168" s="239">
        <v>5436</v>
      </c>
      <c r="C168" s="240"/>
      <c r="E168" s="244">
        <f>+IFERROR(VLOOKUP(A168,'TB final'!$A$4:$P$727,11,0),0)</f>
        <v>5436</v>
      </c>
      <c r="F168" s="244">
        <f>+IFERROR(VLOOKUP(A168,'TB final'!$A$4:$P$727,14,0),0)</f>
        <v>0</v>
      </c>
      <c r="G168" s="244">
        <f t="shared" si="4"/>
        <v>0</v>
      </c>
      <c r="H168" s="244">
        <f t="shared" si="4"/>
        <v>0</v>
      </c>
      <c r="I168" s="244">
        <f t="shared" si="5"/>
        <v>0</v>
      </c>
    </row>
    <row r="169" spans="1:9" ht="15" hidden="1" customHeight="1" x14ac:dyDescent="0.25">
      <c r="A169" s="8" t="s">
        <v>194</v>
      </c>
      <c r="B169" s="239">
        <v>2330</v>
      </c>
      <c r="C169" s="240"/>
      <c r="E169" s="244">
        <f>+IFERROR(VLOOKUP(A169,'TB final'!$A$4:$P$727,11,0),0)</f>
        <v>2330</v>
      </c>
      <c r="F169" s="244">
        <f>+IFERROR(VLOOKUP(A169,'TB final'!$A$4:$P$727,14,0),0)</f>
        <v>0</v>
      </c>
      <c r="G169" s="244">
        <f t="shared" si="4"/>
        <v>0</v>
      </c>
      <c r="H169" s="244">
        <f t="shared" si="4"/>
        <v>0</v>
      </c>
      <c r="I169" s="244">
        <f t="shared" si="5"/>
        <v>0</v>
      </c>
    </row>
    <row r="170" spans="1:9" ht="15" hidden="1" customHeight="1" x14ac:dyDescent="0.25">
      <c r="A170" s="8" t="s">
        <v>668</v>
      </c>
      <c r="B170" s="239">
        <v>12071</v>
      </c>
      <c r="C170" s="240"/>
      <c r="E170" s="244">
        <f>+IFERROR(VLOOKUP(A170,'TB final'!$A$4:$P$727,11,0),0)</f>
        <v>12071</v>
      </c>
      <c r="F170" s="244">
        <f>+IFERROR(VLOOKUP(A170,'TB final'!$A$4:$P$727,14,0),0)</f>
        <v>0</v>
      </c>
      <c r="G170" s="244">
        <f t="shared" si="4"/>
        <v>0</v>
      </c>
      <c r="H170" s="244">
        <f t="shared" si="4"/>
        <v>0</v>
      </c>
      <c r="I170" s="244">
        <f t="shared" si="5"/>
        <v>0</v>
      </c>
    </row>
    <row r="171" spans="1:9" ht="15" hidden="1" customHeight="1" x14ac:dyDescent="0.25">
      <c r="A171" s="8" t="s">
        <v>669</v>
      </c>
      <c r="B171" s="240"/>
      <c r="C171" s="239">
        <v>574034.93999999994</v>
      </c>
      <c r="E171" s="244">
        <f>+IFERROR(VLOOKUP(A171,'TB final'!$A$4:$P$727,11,0),0)</f>
        <v>0</v>
      </c>
      <c r="F171" s="244">
        <f>+IFERROR(VLOOKUP(A171,'TB final'!$A$4:$P$727,14,0),0)</f>
        <v>574034.93999999994</v>
      </c>
      <c r="G171" s="244">
        <f t="shared" si="4"/>
        <v>0</v>
      </c>
      <c r="H171" s="244">
        <f t="shared" si="4"/>
        <v>0</v>
      </c>
      <c r="I171" s="244">
        <f t="shared" si="5"/>
        <v>0</v>
      </c>
    </row>
    <row r="172" spans="1:9" ht="15" hidden="1" customHeight="1" x14ac:dyDescent="0.25">
      <c r="A172" s="8" t="s">
        <v>195</v>
      </c>
      <c r="B172" s="239">
        <v>131953</v>
      </c>
      <c r="C172" s="240"/>
      <c r="E172" s="244">
        <f>+IFERROR(VLOOKUP(A172,'TB final'!$A$4:$P$727,11,0),0)</f>
        <v>131953</v>
      </c>
      <c r="F172" s="244">
        <f>+IFERROR(VLOOKUP(A172,'TB final'!$A$4:$P$727,14,0),0)</f>
        <v>0</v>
      </c>
      <c r="G172" s="244">
        <f t="shared" si="4"/>
        <v>0</v>
      </c>
      <c r="H172" s="244">
        <f t="shared" si="4"/>
        <v>0</v>
      </c>
      <c r="I172" s="244">
        <f t="shared" si="5"/>
        <v>0</v>
      </c>
    </row>
    <row r="173" spans="1:9" ht="15" hidden="1" customHeight="1" x14ac:dyDescent="0.25">
      <c r="A173" s="8" t="s">
        <v>196</v>
      </c>
      <c r="B173" s="239">
        <v>4933411.9400000004</v>
      </c>
      <c r="C173" s="240"/>
      <c r="E173" s="244">
        <f>+IFERROR(VLOOKUP(A173,'TB final'!$A$4:$P$727,11,0),0)</f>
        <v>4933411.9400000004</v>
      </c>
      <c r="F173" s="244">
        <f>+IFERROR(VLOOKUP(A173,'TB final'!$A$4:$P$727,14,0),0)</f>
        <v>0</v>
      </c>
      <c r="G173" s="244">
        <f t="shared" si="4"/>
        <v>0</v>
      </c>
      <c r="H173" s="244">
        <f t="shared" si="4"/>
        <v>0</v>
      </c>
      <c r="I173" s="244">
        <f t="shared" si="5"/>
        <v>0</v>
      </c>
    </row>
    <row r="174" spans="1:9" hidden="1" x14ac:dyDescent="0.25">
      <c r="A174" s="8" t="s">
        <v>197</v>
      </c>
      <c r="B174" s="239">
        <v>166917</v>
      </c>
      <c r="C174" s="240"/>
      <c r="E174" s="244">
        <f>+IFERROR(VLOOKUP(A174,'TB final'!$A$4:$P$727,11,0),0)</f>
        <v>166917</v>
      </c>
      <c r="F174" s="244">
        <f>+IFERROR(VLOOKUP(A174,'TB final'!$A$4:$P$727,14,0),0)</f>
        <v>0</v>
      </c>
      <c r="G174" s="244">
        <f t="shared" si="4"/>
        <v>0</v>
      </c>
      <c r="H174" s="244">
        <f t="shared" si="4"/>
        <v>0</v>
      </c>
      <c r="I174" s="244">
        <f t="shared" si="5"/>
        <v>0</v>
      </c>
    </row>
    <row r="175" spans="1:9" ht="15" hidden="1" customHeight="1" x14ac:dyDescent="0.25">
      <c r="A175" s="8" t="s">
        <v>198</v>
      </c>
      <c r="B175" s="239">
        <v>441375</v>
      </c>
      <c r="C175" s="240"/>
      <c r="E175" s="244">
        <f>+IFERROR(VLOOKUP(A175,'TB final'!$A$4:$P$727,11,0),0)</f>
        <v>441375</v>
      </c>
      <c r="F175" s="244">
        <f>+IFERROR(VLOOKUP(A175,'TB final'!$A$4:$P$727,14,0),0)</f>
        <v>0</v>
      </c>
      <c r="G175" s="244">
        <f t="shared" si="4"/>
        <v>0</v>
      </c>
      <c r="H175" s="244">
        <f t="shared" si="4"/>
        <v>0</v>
      </c>
      <c r="I175" s="244">
        <f t="shared" si="5"/>
        <v>0</v>
      </c>
    </row>
    <row r="176" spans="1:9" ht="15" hidden="1" customHeight="1" x14ac:dyDescent="0.25">
      <c r="A176" s="8" t="s">
        <v>199</v>
      </c>
      <c r="B176" s="239">
        <v>1878337</v>
      </c>
      <c r="C176" s="240"/>
      <c r="E176" s="244">
        <f>+IFERROR(VLOOKUP(A176,'TB final'!$A$4:$P$727,11,0),0)</f>
        <v>1878337</v>
      </c>
      <c r="F176" s="244">
        <f>+IFERROR(VLOOKUP(A176,'TB final'!$A$4:$P$727,14,0),0)</f>
        <v>0</v>
      </c>
      <c r="G176" s="244">
        <f t="shared" si="4"/>
        <v>0</v>
      </c>
      <c r="H176" s="244">
        <f t="shared" si="4"/>
        <v>0</v>
      </c>
      <c r="I176" s="244">
        <f t="shared" si="5"/>
        <v>0</v>
      </c>
    </row>
    <row r="177" spans="1:9" ht="15" hidden="1" customHeight="1" x14ac:dyDescent="0.25">
      <c r="A177" s="8" t="s">
        <v>200</v>
      </c>
      <c r="B177" s="239">
        <v>196000</v>
      </c>
      <c r="C177" s="240"/>
      <c r="E177" s="244">
        <f>+IFERROR(VLOOKUP(A177,'TB final'!$A$4:$P$727,11,0),0)</f>
        <v>196000</v>
      </c>
      <c r="F177" s="244">
        <f>+IFERROR(VLOOKUP(A177,'TB final'!$A$4:$P$727,14,0),0)</f>
        <v>0</v>
      </c>
      <c r="G177" s="244">
        <f t="shared" si="4"/>
        <v>0</v>
      </c>
      <c r="H177" s="244">
        <f t="shared" si="4"/>
        <v>0</v>
      </c>
      <c r="I177" s="244">
        <f t="shared" si="5"/>
        <v>0</v>
      </c>
    </row>
    <row r="178" spans="1:9" ht="15" hidden="1" customHeight="1" x14ac:dyDescent="0.25">
      <c r="A178" s="8" t="s">
        <v>675</v>
      </c>
      <c r="B178" s="239">
        <v>556227</v>
      </c>
      <c r="C178" s="240"/>
      <c r="E178" s="244">
        <f>+IFERROR(VLOOKUP(A178,'TB final'!$A$4:$P$727,11,0),0)</f>
        <v>556227</v>
      </c>
      <c r="F178" s="244">
        <f>+IFERROR(VLOOKUP(A178,'TB final'!$A$4:$P$727,14,0),0)</f>
        <v>0</v>
      </c>
      <c r="G178" s="244">
        <f t="shared" si="4"/>
        <v>0</v>
      </c>
      <c r="H178" s="244">
        <f t="shared" si="4"/>
        <v>0</v>
      </c>
      <c r="I178" s="244">
        <f t="shared" si="5"/>
        <v>0</v>
      </c>
    </row>
    <row r="179" spans="1:9" ht="15" hidden="1" customHeight="1" x14ac:dyDescent="0.25">
      <c r="A179" s="8" t="s">
        <v>203</v>
      </c>
      <c r="B179" s="239">
        <v>50433</v>
      </c>
      <c r="C179" s="240"/>
      <c r="E179" s="244">
        <f>+IFERROR(VLOOKUP(A179,'TB final'!$A$4:$P$727,11,0),0)</f>
        <v>50433</v>
      </c>
      <c r="F179" s="244">
        <f>+IFERROR(VLOOKUP(A179,'TB final'!$A$4:$P$727,14,0),0)</f>
        <v>0</v>
      </c>
      <c r="G179" s="244">
        <f t="shared" si="4"/>
        <v>0</v>
      </c>
      <c r="H179" s="244">
        <f t="shared" si="4"/>
        <v>0</v>
      </c>
      <c r="I179" s="244">
        <f t="shared" si="5"/>
        <v>0</v>
      </c>
    </row>
    <row r="180" spans="1:9" ht="15" hidden="1" customHeight="1" x14ac:dyDescent="0.25">
      <c r="A180" s="8" t="s">
        <v>676</v>
      </c>
      <c r="B180" s="240"/>
      <c r="C180" s="239">
        <v>54442</v>
      </c>
      <c r="E180" s="244">
        <f>+IFERROR(VLOOKUP(A180,'TB final'!$A$4:$P$727,11,0),0)</f>
        <v>0</v>
      </c>
      <c r="F180" s="244">
        <f>+IFERROR(VLOOKUP(A180,'TB final'!$A$4:$P$727,14,0),0)</f>
        <v>54442</v>
      </c>
      <c r="G180" s="244">
        <f t="shared" si="4"/>
        <v>0</v>
      </c>
      <c r="H180" s="244">
        <f t="shared" si="4"/>
        <v>0</v>
      </c>
      <c r="I180" s="244">
        <f t="shared" si="5"/>
        <v>0</v>
      </c>
    </row>
    <row r="181" spans="1:9" ht="15" hidden="1" customHeight="1" x14ac:dyDescent="0.25">
      <c r="A181" s="8" t="s">
        <v>677</v>
      </c>
      <c r="B181" s="240"/>
      <c r="C181" s="239">
        <v>2950</v>
      </c>
      <c r="E181" s="244">
        <f>+IFERROR(VLOOKUP(A181,'TB final'!$A$4:$P$727,11,0),0)</f>
        <v>0</v>
      </c>
      <c r="F181" s="244">
        <f>+IFERROR(VLOOKUP(A181,'TB final'!$A$4:$P$727,14,0),0)</f>
        <v>2950</v>
      </c>
      <c r="G181" s="244">
        <f t="shared" si="4"/>
        <v>0</v>
      </c>
      <c r="H181" s="244">
        <f t="shared" si="4"/>
        <v>0</v>
      </c>
      <c r="I181" s="244">
        <f t="shared" si="5"/>
        <v>0</v>
      </c>
    </row>
    <row r="182" spans="1:9" ht="15" hidden="1" customHeight="1" x14ac:dyDescent="0.25">
      <c r="A182" s="8" t="s">
        <v>678</v>
      </c>
      <c r="B182" s="240"/>
      <c r="C182" s="239">
        <v>23502</v>
      </c>
      <c r="E182" s="244">
        <f>+IFERROR(VLOOKUP(A182,'TB final'!$A$4:$P$727,11,0),0)</f>
        <v>0</v>
      </c>
      <c r="F182" s="244">
        <f>+IFERROR(VLOOKUP(A182,'TB final'!$A$4:$P$727,14,0),0)</f>
        <v>23502</v>
      </c>
      <c r="G182" s="244">
        <f t="shared" si="4"/>
        <v>0</v>
      </c>
      <c r="H182" s="244">
        <f t="shared" si="4"/>
        <v>0</v>
      </c>
      <c r="I182" s="244">
        <f t="shared" si="5"/>
        <v>0</v>
      </c>
    </row>
    <row r="183" spans="1:9" ht="15" hidden="1" customHeight="1" x14ac:dyDescent="0.25">
      <c r="A183" s="8" t="s">
        <v>204</v>
      </c>
      <c r="B183" s="240"/>
      <c r="C183" s="239">
        <v>6498343</v>
      </c>
      <c r="E183" s="244">
        <f>+IFERROR(VLOOKUP(A183,'TB final'!$A$4:$P$727,11,0),0)</f>
        <v>0</v>
      </c>
      <c r="F183" s="244">
        <f>+IFERROR(VLOOKUP(A183,'TB final'!$A$4:$P$727,14,0),0)</f>
        <v>6498343</v>
      </c>
      <c r="G183" s="244">
        <f t="shared" si="4"/>
        <v>0</v>
      </c>
      <c r="H183" s="244">
        <f t="shared" si="4"/>
        <v>0</v>
      </c>
      <c r="I183" s="244">
        <f t="shared" si="5"/>
        <v>0</v>
      </c>
    </row>
    <row r="184" spans="1:9" ht="15" hidden="1" customHeight="1" x14ac:dyDescent="0.25">
      <c r="A184" s="8" t="s">
        <v>681</v>
      </c>
      <c r="B184" s="240"/>
      <c r="C184" s="239">
        <v>6710</v>
      </c>
      <c r="E184" s="244">
        <f>+IFERROR(VLOOKUP(A184,'TB final'!$A$4:$P$727,11,0),0)</f>
        <v>0</v>
      </c>
      <c r="F184" s="244">
        <f>+IFERROR(VLOOKUP(A184,'TB final'!$A$4:$P$727,14,0),0)</f>
        <v>6710</v>
      </c>
      <c r="G184" s="244">
        <f t="shared" si="4"/>
        <v>0</v>
      </c>
      <c r="H184" s="244">
        <f t="shared" si="4"/>
        <v>0</v>
      </c>
      <c r="I184" s="244">
        <f t="shared" si="5"/>
        <v>0</v>
      </c>
    </row>
    <row r="185" spans="1:9" ht="15" hidden="1" customHeight="1" x14ac:dyDescent="0.25">
      <c r="A185" s="8" t="s">
        <v>206</v>
      </c>
      <c r="B185" s="239">
        <v>1680601</v>
      </c>
      <c r="C185" s="240"/>
      <c r="E185" s="244">
        <f>+IFERROR(VLOOKUP(A185,'TB final'!$A$4:$P$727,11,0),0)</f>
        <v>1680601</v>
      </c>
      <c r="F185" s="244">
        <f>+IFERROR(VLOOKUP(A185,'TB final'!$A$4:$P$727,14,0),0)</f>
        <v>0</v>
      </c>
      <c r="G185" s="244">
        <f t="shared" si="4"/>
        <v>0</v>
      </c>
      <c r="H185" s="244">
        <f t="shared" si="4"/>
        <v>0</v>
      </c>
      <c r="I185" s="244">
        <f t="shared" si="5"/>
        <v>0</v>
      </c>
    </row>
    <row r="186" spans="1:9" ht="15" hidden="1" customHeight="1" x14ac:dyDescent="0.25">
      <c r="A186" s="8" t="s">
        <v>684</v>
      </c>
      <c r="B186" s="240"/>
      <c r="C186" s="239">
        <v>6434</v>
      </c>
      <c r="E186" s="244">
        <f>+IFERROR(VLOOKUP(A186,'TB final'!$A$4:$P$727,11,0),0)</f>
        <v>0</v>
      </c>
      <c r="F186" s="244">
        <f>+IFERROR(VLOOKUP(A186,'TB final'!$A$4:$P$727,14,0),0)</f>
        <v>6434</v>
      </c>
      <c r="G186" s="244">
        <f t="shared" si="4"/>
        <v>0</v>
      </c>
      <c r="H186" s="244">
        <f t="shared" si="4"/>
        <v>0</v>
      </c>
      <c r="I186" s="244">
        <f t="shared" si="5"/>
        <v>0</v>
      </c>
    </row>
    <row r="187" spans="1:9" ht="15" hidden="1" customHeight="1" x14ac:dyDescent="0.25">
      <c r="A187" s="8" t="s">
        <v>207</v>
      </c>
      <c r="B187" s="239">
        <v>92000</v>
      </c>
      <c r="C187" s="240"/>
      <c r="E187" s="244">
        <f>+IFERROR(VLOOKUP(A187,'TB final'!$A$4:$P$727,11,0),0)</f>
        <v>92000</v>
      </c>
      <c r="F187" s="244">
        <f>+IFERROR(VLOOKUP(A187,'TB final'!$A$4:$P$727,14,0),0)</f>
        <v>0</v>
      </c>
      <c r="G187" s="244">
        <f t="shared" si="4"/>
        <v>0</v>
      </c>
      <c r="H187" s="244">
        <f t="shared" si="4"/>
        <v>0</v>
      </c>
      <c r="I187" s="244">
        <f t="shared" si="5"/>
        <v>0</v>
      </c>
    </row>
    <row r="188" spans="1:9" ht="15" hidden="1" customHeight="1" x14ac:dyDescent="0.25">
      <c r="A188" s="8" t="s">
        <v>208</v>
      </c>
      <c r="B188" s="240"/>
      <c r="C188" s="239">
        <v>366473</v>
      </c>
      <c r="E188" s="244">
        <f>+IFERROR(VLOOKUP(A188,'TB final'!$A$4:$P$727,11,0),0)</f>
        <v>0</v>
      </c>
      <c r="F188" s="244">
        <f>+IFERROR(VLOOKUP(A188,'TB final'!$A$4:$P$727,14,0),0)</f>
        <v>366473</v>
      </c>
      <c r="G188" s="244">
        <f t="shared" si="4"/>
        <v>0</v>
      </c>
      <c r="H188" s="244">
        <f t="shared" si="4"/>
        <v>0</v>
      </c>
      <c r="I188" s="244">
        <f t="shared" si="5"/>
        <v>0</v>
      </c>
    </row>
    <row r="189" spans="1:9" ht="15" hidden="1" customHeight="1" x14ac:dyDescent="0.25">
      <c r="A189" s="8" t="s">
        <v>685</v>
      </c>
      <c r="B189" s="240"/>
      <c r="C189" s="239">
        <v>21679</v>
      </c>
      <c r="E189" s="244">
        <f>+IFERROR(VLOOKUP(A189,'TB final'!$A$4:$P$727,11,0),0)</f>
        <v>0</v>
      </c>
      <c r="F189" s="244">
        <f>+IFERROR(VLOOKUP(A189,'TB final'!$A$4:$P$727,14,0),0)</f>
        <v>21679</v>
      </c>
      <c r="G189" s="244">
        <f t="shared" si="4"/>
        <v>0</v>
      </c>
      <c r="H189" s="244">
        <f t="shared" si="4"/>
        <v>0</v>
      </c>
      <c r="I189" s="244">
        <f t="shared" si="5"/>
        <v>0</v>
      </c>
    </row>
    <row r="190" spans="1:9" ht="15" hidden="1" customHeight="1" x14ac:dyDescent="0.25">
      <c r="A190" s="8" t="s">
        <v>210</v>
      </c>
      <c r="B190" s="240"/>
      <c r="C190" s="239">
        <v>3280041</v>
      </c>
      <c r="E190" s="244">
        <f>+IFERROR(VLOOKUP(A190,'TB final'!$A$4:$P$727,11,0),0)</f>
        <v>0</v>
      </c>
      <c r="F190" s="244">
        <f>+IFERROR(VLOOKUP(A190,'TB final'!$A$4:$P$727,14,0),0)</f>
        <v>3280041</v>
      </c>
      <c r="G190" s="244">
        <f t="shared" si="4"/>
        <v>0</v>
      </c>
      <c r="H190" s="244">
        <f t="shared" si="4"/>
        <v>0</v>
      </c>
      <c r="I190" s="244">
        <f t="shared" si="5"/>
        <v>0</v>
      </c>
    </row>
    <row r="191" spans="1:9" ht="15" hidden="1" customHeight="1" x14ac:dyDescent="0.25">
      <c r="A191" s="8" t="s">
        <v>211</v>
      </c>
      <c r="B191" s="240"/>
      <c r="C191" s="239">
        <v>6148401</v>
      </c>
      <c r="E191" s="244">
        <f>+IFERROR(VLOOKUP(A191,'TB final'!$A$4:$P$727,11,0),0)</f>
        <v>0</v>
      </c>
      <c r="F191" s="244">
        <f>+IFERROR(VLOOKUP(A191,'TB final'!$A$4:$P$727,14,0),0)</f>
        <v>6148401</v>
      </c>
      <c r="G191" s="244">
        <f t="shared" si="4"/>
        <v>0</v>
      </c>
      <c r="H191" s="244">
        <f t="shared" si="4"/>
        <v>0</v>
      </c>
      <c r="I191" s="244">
        <f t="shared" si="5"/>
        <v>0</v>
      </c>
    </row>
    <row r="192" spans="1:9" ht="15" hidden="1" customHeight="1" x14ac:dyDescent="0.25">
      <c r="A192" s="8" t="s">
        <v>212</v>
      </c>
      <c r="B192" s="240"/>
      <c r="C192" s="239">
        <v>22611</v>
      </c>
      <c r="E192" s="244">
        <f>+IFERROR(VLOOKUP(A192,'TB final'!$A$4:$P$727,11,0),0)</f>
        <v>0</v>
      </c>
      <c r="F192" s="244">
        <f>+IFERROR(VLOOKUP(A192,'TB final'!$A$4:$P$727,14,0),0)</f>
        <v>22611</v>
      </c>
      <c r="G192" s="244">
        <f t="shared" si="4"/>
        <v>0</v>
      </c>
      <c r="H192" s="244">
        <f t="shared" si="4"/>
        <v>0</v>
      </c>
      <c r="I192" s="244">
        <f t="shared" si="5"/>
        <v>0</v>
      </c>
    </row>
    <row r="193" spans="1:9" ht="15" hidden="1" customHeight="1" x14ac:dyDescent="0.25">
      <c r="A193" s="8" t="s">
        <v>686</v>
      </c>
      <c r="B193" s="240"/>
      <c r="C193" s="239">
        <v>2463</v>
      </c>
      <c r="E193" s="244">
        <f>+IFERROR(VLOOKUP(A193,'TB final'!$A$4:$P$727,11,0),0)</f>
        <v>0</v>
      </c>
      <c r="F193" s="244">
        <f>+IFERROR(VLOOKUP(A193,'TB final'!$A$4:$P$727,14,0),0)</f>
        <v>2463</v>
      </c>
      <c r="G193" s="244">
        <f t="shared" si="4"/>
        <v>0</v>
      </c>
      <c r="H193" s="244">
        <f t="shared" si="4"/>
        <v>0</v>
      </c>
      <c r="I193" s="244">
        <f t="shared" si="5"/>
        <v>0</v>
      </c>
    </row>
    <row r="194" spans="1:9" ht="15" hidden="1" customHeight="1" x14ac:dyDescent="0.25">
      <c r="A194" s="8" t="s">
        <v>215</v>
      </c>
      <c r="B194" s="239">
        <v>23000</v>
      </c>
      <c r="C194" s="240"/>
      <c r="E194" s="244">
        <f>+IFERROR(VLOOKUP(A194,'TB final'!$A$4:$P$727,11,0),0)</f>
        <v>23000</v>
      </c>
      <c r="F194" s="244">
        <f>+IFERROR(VLOOKUP(A194,'TB final'!$A$4:$P$727,14,0),0)</f>
        <v>0</v>
      </c>
      <c r="G194" s="244">
        <f t="shared" si="4"/>
        <v>0</v>
      </c>
      <c r="H194" s="244">
        <f t="shared" si="4"/>
        <v>0</v>
      </c>
      <c r="I194" s="244">
        <f t="shared" si="5"/>
        <v>0</v>
      </c>
    </row>
    <row r="195" spans="1:9" ht="15" hidden="1" customHeight="1" x14ac:dyDescent="0.25">
      <c r="A195" s="8" t="s">
        <v>216</v>
      </c>
      <c r="B195" s="239">
        <v>14352</v>
      </c>
      <c r="C195" s="240"/>
      <c r="E195" s="244">
        <f>+IFERROR(VLOOKUP(A195,'TB final'!$A$4:$P$727,11,0),0)</f>
        <v>14352</v>
      </c>
      <c r="F195" s="244">
        <f>+IFERROR(VLOOKUP(A195,'TB final'!$A$4:$P$727,14,0),0)</f>
        <v>0</v>
      </c>
      <c r="G195" s="244">
        <f t="shared" si="4"/>
        <v>0</v>
      </c>
      <c r="H195" s="244">
        <f t="shared" si="4"/>
        <v>0</v>
      </c>
      <c r="I195" s="244">
        <f t="shared" si="5"/>
        <v>0</v>
      </c>
    </row>
    <row r="196" spans="1:9" ht="15" hidden="1" customHeight="1" x14ac:dyDescent="0.25">
      <c r="A196" s="8" t="s">
        <v>217</v>
      </c>
      <c r="B196" s="240"/>
      <c r="C196" s="239">
        <v>2096163</v>
      </c>
      <c r="E196" s="244">
        <f>+IFERROR(VLOOKUP(A196,'TB final'!$A$4:$P$727,11,0),0)</f>
        <v>0</v>
      </c>
      <c r="F196" s="244">
        <f>+IFERROR(VLOOKUP(A196,'TB final'!$A$4:$P$727,14,0),0)</f>
        <v>2096163</v>
      </c>
      <c r="G196" s="244">
        <f t="shared" si="4"/>
        <v>0</v>
      </c>
      <c r="H196" s="244">
        <f t="shared" si="4"/>
        <v>0</v>
      </c>
      <c r="I196" s="244">
        <f t="shared" si="5"/>
        <v>0</v>
      </c>
    </row>
    <row r="197" spans="1:9" ht="15" hidden="1" customHeight="1" x14ac:dyDescent="0.25">
      <c r="A197" s="8" t="s">
        <v>218</v>
      </c>
      <c r="B197" s="239">
        <v>16519422</v>
      </c>
      <c r="C197" s="240"/>
      <c r="E197" s="244">
        <f>+IFERROR(VLOOKUP(A197,'TB final'!$A$4:$P$727,11,0),0)</f>
        <v>16519422</v>
      </c>
      <c r="F197" s="244">
        <f>+IFERROR(VLOOKUP(A197,'TB final'!$A$4:$P$727,14,0),0)</f>
        <v>0</v>
      </c>
      <c r="G197" s="244">
        <f t="shared" si="4"/>
        <v>0</v>
      </c>
      <c r="H197" s="244">
        <f t="shared" si="4"/>
        <v>0</v>
      </c>
      <c r="I197" s="244">
        <f t="shared" si="5"/>
        <v>0</v>
      </c>
    </row>
    <row r="198" spans="1:9" ht="15" hidden="1" customHeight="1" x14ac:dyDescent="0.25">
      <c r="A198" s="8" t="s">
        <v>219</v>
      </c>
      <c r="B198" s="240"/>
      <c r="C198" s="239">
        <v>635040</v>
      </c>
      <c r="E198" s="244">
        <f>+IFERROR(VLOOKUP(A198,'TB final'!$A$4:$P$727,11,0),0)</f>
        <v>0</v>
      </c>
      <c r="F198" s="244">
        <f>+IFERROR(VLOOKUP(A198,'TB final'!$A$4:$P$727,14,0),0)</f>
        <v>635040</v>
      </c>
      <c r="G198" s="244">
        <f t="shared" si="4"/>
        <v>0</v>
      </c>
      <c r="H198" s="244">
        <f t="shared" si="4"/>
        <v>0</v>
      </c>
      <c r="I198" s="244">
        <f t="shared" si="5"/>
        <v>0</v>
      </c>
    </row>
    <row r="199" spans="1:9" ht="15" hidden="1" customHeight="1" x14ac:dyDescent="0.25">
      <c r="A199" s="8" t="s">
        <v>691</v>
      </c>
      <c r="B199" s="239">
        <v>195649</v>
      </c>
      <c r="C199" s="240"/>
      <c r="E199" s="244">
        <f>+IFERROR(VLOOKUP(A199,'TB final'!$A$4:$P$727,11,0),0)</f>
        <v>195649</v>
      </c>
      <c r="F199" s="244">
        <f>+IFERROR(VLOOKUP(A199,'TB final'!$A$4:$P$727,14,0),0)</f>
        <v>0</v>
      </c>
      <c r="G199" s="244">
        <f t="shared" si="4"/>
        <v>0</v>
      </c>
      <c r="H199" s="244">
        <f t="shared" si="4"/>
        <v>0</v>
      </c>
      <c r="I199" s="244">
        <f t="shared" si="5"/>
        <v>0</v>
      </c>
    </row>
    <row r="200" spans="1:9" ht="15" hidden="1" customHeight="1" x14ac:dyDescent="0.25">
      <c r="A200" s="8" t="s">
        <v>692</v>
      </c>
      <c r="B200" s="240"/>
      <c r="C200" s="239">
        <v>195649</v>
      </c>
      <c r="E200" s="244">
        <f>+IFERROR(VLOOKUP(A200,'TB final'!$A$4:$P$727,11,0),0)</f>
        <v>0</v>
      </c>
      <c r="F200" s="244">
        <f>+IFERROR(VLOOKUP(A200,'TB final'!$A$4:$P$727,14,0),0)</f>
        <v>195649</v>
      </c>
      <c r="G200" s="244">
        <f t="shared" si="4"/>
        <v>0</v>
      </c>
      <c r="H200" s="244">
        <f t="shared" si="4"/>
        <v>0</v>
      </c>
      <c r="I200" s="244">
        <f t="shared" si="5"/>
        <v>0</v>
      </c>
    </row>
    <row r="201" spans="1:9" ht="15" hidden="1" customHeight="1" x14ac:dyDescent="0.25">
      <c r="A201" s="8" t="s">
        <v>220</v>
      </c>
      <c r="B201" s="239">
        <v>133198.18</v>
      </c>
      <c r="C201" s="240"/>
      <c r="E201" s="244">
        <f>+IFERROR(VLOOKUP(A201,'TB final'!$A$4:$P$727,11,0),0)</f>
        <v>133198.18</v>
      </c>
      <c r="F201" s="244">
        <f>+IFERROR(VLOOKUP(A201,'TB final'!$A$4:$P$727,14,0),0)</f>
        <v>0</v>
      </c>
      <c r="G201" s="244">
        <f t="shared" si="4"/>
        <v>0</v>
      </c>
      <c r="H201" s="244">
        <f t="shared" si="4"/>
        <v>0</v>
      </c>
      <c r="I201" s="244">
        <f t="shared" si="5"/>
        <v>0</v>
      </c>
    </row>
    <row r="202" spans="1:9" ht="15" hidden="1" customHeight="1" x14ac:dyDescent="0.25">
      <c r="A202" s="8" t="s">
        <v>221</v>
      </c>
      <c r="B202" s="240"/>
      <c r="C202" s="239">
        <v>49045</v>
      </c>
      <c r="E202" s="244">
        <f>+IFERROR(VLOOKUP(A202,'TB final'!$A$4:$P$727,11,0),0)</f>
        <v>0</v>
      </c>
      <c r="F202" s="244">
        <f>+IFERROR(VLOOKUP(A202,'TB final'!$A$4:$P$727,14,0),0)</f>
        <v>49045</v>
      </c>
      <c r="G202" s="244">
        <f t="shared" si="4"/>
        <v>0</v>
      </c>
      <c r="H202" s="244">
        <f t="shared" si="4"/>
        <v>0</v>
      </c>
      <c r="I202" s="244">
        <f t="shared" si="5"/>
        <v>0</v>
      </c>
    </row>
    <row r="203" spans="1:9" ht="15" hidden="1" customHeight="1" x14ac:dyDescent="0.25">
      <c r="A203" s="8" t="s">
        <v>693</v>
      </c>
      <c r="B203" s="239">
        <v>288108</v>
      </c>
      <c r="C203" s="240"/>
      <c r="E203" s="244">
        <f>+IFERROR(VLOOKUP(A203,'TB final'!$A$4:$P$727,11,0),0)</f>
        <v>288108</v>
      </c>
      <c r="F203" s="244">
        <f>+IFERROR(VLOOKUP(A203,'TB final'!$A$4:$P$727,14,0),0)</f>
        <v>0</v>
      </c>
      <c r="G203" s="244">
        <f t="shared" si="4"/>
        <v>0</v>
      </c>
      <c r="H203" s="244">
        <f t="shared" si="4"/>
        <v>0</v>
      </c>
      <c r="I203" s="244">
        <f t="shared" si="5"/>
        <v>0</v>
      </c>
    </row>
    <row r="204" spans="1:9" ht="15" hidden="1" customHeight="1" x14ac:dyDescent="0.25">
      <c r="A204" s="8" t="s">
        <v>223</v>
      </c>
      <c r="B204" s="240"/>
      <c r="C204" s="239">
        <v>9718147</v>
      </c>
      <c r="E204" s="244">
        <f>+IFERROR(VLOOKUP(A204,'TB final'!$A$4:$P$727,11,0),0)</f>
        <v>0</v>
      </c>
      <c r="F204" s="244">
        <f>+IFERROR(VLOOKUP(A204,'TB final'!$A$4:$P$727,14,0),0)</f>
        <v>9718147</v>
      </c>
      <c r="G204" s="244">
        <f t="shared" si="4"/>
        <v>0</v>
      </c>
      <c r="H204" s="244">
        <f t="shared" si="4"/>
        <v>0</v>
      </c>
      <c r="I204" s="244">
        <f t="shared" si="5"/>
        <v>0</v>
      </c>
    </row>
    <row r="205" spans="1:9" ht="15" hidden="1" customHeight="1" x14ac:dyDescent="0.25">
      <c r="A205" s="8" t="s">
        <v>224</v>
      </c>
      <c r="B205" s="239">
        <v>149343</v>
      </c>
      <c r="C205" s="240"/>
      <c r="E205" s="244">
        <f>+IFERROR(VLOOKUP(A205,'TB final'!$A$4:$P$727,11,0),0)</f>
        <v>149343</v>
      </c>
      <c r="F205" s="244">
        <f>+IFERROR(VLOOKUP(A205,'TB final'!$A$4:$P$727,14,0),0)</f>
        <v>0</v>
      </c>
      <c r="G205" s="244">
        <f t="shared" ref="G205:H268" si="6">+B205-E205</f>
        <v>0</v>
      </c>
      <c r="H205" s="244">
        <f t="shared" si="6"/>
        <v>0</v>
      </c>
      <c r="I205" s="244">
        <f t="shared" ref="I205:I268" si="7">+G205+H205</f>
        <v>0</v>
      </c>
    </row>
    <row r="206" spans="1:9" ht="15" hidden="1" customHeight="1" x14ac:dyDescent="0.25">
      <c r="A206" s="8" t="s">
        <v>225</v>
      </c>
      <c r="B206" s="239">
        <v>969798</v>
      </c>
      <c r="C206" s="240"/>
      <c r="E206" s="244">
        <f>+IFERROR(VLOOKUP(A206,'TB final'!$A$4:$P$727,11,0),0)</f>
        <v>969798</v>
      </c>
      <c r="F206" s="244">
        <f>+IFERROR(VLOOKUP(A206,'TB final'!$A$4:$P$727,14,0),0)</f>
        <v>0</v>
      </c>
      <c r="G206" s="244">
        <f t="shared" si="6"/>
        <v>0</v>
      </c>
      <c r="H206" s="244">
        <f t="shared" si="6"/>
        <v>0</v>
      </c>
      <c r="I206" s="244">
        <f t="shared" si="7"/>
        <v>0</v>
      </c>
    </row>
    <row r="207" spans="1:9" ht="15" hidden="1" customHeight="1" x14ac:dyDescent="0.25">
      <c r="A207" s="8" t="s">
        <v>226</v>
      </c>
      <c r="B207" s="239">
        <v>10783983.359999999</v>
      </c>
      <c r="C207" s="240"/>
      <c r="E207" s="244">
        <f>+IFERROR(VLOOKUP(A207,'TB final'!$A$4:$P$727,11,0),0)</f>
        <v>10783983.359999999</v>
      </c>
      <c r="F207" s="244">
        <f>+IFERROR(VLOOKUP(A207,'TB final'!$A$4:$P$727,14,0),0)</f>
        <v>0</v>
      </c>
      <c r="G207" s="244">
        <f t="shared" si="6"/>
        <v>0</v>
      </c>
      <c r="H207" s="244">
        <f t="shared" si="6"/>
        <v>0</v>
      </c>
      <c r="I207" s="244">
        <f t="shared" si="7"/>
        <v>0</v>
      </c>
    </row>
    <row r="208" spans="1:9" ht="15" hidden="1" customHeight="1" x14ac:dyDescent="0.25">
      <c r="A208" s="8" t="s">
        <v>227</v>
      </c>
      <c r="B208" s="239">
        <v>1446914</v>
      </c>
      <c r="C208" s="240"/>
      <c r="E208" s="244">
        <f>+IFERROR(VLOOKUP(A208,'TB final'!$A$4:$P$727,11,0),0)</f>
        <v>1446914</v>
      </c>
      <c r="F208" s="244">
        <f>+IFERROR(VLOOKUP(A208,'TB final'!$A$4:$P$727,14,0),0)</f>
        <v>0</v>
      </c>
      <c r="G208" s="244">
        <f t="shared" si="6"/>
        <v>0</v>
      </c>
      <c r="H208" s="244">
        <f t="shared" si="6"/>
        <v>0</v>
      </c>
      <c r="I208" s="244">
        <f t="shared" si="7"/>
        <v>0</v>
      </c>
    </row>
    <row r="209" spans="1:9" ht="15" hidden="1" customHeight="1" x14ac:dyDescent="0.25">
      <c r="A209" s="8" t="s">
        <v>1373</v>
      </c>
      <c r="B209" s="240"/>
      <c r="C209" s="239">
        <v>55663</v>
      </c>
      <c r="E209" s="244">
        <f>+IFERROR(VLOOKUP(A209,'TB final'!$A$4:$P$727,11,0),0)</f>
        <v>0</v>
      </c>
      <c r="F209" s="244">
        <f>+IFERROR(VLOOKUP(A209,'TB final'!$A$4:$P$727,14,0),0)</f>
        <v>55663</v>
      </c>
      <c r="G209" s="244">
        <f t="shared" si="6"/>
        <v>0</v>
      </c>
      <c r="H209" s="244">
        <f t="shared" si="6"/>
        <v>0</v>
      </c>
      <c r="I209" s="244">
        <f t="shared" si="7"/>
        <v>0</v>
      </c>
    </row>
    <row r="210" spans="1:9" ht="15" hidden="1" customHeight="1" x14ac:dyDescent="0.25">
      <c r="A210" s="8" t="s">
        <v>228</v>
      </c>
      <c r="B210" s="239">
        <v>4609940</v>
      </c>
      <c r="C210" s="240"/>
      <c r="E210" s="244">
        <f>+IFERROR(VLOOKUP(A210,'TB final'!$A$4:$P$727,11,0),0)</f>
        <v>4609940</v>
      </c>
      <c r="F210" s="244">
        <f>+IFERROR(VLOOKUP(A210,'TB final'!$A$4:$P$727,14,0),0)</f>
        <v>0</v>
      </c>
      <c r="G210" s="244">
        <f t="shared" si="6"/>
        <v>0</v>
      </c>
      <c r="H210" s="244">
        <f t="shared" si="6"/>
        <v>0</v>
      </c>
      <c r="I210" s="244">
        <f t="shared" si="7"/>
        <v>0</v>
      </c>
    </row>
    <row r="211" spans="1:9" ht="15" hidden="1" customHeight="1" x14ac:dyDescent="0.25">
      <c r="A211" s="8" t="s">
        <v>696</v>
      </c>
      <c r="B211" s="239">
        <v>18479</v>
      </c>
      <c r="C211" s="240"/>
      <c r="E211" s="244">
        <f>+IFERROR(VLOOKUP(A211,'TB final'!$A$4:$P$727,11,0),0)</f>
        <v>18479</v>
      </c>
      <c r="F211" s="244">
        <f>+IFERROR(VLOOKUP(A211,'TB final'!$A$4:$P$727,14,0),0)</f>
        <v>0</v>
      </c>
      <c r="G211" s="244">
        <f t="shared" si="6"/>
        <v>0</v>
      </c>
      <c r="H211" s="244">
        <f t="shared" si="6"/>
        <v>0</v>
      </c>
      <c r="I211" s="244">
        <f t="shared" si="7"/>
        <v>0</v>
      </c>
    </row>
    <row r="212" spans="1:9" ht="15" hidden="1" customHeight="1" x14ac:dyDescent="0.25">
      <c r="A212" s="8" t="s">
        <v>697</v>
      </c>
      <c r="B212" s="240"/>
      <c r="C212" s="239">
        <v>15790</v>
      </c>
      <c r="E212" s="244">
        <f>+IFERROR(VLOOKUP(A212,'TB final'!$A$4:$P$727,11,0),0)</f>
        <v>0</v>
      </c>
      <c r="F212" s="244">
        <f>+IFERROR(VLOOKUP(A212,'TB final'!$A$4:$P$727,14,0),0)</f>
        <v>15790</v>
      </c>
      <c r="G212" s="244">
        <f t="shared" si="6"/>
        <v>0</v>
      </c>
      <c r="H212" s="244">
        <f t="shared" si="6"/>
        <v>0</v>
      </c>
      <c r="I212" s="244">
        <f t="shared" si="7"/>
        <v>0</v>
      </c>
    </row>
    <row r="213" spans="1:9" ht="15" hidden="1" customHeight="1" x14ac:dyDescent="0.25">
      <c r="A213" s="8" t="s">
        <v>698</v>
      </c>
      <c r="B213" s="239">
        <v>6000</v>
      </c>
      <c r="C213" s="240"/>
      <c r="E213" s="244">
        <f>+IFERROR(VLOOKUP(A213,'TB final'!$A$4:$P$727,11,0),0)</f>
        <v>6000</v>
      </c>
      <c r="F213" s="244">
        <f>+IFERROR(VLOOKUP(A213,'TB final'!$A$4:$P$727,14,0),0)</f>
        <v>0</v>
      </c>
      <c r="G213" s="244">
        <f t="shared" si="6"/>
        <v>0</v>
      </c>
      <c r="H213" s="244">
        <f t="shared" si="6"/>
        <v>0</v>
      </c>
      <c r="I213" s="244">
        <f t="shared" si="7"/>
        <v>0</v>
      </c>
    </row>
    <row r="214" spans="1:9" ht="15" hidden="1" customHeight="1" x14ac:dyDescent="0.25">
      <c r="A214" s="8" t="s">
        <v>233</v>
      </c>
      <c r="B214" s="239">
        <v>26000</v>
      </c>
      <c r="C214" s="240"/>
      <c r="E214" s="244">
        <f>+IFERROR(VLOOKUP(A214,'TB final'!$A$4:$P$727,11,0),0)</f>
        <v>26000</v>
      </c>
      <c r="F214" s="244">
        <f>+IFERROR(VLOOKUP(A214,'TB final'!$A$4:$P$727,14,0),0)</f>
        <v>0</v>
      </c>
      <c r="G214" s="244">
        <f t="shared" si="6"/>
        <v>0</v>
      </c>
      <c r="H214" s="244">
        <f t="shared" si="6"/>
        <v>0</v>
      </c>
      <c r="I214" s="244">
        <f t="shared" si="7"/>
        <v>0</v>
      </c>
    </row>
    <row r="215" spans="1:9" ht="15" hidden="1" customHeight="1" x14ac:dyDescent="0.25">
      <c r="A215" s="8" t="s">
        <v>234</v>
      </c>
      <c r="B215" s="239">
        <v>1021090</v>
      </c>
      <c r="C215" s="240"/>
      <c r="E215" s="244">
        <f>+IFERROR(VLOOKUP(A215,'TB final'!$A$4:$P$727,11,0),0)</f>
        <v>1021090</v>
      </c>
      <c r="F215" s="244">
        <f>+IFERROR(VLOOKUP(A215,'TB final'!$A$4:$P$727,14,0),0)</f>
        <v>0</v>
      </c>
      <c r="G215" s="244">
        <f t="shared" si="6"/>
        <v>0</v>
      </c>
      <c r="H215" s="244">
        <f t="shared" si="6"/>
        <v>0</v>
      </c>
      <c r="I215" s="244">
        <f t="shared" si="7"/>
        <v>0</v>
      </c>
    </row>
    <row r="216" spans="1:9" ht="15" hidden="1" customHeight="1" x14ac:dyDescent="0.25">
      <c r="A216" s="8" t="s">
        <v>235</v>
      </c>
      <c r="B216" s="239">
        <v>6404071</v>
      </c>
      <c r="C216" s="240"/>
      <c r="E216" s="244">
        <f>+IFERROR(VLOOKUP(A216,'TB final'!$A$4:$P$727,11,0),0)</f>
        <v>6404071</v>
      </c>
      <c r="F216" s="244">
        <f>+IFERROR(VLOOKUP(A216,'TB final'!$A$4:$P$727,14,0),0)</f>
        <v>0</v>
      </c>
      <c r="G216" s="244">
        <f t="shared" si="6"/>
        <v>0</v>
      </c>
      <c r="H216" s="244">
        <f t="shared" si="6"/>
        <v>0</v>
      </c>
      <c r="I216" s="244">
        <f t="shared" si="7"/>
        <v>0</v>
      </c>
    </row>
    <row r="217" spans="1:9" ht="15" hidden="1" customHeight="1" x14ac:dyDescent="0.25">
      <c r="A217" s="8" t="s">
        <v>237</v>
      </c>
      <c r="B217" s="239">
        <v>479434</v>
      </c>
      <c r="C217" s="240"/>
      <c r="E217" s="244">
        <f>+IFERROR(VLOOKUP(A217,'TB final'!$A$4:$P$727,11,0),0)</f>
        <v>479434</v>
      </c>
      <c r="F217" s="244">
        <f>+IFERROR(VLOOKUP(A217,'TB final'!$A$4:$P$727,14,0),0)</f>
        <v>0</v>
      </c>
      <c r="G217" s="244">
        <f t="shared" si="6"/>
        <v>0</v>
      </c>
      <c r="H217" s="244">
        <f t="shared" si="6"/>
        <v>0</v>
      </c>
      <c r="I217" s="244">
        <f t="shared" si="7"/>
        <v>0</v>
      </c>
    </row>
    <row r="218" spans="1:9" ht="15" hidden="1" customHeight="1" x14ac:dyDescent="0.25">
      <c r="A218" s="8" t="s">
        <v>702</v>
      </c>
      <c r="B218" s="240"/>
      <c r="C218" s="239">
        <v>30472</v>
      </c>
      <c r="E218" s="244">
        <f>+IFERROR(VLOOKUP(A218,'TB final'!$A$4:$P$727,11,0),0)</f>
        <v>0</v>
      </c>
      <c r="F218" s="244">
        <f>+IFERROR(VLOOKUP(A218,'TB final'!$A$4:$P$727,14,0),0)</f>
        <v>30472</v>
      </c>
      <c r="G218" s="244">
        <f t="shared" si="6"/>
        <v>0</v>
      </c>
      <c r="H218" s="244">
        <f t="shared" si="6"/>
        <v>0</v>
      </c>
      <c r="I218" s="244">
        <f t="shared" si="7"/>
        <v>0</v>
      </c>
    </row>
    <row r="219" spans="1:9" ht="15" hidden="1" customHeight="1" x14ac:dyDescent="0.25">
      <c r="A219" s="8" t="s">
        <v>239</v>
      </c>
      <c r="B219" s="239">
        <v>239427</v>
      </c>
      <c r="C219" s="240"/>
      <c r="E219" s="244">
        <f>+IFERROR(VLOOKUP(A219,'TB final'!$A$4:$P$727,11,0),0)</f>
        <v>239427</v>
      </c>
      <c r="F219" s="244">
        <f>+IFERROR(VLOOKUP(A219,'TB final'!$A$4:$P$727,14,0),0)</f>
        <v>0</v>
      </c>
      <c r="G219" s="244">
        <f t="shared" si="6"/>
        <v>0</v>
      </c>
      <c r="H219" s="244">
        <f t="shared" si="6"/>
        <v>0</v>
      </c>
      <c r="I219" s="244">
        <f t="shared" si="7"/>
        <v>0</v>
      </c>
    </row>
    <row r="220" spans="1:9" ht="15" hidden="1" customHeight="1" x14ac:dyDescent="0.25">
      <c r="A220" s="8" t="s">
        <v>242</v>
      </c>
      <c r="B220" s="239">
        <v>15000</v>
      </c>
      <c r="C220" s="240"/>
      <c r="E220" s="244">
        <f>+IFERROR(VLOOKUP(A220,'TB final'!$A$4:$P$727,11,0),0)</f>
        <v>15000</v>
      </c>
      <c r="F220" s="244">
        <f>+IFERROR(VLOOKUP(A220,'TB final'!$A$4:$P$727,14,0),0)</f>
        <v>0</v>
      </c>
      <c r="G220" s="244">
        <f t="shared" si="6"/>
        <v>0</v>
      </c>
      <c r="H220" s="244">
        <f t="shared" si="6"/>
        <v>0</v>
      </c>
      <c r="I220" s="244">
        <f t="shared" si="7"/>
        <v>0</v>
      </c>
    </row>
    <row r="221" spans="1:9" ht="15" hidden="1" customHeight="1" x14ac:dyDescent="0.25">
      <c r="A221" s="8" t="s">
        <v>244</v>
      </c>
      <c r="B221" s="239">
        <v>67712.89</v>
      </c>
      <c r="C221" s="240"/>
      <c r="E221" s="244">
        <f>+IFERROR(VLOOKUP(A221,'TB final'!$A$4:$P$727,11,0),0)</f>
        <v>67712.89</v>
      </c>
      <c r="F221" s="244">
        <f>+IFERROR(VLOOKUP(A221,'TB final'!$A$4:$P$727,14,0),0)</f>
        <v>0</v>
      </c>
      <c r="G221" s="244">
        <f t="shared" si="6"/>
        <v>0</v>
      </c>
      <c r="H221" s="244">
        <f t="shared" si="6"/>
        <v>0</v>
      </c>
      <c r="I221" s="244">
        <f t="shared" si="7"/>
        <v>0</v>
      </c>
    </row>
    <row r="222" spans="1:9" ht="15" hidden="1" customHeight="1" x14ac:dyDescent="0.25">
      <c r="A222" s="8" t="s">
        <v>245</v>
      </c>
      <c r="B222" s="240"/>
      <c r="C222" s="239">
        <v>14593</v>
      </c>
      <c r="E222" s="244">
        <f>+IFERROR(VLOOKUP(A222,'TB final'!$A$4:$P$727,11,0),0)</f>
        <v>0</v>
      </c>
      <c r="F222" s="244">
        <f>+IFERROR(VLOOKUP(A222,'TB final'!$A$4:$P$727,14,0),0)</f>
        <v>14593</v>
      </c>
      <c r="G222" s="244">
        <f t="shared" si="6"/>
        <v>0</v>
      </c>
      <c r="H222" s="244">
        <f t="shared" si="6"/>
        <v>0</v>
      </c>
      <c r="I222" s="244">
        <f t="shared" si="7"/>
        <v>0</v>
      </c>
    </row>
    <row r="223" spans="1:9" ht="15" hidden="1" customHeight="1" x14ac:dyDescent="0.25">
      <c r="A223" s="8" t="s">
        <v>711</v>
      </c>
      <c r="B223" s="239">
        <v>4000</v>
      </c>
      <c r="C223" s="240"/>
      <c r="E223" s="244">
        <f>+IFERROR(VLOOKUP(A223,'TB final'!$A$4:$P$727,11,0),0)</f>
        <v>4000</v>
      </c>
      <c r="F223" s="244">
        <f>+IFERROR(VLOOKUP(A223,'TB final'!$A$4:$P$727,14,0),0)</f>
        <v>0</v>
      </c>
      <c r="G223" s="244">
        <f t="shared" si="6"/>
        <v>0</v>
      </c>
      <c r="H223" s="244">
        <f t="shared" si="6"/>
        <v>0</v>
      </c>
      <c r="I223" s="244">
        <f t="shared" si="7"/>
        <v>0</v>
      </c>
    </row>
    <row r="224" spans="1:9" ht="15" hidden="1" customHeight="1" x14ac:dyDescent="0.25">
      <c r="A224" s="8" t="s">
        <v>713</v>
      </c>
      <c r="B224" s="239">
        <v>34000</v>
      </c>
      <c r="C224" s="240"/>
      <c r="E224" s="244">
        <f>+IFERROR(VLOOKUP(A224,'TB final'!$A$4:$P$727,11,0),0)</f>
        <v>34000</v>
      </c>
      <c r="F224" s="244">
        <f>+IFERROR(VLOOKUP(A224,'TB final'!$A$4:$P$727,14,0),0)</f>
        <v>0</v>
      </c>
      <c r="G224" s="244">
        <f t="shared" si="6"/>
        <v>0</v>
      </c>
      <c r="H224" s="244">
        <f t="shared" si="6"/>
        <v>0</v>
      </c>
      <c r="I224" s="244">
        <f t="shared" si="7"/>
        <v>0</v>
      </c>
    </row>
    <row r="225" spans="1:9" ht="15" hidden="1" customHeight="1" x14ac:dyDescent="0.25">
      <c r="A225" s="8" t="s">
        <v>714</v>
      </c>
      <c r="B225" s="239">
        <v>3355331</v>
      </c>
      <c r="C225" s="240"/>
      <c r="E225" s="244">
        <f>+IFERROR(VLOOKUP(A225,'TB final'!$A$4:$P$727,11,0),0)</f>
        <v>3355331</v>
      </c>
      <c r="F225" s="244">
        <f>+IFERROR(VLOOKUP(A225,'TB final'!$A$4:$P$727,14,0),0)</f>
        <v>0</v>
      </c>
      <c r="G225" s="244">
        <f t="shared" si="6"/>
        <v>0</v>
      </c>
      <c r="H225" s="244">
        <f t="shared" si="6"/>
        <v>0</v>
      </c>
      <c r="I225" s="244">
        <f t="shared" si="7"/>
        <v>0</v>
      </c>
    </row>
    <row r="226" spans="1:9" ht="15" hidden="1" customHeight="1" x14ac:dyDescent="0.25">
      <c r="A226" s="8" t="s">
        <v>716</v>
      </c>
      <c r="B226" s="240"/>
      <c r="C226" s="239">
        <v>236422</v>
      </c>
      <c r="E226" s="244">
        <f>+IFERROR(VLOOKUP(A226,'TB final'!$A$4:$P$727,11,0),0)</f>
        <v>0</v>
      </c>
      <c r="F226" s="244">
        <f>+IFERROR(VLOOKUP(A226,'TB final'!$A$4:$P$727,14,0),0)</f>
        <v>236422</v>
      </c>
      <c r="G226" s="244">
        <f t="shared" si="6"/>
        <v>0</v>
      </c>
      <c r="H226" s="244">
        <f t="shared" si="6"/>
        <v>0</v>
      </c>
      <c r="I226" s="244">
        <f t="shared" si="7"/>
        <v>0</v>
      </c>
    </row>
    <row r="227" spans="1:9" ht="15" hidden="1" customHeight="1" x14ac:dyDescent="0.25">
      <c r="A227" s="8" t="s">
        <v>717</v>
      </c>
      <c r="B227" s="240"/>
      <c r="C227" s="239">
        <v>22370</v>
      </c>
      <c r="E227" s="244">
        <f>+IFERROR(VLOOKUP(A227,'TB final'!$A$4:$P$727,11,0),0)</f>
        <v>0</v>
      </c>
      <c r="F227" s="244">
        <f>+IFERROR(VLOOKUP(A227,'TB final'!$A$4:$P$727,14,0),0)</f>
        <v>22370</v>
      </c>
      <c r="G227" s="244">
        <f t="shared" si="6"/>
        <v>0</v>
      </c>
      <c r="H227" s="244">
        <f t="shared" si="6"/>
        <v>0</v>
      </c>
      <c r="I227" s="244">
        <f t="shared" si="7"/>
        <v>0</v>
      </c>
    </row>
    <row r="228" spans="1:9" ht="15" customHeight="1" x14ac:dyDescent="0.25">
      <c r="A228" s="8" t="s">
        <v>250</v>
      </c>
      <c r="B228" s="239">
        <v>185312</v>
      </c>
      <c r="C228" s="240"/>
      <c r="E228" s="244">
        <f>+IFERROR(VLOOKUP(A228,'TB final'!$A$4:$P$727,11,0),0)</f>
        <v>185312</v>
      </c>
      <c r="F228" s="244">
        <f>+IFERROR(VLOOKUP(A228,'TB final'!$A$4:$P$727,14,0),0)</f>
        <v>0</v>
      </c>
      <c r="G228" s="244">
        <f t="shared" si="6"/>
        <v>0</v>
      </c>
      <c r="H228" s="244">
        <f t="shared" si="6"/>
        <v>0</v>
      </c>
      <c r="I228" s="244">
        <f t="shared" si="7"/>
        <v>0</v>
      </c>
    </row>
    <row r="229" spans="1:9" ht="15" hidden="1" customHeight="1" x14ac:dyDescent="0.25">
      <c r="A229" s="8" t="s">
        <v>251</v>
      </c>
      <c r="B229" s="239">
        <v>53120</v>
      </c>
      <c r="C229" s="240"/>
      <c r="E229" s="244">
        <f>+IFERROR(VLOOKUP(A229,'TB final'!$A$4:$P$727,11,0),0)</f>
        <v>53120</v>
      </c>
      <c r="F229" s="244">
        <f>+IFERROR(VLOOKUP(A229,'TB final'!$A$4:$P$727,14,0),0)</f>
        <v>0</v>
      </c>
      <c r="G229" s="244">
        <f t="shared" si="6"/>
        <v>0</v>
      </c>
      <c r="H229" s="244">
        <f t="shared" si="6"/>
        <v>0</v>
      </c>
      <c r="I229" s="244">
        <f t="shared" si="7"/>
        <v>0</v>
      </c>
    </row>
    <row r="230" spans="1:9" ht="15" hidden="1" customHeight="1" x14ac:dyDescent="0.25">
      <c r="A230" s="8" t="s">
        <v>252</v>
      </c>
      <c r="B230" s="239">
        <v>119340</v>
      </c>
      <c r="C230" s="240"/>
      <c r="E230" s="244">
        <f>+IFERROR(VLOOKUP(A230,'TB final'!$A$4:$P$727,11,0),0)</f>
        <v>119340</v>
      </c>
      <c r="F230" s="244">
        <f>+IFERROR(VLOOKUP(A230,'TB final'!$A$4:$P$727,14,0),0)</f>
        <v>0</v>
      </c>
      <c r="G230" s="244">
        <f t="shared" si="6"/>
        <v>0</v>
      </c>
      <c r="H230" s="244">
        <f t="shared" si="6"/>
        <v>0</v>
      </c>
      <c r="I230" s="244">
        <f t="shared" si="7"/>
        <v>0</v>
      </c>
    </row>
    <row r="231" spans="1:9" ht="15" hidden="1" customHeight="1" x14ac:dyDescent="0.25">
      <c r="A231" s="8" t="s">
        <v>253</v>
      </c>
      <c r="B231" s="240"/>
      <c r="C231" s="239">
        <v>4490</v>
      </c>
      <c r="E231" s="244">
        <f>+IFERROR(VLOOKUP(A231,'TB final'!$A$4:$P$727,11,0),0)</f>
        <v>0</v>
      </c>
      <c r="F231" s="244">
        <f>+IFERROR(VLOOKUP(A231,'TB final'!$A$4:$P$727,14,0),0)</f>
        <v>4490</v>
      </c>
      <c r="G231" s="244">
        <f t="shared" si="6"/>
        <v>0</v>
      </c>
      <c r="H231" s="244">
        <f t="shared" si="6"/>
        <v>0</v>
      </c>
      <c r="I231" s="244">
        <f t="shared" si="7"/>
        <v>0</v>
      </c>
    </row>
    <row r="232" spans="1:9" ht="15" hidden="1" customHeight="1" x14ac:dyDescent="0.25">
      <c r="A232" s="8" t="s">
        <v>254</v>
      </c>
      <c r="B232" s="239">
        <v>918177.38</v>
      </c>
      <c r="C232" s="240"/>
      <c r="E232" s="244">
        <f>+IFERROR(VLOOKUP(A232,'TB final'!$A$4:$P$727,11,0),0)</f>
        <v>918177.38</v>
      </c>
      <c r="F232" s="244">
        <f>+IFERROR(VLOOKUP(A232,'TB final'!$A$4:$P$727,14,0),0)</f>
        <v>0</v>
      </c>
      <c r="G232" s="244">
        <f t="shared" si="6"/>
        <v>0</v>
      </c>
      <c r="H232" s="244">
        <f t="shared" si="6"/>
        <v>0</v>
      </c>
      <c r="I232" s="244">
        <f t="shared" si="7"/>
        <v>0</v>
      </c>
    </row>
    <row r="233" spans="1:9" ht="15" hidden="1" customHeight="1" x14ac:dyDescent="0.25">
      <c r="A233" s="8" t="s">
        <v>255</v>
      </c>
      <c r="B233" s="239">
        <v>202053</v>
      </c>
      <c r="C233" s="240"/>
      <c r="E233" s="244">
        <f>+IFERROR(VLOOKUP(A233,'TB final'!$A$4:$P$727,11,0),0)</f>
        <v>202053</v>
      </c>
      <c r="F233" s="244">
        <f>+IFERROR(VLOOKUP(A233,'TB final'!$A$4:$P$727,14,0),0)</f>
        <v>0</v>
      </c>
      <c r="G233" s="244">
        <f t="shared" si="6"/>
        <v>0</v>
      </c>
      <c r="H233" s="244">
        <f t="shared" si="6"/>
        <v>0</v>
      </c>
      <c r="I233" s="244">
        <f t="shared" si="7"/>
        <v>0</v>
      </c>
    </row>
    <row r="234" spans="1:9" ht="15" hidden="1" customHeight="1" x14ac:dyDescent="0.25">
      <c r="A234" s="8" t="s">
        <v>256</v>
      </c>
      <c r="B234" s="239">
        <v>312000</v>
      </c>
      <c r="C234" s="240"/>
      <c r="E234" s="244">
        <f>+IFERROR(VLOOKUP(A234,'TB final'!$A$4:$P$727,11,0),0)</f>
        <v>312000</v>
      </c>
      <c r="F234" s="244">
        <f>+IFERROR(VLOOKUP(A234,'TB final'!$A$4:$P$727,14,0),0)</f>
        <v>0</v>
      </c>
      <c r="G234" s="244">
        <f t="shared" si="6"/>
        <v>0</v>
      </c>
      <c r="H234" s="244">
        <f t="shared" si="6"/>
        <v>0</v>
      </c>
      <c r="I234" s="244">
        <f t="shared" si="7"/>
        <v>0</v>
      </c>
    </row>
    <row r="235" spans="1:9" ht="15" hidden="1" customHeight="1" x14ac:dyDescent="0.25">
      <c r="A235" s="8" t="s">
        <v>257</v>
      </c>
      <c r="B235" s="239">
        <v>104473</v>
      </c>
      <c r="C235" s="240"/>
      <c r="E235" s="244">
        <f>+IFERROR(VLOOKUP(A235,'TB final'!$A$4:$P$727,11,0),0)</f>
        <v>104473</v>
      </c>
      <c r="F235" s="244">
        <f>+IFERROR(VLOOKUP(A235,'TB final'!$A$4:$P$727,14,0),0)</f>
        <v>0</v>
      </c>
      <c r="G235" s="244">
        <f t="shared" si="6"/>
        <v>0</v>
      </c>
      <c r="H235" s="244">
        <f t="shared" si="6"/>
        <v>0</v>
      </c>
      <c r="I235" s="244">
        <f t="shared" si="7"/>
        <v>0</v>
      </c>
    </row>
    <row r="236" spans="1:9" ht="15" hidden="1" customHeight="1" x14ac:dyDescent="0.25">
      <c r="A236" s="8" t="s">
        <v>725</v>
      </c>
      <c r="B236" s="239">
        <v>25000</v>
      </c>
      <c r="C236" s="240"/>
      <c r="E236" s="244">
        <f>+IFERROR(VLOOKUP(A236,'TB final'!$A$4:$P$727,11,0),0)</f>
        <v>25000</v>
      </c>
      <c r="F236" s="244">
        <f>+IFERROR(VLOOKUP(A236,'TB final'!$A$4:$P$727,14,0),0)</f>
        <v>0</v>
      </c>
      <c r="G236" s="244">
        <f t="shared" si="6"/>
        <v>0</v>
      </c>
      <c r="H236" s="244">
        <f t="shared" si="6"/>
        <v>0</v>
      </c>
      <c r="I236" s="244">
        <f t="shared" si="7"/>
        <v>0</v>
      </c>
    </row>
    <row r="237" spans="1:9" ht="15" hidden="1" customHeight="1" x14ac:dyDescent="0.25">
      <c r="A237" s="8" t="s">
        <v>258</v>
      </c>
      <c r="B237" s="239">
        <v>501681</v>
      </c>
      <c r="C237" s="240"/>
      <c r="E237" s="244">
        <f>+IFERROR(VLOOKUP(A237,'TB final'!$A$4:$P$727,11,0),0)</f>
        <v>501681</v>
      </c>
      <c r="F237" s="244">
        <f>+IFERROR(VLOOKUP(A237,'TB final'!$A$4:$P$727,14,0),0)</f>
        <v>0</v>
      </c>
      <c r="G237" s="244">
        <f t="shared" si="6"/>
        <v>0</v>
      </c>
      <c r="H237" s="244">
        <f t="shared" si="6"/>
        <v>0</v>
      </c>
      <c r="I237" s="244">
        <f t="shared" si="7"/>
        <v>0</v>
      </c>
    </row>
    <row r="238" spans="1:9" ht="15" hidden="1" customHeight="1" x14ac:dyDescent="0.25">
      <c r="A238" s="8" t="s">
        <v>259</v>
      </c>
      <c r="B238" s="239">
        <v>361758</v>
      </c>
      <c r="C238" s="240"/>
      <c r="E238" s="244">
        <f>+IFERROR(VLOOKUP(A238,'TB final'!$A$4:$P$727,11,0),0)</f>
        <v>361758</v>
      </c>
      <c r="F238" s="244">
        <f>+IFERROR(VLOOKUP(A238,'TB final'!$A$4:$P$727,14,0),0)</f>
        <v>0</v>
      </c>
      <c r="G238" s="244">
        <f t="shared" si="6"/>
        <v>0</v>
      </c>
      <c r="H238" s="244">
        <f t="shared" si="6"/>
        <v>0</v>
      </c>
      <c r="I238" s="244">
        <f t="shared" si="7"/>
        <v>0</v>
      </c>
    </row>
    <row r="239" spans="1:9" ht="15" hidden="1" customHeight="1" x14ac:dyDescent="0.25">
      <c r="A239" s="8" t="s">
        <v>260</v>
      </c>
      <c r="B239" s="239">
        <v>33607</v>
      </c>
      <c r="C239" s="240"/>
      <c r="E239" s="244">
        <f>+IFERROR(VLOOKUP(A239,'TB final'!$A$4:$P$727,11,0),0)</f>
        <v>33607</v>
      </c>
      <c r="F239" s="244">
        <f>+IFERROR(VLOOKUP(A239,'TB final'!$A$4:$P$727,14,0),0)</f>
        <v>0</v>
      </c>
      <c r="G239" s="244">
        <f t="shared" si="6"/>
        <v>0</v>
      </c>
      <c r="H239" s="244">
        <f t="shared" si="6"/>
        <v>0</v>
      </c>
      <c r="I239" s="244">
        <f t="shared" si="7"/>
        <v>0</v>
      </c>
    </row>
    <row r="240" spans="1:9" ht="15" customHeight="1" x14ac:dyDescent="0.25">
      <c r="A240" s="8" t="s">
        <v>261</v>
      </c>
      <c r="B240" s="239">
        <v>2080</v>
      </c>
      <c r="C240" s="240"/>
      <c r="E240" s="244">
        <f>+IFERROR(VLOOKUP(A240,'TB final'!$A$4:$P$727,11,0),0)</f>
        <v>2080</v>
      </c>
      <c r="F240" s="244">
        <f>+IFERROR(VLOOKUP(A240,'TB final'!$A$4:$P$727,14,0),0)</f>
        <v>0</v>
      </c>
      <c r="G240" s="244">
        <f t="shared" si="6"/>
        <v>0</v>
      </c>
      <c r="H240" s="244">
        <f t="shared" si="6"/>
        <v>0</v>
      </c>
      <c r="I240" s="244">
        <f t="shared" si="7"/>
        <v>0</v>
      </c>
    </row>
    <row r="241" spans="1:9" ht="15" hidden="1" customHeight="1" x14ac:dyDescent="0.25">
      <c r="A241" s="8" t="s">
        <v>262</v>
      </c>
      <c r="B241" s="239">
        <v>852133</v>
      </c>
      <c r="C241" s="240"/>
      <c r="E241" s="244">
        <f>+IFERROR(VLOOKUP(A241,'TB final'!$A$4:$P$727,11,0),0)</f>
        <v>852133</v>
      </c>
      <c r="F241" s="244">
        <f>+IFERROR(VLOOKUP(A241,'TB final'!$A$4:$P$727,14,0),0)</f>
        <v>0</v>
      </c>
      <c r="G241" s="244">
        <f t="shared" si="6"/>
        <v>0</v>
      </c>
      <c r="H241" s="244">
        <f t="shared" si="6"/>
        <v>0</v>
      </c>
      <c r="I241" s="244">
        <f t="shared" si="7"/>
        <v>0</v>
      </c>
    </row>
    <row r="242" spans="1:9" ht="15" hidden="1" customHeight="1" x14ac:dyDescent="0.25">
      <c r="A242" s="8" t="s">
        <v>263</v>
      </c>
      <c r="B242" s="239">
        <v>2650</v>
      </c>
      <c r="C242" s="240"/>
      <c r="E242" s="244">
        <f>+IFERROR(VLOOKUP(A242,'TB final'!$A$4:$P$727,11,0),0)</f>
        <v>2650</v>
      </c>
      <c r="F242" s="244">
        <f>+IFERROR(VLOOKUP(A242,'TB final'!$A$4:$P$727,14,0),0)</f>
        <v>0</v>
      </c>
      <c r="G242" s="244">
        <f t="shared" si="6"/>
        <v>0</v>
      </c>
      <c r="H242" s="244">
        <f t="shared" si="6"/>
        <v>0</v>
      </c>
      <c r="I242" s="244">
        <f t="shared" si="7"/>
        <v>0</v>
      </c>
    </row>
    <row r="243" spans="1:9" ht="15" customHeight="1" x14ac:dyDescent="0.25">
      <c r="A243" s="8" t="s">
        <v>264</v>
      </c>
      <c r="B243" s="239">
        <v>500</v>
      </c>
      <c r="C243" s="240"/>
      <c r="E243" s="244">
        <f>+IFERROR(VLOOKUP(A243,'TB final'!$A$4:$P$727,11,0),0)</f>
        <v>500</v>
      </c>
      <c r="F243" s="244">
        <f>+IFERROR(VLOOKUP(A243,'TB final'!$A$4:$P$727,14,0),0)</f>
        <v>0</v>
      </c>
      <c r="G243" s="244">
        <f t="shared" si="6"/>
        <v>0</v>
      </c>
      <c r="H243" s="244">
        <f t="shared" si="6"/>
        <v>0</v>
      </c>
      <c r="I243" s="244">
        <f t="shared" si="7"/>
        <v>0</v>
      </c>
    </row>
    <row r="244" spans="1:9" ht="15" hidden="1" customHeight="1" x14ac:dyDescent="0.25">
      <c r="A244" s="8" t="s">
        <v>265</v>
      </c>
      <c r="B244" s="239">
        <v>447749</v>
      </c>
      <c r="C244" s="240"/>
      <c r="E244" s="244">
        <f>+IFERROR(VLOOKUP(A244,'TB final'!$A$4:$P$727,11,0),0)</f>
        <v>447749</v>
      </c>
      <c r="F244" s="244">
        <f>+IFERROR(VLOOKUP(A244,'TB final'!$A$4:$P$727,14,0),0)</f>
        <v>0</v>
      </c>
      <c r="G244" s="244">
        <f t="shared" si="6"/>
        <v>0</v>
      </c>
      <c r="H244" s="244">
        <f t="shared" si="6"/>
        <v>0</v>
      </c>
      <c r="I244" s="244">
        <f t="shared" si="7"/>
        <v>0</v>
      </c>
    </row>
    <row r="245" spans="1:9" ht="15" hidden="1" customHeight="1" x14ac:dyDescent="0.25">
      <c r="A245" s="8" t="s">
        <v>266</v>
      </c>
      <c r="B245" s="240"/>
      <c r="C245" s="239">
        <v>490</v>
      </c>
      <c r="E245" s="244">
        <f>+IFERROR(VLOOKUP(A245,'TB final'!$A$4:$P$727,11,0),0)</f>
        <v>0</v>
      </c>
      <c r="F245" s="244">
        <f>+IFERROR(VLOOKUP(A245,'TB final'!$A$4:$P$727,14,0),0)</f>
        <v>0</v>
      </c>
      <c r="G245" s="244">
        <f t="shared" si="6"/>
        <v>0</v>
      </c>
      <c r="H245" s="244">
        <f t="shared" si="6"/>
        <v>490</v>
      </c>
      <c r="I245" s="244">
        <f t="shared" si="7"/>
        <v>490</v>
      </c>
    </row>
    <row r="246" spans="1:9" ht="15" hidden="1" customHeight="1" x14ac:dyDescent="0.25">
      <c r="A246" s="8" t="s">
        <v>734</v>
      </c>
      <c r="B246" s="239">
        <v>210000</v>
      </c>
      <c r="C246" s="240"/>
      <c r="E246" s="244">
        <f>+IFERROR(VLOOKUP(A246,'TB final'!$A$4:$P$727,11,0),0)</f>
        <v>210000</v>
      </c>
      <c r="F246" s="244">
        <f>+IFERROR(VLOOKUP(A246,'TB final'!$A$4:$P$727,14,0),0)</f>
        <v>0</v>
      </c>
      <c r="G246" s="244">
        <f t="shared" si="6"/>
        <v>0</v>
      </c>
      <c r="H246" s="244">
        <f t="shared" si="6"/>
        <v>0</v>
      </c>
      <c r="I246" s="244">
        <f t="shared" si="7"/>
        <v>0</v>
      </c>
    </row>
    <row r="247" spans="1:9" ht="15" hidden="1" customHeight="1" x14ac:dyDescent="0.25">
      <c r="A247" s="8" t="s">
        <v>732</v>
      </c>
      <c r="B247" s="239">
        <v>20000</v>
      </c>
      <c r="C247" s="240"/>
      <c r="E247" s="244">
        <f>+IFERROR(VLOOKUP(A247,'TB final'!$A$4:$P$727,11,0),0)</f>
        <v>20000</v>
      </c>
      <c r="F247" s="244">
        <f>+IFERROR(VLOOKUP(A247,'TB final'!$A$4:$P$727,14,0),0)</f>
        <v>0</v>
      </c>
      <c r="G247" s="244">
        <f t="shared" si="6"/>
        <v>0</v>
      </c>
      <c r="H247" s="244">
        <f t="shared" si="6"/>
        <v>0</v>
      </c>
      <c r="I247" s="244">
        <f t="shared" si="7"/>
        <v>0</v>
      </c>
    </row>
    <row r="248" spans="1:9" ht="15" hidden="1" customHeight="1" x14ac:dyDescent="0.25">
      <c r="A248" s="8" t="s">
        <v>268</v>
      </c>
      <c r="B248" s="240"/>
      <c r="C248" s="239">
        <v>497880</v>
      </c>
      <c r="E248" s="244">
        <f>+IFERROR(VLOOKUP(A248,'TB final'!$A$4:$P$727,11,0),0)</f>
        <v>0</v>
      </c>
      <c r="F248" s="244">
        <f>+IFERROR(VLOOKUP(A248,'TB final'!$A$4:$P$727,14,0),0)</f>
        <v>497880</v>
      </c>
      <c r="G248" s="244">
        <f t="shared" si="6"/>
        <v>0</v>
      </c>
      <c r="H248" s="244">
        <f t="shared" si="6"/>
        <v>0</v>
      </c>
      <c r="I248" s="244">
        <f t="shared" si="7"/>
        <v>0</v>
      </c>
    </row>
    <row r="249" spans="1:9" ht="15" hidden="1" customHeight="1" x14ac:dyDescent="0.25">
      <c r="A249" s="8" t="s">
        <v>269</v>
      </c>
      <c r="B249" s="239">
        <v>7311227.8099999996</v>
      </c>
      <c r="C249" s="240"/>
      <c r="E249" s="244">
        <f>+IFERROR(VLOOKUP(A249,'TB final'!$A$4:$P$727,11,0),0)</f>
        <v>7311227.8099999996</v>
      </c>
      <c r="F249" s="244">
        <f>+IFERROR(VLOOKUP(A249,'TB final'!$A$4:$P$727,14,0),0)</f>
        <v>0</v>
      </c>
      <c r="G249" s="244">
        <f t="shared" si="6"/>
        <v>0</v>
      </c>
      <c r="H249" s="244">
        <f t="shared" si="6"/>
        <v>0</v>
      </c>
      <c r="I249" s="244">
        <f t="shared" si="7"/>
        <v>0</v>
      </c>
    </row>
    <row r="250" spans="1:9" ht="15" hidden="1" customHeight="1" x14ac:dyDescent="0.25">
      <c r="A250" s="8" t="s">
        <v>735</v>
      </c>
      <c r="B250" s="239">
        <v>361125</v>
      </c>
      <c r="C250" s="240"/>
      <c r="E250" s="244">
        <f>+IFERROR(VLOOKUP(A250,'TB final'!$A$4:$P$727,11,0),0)</f>
        <v>361125</v>
      </c>
      <c r="F250" s="244">
        <f>+IFERROR(VLOOKUP(A250,'TB final'!$A$4:$P$727,14,0),0)</f>
        <v>0</v>
      </c>
      <c r="G250" s="244">
        <f t="shared" si="6"/>
        <v>0</v>
      </c>
      <c r="H250" s="244">
        <f t="shared" si="6"/>
        <v>0</v>
      </c>
      <c r="I250" s="244">
        <f t="shared" si="7"/>
        <v>0</v>
      </c>
    </row>
    <row r="251" spans="1:9" ht="15" hidden="1" customHeight="1" x14ac:dyDescent="0.25">
      <c r="A251" s="8" t="s">
        <v>270</v>
      </c>
      <c r="B251" s="240"/>
      <c r="C251" s="239">
        <v>3172</v>
      </c>
      <c r="E251" s="244">
        <f>+IFERROR(VLOOKUP(A251,'TB final'!$A$4:$P$727,11,0),0)</f>
        <v>0</v>
      </c>
      <c r="F251" s="244">
        <f>+IFERROR(VLOOKUP(A251,'TB final'!$A$4:$P$727,14,0),0)</f>
        <v>3172</v>
      </c>
      <c r="G251" s="244">
        <f t="shared" si="6"/>
        <v>0</v>
      </c>
      <c r="H251" s="244">
        <f t="shared" si="6"/>
        <v>0</v>
      </c>
      <c r="I251" s="244">
        <f t="shared" si="7"/>
        <v>0</v>
      </c>
    </row>
    <row r="252" spans="1:9" ht="15" hidden="1" customHeight="1" x14ac:dyDescent="0.25">
      <c r="A252" s="8" t="s">
        <v>271</v>
      </c>
      <c r="B252" s="240"/>
      <c r="C252" s="239">
        <v>274949</v>
      </c>
      <c r="E252" s="244">
        <f>+IFERROR(VLOOKUP(A252,'TB final'!$A$4:$P$727,11,0),0)</f>
        <v>0</v>
      </c>
      <c r="F252" s="244">
        <f>+IFERROR(VLOOKUP(A252,'TB final'!$A$4:$P$727,14,0),0)</f>
        <v>274949</v>
      </c>
      <c r="G252" s="244">
        <f t="shared" si="6"/>
        <v>0</v>
      </c>
      <c r="H252" s="244">
        <f t="shared" si="6"/>
        <v>0</v>
      </c>
      <c r="I252" s="244">
        <f t="shared" si="7"/>
        <v>0</v>
      </c>
    </row>
    <row r="253" spans="1:9" ht="15" hidden="1" customHeight="1" x14ac:dyDescent="0.25">
      <c r="A253" s="8" t="s">
        <v>272</v>
      </c>
      <c r="B253" s="240"/>
      <c r="C253" s="239">
        <v>423402</v>
      </c>
      <c r="E253" s="244">
        <f>+IFERROR(VLOOKUP(A253,'TB final'!$A$4:$P$727,11,0),0)</f>
        <v>0</v>
      </c>
      <c r="F253" s="244">
        <f>+IFERROR(VLOOKUP(A253,'TB final'!$A$4:$P$727,14,0),0)</f>
        <v>423402</v>
      </c>
      <c r="G253" s="244">
        <f t="shared" si="6"/>
        <v>0</v>
      </c>
      <c r="H253" s="244">
        <f t="shared" si="6"/>
        <v>0</v>
      </c>
      <c r="I253" s="244">
        <f t="shared" si="7"/>
        <v>0</v>
      </c>
    </row>
    <row r="254" spans="1:9" ht="15" hidden="1" customHeight="1" x14ac:dyDescent="0.25">
      <c r="A254" s="8" t="s">
        <v>273</v>
      </c>
      <c r="B254" s="240"/>
      <c r="C254" s="239">
        <v>523713</v>
      </c>
      <c r="E254" s="244">
        <f>+IFERROR(VLOOKUP(A254,'TB final'!$A$4:$P$727,11,0),0)</f>
        <v>0</v>
      </c>
      <c r="F254" s="244">
        <f>+IFERROR(VLOOKUP(A254,'TB final'!$A$4:$P$727,14,0),0)</f>
        <v>523713</v>
      </c>
      <c r="G254" s="244">
        <f t="shared" si="6"/>
        <v>0</v>
      </c>
      <c r="H254" s="244">
        <f t="shared" si="6"/>
        <v>0</v>
      </c>
      <c r="I254" s="244">
        <f t="shared" si="7"/>
        <v>0</v>
      </c>
    </row>
    <row r="255" spans="1:9" ht="15" hidden="1" customHeight="1" x14ac:dyDescent="0.25">
      <c r="A255" s="8" t="s">
        <v>738</v>
      </c>
      <c r="B255" s="239">
        <v>281000</v>
      </c>
      <c r="C255" s="240"/>
      <c r="E255" s="244">
        <f>+IFERROR(VLOOKUP(A255,'TB final'!$A$4:$P$727,11,0),0)</f>
        <v>281000</v>
      </c>
      <c r="F255" s="244">
        <f>+IFERROR(VLOOKUP(A255,'TB final'!$A$4:$P$727,14,0),0)</f>
        <v>0</v>
      </c>
      <c r="G255" s="244">
        <f t="shared" si="6"/>
        <v>0</v>
      </c>
      <c r="H255" s="244">
        <f t="shared" si="6"/>
        <v>0</v>
      </c>
      <c r="I255" s="244">
        <f t="shared" si="7"/>
        <v>0</v>
      </c>
    </row>
    <row r="256" spans="1:9" ht="15" hidden="1" customHeight="1" x14ac:dyDescent="0.25">
      <c r="A256" s="8" t="s">
        <v>277</v>
      </c>
      <c r="B256" s="239">
        <v>217294094.62</v>
      </c>
      <c r="C256" s="240"/>
      <c r="E256" s="244">
        <f>+IFERROR(VLOOKUP(A256,'TB final'!$A$4:$P$727,11,0),0)</f>
        <v>217294094.62</v>
      </c>
      <c r="F256" s="244">
        <f>+IFERROR(VLOOKUP(A256,'TB final'!$A$4:$P$727,14,0),0)</f>
        <v>0</v>
      </c>
      <c r="G256" s="244">
        <f t="shared" si="6"/>
        <v>0</v>
      </c>
      <c r="H256" s="244">
        <f t="shared" si="6"/>
        <v>0</v>
      </c>
      <c r="I256" s="244">
        <f t="shared" si="7"/>
        <v>0</v>
      </c>
    </row>
    <row r="257" spans="1:9" ht="15" hidden="1" customHeight="1" x14ac:dyDescent="0.25">
      <c r="A257" s="8" t="s">
        <v>739</v>
      </c>
      <c r="B257" s="240"/>
      <c r="C257" s="239">
        <v>81000</v>
      </c>
      <c r="E257" s="244">
        <f>+IFERROR(VLOOKUP(A257,'TB final'!$A$4:$P$727,11,0),0)</f>
        <v>0</v>
      </c>
      <c r="F257" s="244">
        <f>+IFERROR(VLOOKUP(A257,'TB final'!$A$4:$P$727,14,0),0)</f>
        <v>81000</v>
      </c>
      <c r="G257" s="244">
        <f t="shared" si="6"/>
        <v>0</v>
      </c>
      <c r="H257" s="244">
        <f t="shared" si="6"/>
        <v>0</v>
      </c>
      <c r="I257" s="244">
        <f t="shared" si="7"/>
        <v>0</v>
      </c>
    </row>
    <row r="258" spans="1:9" ht="15" hidden="1" customHeight="1" x14ac:dyDescent="0.25">
      <c r="A258" s="8" t="s">
        <v>278</v>
      </c>
      <c r="B258" s="239">
        <v>161998</v>
      </c>
      <c r="C258" s="240"/>
      <c r="E258" s="244">
        <f>+IFERROR(VLOOKUP(A258,'TB final'!$A$4:$P$727,11,0),0)</f>
        <v>161998</v>
      </c>
      <c r="F258" s="244">
        <f>+IFERROR(VLOOKUP(A258,'TB final'!$A$4:$P$727,14,0),0)</f>
        <v>0</v>
      </c>
      <c r="G258" s="244">
        <f t="shared" si="6"/>
        <v>0</v>
      </c>
      <c r="H258" s="244">
        <f t="shared" si="6"/>
        <v>0</v>
      </c>
      <c r="I258" s="244">
        <f t="shared" si="7"/>
        <v>0</v>
      </c>
    </row>
    <row r="259" spans="1:9" ht="15" hidden="1" customHeight="1" x14ac:dyDescent="0.25">
      <c r="A259" s="8" t="s">
        <v>279</v>
      </c>
      <c r="B259" s="240"/>
      <c r="C259" s="239">
        <v>4956590</v>
      </c>
      <c r="E259" s="244">
        <f>+IFERROR(VLOOKUP(A259,'TB final'!$A$4:$P$727,11,0),0)</f>
        <v>0</v>
      </c>
      <c r="F259" s="244">
        <f>+IFERROR(VLOOKUP(A259,'TB final'!$A$4:$P$727,14,0),0)</f>
        <v>4956590</v>
      </c>
      <c r="G259" s="244">
        <f t="shared" si="6"/>
        <v>0</v>
      </c>
      <c r="H259" s="244">
        <f t="shared" si="6"/>
        <v>0</v>
      </c>
      <c r="I259" s="244">
        <f t="shared" si="7"/>
        <v>0</v>
      </c>
    </row>
    <row r="260" spans="1:9" ht="15" hidden="1" customHeight="1" x14ac:dyDescent="0.25">
      <c r="A260" s="8" t="s">
        <v>280</v>
      </c>
      <c r="B260" s="239">
        <v>3013137</v>
      </c>
      <c r="C260" s="240"/>
      <c r="E260" s="244">
        <f>+IFERROR(VLOOKUP(A260,'TB final'!$A$4:$P$727,11,0),0)</f>
        <v>3013137</v>
      </c>
      <c r="F260" s="244">
        <f>+IFERROR(VLOOKUP(A260,'TB final'!$A$4:$P$727,14,0),0)</f>
        <v>0</v>
      </c>
      <c r="G260" s="244">
        <f t="shared" si="6"/>
        <v>0</v>
      </c>
      <c r="H260" s="244">
        <f t="shared" si="6"/>
        <v>0</v>
      </c>
      <c r="I260" s="244">
        <f t="shared" si="7"/>
        <v>0</v>
      </c>
    </row>
    <row r="261" spans="1:9" ht="15" hidden="1" customHeight="1" x14ac:dyDescent="0.25">
      <c r="A261" s="8" t="s">
        <v>746</v>
      </c>
      <c r="B261" s="240"/>
      <c r="C261" s="239">
        <v>36128</v>
      </c>
      <c r="E261" s="244">
        <f>+IFERROR(VLOOKUP(A261,'TB final'!$A$4:$P$727,11,0),0)</f>
        <v>0</v>
      </c>
      <c r="F261" s="244">
        <f>+IFERROR(VLOOKUP(A261,'TB final'!$A$4:$P$727,14,0),0)</f>
        <v>36128</v>
      </c>
      <c r="G261" s="244">
        <f t="shared" si="6"/>
        <v>0</v>
      </c>
      <c r="H261" s="244">
        <f t="shared" si="6"/>
        <v>0</v>
      </c>
      <c r="I261" s="244">
        <f t="shared" si="7"/>
        <v>0</v>
      </c>
    </row>
    <row r="262" spans="1:9" ht="15" hidden="1" customHeight="1" x14ac:dyDescent="0.25">
      <c r="A262" s="8" t="s">
        <v>747</v>
      </c>
      <c r="B262" s="239">
        <v>299526</v>
      </c>
      <c r="C262" s="240"/>
      <c r="E262" s="244">
        <f>+IFERROR(VLOOKUP(A262,'TB final'!$A$4:$P$727,11,0),0)</f>
        <v>299526</v>
      </c>
      <c r="F262" s="244">
        <f>+IFERROR(VLOOKUP(A262,'TB final'!$A$4:$P$727,14,0),0)</f>
        <v>0</v>
      </c>
      <c r="G262" s="244">
        <f t="shared" si="6"/>
        <v>0</v>
      </c>
      <c r="H262" s="244">
        <f t="shared" si="6"/>
        <v>0</v>
      </c>
      <c r="I262" s="244">
        <f t="shared" si="7"/>
        <v>0</v>
      </c>
    </row>
    <row r="263" spans="1:9" ht="15" hidden="1" customHeight="1" x14ac:dyDescent="0.25">
      <c r="A263" s="8" t="s">
        <v>742</v>
      </c>
      <c r="B263" s="239">
        <v>213763</v>
      </c>
      <c r="C263" s="240"/>
      <c r="E263" s="244">
        <f>+IFERROR(VLOOKUP(A263,'TB final'!$A$4:$P$727,11,0),0)</f>
        <v>213763</v>
      </c>
      <c r="F263" s="244">
        <f>+IFERROR(VLOOKUP(A263,'TB final'!$A$4:$P$727,14,0),0)</f>
        <v>0</v>
      </c>
      <c r="G263" s="244">
        <f t="shared" si="6"/>
        <v>0</v>
      </c>
      <c r="H263" s="244">
        <f t="shared" si="6"/>
        <v>0</v>
      </c>
      <c r="I263" s="244">
        <f t="shared" si="7"/>
        <v>0</v>
      </c>
    </row>
    <row r="264" spans="1:9" ht="15" hidden="1" customHeight="1" x14ac:dyDescent="0.25">
      <c r="A264" s="8" t="s">
        <v>282</v>
      </c>
      <c r="B264" s="239">
        <v>509760.8</v>
      </c>
      <c r="C264" s="240"/>
      <c r="E264" s="244">
        <f>+IFERROR(VLOOKUP(A264,'TB final'!$A$4:$P$727,11,0),0)</f>
        <v>509760.8</v>
      </c>
      <c r="F264" s="244">
        <f>+IFERROR(VLOOKUP(A264,'TB final'!$A$4:$P$727,14,0),0)</f>
        <v>0</v>
      </c>
      <c r="G264" s="244">
        <f t="shared" si="6"/>
        <v>0</v>
      </c>
      <c r="H264" s="244">
        <f t="shared" si="6"/>
        <v>0</v>
      </c>
      <c r="I264" s="244">
        <f t="shared" si="7"/>
        <v>0</v>
      </c>
    </row>
    <row r="265" spans="1:9" ht="15" hidden="1" customHeight="1" x14ac:dyDescent="0.25">
      <c r="A265" s="8" t="s">
        <v>283</v>
      </c>
      <c r="B265" s="240"/>
      <c r="C265" s="239">
        <v>112979368.51000001</v>
      </c>
      <c r="E265" s="244">
        <f>+IFERROR(VLOOKUP(A265,'TB final'!$A$4:$P$727,11,0),0)</f>
        <v>0</v>
      </c>
      <c r="F265" s="244">
        <f>+IFERROR(VLOOKUP(A265,'TB final'!$A$4:$P$727,14,0),0)</f>
        <v>112979368.51000001</v>
      </c>
      <c r="G265" s="244">
        <f t="shared" si="6"/>
        <v>0</v>
      </c>
      <c r="H265" s="244">
        <f t="shared" si="6"/>
        <v>0</v>
      </c>
      <c r="I265" s="244">
        <f t="shared" si="7"/>
        <v>0</v>
      </c>
    </row>
    <row r="266" spans="1:9" ht="15" hidden="1" customHeight="1" x14ac:dyDescent="0.25">
      <c r="A266" s="8" t="s">
        <v>752</v>
      </c>
      <c r="B266" s="240"/>
      <c r="C266" s="239">
        <v>18263</v>
      </c>
      <c r="E266" s="244">
        <f>+IFERROR(VLOOKUP(A266,'TB final'!$A$4:$P$727,11,0),0)</f>
        <v>0</v>
      </c>
      <c r="F266" s="244">
        <f>+IFERROR(VLOOKUP(A266,'TB final'!$A$4:$P$727,14,0),0)</f>
        <v>18263</v>
      </c>
      <c r="G266" s="244">
        <f t="shared" si="6"/>
        <v>0</v>
      </c>
      <c r="H266" s="244">
        <f t="shared" si="6"/>
        <v>0</v>
      </c>
      <c r="I266" s="244">
        <f t="shared" si="7"/>
        <v>0</v>
      </c>
    </row>
    <row r="267" spans="1:9" ht="15" hidden="1" customHeight="1" x14ac:dyDescent="0.25">
      <c r="A267" s="8" t="s">
        <v>284</v>
      </c>
      <c r="B267" s="240"/>
      <c r="C267" s="239">
        <v>9443500</v>
      </c>
      <c r="E267" s="244">
        <f>+IFERROR(VLOOKUP(A267,'TB final'!$A$4:$P$727,11,0),0)</f>
        <v>0</v>
      </c>
      <c r="F267" s="244">
        <f>+IFERROR(VLOOKUP(A267,'TB final'!$A$4:$P$727,14,0),0)</f>
        <v>9443500</v>
      </c>
      <c r="G267" s="244">
        <f t="shared" si="6"/>
        <v>0</v>
      </c>
      <c r="H267" s="244">
        <f t="shared" si="6"/>
        <v>0</v>
      </c>
      <c r="I267" s="244">
        <f t="shared" si="7"/>
        <v>0</v>
      </c>
    </row>
    <row r="268" spans="1:9" ht="15" hidden="1" customHeight="1" x14ac:dyDescent="0.25">
      <c r="A268" s="8" t="s">
        <v>605</v>
      </c>
      <c r="B268" s="240"/>
      <c r="C268" s="239">
        <v>85050</v>
      </c>
      <c r="E268" s="244">
        <f>+IFERROR(VLOOKUP(A268,'TB final'!$A$4:$P$727,11,0),0)</f>
        <v>0</v>
      </c>
      <c r="F268" s="244">
        <f>+IFERROR(VLOOKUP(A268,'TB final'!$A$4:$P$727,14,0),0)</f>
        <v>85050</v>
      </c>
      <c r="G268" s="244">
        <f t="shared" si="6"/>
        <v>0</v>
      </c>
      <c r="H268" s="244">
        <f t="shared" si="6"/>
        <v>0</v>
      </c>
      <c r="I268" s="244">
        <f t="shared" si="7"/>
        <v>0</v>
      </c>
    </row>
    <row r="269" spans="1:9" ht="15" hidden="1" customHeight="1" x14ac:dyDescent="0.25">
      <c r="A269" s="8" t="s">
        <v>285</v>
      </c>
      <c r="B269" s="239">
        <v>1171704</v>
      </c>
      <c r="C269" s="240"/>
      <c r="E269" s="244">
        <f>+IFERROR(VLOOKUP(A269,'TB final'!$A$4:$P$727,11,0),0)</f>
        <v>1171704</v>
      </c>
      <c r="F269" s="244">
        <f>+IFERROR(VLOOKUP(A269,'TB final'!$A$4:$P$727,14,0),0)</f>
        <v>0</v>
      </c>
      <c r="G269" s="244">
        <f t="shared" ref="G269:H332" si="8">+B269-E269</f>
        <v>0</v>
      </c>
      <c r="H269" s="244">
        <f t="shared" si="8"/>
        <v>0</v>
      </c>
      <c r="I269" s="244">
        <f t="shared" ref="I269:I332" si="9">+G269+H269</f>
        <v>0</v>
      </c>
    </row>
    <row r="270" spans="1:9" ht="15" hidden="1" customHeight="1" x14ac:dyDescent="0.25">
      <c r="A270" s="8" t="s">
        <v>286</v>
      </c>
      <c r="B270" s="240"/>
      <c r="C270" s="239">
        <v>5136213</v>
      </c>
      <c r="E270" s="244">
        <f>+IFERROR(VLOOKUP(A270,'TB final'!$A$4:$P$727,11,0),0)</f>
        <v>0</v>
      </c>
      <c r="F270" s="244">
        <f>+IFERROR(VLOOKUP(A270,'TB final'!$A$4:$P$727,14,0),0)</f>
        <v>5136213</v>
      </c>
      <c r="G270" s="244">
        <f t="shared" si="8"/>
        <v>0</v>
      </c>
      <c r="H270" s="244">
        <f t="shared" si="8"/>
        <v>0</v>
      </c>
      <c r="I270" s="244">
        <f t="shared" si="9"/>
        <v>0</v>
      </c>
    </row>
    <row r="271" spans="1:9" ht="15" hidden="1" customHeight="1" x14ac:dyDescent="0.25">
      <c r="A271" s="8" t="s">
        <v>287</v>
      </c>
      <c r="B271" s="240"/>
      <c r="C271" s="239">
        <v>3321516</v>
      </c>
      <c r="E271" s="244">
        <f>+IFERROR(VLOOKUP(A271,'TB final'!$A$4:$P$727,11,0),0)</f>
        <v>0</v>
      </c>
      <c r="F271" s="244">
        <f>+IFERROR(VLOOKUP(A271,'TB final'!$A$4:$P$727,14,0),0)</f>
        <v>3321516</v>
      </c>
      <c r="G271" s="244">
        <f t="shared" si="8"/>
        <v>0</v>
      </c>
      <c r="H271" s="244">
        <f t="shared" si="8"/>
        <v>0</v>
      </c>
      <c r="I271" s="244">
        <f t="shared" si="9"/>
        <v>0</v>
      </c>
    </row>
    <row r="272" spans="1:9" ht="15" hidden="1" customHeight="1" x14ac:dyDescent="0.25">
      <c r="A272" s="8" t="s">
        <v>288</v>
      </c>
      <c r="B272" s="240"/>
      <c r="C272" s="239">
        <v>939164</v>
      </c>
      <c r="E272" s="244">
        <f>+IFERROR(VLOOKUP(A272,'TB final'!$A$4:$P$727,11,0),0)</f>
        <v>0</v>
      </c>
      <c r="F272" s="244">
        <f>+IFERROR(VLOOKUP(A272,'TB final'!$A$4:$P$727,14,0),0)</f>
        <v>939164</v>
      </c>
      <c r="G272" s="244">
        <f t="shared" si="8"/>
        <v>0</v>
      </c>
      <c r="H272" s="244">
        <f t="shared" si="8"/>
        <v>0</v>
      </c>
      <c r="I272" s="244">
        <f t="shared" si="9"/>
        <v>0</v>
      </c>
    </row>
    <row r="273" spans="1:9" ht="15" hidden="1" customHeight="1" x14ac:dyDescent="0.25">
      <c r="A273" s="8" t="s">
        <v>289</v>
      </c>
      <c r="B273" s="240"/>
      <c r="C273" s="239">
        <v>16647093</v>
      </c>
      <c r="E273" s="244">
        <f>+IFERROR(VLOOKUP(A273,'TB final'!$A$4:$P$727,11,0),0)</f>
        <v>0</v>
      </c>
      <c r="F273" s="244">
        <f>+IFERROR(VLOOKUP(A273,'TB final'!$A$4:$P$727,14,0),0)</f>
        <v>16647093</v>
      </c>
      <c r="G273" s="244">
        <f t="shared" si="8"/>
        <v>0</v>
      </c>
      <c r="H273" s="244">
        <f t="shared" si="8"/>
        <v>0</v>
      </c>
      <c r="I273" s="244">
        <f t="shared" si="9"/>
        <v>0</v>
      </c>
    </row>
    <row r="274" spans="1:9" ht="15" hidden="1" customHeight="1" x14ac:dyDescent="0.25">
      <c r="A274" s="8" t="s">
        <v>290</v>
      </c>
      <c r="B274" s="240"/>
      <c r="C274" s="239">
        <v>379192</v>
      </c>
      <c r="E274" s="244">
        <f>+IFERROR(VLOOKUP(A274,'TB final'!$A$4:$P$727,11,0),0)</f>
        <v>0</v>
      </c>
      <c r="F274" s="244">
        <f>+IFERROR(VLOOKUP(A274,'TB final'!$A$4:$P$727,14,0),0)</f>
        <v>379192</v>
      </c>
      <c r="G274" s="244">
        <f t="shared" si="8"/>
        <v>0</v>
      </c>
      <c r="H274" s="244">
        <f t="shared" si="8"/>
        <v>0</v>
      </c>
      <c r="I274" s="244">
        <f t="shared" si="9"/>
        <v>0</v>
      </c>
    </row>
    <row r="275" spans="1:9" ht="15" hidden="1" customHeight="1" x14ac:dyDescent="0.25">
      <c r="A275" s="8" t="s">
        <v>291</v>
      </c>
      <c r="B275" s="240"/>
      <c r="C275" s="239">
        <v>1478167</v>
      </c>
      <c r="E275" s="244">
        <f>+IFERROR(VLOOKUP(A275,'TB final'!$A$4:$P$727,11,0),0)</f>
        <v>0</v>
      </c>
      <c r="F275" s="244">
        <f>+IFERROR(VLOOKUP(A275,'TB final'!$A$4:$P$727,14,0),0)</f>
        <v>1478167</v>
      </c>
      <c r="G275" s="244">
        <f t="shared" si="8"/>
        <v>0</v>
      </c>
      <c r="H275" s="244">
        <f t="shared" si="8"/>
        <v>0</v>
      </c>
      <c r="I275" s="244">
        <f t="shared" si="9"/>
        <v>0</v>
      </c>
    </row>
    <row r="276" spans="1:9" ht="15" hidden="1" customHeight="1" x14ac:dyDescent="0.25">
      <c r="A276" s="8" t="s">
        <v>292</v>
      </c>
      <c r="B276" s="240"/>
      <c r="C276" s="239">
        <v>753819</v>
      </c>
      <c r="E276" s="244">
        <f>+IFERROR(VLOOKUP(A276,'TB final'!$A$4:$P$727,11,0),0)</f>
        <v>0</v>
      </c>
      <c r="F276" s="244">
        <f>+IFERROR(VLOOKUP(A276,'TB final'!$A$4:$P$727,14,0),0)</f>
        <v>753819</v>
      </c>
      <c r="G276" s="244">
        <f t="shared" si="8"/>
        <v>0</v>
      </c>
      <c r="H276" s="244">
        <f t="shared" si="8"/>
        <v>0</v>
      </c>
      <c r="I276" s="244">
        <f t="shared" si="9"/>
        <v>0</v>
      </c>
    </row>
    <row r="277" spans="1:9" ht="15" hidden="1" customHeight="1" x14ac:dyDescent="0.25">
      <c r="A277" s="8" t="s">
        <v>293</v>
      </c>
      <c r="B277" s="240"/>
      <c r="C277" s="239">
        <v>92431427</v>
      </c>
      <c r="E277" s="244">
        <f>+IFERROR(VLOOKUP(A277,'TB final'!$A$4:$P$727,11,0),0)</f>
        <v>0</v>
      </c>
      <c r="F277" s="244">
        <f>+IFERROR(VLOOKUP(A277,'TB final'!$A$4:$P$727,14,0),0)</f>
        <v>92431427</v>
      </c>
      <c r="G277" s="244">
        <f t="shared" si="8"/>
        <v>0</v>
      </c>
      <c r="H277" s="244">
        <f t="shared" si="8"/>
        <v>0</v>
      </c>
      <c r="I277" s="244">
        <f t="shared" si="9"/>
        <v>0</v>
      </c>
    </row>
    <row r="278" spans="1:9" ht="15" hidden="1" customHeight="1" x14ac:dyDescent="0.25">
      <c r="A278" s="8" t="s">
        <v>294</v>
      </c>
      <c r="B278" s="240"/>
      <c r="C278" s="239">
        <v>189571</v>
      </c>
      <c r="E278" s="244">
        <f>+IFERROR(VLOOKUP(A278,'TB final'!$A$4:$P$727,11,0),0)</f>
        <v>0</v>
      </c>
      <c r="F278" s="244">
        <f>+IFERROR(VLOOKUP(A278,'TB final'!$A$4:$P$727,14,0),0)</f>
        <v>189571</v>
      </c>
      <c r="G278" s="244">
        <f t="shared" si="8"/>
        <v>0</v>
      </c>
      <c r="H278" s="244">
        <f t="shared" si="8"/>
        <v>0</v>
      </c>
      <c r="I278" s="244">
        <f t="shared" si="9"/>
        <v>0</v>
      </c>
    </row>
    <row r="279" spans="1:9" ht="15" hidden="1" customHeight="1" x14ac:dyDescent="0.25">
      <c r="A279" s="8" t="s">
        <v>296</v>
      </c>
      <c r="B279" s="239">
        <v>122153</v>
      </c>
      <c r="C279" s="240"/>
      <c r="E279" s="244">
        <f>+IFERROR(VLOOKUP(A279,'TB final'!$A$4:$P$727,11,0),0)</f>
        <v>122153</v>
      </c>
      <c r="F279" s="244">
        <f>+IFERROR(VLOOKUP(A279,'TB final'!$A$4:$P$727,14,0),0)</f>
        <v>0</v>
      </c>
      <c r="G279" s="244">
        <f t="shared" si="8"/>
        <v>0</v>
      </c>
      <c r="H279" s="244">
        <f t="shared" si="8"/>
        <v>0</v>
      </c>
      <c r="I279" s="244">
        <f t="shared" si="9"/>
        <v>0</v>
      </c>
    </row>
    <row r="280" spans="1:9" ht="15" hidden="1" customHeight="1" x14ac:dyDescent="0.25">
      <c r="A280" s="8" t="s">
        <v>297</v>
      </c>
      <c r="B280" s="239">
        <v>271788</v>
      </c>
      <c r="C280" s="240"/>
      <c r="E280" s="244">
        <f>+IFERROR(VLOOKUP(A280,'TB final'!$A$4:$P$727,11,0),0)</f>
        <v>271788</v>
      </c>
      <c r="F280" s="244">
        <f>+IFERROR(VLOOKUP(A280,'TB final'!$A$4:$P$727,14,0),0)</f>
        <v>0</v>
      </c>
      <c r="G280" s="244">
        <f t="shared" si="8"/>
        <v>0</v>
      </c>
      <c r="H280" s="244">
        <f t="shared" si="8"/>
        <v>0</v>
      </c>
      <c r="I280" s="244">
        <f t="shared" si="9"/>
        <v>0</v>
      </c>
    </row>
    <row r="281" spans="1:9" ht="15" hidden="1" customHeight="1" x14ac:dyDescent="0.25">
      <c r="A281" s="8" t="s">
        <v>298</v>
      </c>
      <c r="B281" s="239">
        <v>139678</v>
      </c>
      <c r="C281" s="240"/>
      <c r="E281" s="244">
        <f>+IFERROR(VLOOKUP(A281,'TB final'!$A$4:$P$727,11,0),0)</f>
        <v>139678</v>
      </c>
      <c r="F281" s="244">
        <f>+IFERROR(VLOOKUP(A281,'TB final'!$A$4:$P$727,14,0),0)</f>
        <v>0</v>
      </c>
      <c r="G281" s="244">
        <f t="shared" si="8"/>
        <v>0</v>
      </c>
      <c r="H281" s="244">
        <f t="shared" si="8"/>
        <v>0</v>
      </c>
      <c r="I281" s="244">
        <f t="shared" si="9"/>
        <v>0</v>
      </c>
    </row>
    <row r="282" spans="1:9" ht="15" hidden="1" customHeight="1" x14ac:dyDescent="0.25">
      <c r="A282" s="8" t="s">
        <v>299</v>
      </c>
      <c r="B282" s="239">
        <v>34285</v>
      </c>
      <c r="C282" s="240"/>
      <c r="E282" s="244">
        <f>+IFERROR(VLOOKUP(A282,'TB final'!$A$4:$P$727,11,0),0)</f>
        <v>34285</v>
      </c>
      <c r="F282" s="244">
        <f>+IFERROR(VLOOKUP(A282,'TB final'!$A$4:$P$727,14,0),0)</f>
        <v>0</v>
      </c>
      <c r="G282" s="244">
        <f t="shared" si="8"/>
        <v>0</v>
      </c>
      <c r="H282" s="244">
        <f t="shared" si="8"/>
        <v>0</v>
      </c>
      <c r="I282" s="244">
        <f t="shared" si="9"/>
        <v>0</v>
      </c>
    </row>
    <row r="283" spans="1:9" s="259" customFormat="1" ht="15" hidden="1" customHeight="1" x14ac:dyDescent="0.25">
      <c r="A283" s="262" t="s">
        <v>657</v>
      </c>
      <c r="B283" s="312"/>
      <c r="C283" s="313">
        <v>8724</v>
      </c>
      <c r="E283" s="314">
        <f>+IFERROR(VLOOKUP(A283,'TB final'!$A$4:$P$727,11,0),0)</f>
        <v>0</v>
      </c>
      <c r="F283" s="314">
        <f>+IFERROR(VLOOKUP(A283,'TB final'!$A$4:$P$727,14,0),0)</f>
        <v>8724</v>
      </c>
      <c r="G283" s="314">
        <f t="shared" si="8"/>
        <v>0</v>
      </c>
      <c r="H283" s="314">
        <f t="shared" si="8"/>
        <v>0</v>
      </c>
      <c r="I283" s="314">
        <f t="shared" si="9"/>
        <v>0</v>
      </c>
    </row>
    <row r="284" spans="1:9" ht="15" hidden="1" customHeight="1" x14ac:dyDescent="0.25">
      <c r="A284" s="8" t="s">
        <v>300</v>
      </c>
      <c r="B284" s="240"/>
      <c r="C284" s="239">
        <v>3212027.7</v>
      </c>
      <c r="E284" s="244">
        <f>+IFERROR(VLOOKUP(A284,'TB final'!$A$4:$P$727,11,0),0)</f>
        <v>0</v>
      </c>
      <c r="F284" s="244">
        <f>+IFERROR(VLOOKUP(A284,'TB final'!$A$4:$P$727,14,0),0)</f>
        <v>3212027.7</v>
      </c>
      <c r="G284" s="244">
        <f t="shared" si="8"/>
        <v>0</v>
      </c>
      <c r="H284" s="244">
        <f t="shared" si="8"/>
        <v>0</v>
      </c>
      <c r="I284" s="244">
        <f t="shared" si="9"/>
        <v>0</v>
      </c>
    </row>
    <row r="285" spans="1:9" ht="15" hidden="1" customHeight="1" x14ac:dyDescent="0.25">
      <c r="A285" s="8" t="s">
        <v>301</v>
      </c>
      <c r="B285" s="239">
        <v>12216191</v>
      </c>
      <c r="C285" s="240"/>
      <c r="E285" s="244">
        <f>+IFERROR(VLOOKUP(A285,'TB final'!$A$4:$P$727,11,0),0)</f>
        <v>12216191</v>
      </c>
      <c r="F285" s="244">
        <f>+IFERROR(VLOOKUP(A285,'TB final'!$A$4:$P$727,14,0),0)</f>
        <v>0</v>
      </c>
      <c r="G285" s="244">
        <f t="shared" si="8"/>
        <v>0</v>
      </c>
      <c r="H285" s="244">
        <f t="shared" si="8"/>
        <v>0</v>
      </c>
      <c r="I285" s="244">
        <f t="shared" si="9"/>
        <v>0</v>
      </c>
    </row>
    <row r="286" spans="1:9" ht="15" hidden="1" customHeight="1" x14ac:dyDescent="0.25">
      <c r="A286" s="8" t="s">
        <v>303</v>
      </c>
      <c r="B286" s="240"/>
      <c r="C286" s="239">
        <v>26432</v>
      </c>
      <c r="E286" s="244">
        <f>+IFERROR(VLOOKUP(A286,'TB final'!$A$4:$P$727,11,0),0)</f>
        <v>0</v>
      </c>
      <c r="F286" s="244">
        <f>+IFERROR(VLOOKUP(A286,'TB final'!$A$4:$P$727,14,0),0)</f>
        <v>26432</v>
      </c>
      <c r="G286" s="244">
        <f t="shared" si="8"/>
        <v>0</v>
      </c>
      <c r="H286" s="244">
        <f t="shared" si="8"/>
        <v>0</v>
      </c>
      <c r="I286" s="244">
        <f t="shared" si="9"/>
        <v>0</v>
      </c>
    </row>
    <row r="287" spans="1:9" ht="15" hidden="1" customHeight="1" x14ac:dyDescent="0.25">
      <c r="A287" s="8" t="s">
        <v>304</v>
      </c>
      <c r="B287" s="239">
        <v>610238</v>
      </c>
      <c r="C287" s="240"/>
      <c r="E287" s="244">
        <f>+IFERROR(VLOOKUP(A287,'TB final'!$A$4:$P$727,11,0),0)</f>
        <v>610238</v>
      </c>
      <c r="F287" s="244">
        <f>+IFERROR(VLOOKUP(A287,'TB final'!$A$4:$P$727,14,0),0)</f>
        <v>0</v>
      </c>
      <c r="G287" s="244">
        <f t="shared" si="8"/>
        <v>0</v>
      </c>
      <c r="H287" s="244">
        <f t="shared" si="8"/>
        <v>0</v>
      </c>
      <c r="I287" s="244">
        <f t="shared" si="9"/>
        <v>0</v>
      </c>
    </row>
    <row r="288" spans="1:9" ht="15" hidden="1" customHeight="1" x14ac:dyDescent="0.25">
      <c r="A288" s="8" t="s">
        <v>305</v>
      </c>
      <c r="B288" s="239">
        <v>9875204.9800000004</v>
      </c>
      <c r="C288" s="240"/>
      <c r="E288" s="244">
        <f>+IFERROR(VLOOKUP(A288,'TB final'!$A$4:$P$727,11,0),0)</f>
        <v>9875204.9800000004</v>
      </c>
      <c r="F288" s="244">
        <f>+IFERROR(VLOOKUP(A288,'TB final'!$A$4:$P$727,14,0),0)</f>
        <v>0</v>
      </c>
      <c r="G288" s="244">
        <f t="shared" si="8"/>
        <v>0</v>
      </c>
      <c r="H288" s="244">
        <f t="shared" si="8"/>
        <v>0</v>
      </c>
      <c r="I288" s="244">
        <f t="shared" si="9"/>
        <v>0</v>
      </c>
    </row>
    <row r="289" spans="1:9" ht="15" hidden="1" customHeight="1" x14ac:dyDescent="0.25">
      <c r="A289" s="8" t="s">
        <v>1374</v>
      </c>
      <c r="B289" s="239">
        <v>570000</v>
      </c>
      <c r="C289" s="240"/>
      <c r="E289" s="244">
        <f>+IFERROR(VLOOKUP(A289,'TB final'!$A$4:$P$727,11,0),0)</f>
        <v>570000</v>
      </c>
      <c r="F289" s="244">
        <f>+IFERROR(VLOOKUP(A289,'TB final'!$A$4:$P$727,14,0),0)</f>
        <v>0</v>
      </c>
      <c r="G289" s="244">
        <f t="shared" si="8"/>
        <v>0</v>
      </c>
      <c r="H289" s="244">
        <f t="shared" si="8"/>
        <v>0</v>
      </c>
      <c r="I289" s="244">
        <f t="shared" si="9"/>
        <v>0</v>
      </c>
    </row>
    <row r="290" spans="1:9" ht="15" hidden="1" customHeight="1" x14ac:dyDescent="0.25">
      <c r="A290" s="8" t="s">
        <v>767</v>
      </c>
      <c r="B290" s="239">
        <v>107000</v>
      </c>
      <c r="C290" s="240"/>
      <c r="E290" s="244">
        <f>+IFERROR(VLOOKUP(A290,'TB final'!$A$4:$P$727,11,0),0)</f>
        <v>107000</v>
      </c>
      <c r="F290" s="244">
        <f>+IFERROR(VLOOKUP(A290,'TB final'!$A$4:$P$727,14,0),0)</f>
        <v>0</v>
      </c>
      <c r="G290" s="244">
        <f t="shared" si="8"/>
        <v>0</v>
      </c>
      <c r="H290" s="244">
        <f t="shared" si="8"/>
        <v>0</v>
      </c>
      <c r="I290" s="244">
        <f t="shared" si="9"/>
        <v>0</v>
      </c>
    </row>
    <row r="291" spans="1:9" ht="15" hidden="1" customHeight="1" x14ac:dyDescent="0.25">
      <c r="A291" s="8" t="s">
        <v>306</v>
      </c>
      <c r="B291" s="239">
        <v>741466</v>
      </c>
      <c r="C291" s="240"/>
      <c r="E291" s="244">
        <f>+IFERROR(VLOOKUP(A291,'TB final'!$A$4:$P$727,11,0),0)</f>
        <v>741466</v>
      </c>
      <c r="F291" s="244">
        <f>+IFERROR(VLOOKUP(A291,'TB final'!$A$4:$P$727,14,0),0)</f>
        <v>0</v>
      </c>
      <c r="G291" s="244">
        <f t="shared" si="8"/>
        <v>0</v>
      </c>
      <c r="H291" s="244">
        <f t="shared" si="8"/>
        <v>0</v>
      </c>
      <c r="I291" s="244">
        <f t="shared" si="9"/>
        <v>0</v>
      </c>
    </row>
    <row r="292" spans="1:9" ht="15" hidden="1" customHeight="1" x14ac:dyDescent="0.25">
      <c r="A292" s="8" t="s">
        <v>307</v>
      </c>
      <c r="B292" s="239">
        <v>9155866.8599999994</v>
      </c>
      <c r="C292" s="240"/>
      <c r="E292" s="244">
        <f>+IFERROR(VLOOKUP(A292,'TB final'!$A$4:$P$727,11,0),0)</f>
        <v>9155866.8599999994</v>
      </c>
      <c r="F292" s="244">
        <f>+IFERROR(VLOOKUP(A292,'TB final'!$A$4:$P$727,14,0),0)</f>
        <v>0</v>
      </c>
      <c r="G292" s="244">
        <f t="shared" si="8"/>
        <v>0</v>
      </c>
      <c r="H292" s="244">
        <f t="shared" si="8"/>
        <v>0</v>
      </c>
      <c r="I292" s="244">
        <f t="shared" si="9"/>
        <v>0</v>
      </c>
    </row>
    <row r="293" spans="1:9" ht="15" hidden="1" customHeight="1" x14ac:dyDescent="0.25">
      <c r="A293" s="8" t="s">
        <v>308</v>
      </c>
      <c r="B293" s="240"/>
      <c r="C293" s="239">
        <v>8142548</v>
      </c>
      <c r="E293" s="244">
        <f>+IFERROR(VLOOKUP(A293,'TB final'!$A$4:$P$727,11,0),0)</f>
        <v>0</v>
      </c>
      <c r="F293" s="244">
        <f>+IFERROR(VLOOKUP(A293,'TB final'!$A$4:$P$727,14,0),0)</f>
        <v>8142548</v>
      </c>
      <c r="G293" s="244">
        <f t="shared" si="8"/>
        <v>0</v>
      </c>
      <c r="H293" s="244">
        <f t="shared" si="8"/>
        <v>0</v>
      </c>
      <c r="I293" s="244">
        <f t="shared" si="9"/>
        <v>0</v>
      </c>
    </row>
    <row r="294" spans="1:9" ht="15" hidden="1" customHeight="1" x14ac:dyDescent="0.25">
      <c r="A294" s="8" t="s">
        <v>309</v>
      </c>
      <c r="B294" s="240"/>
      <c r="C294" s="239">
        <v>1495</v>
      </c>
      <c r="E294" s="244">
        <f>+IFERROR(VLOOKUP(A294,'TB final'!$A$4:$P$727,11,0),0)</f>
        <v>0</v>
      </c>
      <c r="F294" s="244">
        <f>+IFERROR(VLOOKUP(A294,'TB final'!$A$4:$P$727,14,0),0)</f>
        <v>1495</v>
      </c>
      <c r="G294" s="244">
        <f t="shared" si="8"/>
        <v>0</v>
      </c>
      <c r="H294" s="244">
        <f t="shared" si="8"/>
        <v>0</v>
      </c>
      <c r="I294" s="244">
        <f t="shared" si="9"/>
        <v>0</v>
      </c>
    </row>
    <row r="295" spans="1:9" ht="15" hidden="1" customHeight="1" x14ac:dyDescent="0.25">
      <c r="A295" s="8" t="s">
        <v>772</v>
      </c>
      <c r="B295" s="239">
        <v>553617</v>
      </c>
      <c r="C295" s="240"/>
      <c r="E295" s="244">
        <f>+IFERROR(VLOOKUP(A295,'TB final'!$A$4:$P$727,11,0),0)</f>
        <v>553617</v>
      </c>
      <c r="F295" s="244">
        <f>+IFERROR(VLOOKUP(A295,'TB final'!$A$4:$P$727,14,0),0)</f>
        <v>0</v>
      </c>
      <c r="G295" s="244">
        <f t="shared" si="8"/>
        <v>0</v>
      </c>
      <c r="H295" s="244">
        <f t="shared" si="8"/>
        <v>0</v>
      </c>
      <c r="I295" s="244">
        <f t="shared" si="9"/>
        <v>0</v>
      </c>
    </row>
    <row r="296" spans="1:9" ht="15" hidden="1" customHeight="1" x14ac:dyDescent="0.25">
      <c r="A296" s="8" t="s">
        <v>312</v>
      </c>
      <c r="B296" s="239">
        <v>154260</v>
      </c>
      <c r="C296" s="240"/>
      <c r="E296" s="244">
        <f>+IFERROR(VLOOKUP(A296,'TB final'!$A$4:$P$727,11,0),0)</f>
        <v>154260</v>
      </c>
      <c r="F296" s="244">
        <f>+IFERROR(VLOOKUP(A296,'TB final'!$A$4:$P$727,14,0),0)</f>
        <v>0</v>
      </c>
      <c r="G296" s="244">
        <f t="shared" si="8"/>
        <v>0</v>
      </c>
      <c r="H296" s="244">
        <f t="shared" si="8"/>
        <v>0</v>
      </c>
      <c r="I296" s="244">
        <f t="shared" si="9"/>
        <v>0</v>
      </c>
    </row>
    <row r="297" spans="1:9" ht="15" hidden="1" customHeight="1" x14ac:dyDescent="0.25">
      <c r="A297" s="8" t="s">
        <v>1375</v>
      </c>
      <c r="B297" s="239">
        <v>2000</v>
      </c>
      <c r="C297" s="240"/>
      <c r="E297" s="244">
        <f>+IFERROR(VLOOKUP(A297,'TB final'!$A$4:$P$727,11,0),0)</f>
        <v>2000</v>
      </c>
      <c r="F297" s="244">
        <f>+IFERROR(VLOOKUP(A297,'TB final'!$A$4:$P$727,14,0),0)</f>
        <v>0</v>
      </c>
      <c r="G297" s="244">
        <f t="shared" si="8"/>
        <v>0</v>
      </c>
      <c r="H297" s="244">
        <f t="shared" si="8"/>
        <v>0</v>
      </c>
      <c r="I297" s="244">
        <f t="shared" si="9"/>
        <v>0</v>
      </c>
    </row>
    <row r="298" spans="1:9" ht="15" hidden="1" customHeight="1" x14ac:dyDescent="0.25">
      <c r="A298" s="8" t="s">
        <v>313</v>
      </c>
      <c r="B298" s="239">
        <v>4167429</v>
      </c>
      <c r="C298" s="240"/>
      <c r="E298" s="244">
        <f>+IFERROR(VLOOKUP(A298,'TB final'!$A$4:$P$727,11,0),0)</f>
        <v>4167429</v>
      </c>
      <c r="F298" s="244">
        <f>+IFERROR(VLOOKUP(A298,'TB final'!$A$4:$P$727,14,0),0)</f>
        <v>0</v>
      </c>
      <c r="G298" s="244">
        <f t="shared" si="8"/>
        <v>0</v>
      </c>
      <c r="H298" s="244">
        <f t="shared" si="8"/>
        <v>0</v>
      </c>
      <c r="I298" s="244">
        <f t="shared" si="9"/>
        <v>0</v>
      </c>
    </row>
    <row r="299" spans="1:9" ht="15" hidden="1" customHeight="1" x14ac:dyDescent="0.25">
      <c r="A299" s="8" t="s">
        <v>314</v>
      </c>
      <c r="B299" s="239">
        <v>2558371</v>
      </c>
      <c r="C299" s="240"/>
      <c r="E299" s="244">
        <f>+IFERROR(VLOOKUP(A299,'TB final'!$A$4:$P$727,11,0),0)</f>
        <v>2558371</v>
      </c>
      <c r="F299" s="244">
        <f>+IFERROR(VLOOKUP(A299,'TB final'!$A$4:$P$727,14,0),0)</f>
        <v>0</v>
      </c>
      <c r="G299" s="244">
        <f t="shared" si="8"/>
        <v>0</v>
      </c>
      <c r="H299" s="244">
        <f t="shared" si="8"/>
        <v>0</v>
      </c>
      <c r="I299" s="244">
        <f t="shared" si="9"/>
        <v>0</v>
      </c>
    </row>
    <row r="300" spans="1:9" ht="15" customHeight="1" x14ac:dyDescent="0.25">
      <c r="A300" s="8" t="s">
        <v>315</v>
      </c>
      <c r="B300" s="240"/>
      <c r="C300" s="239">
        <v>100502.93</v>
      </c>
      <c r="E300" s="244">
        <f>+IFERROR(VLOOKUP(A300,'TB final'!$A$4:$P$727,11,0),0)</f>
        <v>0</v>
      </c>
      <c r="F300" s="244">
        <f>+IFERROR(VLOOKUP(A300,'TB final'!$A$4:$P$727,14,0),0)</f>
        <v>100502.93</v>
      </c>
      <c r="G300" s="244">
        <f t="shared" si="8"/>
        <v>0</v>
      </c>
      <c r="H300" s="244">
        <f t="shared" si="8"/>
        <v>0</v>
      </c>
      <c r="I300" s="244">
        <f t="shared" si="9"/>
        <v>0</v>
      </c>
    </row>
    <row r="301" spans="1:9" ht="15" customHeight="1" x14ac:dyDescent="0.25">
      <c r="A301" s="8" t="s">
        <v>316</v>
      </c>
      <c r="B301" s="239">
        <v>486323.88</v>
      </c>
      <c r="C301" s="240"/>
      <c r="E301" s="244">
        <f>+IFERROR(VLOOKUP(A301,'TB final'!$A$4:$P$727,11,0),0)</f>
        <v>486323.88</v>
      </c>
      <c r="F301" s="244">
        <f>+IFERROR(VLOOKUP(A301,'TB final'!$A$4:$P$727,14,0),0)</f>
        <v>0</v>
      </c>
      <c r="G301" s="244">
        <f t="shared" si="8"/>
        <v>0</v>
      </c>
      <c r="H301" s="244">
        <f t="shared" si="8"/>
        <v>0</v>
      </c>
      <c r="I301" s="244">
        <f t="shared" si="9"/>
        <v>0</v>
      </c>
    </row>
    <row r="302" spans="1:9" ht="15" customHeight="1" x14ac:dyDescent="0.25">
      <c r="A302" s="8" t="s">
        <v>317</v>
      </c>
      <c r="B302" s="240"/>
      <c r="C302" s="239">
        <v>80872.929999999993</v>
      </c>
      <c r="E302" s="244">
        <f>+IFERROR(VLOOKUP(A302,'TB final'!$A$4:$P$727,11,0),0)</f>
        <v>0</v>
      </c>
      <c r="F302" s="244">
        <f>+IFERROR(VLOOKUP(A302,'TB final'!$A$4:$P$727,14,0),0)</f>
        <v>80872.929999999993</v>
      </c>
      <c r="G302" s="244">
        <f t="shared" si="8"/>
        <v>0</v>
      </c>
      <c r="H302" s="244">
        <f t="shared" si="8"/>
        <v>0</v>
      </c>
      <c r="I302" s="244">
        <f t="shared" si="9"/>
        <v>0</v>
      </c>
    </row>
    <row r="303" spans="1:9" ht="15" hidden="1" customHeight="1" x14ac:dyDescent="0.25">
      <c r="A303" s="8" t="s">
        <v>782</v>
      </c>
      <c r="B303" s="240"/>
      <c r="C303" s="239">
        <v>51508</v>
      </c>
      <c r="E303" s="244">
        <f>+IFERROR(VLOOKUP(A303,'TB final'!$A$4:$P$727,11,0),0)</f>
        <v>0</v>
      </c>
      <c r="F303" s="244">
        <f>+IFERROR(VLOOKUP(A303,'TB final'!$A$4:$P$727,14,0),0)</f>
        <v>51508</v>
      </c>
      <c r="G303" s="244">
        <f t="shared" si="8"/>
        <v>0</v>
      </c>
      <c r="H303" s="244">
        <f t="shared" si="8"/>
        <v>0</v>
      </c>
      <c r="I303" s="244">
        <f t="shared" si="9"/>
        <v>0</v>
      </c>
    </row>
    <row r="304" spans="1:9" ht="15" hidden="1" customHeight="1" x14ac:dyDescent="0.25">
      <c r="A304" s="8" t="s">
        <v>318</v>
      </c>
      <c r="B304" s="239">
        <v>4800000</v>
      </c>
      <c r="C304" s="240"/>
      <c r="E304" s="244">
        <f>+IFERROR(VLOOKUP(A304,'TB final'!$A$4:$P$727,11,0),0)</f>
        <v>4800000</v>
      </c>
      <c r="F304" s="244">
        <f>+IFERROR(VLOOKUP(A304,'TB final'!$A$4:$P$727,14,0),0)</f>
        <v>0</v>
      </c>
      <c r="G304" s="244">
        <f t="shared" si="8"/>
        <v>0</v>
      </c>
      <c r="H304" s="244">
        <f t="shared" si="8"/>
        <v>0</v>
      </c>
      <c r="I304" s="244">
        <f t="shared" si="9"/>
        <v>0</v>
      </c>
    </row>
    <row r="305" spans="1:9" ht="15" hidden="1" customHeight="1" x14ac:dyDescent="0.25">
      <c r="A305" s="8" t="s">
        <v>319</v>
      </c>
      <c r="B305" s="239">
        <v>319093</v>
      </c>
      <c r="C305" s="240"/>
      <c r="E305" s="244">
        <f>+IFERROR(VLOOKUP(A305,'TB final'!$A$4:$P$727,11,0),0)</f>
        <v>319093</v>
      </c>
      <c r="F305" s="244">
        <f>+IFERROR(VLOOKUP(A305,'TB final'!$A$4:$P$727,14,0),0)</f>
        <v>0</v>
      </c>
      <c r="G305" s="244">
        <f t="shared" si="8"/>
        <v>0</v>
      </c>
      <c r="H305" s="244">
        <f t="shared" si="8"/>
        <v>0</v>
      </c>
      <c r="I305" s="244">
        <f t="shared" si="9"/>
        <v>0</v>
      </c>
    </row>
    <row r="306" spans="1:9" ht="15" hidden="1" customHeight="1" x14ac:dyDescent="0.25">
      <c r="A306" s="8" t="s">
        <v>320</v>
      </c>
      <c r="B306" s="239">
        <v>409071.26</v>
      </c>
      <c r="C306" s="240"/>
      <c r="E306" s="244">
        <f>+IFERROR(VLOOKUP(A306,'TB final'!$A$4:$P$727,11,0),0)</f>
        <v>409071.26</v>
      </c>
      <c r="F306" s="244">
        <f>+IFERROR(VLOOKUP(A306,'TB final'!$A$4:$P$727,14,0),0)</f>
        <v>0</v>
      </c>
      <c r="G306" s="244">
        <f t="shared" si="8"/>
        <v>0</v>
      </c>
      <c r="H306" s="244">
        <f t="shared" si="8"/>
        <v>0</v>
      </c>
      <c r="I306" s="244">
        <f t="shared" si="9"/>
        <v>0</v>
      </c>
    </row>
    <row r="307" spans="1:9" ht="15" hidden="1" customHeight="1" x14ac:dyDescent="0.25">
      <c r="A307" s="8" t="s">
        <v>321</v>
      </c>
      <c r="B307" s="239">
        <v>954273.6</v>
      </c>
      <c r="C307" s="240"/>
      <c r="E307" s="244">
        <f>+IFERROR(VLOOKUP(A307,'TB final'!$A$4:$P$727,11,0),0)</f>
        <v>954273.6</v>
      </c>
      <c r="F307" s="244">
        <f>+IFERROR(VLOOKUP(A307,'TB final'!$A$4:$P$727,14,0),0)</f>
        <v>0</v>
      </c>
      <c r="G307" s="244">
        <f t="shared" si="8"/>
        <v>0</v>
      </c>
      <c r="H307" s="244">
        <f t="shared" si="8"/>
        <v>0</v>
      </c>
      <c r="I307" s="244">
        <f t="shared" si="9"/>
        <v>0</v>
      </c>
    </row>
    <row r="308" spans="1:9" ht="15" hidden="1" customHeight="1" x14ac:dyDescent="0.25">
      <c r="A308" s="8" t="s">
        <v>322</v>
      </c>
      <c r="B308" s="240"/>
      <c r="C308" s="239">
        <v>50905004</v>
      </c>
      <c r="E308" s="244">
        <f>+IFERROR(VLOOKUP(A308,'TB final'!$A$4:$P$727,11,0),0)</f>
        <v>0</v>
      </c>
      <c r="F308" s="244">
        <f>+IFERROR(VLOOKUP(A308,'TB final'!$A$4:$P$727,14,0),0)</f>
        <v>50905004</v>
      </c>
      <c r="G308" s="244">
        <f t="shared" si="8"/>
        <v>0</v>
      </c>
      <c r="H308" s="244">
        <f t="shared" si="8"/>
        <v>0</v>
      </c>
      <c r="I308" s="244">
        <f t="shared" si="9"/>
        <v>0</v>
      </c>
    </row>
    <row r="309" spans="1:9" ht="15" hidden="1" customHeight="1" x14ac:dyDescent="0.25">
      <c r="A309" s="8" t="s">
        <v>323</v>
      </c>
      <c r="B309" s="239">
        <v>24500</v>
      </c>
      <c r="C309" s="240"/>
      <c r="E309" s="244">
        <f>+IFERROR(VLOOKUP(A309,'TB final'!$A$4:$P$727,11,0),0)</f>
        <v>24500</v>
      </c>
      <c r="F309" s="244">
        <f>+IFERROR(VLOOKUP(A309,'TB final'!$A$4:$P$727,14,0),0)</f>
        <v>0</v>
      </c>
      <c r="G309" s="244">
        <f t="shared" si="8"/>
        <v>0</v>
      </c>
      <c r="H309" s="244">
        <f t="shared" si="8"/>
        <v>0</v>
      </c>
      <c r="I309" s="244">
        <f t="shared" si="9"/>
        <v>0</v>
      </c>
    </row>
    <row r="310" spans="1:9" ht="15" hidden="1" customHeight="1" x14ac:dyDescent="0.25">
      <c r="A310" s="8" t="s">
        <v>324</v>
      </c>
      <c r="B310" s="240"/>
      <c r="C310" s="239">
        <v>1127420</v>
      </c>
      <c r="E310" s="244">
        <f>+IFERROR(VLOOKUP(A310,'TB final'!$A$4:$P$727,11,0),0)</f>
        <v>0</v>
      </c>
      <c r="F310" s="244">
        <f>+IFERROR(VLOOKUP(A310,'TB final'!$A$4:$P$727,14,0),0)</f>
        <v>1127420</v>
      </c>
      <c r="G310" s="244">
        <f t="shared" si="8"/>
        <v>0</v>
      </c>
      <c r="H310" s="244">
        <f t="shared" si="8"/>
        <v>0</v>
      </c>
      <c r="I310" s="244">
        <f t="shared" si="9"/>
        <v>0</v>
      </c>
    </row>
    <row r="311" spans="1:9" ht="15" hidden="1" customHeight="1" x14ac:dyDescent="0.25">
      <c r="A311" s="8" t="s">
        <v>325</v>
      </c>
      <c r="B311" s="240"/>
      <c r="C311" s="239">
        <v>487.23</v>
      </c>
      <c r="E311" s="244">
        <f>+IFERROR(VLOOKUP(A311,'TB final'!$A$4:$P$727,11,0),0)</f>
        <v>0</v>
      </c>
      <c r="F311" s="244">
        <f>+IFERROR(VLOOKUP(A311,'TB final'!$A$4:$P$727,14,0),0)</f>
        <v>487.23</v>
      </c>
      <c r="G311" s="244">
        <f t="shared" si="8"/>
        <v>0</v>
      </c>
      <c r="H311" s="244">
        <f t="shared" si="8"/>
        <v>0</v>
      </c>
      <c r="I311" s="244">
        <f t="shared" si="9"/>
        <v>0</v>
      </c>
    </row>
    <row r="312" spans="1:9" ht="15" hidden="1" customHeight="1" x14ac:dyDescent="0.25">
      <c r="A312" s="8" t="s">
        <v>326</v>
      </c>
      <c r="B312" s="239">
        <v>22988933</v>
      </c>
      <c r="C312" s="240"/>
      <c r="E312" s="244">
        <f>+IFERROR(VLOOKUP(A312,'TB final'!$A$4:$P$727,11,0),0)</f>
        <v>22988933</v>
      </c>
      <c r="F312" s="244">
        <f>+IFERROR(VLOOKUP(A312,'TB final'!$A$4:$P$727,14,0),0)</f>
        <v>0</v>
      </c>
      <c r="G312" s="244">
        <f t="shared" si="8"/>
        <v>0</v>
      </c>
      <c r="H312" s="244">
        <f t="shared" si="8"/>
        <v>0</v>
      </c>
      <c r="I312" s="244">
        <f t="shared" si="9"/>
        <v>0</v>
      </c>
    </row>
    <row r="313" spans="1:9" ht="15" hidden="1" customHeight="1" x14ac:dyDescent="0.25">
      <c r="A313" s="8" t="s">
        <v>770</v>
      </c>
      <c r="B313" s="239">
        <v>5079</v>
      </c>
      <c r="C313" s="240"/>
      <c r="E313" s="244">
        <f>+IFERROR(VLOOKUP(A313,'TB final'!$A$4:$P$727,11,0),0)</f>
        <v>5079</v>
      </c>
      <c r="F313" s="244">
        <f>+IFERROR(VLOOKUP(A313,'TB final'!$A$4:$P$727,14,0),0)</f>
        <v>0</v>
      </c>
      <c r="G313" s="244">
        <f t="shared" si="8"/>
        <v>0</v>
      </c>
      <c r="H313" s="244">
        <f t="shared" si="8"/>
        <v>0</v>
      </c>
      <c r="I313" s="244">
        <f t="shared" si="9"/>
        <v>0</v>
      </c>
    </row>
    <row r="314" spans="1:9" ht="15" hidden="1" customHeight="1" x14ac:dyDescent="0.25">
      <c r="A314" s="8" t="s">
        <v>328</v>
      </c>
      <c r="B314" s="239">
        <v>392445</v>
      </c>
      <c r="C314" s="240"/>
      <c r="E314" s="244">
        <f>+IFERROR(VLOOKUP(A314,'TB final'!$A$4:$P$727,11,0),0)</f>
        <v>392445</v>
      </c>
      <c r="F314" s="244">
        <f>+IFERROR(VLOOKUP(A314,'TB final'!$A$4:$P$727,14,0),0)</f>
        <v>0</v>
      </c>
      <c r="G314" s="244">
        <f t="shared" si="8"/>
        <v>0</v>
      </c>
      <c r="H314" s="244">
        <f t="shared" si="8"/>
        <v>0</v>
      </c>
      <c r="I314" s="244">
        <f t="shared" si="9"/>
        <v>0</v>
      </c>
    </row>
    <row r="315" spans="1:9" ht="15" hidden="1" customHeight="1" x14ac:dyDescent="0.25">
      <c r="A315" s="8" t="s">
        <v>329</v>
      </c>
      <c r="B315" s="240"/>
      <c r="C315" s="239">
        <v>879467</v>
      </c>
      <c r="E315" s="244">
        <f>+IFERROR(VLOOKUP(A315,'TB final'!$A$4:$P$727,11,0),0)</f>
        <v>0</v>
      </c>
      <c r="F315" s="244">
        <f>+IFERROR(VLOOKUP(A315,'TB final'!$A$4:$P$727,14,0),0)</f>
        <v>879467</v>
      </c>
      <c r="G315" s="244">
        <f t="shared" si="8"/>
        <v>0</v>
      </c>
      <c r="H315" s="244">
        <f t="shared" si="8"/>
        <v>0</v>
      </c>
      <c r="I315" s="244">
        <f t="shared" si="9"/>
        <v>0</v>
      </c>
    </row>
    <row r="316" spans="1:9" ht="15" hidden="1" customHeight="1" x14ac:dyDescent="0.25">
      <c r="A316" s="8" t="s">
        <v>330</v>
      </c>
      <c r="B316" s="240"/>
      <c r="C316" s="239">
        <v>803704</v>
      </c>
      <c r="E316" s="244">
        <f>+IFERROR(VLOOKUP(A316,'TB final'!$A$4:$P$727,11,0),0)</f>
        <v>0</v>
      </c>
      <c r="F316" s="244">
        <f>+IFERROR(VLOOKUP(A316,'TB final'!$A$4:$P$727,14,0),0)</f>
        <v>803704</v>
      </c>
      <c r="G316" s="244">
        <f t="shared" si="8"/>
        <v>0</v>
      </c>
      <c r="H316" s="244">
        <f t="shared" si="8"/>
        <v>0</v>
      </c>
      <c r="I316" s="244">
        <f t="shared" si="9"/>
        <v>0</v>
      </c>
    </row>
    <row r="317" spans="1:9" ht="15" hidden="1" customHeight="1" x14ac:dyDescent="0.25">
      <c r="A317" s="8" t="s">
        <v>331</v>
      </c>
      <c r="B317" s="239">
        <v>203540</v>
      </c>
      <c r="C317" s="240"/>
      <c r="E317" s="244">
        <f>+IFERROR(VLOOKUP(A317,'TB final'!$A$4:$P$727,11,0),0)</f>
        <v>203540</v>
      </c>
      <c r="F317" s="244">
        <f>+IFERROR(VLOOKUP(A317,'TB final'!$A$4:$P$727,14,0),0)</f>
        <v>0</v>
      </c>
      <c r="G317" s="244">
        <f t="shared" si="8"/>
        <v>0</v>
      </c>
      <c r="H317" s="244">
        <f t="shared" si="8"/>
        <v>0</v>
      </c>
      <c r="I317" s="244">
        <f t="shared" si="9"/>
        <v>0</v>
      </c>
    </row>
    <row r="318" spans="1:9" ht="15" hidden="1" customHeight="1" x14ac:dyDescent="0.25">
      <c r="A318" s="8" t="s">
        <v>332</v>
      </c>
      <c r="B318" s="239">
        <v>1626242</v>
      </c>
      <c r="C318" s="240"/>
      <c r="E318" s="244">
        <f>+IFERROR(VLOOKUP(A318,'TB final'!$A$4:$P$727,11,0),0)</f>
        <v>1626242</v>
      </c>
      <c r="F318" s="244">
        <f>+IFERROR(VLOOKUP(A318,'TB final'!$A$4:$P$727,14,0),0)</f>
        <v>0</v>
      </c>
      <c r="G318" s="244">
        <f t="shared" si="8"/>
        <v>0</v>
      </c>
      <c r="H318" s="244">
        <f t="shared" si="8"/>
        <v>0</v>
      </c>
      <c r="I318" s="244">
        <f t="shared" si="9"/>
        <v>0</v>
      </c>
    </row>
    <row r="319" spans="1:9" ht="15" hidden="1" customHeight="1" x14ac:dyDescent="0.25">
      <c r="A319" s="8" t="s">
        <v>333</v>
      </c>
      <c r="B319" s="239">
        <v>2273038</v>
      </c>
      <c r="C319" s="240"/>
      <c r="E319" s="244">
        <f>+IFERROR(VLOOKUP(A319,'TB final'!$A$4:$P$727,11,0),0)</f>
        <v>2273038</v>
      </c>
      <c r="F319" s="244">
        <f>+IFERROR(VLOOKUP(A319,'TB final'!$A$4:$P$727,14,0),0)</f>
        <v>0</v>
      </c>
      <c r="G319" s="244">
        <f t="shared" si="8"/>
        <v>0</v>
      </c>
      <c r="H319" s="244">
        <f t="shared" si="8"/>
        <v>0</v>
      </c>
      <c r="I319" s="244">
        <f t="shared" si="9"/>
        <v>0</v>
      </c>
    </row>
    <row r="320" spans="1:9" ht="15" hidden="1" customHeight="1" x14ac:dyDescent="0.25">
      <c r="A320" s="8" t="s">
        <v>334</v>
      </c>
      <c r="B320" s="239">
        <v>8511335</v>
      </c>
      <c r="C320" s="240"/>
      <c r="E320" s="244">
        <f>+IFERROR(VLOOKUP(A320,'TB final'!$A$4:$P$727,11,0),0)</f>
        <v>8511335</v>
      </c>
      <c r="F320" s="244">
        <f>+IFERROR(VLOOKUP(A320,'TB final'!$A$4:$P$727,14,0),0)</f>
        <v>0</v>
      </c>
      <c r="G320" s="244">
        <f t="shared" si="8"/>
        <v>0</v>
      </c>
      <c r="H320" s="244">
        <f t="shared" si="8"/>
        <v>0</v>
      </c>
      <c r="I320" s="244">
        <f t="shared" si="9"/>
        <v>0</v>
      </c>
    </row>
    <row r="321" spans="1:9" ht="15" customHeight="1" x14ac:dyDescent="0.25">
      <c r="A321" s="8" t="s">
        <v>335</v>
      </c>
      <c r="B321" s="240"/>
      <c r="C321" s="239">
        <v>609002318.29999995</v>
      </c>
      <c r="E321" s="244">
        <f>+IFERROR(VLOOKUP(A321,'TB final'!$A$4:$P$727,11,0),0)</f>
        <v>0</v>
      </c>
      <c r="F321" s="244">
        <f>+IFERROR(VLOOKUP(A321,'TB final'!$A$4:$P$727,14,0),0)</f>
        <v>609002318.29999995</v>
      </c>
      <c r="G321" s="244">
        <f t="shared" si="8"/>
        <v>0</v>
      </c>
      <c r="H321" s="244">
        <f t="shared" si="8"/>
        <v>0</v>
      </c>
      <c r="I321" s="244">
        <f t="shared" si="9"/>
        <v>0</v>
      </c>
    </row>
    <row r="322" spans="1:9" ht="15" hidden="1" customHeight="1" x14ac:dyDescent="0.25">
      <c r="A322" s="8" t="s">
        <v>1436</v>
      </c>
      <c r="B322" s="240"/>
      <c r="C322" s="239">
        <v>77113878.299999997</v>
      </c>
      <c r="E322" s="244">
        <f>+IFERROR(VLOOKUP(A322,'TB final'!$A$4:$P$727,11,0),0)</f>
        <v>0</v>
      </c>
      <c r="F322" s="244">
        <f>+IFERROR(VLOOKUP(A322,'TB final'!$A$4:$P$727,14,0),0)</f>
        <v>77113878.299999997</v>
      </c>
      <c r="G322" s="244">
        <f t="shared" si="8"/>
        <v>0</v>
      </c>
      <c r="H322" s="244">
        <f t="shared" si="8"/>
        <v>0</v>
      </c>
      <c r="I322" s="244">
        <f t="shared" si="9"/>
        <v>0</v>
      </c>
    </row>
    <row r="323" spans="1:9" ht="15" customHeight="1" x14ac:dyDescent="0.25">
      <c r="A323" s="8" t="s">
        <v>802</v>
      </c>
      <c r="B323" s="239">
        <v>245586</v>
      </c>
      <c r="C323" s="240"/>
      <c r="E323" s="244">
        <f>+IFERROR(VLOOKUP(A323,'TB final'!$A$4:$P$727,11,0),0)</f>
        <v>245586</v>
      </c>
      <c r="F323" s="244">
        <f>+IFERROR(VLOOKUP(A323,'TB final'!$A$4:$P$727,14,0),0)</f>
        <v>0</v>
      </c>
      <c r="G323" s="244">
        <f t="shared" si="8"/>
        <v>0</v>
      </c>
      <c r="H323" s="244">
        <f t="shared" si="8"/>
        <v>0</v>
      </c>
      <c r="I323" s="244">
        <f t="shared" si="9"/>
        <v>0</v>
      </c>
    </row>
    <row r="324" spans="1:9" ht="15" hidden="1" customHeight="1" x14ac:dyDescent="0.25">
      <c r="A324" s="8" t="s">
        <v>803</v>
      </c>
      <c r="B324" s="239">
        <v>23653</v>
      </c>
      <c r="C324" s="240"/>
      <c r="E324" s="244">
        <f>+IFERROR(VLOOKUP(A324,'TB final'!$A$4:$P$727,11,0),0)</f>
        <v>23653</v>
      </c>
      <c r="F324" s="244">
        <f>+IFERROR(VLOOKUP(A324,'TB final'!$A$4:$P$727,14,0),0)</f>
        <v>0</v>
      </c>
      <c r="G324" s="244">
        <f t="shared" si="8"/>
        <v>0</v>
      </c>
      <c r="H324" s="244">
        <f t="shared" si="8"/>
        <v>0</v>
      </c>
      <c r="I324" s="244">
        <f t="shared" si="9"/>
        <v>0</v>
      </c>
    </row>
    <row r="325" spans="1:9" ht="15" hidden="1" customHeight="1" x14ac:dyDescent="0.25">
      <c r="A325" s="8" t="s">
        <v>336</v>
      </c>
      <c r="B325" s="240"/>
      <c r="C325" s="239">
        <v>755246</v>
      </c>
      <c r="E325" s="244">
        <f>+IFERROR(VLOOKUP(A325,'TB final'!$A$4:$P$727,11,0),0)</f>
        <v>0</v>
      </c>
      <c r="F325" s="244">
        <f>+IFERROR(VLOOKUP(A325,'TB final'!$A$4:$P$727,14,0),0)</f>
        <v>755246</v>
      </c>
      <c r="G325" s="244">
        <f t="shared" si="8"/>
        <v>0</v>
      </c>
      <c r="H325" s="244">
        <f t="shared" si="8"/>
        <v>0</v>
      </c>
      <c r="I325" s="244">
        <f t="shared" si="9"/>
        <v>0</v>
      </c>
    </row>
    <row r="326" spans="1:9" ht="15" hidden="1" customHeight="1" x14ac:dyDescent="0.25">
      <c r="A326" s="8" t="s">
        <v>337</v>
      </c>
      <c r="B326" s="240"/>
      <c r="C326" s="239">
        <v>874676</v>
      </c>
      <c r="E326" s="244">
        <f>+IFERROR(VLOOKUP(A326,'TB final'!$A$4:$P$727,11,0),0)</f>
        <v>0</v>
      </c>
      <c r="F326" s="244">
        <f>+IFERROR(VLOOKUP(A326,'TB final'!$A$4:$P$727,14,0),0)</f>
        <v>874676</v>
      </c>
      <c r="G326" s="244">
        <f t="shared" si="8"/>
        <v>0</v>
      </c>
      <c r="H326" s="244">
        <f t="shared" si="8"/>
        <v>0</v>
      </c>
      <c r="I326" s="244">
        <f t="shared" si="9"/>
        <v>0</v>
      </c>
    </row>
    <row r="327" spans="1:9" ht="15" hidden="1" customHeight="1" x14ac:dyDescent="0.25">
      <c r="A327" s="8" t="s">
        <v>804</v>
      </c>
      <c r="B327" s="240"/>
      <c r="C327" s="239">
        <v>2600</v>
      </c>
      <c r="E327" s="244">
        <f>+IFERROR(VLOOKUP(A327,'TB final'!$A$4:$P$727,11,0),0)</f>
        <v>0</v>
      </c>
      <c r="F327" s="244">
        <f>+IFERROR(VLOOKUP(A327,'TB final'!$A$4:$P$727,14,0),0)</f>
        <v>2600</v>
      </c>
      <c r="G327" s="244">
        <f t="shared" si="8"/>
        <v>0</v>
      </c>
      <c r="H327" s="244">
        <f t="shared" si="8"/>
        <v>0</v>
      </c>
      <c r="I327" s="244">
        <f t="shared" si="9"/>
        <v>0</v>
      </c>
    </row>
    <row r="328" spans="1:9" ht="15" hidden="1" customHeight="1" x14ac:dyDescent="0.25">
      <c r="A328" s="8" t="s">
        <v>1376</v>
      </c>
      <c r="B328" s="240"/>
      <c r="C328" s="239">
        <v>85602</v>
      </c>
      <c r="E328" s="244">
        <f>+IFERROR(VLOOKUP(A328,'TB final'!$A$4:$P$727,11,0),0)</f>
        <v>0</v>
      </c>
      <c r="F328" s="244">
        <f>+IFERROR(VLOOKUP(A328,'TB final'!$A$4:$P$727,14,0),0)</f>
        <v>85602</v>
      </c>
      <c r="G328" s="244">
        <f t="shared" si="8"/>
        <v>0</v>
      </c>
      <c r="H328" s="244">
        <f t="shared" si="8"/>
        <v>0</v>
      </c>
      <c r="I328" s="244">
        <f t="shared" si="9"/>
        <v>0</v>
      </c>
    </row>
    <row r="329" spans="1:9" ht="15" hidden="1" customHeight="1" x14ac:dyDescent="0.25">
      <c r="A329" s="8" t="s">
        <v>338</v>
      </c>
      <c r="B329" s="240"/>
      <c r="C329" s="239">
        <v>1640020</v>
      </c>
      <c r="E329" s="244">
        <f>+IFERROR(VLOOKUP(A329,'TB final'!$A$4:$P$727,11,0),0)</f>
        <v>0</v>
      </c>
      <c r="F329" s="244">
        <f>+IFERROR(VLOOKUP(A329,'TB final'!$A$4:$P$727,14,0),0)</f>
        <v>1640020</v>
      </c>
      <c r="G329" s="244">
        <f t="shared" si="8"/>
        <v>0</v>
      </c>
      <c r="H329" s="244">
        <f t="shared" si="8"/>
        <v>0</v>
      </c>
      <c r="I329" s="244">
        <f t="shared" si="9"/>
        <v>0</v>
      </c>
    </row>
    <row r="330" spans="1:9" ht="15" hidden="1" customHeight="1" x14ac:dyDescent="0.25">
      <c r="A330" s="8" t="s">
        <v>786</v>
      </c>
      <c r="B330" s="239">
        <v>84224</v>
      </c>
      <c r="C330" s="240"/>
      <c r="E330" s="244">
        <f>+IFERROR(VLOOKUP(A330,'TB final'!$A$4:$P$727,11,0),0)</f>
        <v>84224</v>
      </c>
      <c r="F330" s="244">
        <f>+IFERROR(VLOOKUP(A330,'TB final'!$A$4:$P$727,14,0),0)</f>
        <v>0</v>
      </c>
      <c r="G330" s="244">
        <f t="shared" si="8"/>
        <v>0</v>
      </c>
      <c r="H330" s="244">
        <f t="shared" si="8"/>
        <v>0</v>
      </c>
      <c r="I330" s="244">
        <f t="shared" si="9"/>
        <v>0</v>
      </c>
    </row>
    <row r="331" spans="1:9" ht="15" hidden="1" customHeight="1" x14ac:dyDescent="0.25">
      <c r="A331" s="8" t="s">
        <v>341</v>
      </c>
      <c r="B331" s="239">
        <v>49097</v>
      </c>
      <c r="C331" s="240"/>
      <c r="E331" s="244">
        <f>+IFERROR(VLOOKUP(A331,'TB final'!$A$4:$P$727,11,0),0)</f>
        <v>49097</v>
      </c>
      <c r="F331" s="244">
        <f>+IFERROR(VLOOKUP(A331,'TB final'!$A$4:$P$727,14,0),0)</f>
        <v>0</v>
      </c>
      <c r="G331" s="244">
        <f t="shared" si="8"/>
        <v>0</v>
      </c>
      <c r="H331" s="244">
        <f t="shared" si="8"/>
        <v>0</v>
      </c>
      <c r="I331" s="244">
        <f t="shared" si="9"/>
        <v>0</v>
      </c>
    </row>
    <row r="332" spans="1:9" ht="15" hidden="1" customHeight="1" x14ac:dyDescent="0.25">
      <c r="A332" s="8" t="s">
        <v>342</v>
      </c>
      <c r="B332" s="240"/>
      <c r="C332" s="239">
        <v>7150762</v>
      </c>
      <c r="E332" s="244">
        <f>+IFERROR(VLOOKUP(A332,'TB final'!$A$4:$P$727,11,0),0)</f>
        <v>0</v>
      </c>
      <c r="F332" s="244">
        <f>+IFERROR(VLOOKUP(A332,'TB final'!$A$4:$P$727,14,0),0)</f>
        <v>7150762</v>
      </c>
      <c r="G332" s="244">
        <f t="shared" si="8"/>
        <v>0</v>
      </c>
      <c r="H332" s="244">
        <f t="shared" si="8"/>
        <v>0</v>
      </c>
      <c r="I332" s="244">
        <f t="shared" si="9"/>
        <v>0</v>
      </c>
    </row>
    <row r="333" spans="1:9" ht="15" hidden="1" customHeight="1" x14ac:dyDescent="0.25">
      <c r="A333" s="8" t="s">
        <v>790</v>
      </c>
      <c r="B333" s="240"/>
      <c r="C333" s="239">
        <v>695244</v>
      </c>
      <c r="E333" s="244">
        <f>+IFERROR(VLOOKUP(A333,'TB final'!$A$4:$P$727,11,0),0)</f>
        <v>0</v>
      </c>
      <c r="F333" s="244">
        <f>+IFERROR(VLOOKUP(A333,'TB final'!$A$4:$P$727,14,0),0)</f>
        <v>695244</v>
      </c>
      <c r="G333" s="244">
        <f t="shared" ref="G333:H396" si="10">+B333-E333</f>
        <v>0</v>
      </c>
      <c r="H333" s="244">
        <f t="shared" si="10"/>
        <v>0</v>
      </c>
      <c r="I333" s="244">
        <f t="shared" ref="I333:I396" si="11">+G333+H333</f>
        <v>0</v>
      </c>
    </row>
    <row r="334" spans="1:9" ht="15" hidden="1" customHeight="1" x14ac:dyDescent="0.25">
      <c r="A334" s="8" t="s">
        <v>343</v>
      </c>
      <c r="B334" s="240"/>
      <c r="C334" s="239">
        <v>5601686</v>
      </c>
      <c r="E334" s="244">
        <f>+IFERROR(VLOOKUP(A334,'TB final'!$A$4:$P$727,11,0),0)</f>
        <v>0</v>
      </c>
      <c r="F334" s="244">
        <f>+IFERROR(VLOOKUP(A334,'TB final'!$A$4:$P$727,14,0),0)</f>
        <v>5601686</v>
      </c>
      <c r="G334" s="244">
        <f t="shared" si="10"/>
        <v>0</v>
      </c>
      <c r="H334" s="244">
        <f t="shared" si="10"/>
        <v>0</v>
      </c>
      <c r="I334" s="244">
        <f t="shared" si="11"/>
        <v>0</v>
      </c>
    </row>
    <row r="335" spans="1:9" ht="15" hidden="1" customHeight="1" x14ac:dyDescent="0.25">
      <c r="A335" s="8" t="s">
        <v>791</v>
      </c>
      <c r="B335" s="240"/>
      <c r="C335" s="239">
        <v>253317</v>
      </c>
      <c r="E335" s="244">
        <f>+IFERROR(VLOOKUP(A335,'TB final'!$A$4:$P$727,11,0),0)</f>
        <v>0</v>
      </c>
      <c r="F335" s="244">
        <f>+IFERROR(VLOOKUP(A335,'TB final'!$A$4:$P$727,14,0),0)</f>
        <v>253317</v>
      </c>
      <c r="G335" s="244">
        <f t="shared" si="10"/>
        <v>0</v>
      </c>
      <c r="H335" s="244">
        <f t="shared" si="10"/>
        <v>0</v>
      </c>
      <c r="I335" s="244">
        <f t="shared" si="11"/>
        <v>0</v>
      </c>
    </row>
    <row r="336" spans="1:9" ht="15" hidden="1" customHeight="1" x14ac:dyDescent="0.25">
      <c r="A336" s="8" t="s">
        <v>346</v>
      </c>
      <c r="B336" s="240"/>
      <c r="C336" s="239">
        <v>8664946</v>
      </c>
      <c r="E336" s="244">
        <f>+IFERROR(VLOOKUP(A336,'TB final'!$A$4:$P$727,11,0),0)</f>
        <v>0</v>
      </c>
      <c r="F336" s="244">
        <f>+IFERROR(VLOOKUP(A336,'TB final'!$A$4:$P$727,14,0),0)</f>
        <v>8664946</v>
      </c>
      <c r="G336" s="244">
        <f t="shared" si="10"/>
        <v>0</v>
      </c>
      <c r="H336" s="244">
        <f t="shared" si="10"/>
        <v>0</v>
      </c>
      <c r="I336" s="244">
        <f t="shared" si="11"/>
        <v>0</v>
      </c>
    </row>
    <row r="337" spans="1:9" ht="15" hidden="1" customHeight="1" x14ac:dyDescent="0.25">
      <c r="A337" s="8" t="s">
        <v>347</v>
      </c>
      <c r="B337" s="239">
        <v>689707</v>
      </c>
      <c r="C337" s="240"/>
      <c r="E337" s="244">
        <f>+IFERROR(VLOOKUP(A337,'TB final'!$A$4:$P$727,11,0),0)</f>
        <v>689707</v>
      </c>
      <c r="F337" s="244">
        <f>+IFERROR(VLOOKUP(A337,'TB final'!$A$4:$P$727,14,0),0)</f>
        <v>0</v>
      </c>
      <c r="G337" s="244">
        <f t="shared" si="10"/>
        <v>0</v>
      </c>
      <c r="H337" s="244">
        <f t="shared" si="10"/>
        <v>0</v>
      </c>
      <c r="I337" s="244">
        <f t="shared" si="11"/>
        <v>0</v>
      </c>
    </row>
    <row r="338" spans="1:9" ht="15" hidden="1" customHeight="1" x14ac:dyDescent="0.25">
      <c r="A338" s="8" t="s">
        <v>349</v>
      </c>
      <c r="B338" s="240"/>
      <c r="C338" s="239">
        <v>21264856</v>
      </c>
      <c r="E338" s="244">
        <f>+IFERROR(VLOOKUP(A338,'TB final'!$A$4:$P$727,11,0),0)</f>
        <v>0</v>
      </c>
      <c r="F338" s="244">
        <f>+IFERROR(VLOOKUP(A338,'TB final'!$A$4:$P$727,14,0),0)</f>
        <v>21264856</v>
      </c>
      <c r="G338" s="244">
        <f t="shared" si="10"/>
        <v>0</v>
      </c>
      <c r="H338" s="244">
        <f t="shared" si="10"/>
        <v>0</v>
      </c>
      <c r="I338" s="244">
        <f t="shared" si="11"/>
        <v>0</v>
      </c>
    </row>
    <row r="339" spans="1:9" ht="15" customHeight="1" x14ac:dyDescent="0.25">
      <c r="A339" s="8" t="s">
        <v>812</v>
      </c>
      <c r="B339" s="240"/>
      <c r="C339" s="239">
        <v>449757.14</v>
      </c>
      <c r="E339" s="244">
        <f>+IFERROR(VLOOKUP(A339,'TB final'!$A$4:$P$727,11,0),0)</f>
        <v>0</v>
      </c>
      <c r="F339" s="244">
        <f>+IFERROR(VLOOKUP(A339,'TB final'!$A$4:$P$727,14,0),0)</f>
        <v>449757.14</v>
      </c>
      <c r="G339" s="244">
        <f t="shared" si="10"/>
        <v>0</v>
      </c>
      <c r="H339" s="244">
        <f t="shared" si="10"/>
        <v>0</v>
      </c>
      <c r="I339" s="244">
        <f t="shared" si="11"/>
        <v>0</v>
      </c>
    </row>
    <row r="340" spans="1:9" ht="15" hidden="1" customHeight="1" x14ac:dyDescent="0.25">
      <c r="A340" s="8" t="s">
        <v>817</v>
      </c>
      <c r="B340" s="239">
        <v>1153357</v>
      </c>
      <c r="C340" s="240"/>
      <c r="E340" s="244">
        <f>+IFERROR(VLOOKUP(A340,'TB final'!$A$4:$P$727,11,0),0)</f>
        <v>1153357</v>
      </c>
      <c r="F340" s="244">
        <f>+IFERROR(VLOOKUP(A340,'TB final'!$A$4:$P$727,14,0),0)</f>
        <v>0</v>
      </c>
      <c r="G340" s="244">
        <f t="shared" si="10"/>
        <v>0</v>
      </c>
      <c r="H340" s="244">
        <f t="shared" si="10"/>
        <v>0</v>
      </c>
      <c r="I340" s="244">
        <f t="shared" si="11"/>
        <v>0</v>
      </c>
    </row>
    <row r="341" spans="1:9" ht="15" hidden="1" customHeight="1" x14ac:dyDescent="0.25">
      <c r="A341" s="8" t="s">
        <v>820</v>
      </c>
      <c r="B341" s="239">
        <v>5552</v>
      </c>
      <c r="C341" s="240"/>
      <c r="E341" s="244">
        <f>+IFERROR(VLOOKUP(A341,'TB final'!$A$4:$P$727,11,0),0)</f>
        <v>5552</v>
      </c>
      <c r="F341" s="244">
        <f>+IFERROR(VLOOKUP(A341,'TB final'!$A$4:$P$727,14,0),0)</f>
        <v>0</v>
      </c>
      <c r="G341" s="244">
        <f t="shared" si="10"/>
        <v>0</v>
      </c>
      <c r="H341" s="244">
        <f t="shared" si="10"/>
        <v>0</v>
      </c>
      <c r="I341" s="244">
        <f t="shared" si="11"/>
        <v>0</v>
      </c>
    </row>
    <row r="342" spans="1:9" hidden="1" x14ac:dyDescent="0.25">
      <c r="A342" s="8" t="s">
        <v>822</v>
      </c>
      <c r="B342" s="240"/>
      <c r="C342" s="239">
        <v>137081</v>
      </c>
      <c r="E342" s="244">
        <f>+IFERROR(VLOOKUP(A342,'TB final'!$A$4:$P$727,11,0),0)</f>
        <v>0</v>
      </c>
      <c r="F342" s="244">
        <f>+IFERROR(VLOOKUP(A342,'TB final'!$A$4:$P$727,14,0),0)</f>
        <v>137081</v>
      </c>
      <c r="G342" s="244">
        <f t="shared" si="10"/>
        <v>0</v>
      </c>
      <c r="H342" s="244">
        <f t="shared" si="10"/>
        <v>0</v>
      </c>
      <c r="I342" s="244">
        <f t="shared" si="11"/>
        <v>0</v>
      </c>
    </row>
    <row r="343" spans="1:9" ht="15" hidden="1" customHeight="1" x14ac:dyDescent="0.25">
      <c r="A343" s="8" t="s">
        <v>823</v>
      </c>
      <c r="B343" s="240"/>
      <c r="C343" s="239">
        <v>77175</v>
      </c>
      <c r="E343" s="244">
        <f>+IFERROR(VLOOKUP(A343,'TB final'!$A$4:$P$727,11,0),0)</f>
        <v>0</v>
      </c>
      <c r="F343" s="244">
        <f>+IFERROR(VLOOKUP(A343,'TB final'!$A$4:$P$727,14,0),0)</f>
        <v>77175</v>
      </c>
      <c r="G343" s="244">
        <f t="shared" si="10"/>
        <v>0</v>
      </c>
      <c r="H343" s="244">
        <f t="shared" si="10"/>
        <v>0</v>
      </c>
      <c r="I343" s="244">
        <f t="shared" si="11"/>
        <v>0</v>
      </c>
    </row>
    <row r="344" spans="1:9" ht="15" hidden="1" customHeight="1" x14ac:dyDescent="0.25">
      <c r="A344" s="8" t="s">
        <v>824</v>
      </c>
      <c r="B344" s="239">
        <v>140595</v>
      </c>
      <c r="C344" s="240"/>
      <c r="E344" s="244">
        <f>+IFERROR(VLOOKUP(A344,'TB final'!$A$4:$P$727,11,0),0)</f>
        <v>140595</v>
      </c>
      <c r="F344" s="244">
        <f>+IFERROR(VLOOKUP(A344,'TB final'!$A$4:$P$727,14,0),0)</f>
        <v>0</v>
      </c>
      <c r="G344" s="244">
        <f t="shared" si="10"/>
        <v>0</v>
      </c>
      <c r="H344" s="244">
        <f t="shared" si="10"/>
        <v>0</v>
      </c>
      <c r="I344" s="244">
        <f t="shared" si="11"/>
        <v>0</v>
      </c>
    </row>
    <row r="345" spans="1:9" ht="15" hidden="1" customHeight="1" x14ac:dyDescent="0.25">
      <c r="A345" s="8" t="s">
        <v>373</v>
      </c>
      <c r="B345" s="239">
        <v>2982040</v>
      </c>
      <c r="C345" s="240"/>
      <c r="E345" s="244">
        <f>+IFERROR(VLOOKUP(A345,'TB final'!$A$4:$P$727,11,0),0)</f>
        <v>2982040</v>
      </c>
      <c r="F345" s="244">
        <f>+IFERROR(VLOOKUP(A345,'TB final'!$A$4:$P$727,14,0),0)</f>
        <v>0</v>
      </c>
      <c r="G345" s="244">
        <f t="shared" si="10"/>
        <v>0</v>
      </c>
      <c r="H345" s="244">
        <f t="shared" si="10"/>
        <v>0</v>
      </c>
      <c r="I345" s="244">
        <f t="shared" si="11"/>
        <v>0</v>
      </c>
    </row>
    <row r="346" spans="1:9" ht="15" hidden="1" customHeight="1" x14ac:dyDescent="0.25">
      <c r="A346" s="8" t="s">
        <v>374</v>
      </c>
      <c r="B346" s="239">
        <v>108452</v>
      </c>
      <c r="C346" s="240"/>
      <c r="E346" s="244">
        <f>+IFERROR(VLOOKUP(A346,'TB final'!$A$4:$P$727,11,0),0)</f>
        <v>108452</v>
      </c>
      <c r="F346" s="244">
        <f>+IFERROR(VLOOKUP(A346,'TB final'!$A$4:$P$727,14,0),0)</f>
        <v>0</v>
      </c>
      <c r="G346" s="244">
        <f t="shared" si="10"/>
        <v>0</v>
      </c>
      <c r="H346" s="244">
        <f t="shared" si="10"/>
        <v>0</v>
      </c>
      <c r="I346" s="244">
        <f t="shared" si="11"/>
        <v>0</v>
      </c>
    </row>
    <row r="347" spans="1:9" ht="15" hidden="1" customHeight="1" x14ac:dyDescent="0.25">
      <c r="A347" s="8" t="s">
        <v>376</v>
      </c>
      <c r="B347" s="240"/>
      <c r="C347" s="239">
        <v>9167</v>
      </c>
      <c r="E347" s="244">
        <f>+IFERROR(VLOOKUP(A347,'TB final'!$A$4:$P$727,11,0),0)</f>
        <v>0</v>
      </c>
      <c r="F347" s="244">
        <f>+IFERROR(VLOOKUP(A347,'TB final'!$A$4:$P$727,14,0),0)</f>
        <v>9167</v>
      </c>
      <c r="G347" s="244">
        <f t="shared" si="10"/>
        <v>0</v>
      </c>
      <c r="H347" s="244">
        <f t="shared" si="10"/>
        <v>0</v>
      </c>
      <c r="I347" s="244">
        <f t="shared" si="11"/>
        <v>0</v>
      </c>
    </row>
    <row r="348" spans="1:9" ht="15" hidden="1" customHeight="1" x14ac:dyDescent="0.25">
      <c r="A348" s="8" t="s">
        <v>377</v>
      </c>
      <c r="B348" s="240"/>
      <c r="C348" s="239">
        <v>3584869</v>
      </c>
      <c r="E348" s="244">
        <f>+IFERROR(VLOOKUP(A348,'TB final'!$A$4:$P$727,11,0),0)</f>
        <v>0</v>
      </c>
      <c r="F348" s="244">
        <f>+IFERROR(VLOOKUP(A348,'TB final'!$A$4:$P$727,14,0),0)</f>
        <v>3584869</v>
      </c>
      <c r="G348" s="244">
        <f t="shared" si="10"/>
        <v>0</v>
      </c>
      <c r="H348" s="244">
        <f t="shared" si="10"/>
        <v>0</v>
      </c>
      <c r="I348" s="244">
        <f t="shared" si="11"/>
        <v>0</v>
      </c>
    </row>
    <row r="349" spans="1:9" ht="15" hidden="1" customHeight="1" x14ac:dyDescent="0.25">
      <c r="A349" s="8" t="s">
        <v>379</v>
      </c>
      <c r="B349" s="240"/>
      <c r="C349" s="239">
        <v>145449</v>
      </c>
      <c r="E349" s="244">
        <f>+IFERROR(VLOOKUP(A349,'TB final'!$A$4:$P$727,11,0),0)</f>
        <v>0</v>
      </c>
      <c r="F349" s="244">
        <f>+IFERROR(VLOOKUP(A349,'TB final'!$A$4:$P$727,14,0),0)</f>
        <v>145449</v>
      </c>
      <c r="G349" s="244">
        <f t="shared" si="10"/>
        <v>0</v>
      </c>
      <c r="H349" s="244">
        <f t="shared" si="10"/>
        <v>0</v>
      </c>
      <c r="I349" s="244">
        <f t="shared" si="11"/>
        <v>0</v>
      </c>
    </row>
    <row r="350" spans="1:9" ht="15" hidden="1" customHeight="1" x14ac:dyDescent="0.25">
      <c r="A350" s="8" t="s">
        <v>382</v>
      </c>
      <c r="B350" s="239">
        <v>374511.51</v>
      </c>
      <c r="C350" s="240"/>
      <c r="E350" s="244">
        <f>+IFERROR(VLOOKUP(A350,'TB final'!$A$4:$P$727,11,0),0)</f>
        <v>374511.51</v>
      </c>
      <c r="F350" s="244">
        <f>+IFERROR(VLOOKUP(A350,'TB final'!$A$4:$P$727,14,0),0)</f>
        <v>0</v>
      </c>
      <c r="G350" s="244">
        <f t="shared" si="10"/>
        <v>0</v>
      </c>
      <c r="H350" s="244">
        <f t="shared" si="10"/>
        <v>0</v>
      </c>
      <c r="I350" s="244">
        <f t="shared" si="11"/>
        <v>0</v>
      </c>
    </row>
    <row r="351" spans="1:9" ht="15" hidden="1" customHeight="1" x14ac:dyDescent="0.25">
      <c r="A351" s="8" t="s">
        <v>383</v>
      </c>
      <c r="B351" s="239">
        <v>100400</v>
      </c>
      <c r="C351" s="240"/>
      <c r="E351" s="244">
        <f>+IFERROR(VLOOKUP(A351,'TB final'!$A$4:$P$727,11,0),0)</f>
        <v>100400</v>
      </c>
      <c r="F351" s="244">
        <f>+IFERROR(VLOOKUP(A351,'TB final'!$A$4:$P$727,14,0),0)</f>
        <v>0</v>
      </c>
      <c r="G351" s="244">
        <f t="shared" si="10"/>
        <v>0</v>
      </c>
      <c r="H351" s="244">
        <f t="shared" si="10"/>
        <v>0</v>
      </c>
      <c r="I351" s="244">
        <f t="shared" si="11"/>
        <v>0</v>
      </c>
    </row>
    <row r="352" spans="1:9" ht="15" hidden="1" customHeight="1" x14ac:dyDescent="0.25">
      <c r="A352" s="8" t="s">
        <v>384</v>
      </c>
      <c r="B352" s="240"/>
      <c r="C352" s="239">
        <v>1749357</v>
      </c>
      <c r="E352" s="244">
        <f>+IFERROR(VLOOKUP(A352,'TB final'!$A$4:$P$727,11,0),0)</f>
        <v>0</v>
      </c>
      <c r="F352" s="244">
        <f>+IFERROR(VLOOKUP(A352,'TB final'!$A$4:$P$727,14,0),0)</f>
        <v>1749357</v>
      </c>
      <c r="G352" s="244">
        <f t="shared" si="10"/>
        <v>0</v>
      </c>
      <c r="H352" s="244">
        <f t="shared" si="10"/>
        <v>0</v>
      </c>
      <c r="I352" s="244">
        <f t="shared" si="11"/>
        <v>0</v>
      </c>
    </row>
    <row r="353" spans="1:9" ht="15" hidden="1" customHeight="1" x14ac:dyDescent="0.25">
      <c r="A353" s="8" t="s">
        <v>385</v>
      </c>
      <c r="B353" s="240"/>
      <c r="C353" s="239">
        <v>16225</v>
      </c>
      <c r="E353" s="244">
        <f>+IFERROR(VLOOKUP(A353,'TB final'!$A$4:$P$727,11,0),0)</f>
        <v>0</v>
      </c>
      <c r="F353" s="244">
        <f>+IFERROR(VLOOKUP(A353,'TB final'!$A$4:$P$727,14,0),0)</f>
        <v>16225</v>
      </c>
      <c r="G353" s="244">
        <f t="shared" si="10"/>
        <v>0</v>
      </c>
      <c r="H353" s="244">
        <f t="shared" si="10"/>
        <v>0</v>
      </c>
      <c r="I353" s="244">
        <f t="shared" si="11"/>
        <v>0</v>
      </c>
    </row>
    <row r="354" spans="1:9" ht="15" hidden="1" customHeight="1" x14ac:dyDescent="0.25">
      <c r="A354" s="8" t="s">
        <v>483</v>
      </c>
      <c r="B354" s="240"/>
      <c r="C354" s="239">
        <v>16500</v>
      </c>
      <c r="E354" s="244">
        <f>+IFERROR(VLOOKUP(A354,'TB final'!$A$4:$P$727,11,0),0)</f>
        <v>0</v>
      </c>
      <c r="F354" s="244">
        <f>+IFERROR(VLOOKUP(A354,'TB final'!$A$4:$P$727,14,0),0)</f>
        <v>16500</v>
      </c>
      <c r="G354" s="244">
        <f t="shared" si="10"/>
        <v>0</v>
      </c>
      <c r="H354" s="244">
        <f t="shared" si="10"/>
        <v>0</v>
      </c>
      <c r="I354" s="244">
        <f t="shared" si="11"/>
        <v>0</v>
      </c>
    </row>
    <row r="355" spans="1:9" ht="15" hidden="1" customHeight="1" x14ac:dyDescent="0.25">
      <c r="A355" s="8" t="s">
        <v>388</v>
      </c>
      <c r="B355" s="240"/>
      <c r="C355" s="239">
        <v>10225</v>
      </c>
      <c r="E355" s="244">
        <f>+IFERROR(VLOOKUP(A355,'TB final'!$A$4:$P$727,11,0),0)</f>
        <v>0</v>
      </c>
      <c r="F355" s="244">
        <f>+IFERROR(VLOOKUP(A355,'TB final'!$A$4:$P$727,14,0),0)</f>
        <v>10225</v>
      </c>
      <c r="G355" s="244">
        <f t="shared" si="10"/>
        <v>0</v>
      </c>
      <c r="H355" s="244">
        <f t="shared" si="10"/>
        <v>0</v>
      </c>
      <c r="I355" s="244">
        <f t="shared" si="11"/>
        <v>0</v>
      </c>
    </row>
    <row r="356" spans="1:9" ht="15" hidden="1" customHeight="1" x14ac:dyDescent="0.25">
      <c r="A356" s="8" t="s">
        <v>389</v>
      </c>
      <c r="B356" s="240"/>
      <c r="C356" s="239">
        <v>61843530.590000004</v>
      </c>
      <c r="E356" s="244">
        <f>+IFERROR(VLOOKUP(A356,'TB final'!$A$4:$P$727,11,0),0)</f>
        <v>0</v>
      </c>
      <c r="F356" s="244">
        <f>+IFERROR(VLOOKUP(A356,'TB final'!$A$4:$P$727,14,0),0)</f>
        <v>61843530.590000004</v>
      </c>
      <c r="G356" s="244">
        <f t="shared" si="10"/>
        <v>0</v>
      </c>
      <c r="H356" s="244">
        <f t="shared" si="10"/>
        <v>0</v>
      </c>
      <c r="I356" s="244">
        <f t="shared" si="11"/>
        <v>0</v>
      </c>
    </row>
    <row r="357" spans="1:9" ht="15" hidden="1" customHeight="1" x14ac:dyDescent="0.25">
      <c r="A357" s="8" t="s">
        <v>390</v>
      </c>
      <c r="B357" s="239">
        <v>5558970</v>
      </c>
      <c r="C357" s="240"/>
      <c r="E357" s="244">
        <f>+IFERROR(VLOOKUP(A357,'TB final'!$A$4:$P$727,11,0),0)</f>
        <v>5558970</v>
      </c>
      <c r="F357" s="244">
        <f>+IFERROR(VLOOKUP(A357,'TB final'!$A$4:$P$727,14,0),0)</f>
        <v>0</v>
      </c>
      <c r="G357" s="244">
        <f t="shared" si="10"/>
        <v>0</v>
      </c>
      <c r="H357" s="244">
        <f t="shared" si="10"/>
        <v>0</v>
      </c>
      <c r="I357" s="244">
        <f t="shared" si="11"/>
        <v>0</v>
      </c>
    </row>
    <row r="358" spans="1:9" ht="15" hidden="1" customHeight="1" x14ac:dyDescent="0.25">
      <c r="A358" s="8" t="s">
        <v>391</v>
      </c>
      <c r="B358" s="239">
        <v>237277.27</v>
      </c>
      <c r="C358" s="240"/>
      <c r="E358" s="244">
        <f>+IFERROR(VLOOKUP(A358,'TB final'!$A$4:$P$727,11,0),0)</f>
        <v>237277.27</v>
      </c>
      <c r="F358" s="244">
        <f>+IFERROR(VLOOKUP(A358,'TB final'!$A$4:$P$727,14,0),0)</f>
        <v>0</v>
      </c>
      <c r="G358" s="244">
        <f t="shared" si="10"/>
        <v>0</v>
      </c>
      <c r="H358" s="244">
        <f t="shared" si="10"/>
        <v>0</v>
      </c>
      <c r="I358" s="244">
        <f t="shared" si="11"/>
        <v>0</v>
      </c>
    </row>
    <row r="359" spans="1:9" ht="15" hidden="1" customHeight="1" x14ac:dyDescent="0.25">
      <c r="A359" s="8" t="s">
        <v>832</v>
      </c>
      <c r="B359" s="239">
        <v>275000</v>
      </c>
      <c r="C359" s="240"/>
      <c r="E359" s="244">
        <f>+IFERROR(VLOOKUP(A359,'TB final'!$A$4:$P$727,11,0),0)</f>
        <v>275000</v>
      </c>
      <c r="F359" s="244">
        <f>+IFERROR(VLOOKUP(A359,'TB final'!$A$4:$P$727,14,0),0)</f>
        <v>0</v>
      </c>
      <c r="G359" s="244">
        <f t="shared" si="10"/>
        <v>0</v>
      </c>
      <c r="H359" s="244">
        <f t="shared" si="10"/>
        <v>0</v>
      </c>
      <c r="I359" s="244">
        <f t="shared" si="11"/>
        <v>0</v>
      </c>
    </row>
    <row r="360" spans="1:9" ht="15" hidden="1" customHeight="1" x14ac:dyDescent="0.25">
      <c r="A360" s="8" t="s">
        <v>896</v>
      </c>
      <c r="B360" s="240"/>
      <c r="C360" s="239">
        <v>142942</v>
      </c>
      <c r="E360" s="244">
        <f>+IFERROR(VLOOKUP(A360,'TB final'!$A$4:$P$727,11,0),0)</f>
        <v>0</v>
      </c>
      <c r="F360" s="244">
        <f>+IFERROR(VLOOKUP(A360,'TB final'!$A$4:$P$727,14,0),0)</f>
        <v>142942</v>
      </c>
      <c r="G360" s="244">
        <f t="shared" si="10"/>
        <v>0</v>
      </c>
      <c r="H360" s="244">
        <f t="shared" si="10"/>
        <v>0</v>
      </c>
      <c r="I360" s="244">
        <f t="shared" si="11"/>
        <v>0</v>
      </c>
    </row>
    <row r="361" spans="1:9" ht="15" hidden="1" customHeight="1" x14ac:dyDescent="0.25">
      <c r="A361" s="8" t="s">
        <v>393</v>
      </c>
      <c r="B361" s="239">
        <v>73000</v>
      </c>
      <c r="C361" s="240"/>
      <c r="E361" s="244">
        <f>+IFERROR(VLOOKUP(A361,'TB final'!$A$4:$P$727,11,0),0)</f>
        <v>73000</v>
      </c>
      <c r="F361" s="244">
        <f>+IFERROR(VLOOKUP(A361,'TB final'!$A$4:$P$727,14,0),0)</f>
        <v>0</v>
      </c>
      <c r="G361" s="244">
        <f t="shared" si="10"/>
        <v>0</v>
      </c>
      <c r="H361" s="244">
        <f t="shared" si="10"/>
        <v>0</v>
      </c>
      <c r="I361" s="244">
        <f t="shared" si="11"/>
        <v>0</v>
      </c>
    </row>
    <row r="362" spans="1:9" ht="15" hidden="1" customHeight="1" x14ac:dyDescent="0.25">
      <c r="A362" s="8" t="s">
        <v>394</v>
      </c>
      <c r="B362" s="240"/>
      <c r="C362" s="239">
        <v>64723</v>
      </c>
      <c r="E362" s="244">
        <f>+IFERROR(VLOOKUP(A362,'TB final'!$A$4:$P$727,11,0),0)</f>
        <v>0</v>
      </c>
      <c r="F362" s="244">
        <f>+IFERROR(VLOOKUP(A362,'TB final'!$A$4:$P$727,14,0),0)</f>
        <v>64723</v>
      </c>
      <c r="G362" s="244">
        <f t="shared" si="10"/>
        <v>0</v>
      </c>
      <c r="H362" s="244">
        <f t="shared" si="10"/>
        <v>0</v>
      </c>
      <c r="I362" s="244">
        <f t="shared" si="11"/>
        <v>0</v>
      </c>
    </row>
    <row r="363" spans="1:9" ht="15" hidden="1" customHeight="1" x14ac:dyDescent="0.25">
      <c r="A363" s="8" t="s">
        <v>837</v>
      </c>
      <c r="B363" s="240"/>
      <c r="C363" s="239">
        <v>32212</v>
      </c>
      <c r="E363" s="244">
        <f>+IFERROR(VLOOKUP(A363,'TB final'!$A$4:$P$727,11,0),0)</f>
        <v>0</v>
      </c>
      <c r="F363" s="244">
        <f>+IFERROR(VLOOKUP(A363,'TB final'!$A$4:$P$727,14,0),0)</f>
        <v>32212</v>
      </c>
      <c r="G363" s="244">
        <f t="shared" si="10"/>
        <v>0</v>
      </c>
      <c r="H363" s="244">
        <f t="shared" si="10"/>
        <v>0</v>
      </c>
      <c r="I363" s="244">
        <f t="shared" si="11"/>
        <v>0</v>
      </c>
    </row>
    <row r="364" spans="1:9" ht="15" hidden="1" customHeight="1" x14ac:dyDescent="0.25">
      <c r="A364" s="8" t="s">
        <v>838</v>
      </c>
      <c r="B364" s="240"/>
      <c r="C364" s="239">
        <v>98185</v>
      </c>
      <c r="E364" s="244">
        <f>+IFERROR(VLOOKUP(A364,'TB final'!$A$4:$P$727,11,0),0)</f>
        <v>0</v>
      </c>
      <c r="F364" s="244">
        <f>+IFERROR(VLOOKUP(A364,'TB final'!$A$4:$P$727,14,0),0)</f>
        <v>98185</v>
      </c>
      <c r="G364" s="244">
        <f t="shared" si="10"/>
        <v>0</v>
      </c>
      <c r="H364" s="244">
        <f t="shared" si="10"/>
        <v>0</v>
      </c>
      <c r="I364" s="244">
        <f t="shared" si="11"/>
        <v>0</v>
      </c>
    </row>
    <row r="365" spans="1:9" ht="15" hidden="1" customHeight="1" x14ac:dyDescent="0.25">
      <c r="A365" s="8" t="s">
        <v>839</v>
      </c>
      <c r="B365" s="239">
        <v>213539</v>
      </c>
      <c r="C365" s="240"/>
      <c r="E365" s="244">
        <f>+IFERROR(VLOOKUP(A365,'TB final'!$A$4:$P$727,11,0),0)</f>
        <v>213539</v>
      </c>
      <c r="F365" s="244">
        <f>+IFERROR(VLOOKUP(A365,'TB final'!$A$4:$P$727,14,0),0)</f>
        <v>0</v>
      </c>
      <c r="G365" s="244">
        <f t="shared" si="10"/>
        <v>0</v>
      </c>
      <c r="H365" s="244">
        <f t="shared" si="10"/>
        <v>0</v>
      </c>
      <c r="I365" s="244">
        <f t="shared" si="11"/>
        <v>0</v>
      </c>
    </row>
    <row r="366" spans="1:9" ht="15" hidden="1" customHeight="1" x14ac:dyDescent="0.25">
      <c r="A366" s="8" t="s">
        <v>395</v>
      </c>
      <c r="B366" s="239">
        <v>199368.3</v>
      </c>
      <c r="C366" s="240"/>
      <c r="E366" s="244">
        <f>+IFERROR(VLOOKUP(A366,'TB final'!$A$4:$P$727,11,0),0)</f>
        <v>199368.3</v>
      </c>
      <c r="F366" s="244">
        <f>+IFERROR(VLOOKUP(A366,'TB final'!$A$4:$P$727,14,0),0)</f>
        <v>0</v>
      </c>
      <c r="G366" s="244">
        <f t="shared" si="10"/>
        <v>0</v>
      </c>
      <c r="H366" s="244">
        <f t="shared" si="10"/>
        <v>0</v>
      </c>
      <c r="I366" s="244">
        <f t="shared" si="11"/>
        <v>0</v>
      </c>
    </row>
    <row r="367" spans="1:9" ht="15" hidden="1" customHeight="1" x14ac:dyDescent="0.25">
      <c r="A367" s="8" t="s">
        <v>841</v>
      </c>
      <c r="B367" s="239">
        <v>1168754</v>
      </c>
      <c r="C367" s="240"/>
      <c r="E367" s="244">
        <f>+IFERROR(VLOOKUP(A367,'TB final'!$A$4:$P$727,11,0),0)</f>
        <v>1168754</v>
      </c>
      <c r="F367" s="244">
        <f>+IFERROR(VLOOKUP(A367,'TB final'!$A$4:$P$727,14,0),0)</f>
        <v>0</v>
      </c>
      <c r="G367" s="244">
        <f t="shared" si="10"/>
        <v>0</v>
      </c>
      <c r="H367" s="244">
        <f t="shared" si="10"/>
        <v>0</v>
      </c>
      <c r="I367" s="244">
        <f t="shared" si="11"/>
        <v>0</v>
      </c>
    </row>
    <row r="368" spans="1:9" ht="15" hidden="1" customHeight="1" x14ac:dyDescent="0.25">
      <c r="A368" s="8" t="s">
        <v>396</v>
      </c>
      <c r="B368" s="239">
        <v>22000</v>
      </c>
      <c r="C368" s="240"/>
      <c r="E368" s="244">
        <f>+IFERROR(VLOOKUP(A368,'TB final'!$A$4:$P$727,11,0),0)</f>
        <v>22000</v>
      </c>
      <c r="F368" s="244">
        <f>+IFERROR(VLOOKUP(A368,'TB final'!$A$4:$P$727,14,0),0)</f>
        <v>0</v>
      </c>
      <c r="G368" s="244">
        <f t="shared" si="10"/>
        <v>0</v>
      </c>
      <c r="H368" s="244">
        <f t="shared" si="10"/>
        <v>0</v>
      </c>
      <c r="I368" s="244">
        <f t="shared" si="11"/>
        <v>0</v>
      </c>
    </row>
    <row r="369" spans="1:9" ht="15" hidden="1" customHeight="1" x14ac:dyDescent="0.25">
      <c r="A369" s="8" t="s">
        <v>397</v>
      </c>
      <c r="B369" s="240"/>
      <c r="C369" s="239">
        <v>351168</v>
      </c>
      <c r="E369" s="244">
        <f>+IFERROR(VLOOKUP(A369,'TB final'!$A$4:$P$727,11,0),0)</f>
        <v>0</v>
      </c>
      <c r="F369" s="244">
        <f>+IFERROR(VLOOKUP(A369,'TB final'!$A$4:$P$727,14,0),0)</f>
        <v>351168</v>
      </c>
      <c r="G369" s="244">
        <f t="shared" si="10"/>
        <v>0</v>
      </c>
      <c r="H369" s="244">
        <f t="shared" si="10"/>
        <v>0</v>
      </c>
      <c r="I369" s="244">
        <f t="shared" si="11"/>
        <v>0</v>
      </c>
    </row>
    <row r="370" spans="1:9" ht="15" hidden="1" customHeight="1" x14ac:dyDescent="0.25">
      <c r="A370" s="8" t="s">
        <v>398</v>
      </c>
      <c r="B370" s="239">
        <v>44002</v>
      </c>
      <c r="C370" s="240"/>
      <c r="E370" s="244">
        <f>+IFERROR(VLOOKUP(A370,'TB final'!$A$4:$P$727,11,0),0)</f>
        <v>44002</v>
      </c>
      <c r="F370" s="244">
        <f>+IFERROR(VLOOKUP(A370,'TB final'!$A$4:$P$727,14,0),0)</f>
        <v>0</v>
      </c>
      <c r="G370" s="244">
        <f t="shared" si="10"/>
        <v>0</v>
      </c>
      <c r="H370" s="244">
        <f t="shared" si="10"/>
        <v>0</v>
      </c>
      <c r="I370" s="244">
        <f t="shared" si="11"/>
        <v>0</v>
      </c>
    </row>
    <row r="371" spans="1:9" ht="15" hidden="1" customHeight="1" x14ac:dyDescent="0.25">
      <c r="A371" s="8" t="s">
        <v>403</v>
      </c>
      <c r="B371" s="239">
        <v>15292</v>
      </c>
      <c r="C371" s="240"/>
      <c r="E371" s="244">
        <f>+IFERROR(VLOOKUP(A371,'TB final'!$A$4:$P$727,11,0),0)</f>
        <v>15292</v>
      </c>
      <c r="F371" s="244">
        <f>+IFERROR(VLOOKUP(A371,'TB final'!$A$4:$P$727,14,0),0)</f>
        <v>0</v>
      </c>
      <c r="G371" s="244">
        <f t="shared" si="10"/>
        <v>0</v>
      </c>
      <c r="H371" s="244">
        <f t="shared" si="10"/>
        <v>0</v>
      </c>
      <c r="I371" s="244">
        <f t="shared" si="11"/>
        <v>0</v>
      </c>
    </row>
    <row r="372" spans="1:9" hidden="1" x14ac:dyDescent="0.25">
      <c r="A372" s="8" t="s">
        <v>846</v>
      </c>
      <c r="B372" s="239">
        <v>21</v>
      </c>
      <c r="C372" s="240"/>
      <c r="E372" s="244">
        <f>+IFERROR(VLOOKUP(A372,'TB final'!$A$4:$P$727,11,0),0)</f>
        <v>21</v>
      </c>
      <c r="F372" s="244">
        <f>+IFERROR(VLOOKUP(A372,'TB final'!$A$4:$P$727,14,0),0)</f>
        <v>0</v>
      </c>
      <c r="G372" s="244">
        <f t="shared" si="10"/>
        <v>0</v>
      </c>
      <c r="H372" s="244">
        <f t="shared" si="10"/>
        <v>0</v>
      </c>
      <c r="I372" s="244">
        <f t="shared" si="11"/>
        <v>0</v>
      </c>
    </row>
    <row r="373" spans="1:9" ht="15" hidden="1" customHeight="1" x14ac:dyDescent="0.25">
      <c r="A373" s="8" t="s">
        <v>405</v>
      </c>
      <c r="B373" s="240"/>
      <c r="C373" s="239">
        <v>5038</v>
      </c>
      <c r="E373" s="244">
        <f>+IFERROR(VLOOKUP(A373,'TB final'!$A$4:$P$727,11,0),0)</f>
        <v>0</v>
      </c>
      <c r="F373" s="244">
        <f>+IFERROR(VLOOKUP(A373,'TB final'!$A$4:$P$727,14,0),0)</f>
        <v>5038</v>
      </c>
      <c r="G373" s="244">
        <f t="shared" si="10"/>
        <v>0</v>
      </c>
      <c r="H373" s="244">
        <f t="shared" si="10"/>
        <v>0</v>
      </c>
      <c r="I373" s="244">
        <f t="shared" si="11"/>
        <v>0</v>
      </c>
    </row>
    <row r="374" spans="1:9" ht="15" hidden="1" customHeight="1" x14ac:dyDescent="0.25">
      <c r="A374" s="8" t="s">
        <v>406</v>
      </c>
      <c r="B374" s="240"/>
      <c r="C374" s="239">
        <v>1902</v>
      </c>
      <c r="E374" s="244">
        <f>+IFERROR(VLOOKUP(A374,'TB final'!$A$4:$P$727,11,0),0)</f>
        <v>0</v>
      </c>
      <c r="F374" s="244">
        <f>+IFERROR(VLOOKUP(A374,'TB final'!$A$4:$P$727,14,0),0)</f>
        <v>1902</v>
      </c>
      <c r="G374" s="244">
        <f t="shared" si="10"/>
        <v>0</v>
      </c>
      <c r="H374" s="244">
        <f t="shared" si="10"/>
        <v>0</v>
      </c>
      <c r="I374" s="244">
        <f t="shared" si="11"/>
        <v>0</v>
      </c>
    </row>
    <row r="375" spans="1:9" ht="15" hidden="1" customHeight="1" x14ac:dyDescent="0.25">
      <c r="A375" s="8" t="s">
        <v>407</v>
      </c>
      <c r="B375" s="240"/>
      <c r="C375" s="239">
        <v>16393.04</v>
      </c>
      <c r="E375" s="244">
        <f>+IFERROR(VLOOKUP(A375,'TB final'!$A$4:$P$727,11,0),0)</f>
        <v>0</v>
      </c>
      <c r="F375" s="244">
        <f>+IFERROR(VLOOKUP(A375,'TB final'!$A$4:$P$727,14,0),0)</f>
        <v>16393.04</v>
      </c>
      <c r="G375" s="244">
        <f t="shared" si="10"/>
        <v>0</v>
      </c>
      <c r="H375" s="244">
        <f t="shared" si="10"/>
        <v>0</v>
      </c>
      <c r="I375" s="244">
        <f t="shared" si="11"/>
        <v>0</v>
      </c>
    </row>
    <row r="376" spans="1:9" ht="15" hidden="1" customHeight="1" x14ac:dyDescent="0.25">
      <c r="A376" s="8" t="s">
        <v>408</v>
      </c>
      <c r="B376" s="240"/>
      <c r="C376" s="239">
        <v>47856</v>
      </c>
      <c r="E376" s="244">
        <f>+IFERROR(VLOOKUP(A376,'TB final'!$A$4:$P$727,11,0),0)</f>
        <v>0</v>
      </c>
      <c r="F376" s="244">
        <f>+IFERROR(VLOOKUP(A376,'TB final'!$A$4:$P$727,14,0),0)</f>
        <v>47856</v>
      </c>
      <c r="G376" s="244">
        <f t="shared" si="10"/>
        <v>0</v>
      </c>
      <c r="H376" s="244">
        <f t="shared" si="10"/>
        <v>0</v>
      </c>
      <c r="I376" s="244">
        <f t="shared" si="11"/>
        <v>0</v>
      </c>
    </row>
    <row r="377" spans="1:9" ht="15" hidden="1" customHeight="1" x14ac:dyDescent="0.25">
      <c r="A377" s="8" t="s">
        <v>409</v>
      </c>
      <c r="B377" s="240"/>
      <c r="C377" s="239">
        <v>3900</v>
      </c>
      <c r="E377" s="244">
        <f>+IFERROR(VLOOKUP(A377,'TB final'!$A$4:$P$727,11,0),0)</f>
        <v>0</v>
      </c>
      <c r="F377" s="244">
        <f>+IFERROR(VLOOKUP(A377,'TB final'!$A$4:$P$727,14,0),0)</f>
        <v>3900</v>
      </c>
      <c r="G377" s="244">
        <f t="shared" si="10"/>
        <v>0</v>
      </c>
      <c r="H377" s="244">
        <f t="shared" si="10"/>
        <v>0</v>
      </c>
      <c r="I377" s="244">
        <f t="shared" si="11"/>
        <v>0</v>
      </c>
    </row>
    <row r="378" spans="1:9" ht="15" hidden="1" customHeight="1" x14ac:dyDescent="0.25">
      <c r="A378" s="8" t="s">
        <v>410</v>
      </c>
      <c r="B378" s="240"/>
      <c r="C378" s="239">
        <v>101044</v>
      </c>
      <c r="E378" s="244">
        <f>+IFERROR(VLOOKUP(A378,'TB final'!$A$4:$P$727,11,0),0)</f>
        <v>0</v>
      </c>
      <c r="F378" s="244">
        <f>+IFERROR(VLOOKUP(A378,'TB final'!$A$4:$P$727,14,0),0)</f>
        <v>101044</v>
      </c>
      <c r="G378" s="244">
        <f t="shared" si="10"/>
        <v>0</v>
      </c>
      <c r="H378" s="244">
        <f t="shared" si="10"/>
        <v>0</v>
      </c>
      <c r="I378" s="244">
        <f t="shared" si="11"/>
        <v>0</v>
      </c>
    </row>
    <row r="379" spans="1:9" ht="15" hidden="1" customHeight="1" x14ac:dyDescent="0.25">
      <c r="A379" s="8" t="s">
        <v>411</v>
      </c>
      <c r="B379" s="240"/>
      <c r="C379" s="239">
        <v>92000</v>
      </c>
      <c r="E379" s="244">
        <f>+IFERROR(VLOOKUP(A379,'TB final'!$A$4:$P$727,11,0),0)</f>
        <v>0</v>
      </c>
      <c r="F379" s="244">
        <f>+IFERROR(VLOOKUP(A379,'TB final'!$A$4:$P$727,14,0),0)</f>
        <v>92000</v>
      </c>
      <c r="G379" s="244">
        <f t="shared" si="10"/>
        <v>0</v>
      </c>
      <c r="H379" s="244">
        <f t="shared" si="10"/>
        <v>0</v>
      </c>
      <c r="I379" s="244">
        <f t="shared" si="11"/>
        <v>0</v>
      </c>
    </row>
    <row r="380" spans="1:9" ht="15" hidden="1" customHeight="1" x14ac:dyDescent="0.25">
      <c r="A380" s="8" t="s">
        <v>412</v>
      </c>
      <c r="B380" s="240"/>
      <c r="C380" s="239">
        <v>1977</v>
      </c>
      <c r="E380" s="244">
        <f>+IFERROR(VLOOKUP(A380,'TB final'!$A$4:$P$727,11,0),0)</f>
        <v>0</v>
      </c>
      <c r="F380" s="244">
        <f>+IFERROR(VLOOKUP(A380,'TB final'!$A$4:$P$727,14,0),0)</f>
        <v>1977</v>
      </c>
      <c r="G380" s="244">
        <f t="shared" si="10"/>
        <v>0</v>
      </c>
      <c r="H380" s="244">
        <f t="shared" si="10"/>
        <v>0</v>
      </c>
      <c r="I380" s="244">
        <f t="shared" si="11"/>
        <v>0</v>
      </c>
    </row>
    <row r="381" spans="1:9" ht="15" hidden="1" customHeight="1" x14ac:dyDescent="0.25">
      <c r="A381" s="8" t="s">
        <v>413</v>
      </c>
      <c r="B381" s="240"/>
      <c r="C381" s="239">
        <v>51303.4</v>
      </c>
      <c r="E381" s="244">
        <f>+IFERROR(VLOOKUP(A381,'TB final'!$A$4:$P$727,11,0),0)</f>
        <v>0</v>
      </c>
      <c r="F381" s="244">
        <f>+IFERROR(VLOOKUP(A381,'TB final'!$A$4:$P$727,14,0),0)</f>
        <v>51303.4</v>
      </c>
      <c r="G381" s="244">
        <f t="shared" si="10"/>
        <v>0</v>
      </c>
      <c r="H381" s="244">
        <f t="shared" si="10"/>
        <v>0</v>
      </c>
      <c r="I381" s="244">
        <f t="shared" si="11"/>
        <v>0</v>
      </c>
    </row>
    <row r="382" spans="1:9" ht="15" hidden="1" customHeight="1" x14ac:dyDescent="0.25">
      <c r="A382" s="8" t="s">
        <v>414</v>
      </c>
      <c r="B382" s="239">
        <v>57609.08</v>
      </c>
      <c r="C382" s="240"/>
      <c r="E382" s="244">
        <f>+IFERROR(VLOOKUP(A382,'TB final'!$A$4:$P$727,11,0),0)</f>
        <v>57609.08</v>
      </c>
      <c r="F382" s="244">
        <f>+IFERROR(VLOOKUP(A382,'TB final'!$A$4:$P$727,14,0),0)</f>
        <v>0</v>
      </c>
      <c r="G382" s="244">
        <f t="shared" si="10"/>
        <v>0</v>
      </c>
      <c r="H382" s="244">
        <f t="shared" si="10"/>
        <v>0</v>
      </c>
      <c r="I382" s="244">
        <f t="shared" si="11"/>
        <v>0</v>
      </c>
    </row>
    <row r="383" spans="1:9" ht="15" hidden="1" customHeight="1" x14ac:dyDescent="0.25">
      <c r="A383" s="8" t="s">
        <v>415</v>
      </c>
      <c r="B383" s="240"/>
      <c r="C383" s="239">
        <v>1579</v>
      </c>
      <c r="E383" s="244">
        <f>+IFERROR(VLOOKUP(A383,'TB final'!$A$4:$P$727,11,0),0)</f>
        <v>0</v>
      </c>
      <c r="F383" s="244">
        <f>+IFERROR(VLOOKUP(A383,'TB final'!$A$4:$P$727,14,0),0)</f>
        <v>1579</v>
      </c>
      <c r="G383" s="244">
        <f t="shared" si="10"/>
        <v>0</v>
      </c>
      <c r="H383" s="244">
        <f t="shared" si="10"/>
        <v>0</v>
      </c>
      <c r="I383" s="244">
        <f t="shared" si="11"/>
        <v>0</v>
      </c>
    </row>
    <row r="384" spans="1:9" ht="15" hidden="1" customHeight="1" x14ac:dyDescent="0.25">
      <c r="A384" s="8" t="s">
        <v>416</v>
      </c>
      <c r="B384" s="239">
        <v>97188</v>
      </c>
      <c r="C384" s="240"/>
      <c r="E384" s="244">
        <f>+IFERROR(VLOOKUP(A384,'TB final'!$A$4:$P$727,11,0),0)</f>
        <v>97188</v>
      </c>
      <c r="F384" s="244">
        <f>+IFERROR(VLOOKUP(A384,'TB final'!$A$4:$P$727,14,0),0)</f>
        <v>0</v>
      </c>
      <c r="G384" s="244">
        <f t="shared" si="10"/>
        <v>0</v>
      </c>
      <c r="H384" s="244">
        <f t="shared" si="10"/>
        <v>0</v>
      </c>
      <c r="I384" s="244">
        <f t="shared" si="11"/>
        <v>0</v>
      </c>
    </row>
    <row r="385" spans="1:9" ht="15" hidden="1" customHeight="1" x14ac:dyDescent="0.25">
      <c r="A385" s="8" t="s">
        <v>417</v>
      </c>
      <c r="B385" s="240"/>
      <c r="C385" s="239">
        <v>553184</v>
      </c>
      <c r="E385" s="244">
        <f>+IFERROR(VLOOKUP(A385,'TB final'!$A$4:$P$727,11,0),0)</f>
        <v>0</v>
      </c>
      <c r="F385" s="244">
        <f>+IFERROR(VLOOKUP(A385,'TB final'!$A$4:$P$727,14,0),0)</f>
        <v>553184</v>
      </c>
      <c r="G385" s="244">
        <f t="shared" si="10"/>
        <v>0</v>
      </c>
      <c r="H385" s="244">
        <f t="shared" si="10"/>
        <v>0</v>
      </c>
      <c r="I385" s="244">
        <f t="shared" si="11"/>
        <v>0</v>
      </c>
    </row>
    <row r="386" spans="1:9" ht="15" hidden="1" customHeight="1" x14ac:dyDescent="0.25">
      <c r="A386" s="8" t="s">
        <v>418</v>
      </c>
      <c r="B386" s="239">
        <v>61964</v>
      </c>
      <c r="C386" s="240"/>
      <c r="E386" s="244">
        <f>+IFERROR(VLOOKUP(A386,'TB final'!$A$4:$P$727,11,0),0)</f>
        <v>61964</v>
      </c>
      <c r="F386" s="244">
        <f>+IFERROR(VLOOKUP(A386,'TB final'!$A$4:$P$727,14,0),0)</f>
        <v>0</v>
      </c>
      <c r="G386" s="244">
        <f t="shared" si="10"/>
        <v>0</v>
      </c>
      <c r="H386" s="244">
        <f t="shared" si="10"/>
        <v>0</v>
      </c>
      <c r="I386" s="244">
        <f t="shared" si="11"/>
        <v>0</v>
      </c>
    </row>
    <row r="387" spans="1:9" ht="15" hidden="1" customHeight="1" x14ac:dyDescent="0.25">
      <c r="A387" s="8" t="s">
        <v>419</v>
      </c>
      <c r="B387" s="239">
        <v>1281082.44</v>
      </c>
      <c r="C387" s="240"/>
      <c r="E387" s="244">
        <f>+IFERROR(VLOOKUP(A387,'TB final'!$A$4:$P$727,11,0),0)</f>
        <v>1281082.44</v>
      </c>
      <c r="F387" s="244">
        <f>+IFERROR(VLOOKUP(A387,'TB final'!$A$4:$P$727,14,0),0)</f>
        <v>0</v>
      </c>
      <c r="G387" s="244">
        <f t="shared" si="10"/>
        <v>0</v>
      </c>
      <c r="H387" s="244">
        <f t="shared" si="10"/>
        <v>0</v>
      </c>
      <c r="I387" s="244">
        <f t="shared" si="11"/>
        <v>0</v>
      </c>
    </row>
    <row r="388" spans="1:9" ht="15" hidden="1" customHeight="1" x14ac:dyDescent="0.25">
      <c r="A388" s="8" t="s">
        <v>420</v>
      </c>
      <c r="B388" s="240"/>
      <c r="C388" s="239">
        <v>88755</v>
      </c>
      <c r="E388" s="244">
        <f>+IFERROR(VLOOKUP(A388,'TB final'!$A$4:$P$727,11,0),0)</f>
        <v>0</v>
      </c>
      <c r="F388" s="244">
        <f>+IFERROR(VLOOKUP(A388,'TB final'!$A$4:$P$727,14,0),0)</f>
        <v>88755</v>
      </c>
      <c r="G388" s="244">
        <f t="shared" si="10"/>
        <v>0</v>
      </c>
      <c r="H388" s="244">
        <f t="shared" si="10"/>
        <v>0</v>
      </c>
      <c r="I388" s="244">
        <f t="shared" si="11"/>
        <v>0</v>
      </c>
    </row>
    <row r="389" spans="1:9" ht="15" hidden="1" customHeight="1" x14ac:dyDescent="0.25">
      <c r="A389" s="8" t="s">
        <v>421</v>
      </c>
      <c r="B389" s="239">
        <v>333284</v>
      </c>
      <c r="C389" s="240"/>
      <c r="E389" s="244">
        <f>+IFERROR(VLOOKUP(A389,'TB final'!$A$4:$P$727,11,0),0)</f>
        <v>333284</v>
      </c>
      <c r="F389" s="244">
        <f>+IFERROR(VLOOKUP(A389,'TB final'!$A$4:$P$727,14,0),0)</f>
        <v>0</v>
      </c>
      <c r="G389" s="244">
        <f t="shared" si="10"/>
        <v>0</v>
      </c>
      <c r="H389" s="244">
        <f t="shared" si="10"/>
        <v>0</v>
      </c>
      <c r="I389" s="244">
        <f t="shared" si="11"/>
        <v>0</v>
      </c>
    </row>
    <row r="390" spans="1:9" ht="15" hidden="1" customHeight="1" x14ac:dyDescent="0.25">
      <c r="A390" s="8" t="s">
        <v>859</v>
      </c>
      <c r="B390" s="239">
        <v>900</v>
      </c>
      <c r="C390" s="240"/>
      <c r="E390" s="244">
        <f>+IFERROR(VLOOKUP(A390,'TB final'!$A$4:$P$727,11,0),0)</f>
        <v>900</v>
      </c>
      <c r="F390" s="244">
        <f>+IFERROR(VLOOKUP(A390,'TB final'!$A$4:$P$727,14,0),0)</f>
        <v>0</v>
      </c>
      <c r="G390" s="244">
        <f t="shared" si="10"/>
        <v>0</v>
      </c>
      <c r="H390" s="244">
        <f t="shared" si="10"/>
        <v>0</v>
      </c>
      <c r="I390" s="244">
        <f t="shared" si="11"/>
        <v>0</v>
      </c>
    </row>
    <row r="391" spans="1:9" ht="15" hidden="1" customHeight="1" x14ac:dyDescent="0.25">
      <c r="A391" s="8" t="s">
        <v>423</v>
      </c>
      <c r="B391" s="239">
        <v>350000</v>
      </c>
      <c r="C391" s="240"/>
      <c r="E391" s="244">
        <f>+IFERROR(VLOOKUP(A391,'TB final'!$A$4:$P$727,11,0),0)</f>
        <v>350000</v>
      </c>
      <c r="F391" s="244">
        <f>+IFERROR(VLOOKUP(A391,'TB final'!$A$4:$P$727,14,0),0)</f>
        <v>0</v>
      </c>
      <c r="G391" s="244">
        <f t="shared" si="10"/>
        <v>0</v>
      </c>
      <c r="H391" s="244">
        <f t="shared" si="10"/>
        <v>0</v>
      </c>
      <c r="I391" s="244">
        <f t="shared" si="11"/>
        <v>0</v>
      </c>
    </row>
    <row r="392" spans="1:9" ht="15" hidden="1" customHeight="1" x14ac:dyDescent="0.25">
      <c r="A392" s="8" t="s">
        <v>424</v>
      </c>
      <c r="B392" s="239">
        <v>676306.5</v>
      </c>
      <c r="C392" s="240"/>
      <c r="E392" s="244">
        <f>+IFERROR(VLOOKUP(A392,'TB final'!$A$4:$P$727,11,0),0)</f>
        <v>676306.5</v>
      </c>
      <c r="F392" s="244">
        <f>+IFERROR(VLOOKUP(A392,'TB final'!$A$4:$P$727,14,0),0)</f>
        <v>0</v>
      </c>
      <c r="G392" s="244">
        <f t="shared" si="10"/>
        <v>0</v>
      </c>
      <c r="H392" s="244">
        <f t="shared" si="10"/>
        <v>0</v>
      </c>
      <c r="I392" s="244">
        <f t="shared" si="11"/>
        <v>0</v>
      </c>
    </row>
    <row r="393" spans="1:9" ht="15" hidden="1" customHeight="1" x14ac:dyDescent="0.25">
      <c r="A393" s="8" t="s">
        <v>861</v>
      </c>
      <c r="B393" s="239">
        <v>122689</v>
      </c>
      <c r="C393" s="240"/>
      <c r="E393" s="244">
        <f>+IFERROR(VLOOKUP(A393,'TB final'!$A$4:$P$727,11,0),0)</f>
        <v>122689</v>
      </c>
      <c r="F393" s="244">
        <f>+IFERROR(VLOOKUP(A393,'TB final'!$A$4:$P$727,14,0),0)</f>
        <v>0</v>
      </c>
      <c r="G393" s="244">
        <f t="shared" si="10"/>
        <v>0</v>
      </c>
      <c r="H393" s="244">
        <f t="shared" si="10"/>
        <v>0</v>
      </c>
      <c r="I393" s="244">
        <f t="shared" si="11"/>
        <v>0</v>
      </c>
    </row>
    <row r="394" spans="1:9" ht="15" hidden="1" customHeight="1" x14ac:dyDescent="0.25">
      <c r="A394" s="8" t="s">
        <v>425</v>
      </c>
      <c r="B394" s="240"/>
      <c r="C394" s="239">
        <v>92820</v>
      </c>
      <c r="E394" s="244">
        <f>+IFERROR(VLOOKUP(A394,'TB final'!$A$4:$P$727,11,0),0)</f>
        <v>0</v>
      </c>
      <c r="F394" s="244">
        <f>+IFERROR(VLOOKUP(A394,'TB final'!$A$4:$P$727,14,0),0)</f>
        <v>92820</v>
      </c>
      <c r="G394" s="244">
        <f t="shared" si="10"/>
        <v>0</v>
      </c>
      <c r="H394" s="244">
        <f t="shared" si="10"/>
        <v>0</v>
      </c>
      <c r="I394" s="244">
        <f t="shared" si="11"/>
        <v>0</v>
      </c>
    </row>
    <row r="395" spans="1:9" ht="15" hidden="1" customHeight="1" x14ac:dyDescent="0.25">
      <c r="A395" s="8" t="s">
        <v>427</v>
      </c>
      <c r="B395" s="240"/>
      <c r="C395" s="239">
        <v>2274218</v>
      </c>
      <c r="E395" s="244">
        <f>+IFERROR(VLOOKUP(A395,'TB final'!$A$4:$P$727,11,0),0)</f>
        <v>0</v>
      </c>
      <c r="F395" s="244">
        <f>+IFERROR(VLOOKUP(A395,'TB final'!$A$4:$P$727,14,0),0)</f>
        <v>2274218</v>
      </c>
      <c r="G395" s="244">
        <f t="shared" si="10"/>
        <v>0</v>
      </c>
      <c r="H395" s="244">
        <f t="shared" si="10"/>
        <v>0</v>
      </c>
      <c r="I395" s="244">
        <f t="shared" si="11"/>
        <v>0</v>
      </c>
    </row>
    <row r="396" spans="1:9" ht="15" hidden="1" customHeight="1" x14ac:dyDescent="0.25">
      <c r="A396" s="8" t="s">
        <v>880</v>
      </c>
      <c r="B396" s="239">
        <v>14674</v>
      </c>
      <c r="C396" s="240"/>
      <c r="E396" s="244">
        <f>+IFERROR(VLOOKUP(A396,'TB final'!$A$4:$P$727,11,0),0)</f>
        <v>14674</v>
      </c>
      <c r="F396" s="244">
        <f>+IFERROR(VLOOKUP(A396,'TB final'!$A$4:$P$727,14,0),0)</f>
        <v>0</v>
      </c>
      <c r="G396" s="244">
        <f t="shared" si="10"/>
        <v>0</v>
      </c>
      <c r="H396" s="244">
        <f t="shared" si="10"/>
        <v>0</v>
      </c>
      <c r="I396" s="244">
        <f t="shared" si="11"/>
        <v>0</v>
      </c>
    </row>
    <row r="397" spans="1:9" ht="15" hidden="1" customHeight="1" x14ac:dyDescent="0.25">
      <c r="A397" s="8" t="s">
        <v>864</v>
      </c>
      <c r="B397" s="239">
        <v>24429.360000000001</v>
      </c>
      <c r="C397" s="240"/>
      <c r="E397" s="244">
        <f>+IFERROR(VLOOKUP(A397,'TB final'!$A$4:$P$727,11,0),0)</f>
        <v>24429.360000000001</v>
      </c>
      <c r="F397" s="244">
        <f>+IFERROR(VLOOKUP(A397,'TB final'!$A$4:$P$727,14,0),0)</f>
        <v>0</v>
      </c>
      <c r="G397" s="244">
        <f t="shared" ref="G397:H413" si="12">+B397-E397</f>
        <v>0</v>
      </c>
      <c r="H397" s="244">
        <f t="shared" si="12"/>
        <v>0</v>
      </c>
      <c r="I397" s="244">
        <f t="shared" ref="I397:I415" si="13">+G397+H397</f>
        <v>0</v>
      </c>
    </row>
    <row r="398" spans="1:9" ht="15" hidden="1" customHeight="1" x14ac:dyDescent="0.25">
      <c r="A398" s="8" t="s">
        <v>430</v>
      </c>
      <c r="B398" s="239">
        <v>2991111</v>
      </c>
      <c r="C398" s="240"/>
      <c r="E398" s="244">
        <f>+IFERROR(VLOOKUP(A398,'TB final'!$A$4:$P$727,11,0),0)</f>
        <v>2991111</v>
      </c>
      <c r="F398" s="244">
        <f>+IFERROR(VLOOKUP(A398,'TB final'!$A$4:$P$727,14,0),0)</f>
        <v>0</v>
      </c>
      <c r="G398" s="244">
        <f t="shared" si="12"/>
        <v>0</v>
      </c>
      <c r="H398" s="244">
        <f t="shared" si="12"/>
        <v>0</v>
      </c>
      <c r="I398" s="244">
        <f t="shared" si="13"/>
        <v>0</v>
      </c>
    </row>
    <row r="399" spans="1:9" ht="15" hidden="1" customHeight="1" x14ac:dyDescent="0.25">
      <c r="A399" s="8" t="s">
        <v>431</v>
      </c>
      <c r="B399" s="239">
        <v>332580</v>
      </c>
      <c r="C399" s="240"/>
      <c r="E399" s="244">
        <f>+IFERROR(VLOOKUP(A399,'TB final'!$A$4:$P$727,11,0),0)</f>
        <v>332580</v>
      </c>
      <c r="F399" s="244">
        <f>+IFERROR(VLOOKUP(A399,'TB final'!$A$4:$P$727,14,0),0)</f>
        <v>0</v>
      </c>
      <c r="G399" s="244">
        <f t="shared" si="12"/>
        <v>0</v>
      </c>
      <c r="H399" s="244">
        <f t="shared" si="12"/>
        <v>0</v>
      </c>
      <c r="I399" s="244">
        <f t="shared" si="13"/>
        <v>0</v>
      </c>
    </row>
    <row r="400" spans="1:9" ht="15" hidden="1" customHeight="1" x14ac:dyDescent="0.25">
      <c r="A400" s="8" t="s">
        <v>432</v>
      </c>
      <c r="B400" s="239">
        <v>254656</v>
      </c>
      <c r="C400" s="240"/>
      <c r="E400" s="244">
        <f>+IFERROR(VLOOKUP(A400,'TB final'!$A$4:$P$727,11,0),0)</f>
        <v>254656</v>
      </c>
      <c r="F400" s="244">
        <f>+IFERROR(VLOOKUP(A400,'TB final'!$A$4:$P$727,14,0),0)</f>
        <v>0</v>
      </c>
      <c r="G400" s="244">
        <f t="shared" si="12"/>
        <v>0</v>
      </c>
      <c r="H400" s="244">
        <f t="shared" si="12"/>
        <v>0</v>
      </c>
      <c r="I400" s="244">
        <f t="shared" si="13"/>
        <v>0</v>
      </c>
    </row>
    <row r="401" spans="1:9" ht="15" hidden="1" customHeight="1" x14ac:dyDescent="0.25">
      <c r="A401" s="8" t="s">
        <v>886</v>
      </c>
      <c r="B401" s="240"/>
      <c r="C401" s="239">
        <v>8130</v>
      </c>
      <c r="E401" s="244">
        <f>+IFERROR(VLOOKUP(A401,'TB final'!$A$4:$P$727,11,0),0)</f>
        <v>0</v>
      </c>
      <c r="F401" s="244">
        <f>+IFERROR(VLOOKUP(A401,'TB final'!$A$4:$P$727,14,0),0)</f>
        <v>8130</v>
      </c>
      <c r="G401" s="244">
        <f t="shared" si="12"/>
        <v>0</v>
      </c>
      <c r="H401" s="244">
        <f t="shared" si="12"/>
        <v>0</v>
      </c>
      <c r="I401" s="244">
        <f t="shared" si="13"/>
        <v>0</v>
      </c>
    </row>
    <row r="402" spans="1:9" ht="15" hidden="1" customHeight="1" x14ac:dyDescent="0.25">
      <c r="A402" s="8" t="s">
        <v>433</v>
      </c>
      <c r="B402" s="240"/>
      <c r="C402" s="239">
        <v>4434</v>
      </c>
      <c r="E402" s="244">
        <f>+IFERROR(VLOOKUP(A402,'TB final'!$A$4:$P$727,11,0),0)</f>
        <v>0</v>
      </c>
      <c r="F402" s="244">
        <f>+IFERROR(VLOOKUP(A402,'TB final'!$A$4:$P$727,14,0),0)</f>
        <v>4434</v>
      </c>
      <c r="G402" s="244">
        <f t="shared" si="12"/>
        <v>0</v>
      </c>
      <c r="H402" s="244">
        <f t="shared" si="12"/>
        <v>0</v>
      </c>
      <c r="I402" s="244">
        <f t="shared" si="13"/>
        <v>0</v>
      </c>
    </row>
    <row r="403" spans="1:9" ht="15" hidden="1" customHeight="1" x14ac:dyDescent="0.25">
      <c r="A403" s="8" t="s">
        <v>434</v>
      </c>
      <c r="B403" s="240"/>
      <c r="C403" s="239">
        <v>699844</v>
      </c>
      <c r="E403" s="244">
        <f>+IFERROR(VLOOKUP(A403,'TB final'!$A$4:$P$727,11,0),0)</f>
        <v>0</v>
      </c>
      <c r="F403" s="244">
        <f>+IFERROR(VLOOKUP(A403,'TB final'!$A$4:$P$727,14,0),0)</f>
        <v>699844</v>
      </c>
      <c r="G403" s="244">
        <f t="shared" si="12"/>
        <v>0</v>
      </c>
      <c r="H403" s="244">
        <f t="shared" si="12"/>
        <v>0</v>
      </c>
      <c r="I403" s="244">
        <f t="shared" si="13"/>
        <v>0</v>
      </c>
    </row>
    <row r="404" spans="1:9" ht="15" hidden="1" customHeight="1" x14ac:dyDescent="0.25">
      <c r="A404" s="8" t="s">
        <v>435</v>
      </c>
      <c r="B404" s="240"/>
      <c r="C404" s="239">
        <v>7780</v>
      </c>
      <c r="E404" s="244">
        <f>+IFERROR(VLOOKUP(A404,'TB final'!$A$4:$P$727,11,0),0)</f>
        <v>0</v>
      </c>
      <c r="F404" s="244">
        <f>+IFERROR(VLOOKUP(A404,'TB final'!$A$4:$P$727,14,0),0)</f>
        <v>7780</v>
      </c>
      <c r="G404" s="244">
        <f t="shared" si="12"/>
        <v>0</v>
      </c>
      <c r="H404" s="244">
        <f t="shared" si="12"/>
        <v>0</v>
      </c>
      <c r="I404" s="244">
        <f t="shared" si="13"/>
        <v>0</v>
      </c>
    </row>
    <row r="405" spans="1:9" ht="15" hidden="1" customHeight="1" x14ac:dyDescent="0.25">
      <c r="A405" s="8" t="s">
        <v>438</v>
      </c>
      <c r="B405" s="240"/>
      <c r="C405" s="239">
        <v>226800</v>
      </c>
      <c r="E405" s="244">
        <f>+IFERROR(VLOOKUP(A405,'TB final'!$A$4:$P$727,11,0),0)</f>
        <v>0</v>
      </c>
      <c r="F405" s="244">
        <f>+IFERROR(VLOOKUP(A405,'TB final'!$A$4:$P$727,14,0),0)</f>
        <v>226800</v>
      </c>
      <c r="G405" s="244">
        <f t="shared" si="12"/>
        <v>0</v>
      </c>
      <c r="H405" s="244">
        <f t="shared" si="12"/>
        <v>0</v>
      </c>
      <c r="I405" s="244">
        <f t="shared" si="13"/>
        <v>0</v>
      </c>
    </row>
    <row r="406" spans="1:9" ht="15" hidden="1" customHeight="1" x14ac:dyDescent="0.25">
      <c r="A406" s="8" t="s">
        <v>439</v>
      </c>
      <c r="B406" s="239">
        <v>199906.5</v>
      </c>
      <c r="C406" s="240"/>
      <c r="E406" s="244">
        <f>+IFERROR(VLOOKUP(A406,'TB final'!$A$4:$P$727,11,0),0)</f>
        <v>199906.5</v>
      </c>
      <c r="F406" s="244">
        <f>+IFERROR(VLOOKUP(A406,'TB final'!$A$4:$P$727,14,0),0)</f>
        <v>0</v>
      </c>
      <c r="G406" s="244">
        <f t="shared" si="12"/>
        <v>0</v>
      </c>
      <c r="H406" s="244">
        <f t="shared" si="12"/>
        <v>0</v>
      </c>
      <c r="I406" s="244">
        <f t="shared" si="13"/>
        <v>0</v>
      </c>
    </row>
    <row r="407" spans="1:9" ht="15" hidden="1" customHeight="1" x14ac:dyDescent="0.25">
      <c r="A407" s="8" t="s">
        <v>440</v>
      </c>
      <c r="B407" s="239">
        <v>6659960</v>
      </c>
      <c r="C407" s="240"/>
      <c r="E407" s="244">
        <f>+IFERROR(VLOOKUP(A407,'TB final'!$A$4:$P$727,11,0),0)</f>
        <v>6659960</v>
      </c>
      <c r="F407" s="244">
        <f>+IFERROR(VLOOKUP(A407,'TB final'!$A$4:$P$727,14,0),0)</f>
        <v>0</v>
      </c>
      <c r="G407" s="244">
        <f t="shared" si="12"/>
        <v>0</v>
      </c>
      <c r="H407" s="244">
        <f t="shared" si="12"/>
        <v>0</v>
      </c>
      <c r="I407" s="244">
        <f t="shared" si="13"/>
        <v>0</v>
      </c>
    </row>
    <row r="408" spans="1:9" ht="15" hidden="1" customHeight="1" x14ac:dyDescent="0.25">
      <c r="A408" s="8" t="s">
        <v>441</v>
      </c>
      <c r="B408" s="239">
        <v>237660256.5</v>
      </c>
      <c r="C408" s="240"/>
      <c r="E408" s="244">
        <f>+IFERROR(VLOOKUP(A408,'TB final'!$A$4:$P$727,11,0),0)</f>
        <v>237660256.5</v>
      </c>
      <c r="F408" s="244">
        <f>+IFERROR(VLOOKUP(A408,'TB final'!$A$4:$P$727,14,0),0)</f>
        <v>0</v>
      </c>
      <c r="G408" s="244">
        <f t="shared" si="12"/>
        <v>0</v>
      </c>
      <c r="H408" s="244">
        <f t="shared" si="12"/>
        <v>0</v>
      </c>
      <c r="I408" s="244">
        <f t="shared" si="13"/>
        <v>0</v>
      </c>
    </row>
    <row r="409" spans="1:9" ht="15" hidden="1" customHeight="1" x14ac:dyDescent="0.25">
      <c r="A409" s="8" t="s">
        <v>442</v>
      </c>
      <c r="B409" s="240"/>
      <c r="C409" s="239">
        <v>841449.98</v>
      </c>
      <c r="E409" s="244">
        <f>+IFERROR(VLOOKUP(A409,'TB final'!$A$4:$P$727,11,0),0)</f>
        <v>0</v>
      </c>
      <c r="F409" s="244">
        <f>+IFERROR(VLOOKUP(A409,'TB final'!$A$4:$P$727,14,0),0)</f>
        <v>841449.98</v>
      </c>
      <c r="G409" s="244">
        <f t="shared" si="12"/>
        <v>0</v>
      </c>
      <c r="H409" s="244">
        <f t="shared" si="12"/>
        <v>0</v>
      </c>
      <c r="I409" s="244">
        <f t="shared" si="13"/>
        <v>0</v>
      </c>
    </row>
    <row r="410" spans="1:9" ht="15" hidden="1" customHeight="1" x14ac:dyDescent="0.25">
      <c r="A410" s="8" t="s">
        <v>443</v>
      </c>
      <c r="B410" s="239">
        <v>172560</v>
      </c>
      <c r="C410" s="240"/>
      <c r="E410" s="244">
        <f>+IFERROR(VLOOKUP(A410,'TB final'!$A$4:$P$727,11,0),0)</f>
        <v>172560</v>
      </c>
      <c r="F410" s="244">
        <f>+IFERROR(VLOOKUP(A410,'TB final'!$A$4:$P$727,14,0),0)</f>
        <v>0</v>
      </c>
      <c r="G410" s="244">
        <f t="shared" si="12"/>
        <v>0</v>
      </c>
      <c r="H410" s="244">
        <f t="shared" si="12"/>
        <v>0</v>
      </c>
      <c r="I410" s="244">
        <f t="shared" si="13"/>
        <v>0</v>
      </c>
    </row>
    <row r="411" spans="1:9" ht="15" hidden="1" customHeight="1" x14ac:dyDescent="0.25">
      <c r="A411" s="8" t="s">
        <v>444</v>
      </c>
      <c r="B411" s="239">
        <v>229919.2</v>
      </c>
      <c r="C411" s="240"/>
      <c r="E411" s="244">
        <f>+IFERROR(VLOOKUP(A411,'TB final'!$A$4:$P$727,11,0),0)</f>
        <v>229919.2</v>
      </c>
      <c r="F411" s="244">
        <f>+IFERROR(VLOOKUP(A411,'TB final'!$A$4:$P$727,14,0),0)</f>
        <v>0</v>
      </c>
      <c r="G411" s="244">
        <f t="shared" si="12"/>
        <v>0</v>
      </c>
      <c r="H411" s="244">
        <f t="shared" si="12"/>
        <v>0</v>
      </c>
      <c r="I411" s="244">
        <f t="shared" si="13"/>
        <v>0</v>
      </c>
    </row>
    <row r="412" spans="1:9" ht="15" hidden="1" customHeight="1" x14ac:dyDescent="0.25">
      <c r="A412" s="8" t="s">
        <v>894</v>
      </c>
      <c r="B412" s="240"/>
      <c r="C412" s="239">
        <v>52406</v>
      </c>
      <c r="E412" s="244">
        <f>+IFERROR(VLOOKUP(A412,'TB final'!$A$4:$P$727,11,0),0)</f>
        <v>0</v>
      </c>
      <c r="F412" s="244">
        <f>+IFERROR(VLOOKUP(A412,'TB final'!$A$4:$P$727,14,0),0)</f>
        <v>52406</v>
      </c>
      <c r="G412" s="244">
        <f t="shared" si="12"/>
        <v>0</v>
      </c>
      <c r="H412" s="244">
        <f t="shared" si="12"/>
        <v>0</v>
      </c>
      <c r="I412" s="244">
        <f t="shared" si="13"/>
        <v>0</v>
      </c>
    </row>
    <row r="413" spans="1:9" ht="15" hidden="1" customHeight="1" x14ac:dyDescent="0.25">
      <c r="A413" s="8" t="s">
        <v>445</v>
      </c>
      <c r="B413" s="239">
        <v>5716</v>
      </c>
      <c r="C413" s="240"/>
      <c r="E413" s="244">
        <f>+IFERROR(VLOOKUP(A413,'TB final'!$A$4:$P$727,11,0),0)</f>
        <v>5716</v>
      </c>
      <c r="F413" s="244">
        <f>+IFERROR(VLOOKUP(A413,'TB final'!$A$4:$P$727,14,0),0)</f>
        <v>0</v>
      </c>
      <c r="G413" s="244">
        <f t="shared" si="12"/>
        <v>0</v>
      </c>
      <c r="H413" s="244">
        <f t="shared" si="12"/>
        <v>0</v>
      </c>
      <c r="I413" s="244">
        <f t="shared" si="13"/>
        <v>0</v>
      </c>
    </row>
    <row r="414" spans="1:9" hidden="1" x14ac:dyDescent="0.25">
      <c r="A414" s="8" t="s">
        <v>447</v>
      </c>
      <c r="B414" s="239">
        <v>18060676</v>
      </c>
      <c r="C414" s="240"/>
      <c r="E414" s="244">
        <f>+IFERROR(VLOOKUP(A414,'TB final'!$A$4:$P$727,11,0),0)</f>
        <v>18060676</v>
      </c>
      <c r="F414" s="244">
        <f>+IFERROR(VLOOKUP(A414,'TB final'!$A$4:$P$727,14,0),0)</f>
        <v>0</v>
      </c>
      <c r="G414" s="244">
        <f t="shared" ref="G414:H415" si="14">+B414-E414</f>
        <v>0</v>
      </c>
      <c r="H414" s="244">
        <f t="shared" si="14"/>
        <v>0</v>
      </c>
      <c r="I414" s="244">
        <f t="shared" si="13"/>
        <v>0</v>
      </c>
    </row>
    <row r="415" spans="1:9" hidden="1" x14ac:dyDescent="0.25">
      <c r="A415" s="241" t="s">
        <v>450</v>
      </c>
      <c r="B415" s="242">
        <v>1255100493.1099999</v>
      </c>
      <c r="C415" s="242">
        <v>1255100493.1099999</v>
      </c>
      <c r="E415" s="244">
        <f>+IFERROR(VLOOKUP(A415,'[71]TB MAIN'!$A$4:$J$541,7,0),0)</f>
        <v>0</v>
      </c>
      <c r="F415" s="244">
        <f>+IFERROR(VLOOKUP(A415,'[71]TB MAIN'!$A$4:$J$541,10,0),0)</f>
        <v>0</v>
      </c>
      <c r="G415" s="244">
        <f t="shared" si="14"/>
        <v>1255100493.1099999</v>
      </c>
      <c r="H415" s="244">
        <f t="shared" si="14"/>
        <v>1255100493.1099999</v>
      </c>
      <c r="I415" s="244">
        <f t="shared" si="13"/>
        <v>2510200986.2199998</v>
      </c>
    </row>
  </sheetData>
  <autoFilter ref="A11:I415" xr:uid="{00000000-0009-0000-0000-00001E000000}">
    <filterColumn colId="0">
      <filters>
        <filter val="CGST Payable ( F.Y. 2019-20 )"/>
        <filter val="GST Annual Filing Chgs. FY 17-18"/>
        <filter val="GST AUDIT FEES"/>
        <filter val="GST Audit Fees A. Y. 2019-2020"/>
        <filter val="GST Audit Fees F.Y.2018-19"/>
        <filter val="GST Audit Fees Payable"/>
        <filter val="GST E-Return Charges"/>
        <filter val="IGST Payable ( F. Y. 2019-20 )"/>
        <filter val="Interest on CGST"/>
        <filter val="Interest On IGST"/>
        <filter val="Interest on SGST"/>
        <filter val="Non -Eligible GST (Disallowed)"/>
        <filter val="Other Charges : Chemical (NON-GST)"/>
        <filter val="Other Charges : Packing (Non-GST)"/>
        <filter val="RCM CGST PAYABLE"/>
        <filter val="RCM IGST PAYABLE"/>
        <filter val="RCM SGST PAYABLE"/>
        <filter val="SALES A/C GST"/>
        <filter val="Sales Return Account (GST Sales)"/>
        <filter val="SGST Payable ( F. Y. 2019-20 )"/>
      </filters>
    </filterColumn>
  </autoFilter>
  <customSheetViews>
    <customSheetView guid="{334DC1DD-AD60-4D12-A532-9CEE6201A253}" filter="1" showAutoFilter="1">
      <pane ySplit="51" topLeftCell="A53" activePane="bottomLeft" state="frozen"/>
      <selection pane="bottomLeft" activeCell="B132" sqref="B132:B134"/>
      <pageMargins left="0.7" right="0.7" top="0.75" bottom="0.75" header="0.3" footer="0.3"/>
      <autoFilter ref="A11:I415" xr:uid="{3BAC7071-8627-45EB-A877-86ACA1F6987C}">
        <filterColumn colId="0">
          <filters>
            <filter val="CGST Payable ( F.Y. 2019-20 )"/>
            <filter val="GST Annual Filing Chgs. FY 17-18"/>
            <filter val="GST AUDIT FEES"/>
            <filter val="GST Audit Fees A. Y. 2019-2020"/>
            <filter val="GST Audit Fees F.Y.2018-19"/>
            <filter val="GST Audit Fees Payable"/>
            <filter val="GST E-Return Charges"/>
            <filter val="IGST Payable ( F. Y. 2019-20 )"/>
            <filter val="Interest on CGST"/>
            <filter val="Interest On IGST"/>
            <filter val="Interest on SGST"/>
            <filter val="Non -Eligible GST (Disallowed)"/>
            <filter val="Other Charges : Chemical (NON-GST)"/>
            <filter val="Other Charges : Packing (Non-GST)"/>
            <filter val="RCM CGST PAYABLE"/>
            <filter val="RCM IGST PAYABLE"/>
            <filter val="RCM SGST PAYABLE"/>
            <filter val="SALES A/C GST"/>
            <filter val="Sales Return Account (GST Sales)"/>
            <filter val="SGST Payable ( F. Y. 2019-20 )"/>
          </filters>
        </filterColumn>
      </autoFilter>
    </customSheetView>
    <customSheetView guid="{BD5AA3B3-719E-4481-B722-8DE3E8101662}" filter="1" showAutoFilter="1">
      <pane ySplit="51" topLeftCell="A53" activePane="bottomLeft" state="frozen"/>
      <selection pane="bottomLeft" activeCell="B132" sqref="B132:B134"/>
      <pageMargins left="0.7" right="0.7" top="0.75" bottom="0.75" header="0.3" footer="0.3"/>
      <autoFilter ref="A11:I415" xr:uid="{A403E75D-0F1F-456E-972F-FE9E039AFBA6}">
        <filterColumn colId="0">
          <filters>
            <filter val="CGST Payable ( F.Y. 2019-20 )"/>
            <filter val="GST Annual Filing Chgs. FY 17-18"/>
            <filter val="GST AUDIT FEES"/>
            <filter val="GST Audit Fees A. Y. 2019-2020"/>
            <filter val="GST Audit Fees F.Y.2018-19"/>
            <filter val="GST Audit Fees Payable"/>
            <filter val="GST E-Return Charges"/>
            <filter val="IGST Payable ( F. Y. 2019-20 )"/>
            <filter val="Interest on CGST"/>
            <filter val="Interest On IGST"/>
            <filter val="Interest on SGST"/>
            <filter val="Non -Eligible GST (Disallowed)"/>
            <filter val="Other Charges : Chemical (NON-GST)"/>
            <filter val="Other Charges : Packing (Non-GST)"/>
            <filter val="RCM CGST PAYABLE"/>
            <filter val="RCM IGST PAYABLE"/>
            <filter val="RCM SGST PAYABLE"/>
            <filter val="SALES A/C GST"/>
            <filter val="Sales Return Account (GST Sales)"/>
            <filter val="SGST Payable ( F. Y. 2019-20 )"/>
          </filters>
        </filterColumn>
      </autoFilter>
    </customSheetView>
  </customSheetViews>
  <mergeCells count="10">
    <mergeCell ref="A7:C7"/>
    <mergeCell ref="B8:C8"/>
    <mergeCell ref="B9:C9"/>
    <mergeCell ref="B10:C10"/>
    <mergeCell ref="A1:C1"/>
    <mergeCell ref="A2:C2"/>
    <mergeCell ref="A3:C3"/>
    <mergeCell ref="A4:C4"/>
    <mergeCell ref="A5:C5"/>
    <mergeCell ref="A6:C6"/>
  </mergeCells>
  <pageMargins left="0.7" right="0.7" top="0.75" bottom="0.75" header="0.3" footer="0.3"/>
  <pageSetup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3:D9"/>
  <sheetViews>
    <sheetView workbookViewId="0">
      <selection activeCell="C4" sqref="C4"/>
    </sheetView>
  </sheetViews>
  <sheetFormatPr defaultRowHeight="15" x14ac:dyDescent="0.25"/>
  <cols>
    <col min="3" max="3" width="17.85546875" bestFit="1" customWidth="1"/>
    <col min="4" max="4" width="77.7109375" bestFit="1" customWidth="1"/>
  </cols>
  <sheetData>
    <row r="3" spans="2:4" x14ac:dyDescent="0.25">
      <c r="C3" t="s">
        <v>9</v>
      </c>
      <c r="D3" t="s">
        <v>1412</v>
      </c>
    </row>
    <row r="4" spans="2:4" x14ac:dyDescent="0.25">
      <c r="B4">
        <v>1</v>
      </c>
      <c r="C4" t="s">
        <v>1411</v>
      </c>
      <c r="D4" t="s">
        <v>1413</v>
      </c>
    </row>
    <row r="5" spans="2:4" x14ac:dyDescent="0.25">
      <c r="B5">
        <v>2</v>
      </c>
      <c r="C5" t="s">
        <v>1428</v>
      </c>
      <c r="D5" t="s">
        <v>1429</v>
      </c>
    </row>
    <row r="6" spans="2:4" x14ac:dyDescent="0.25">
      <c r="B6">
        <v>3</v>
      </c>
      <c r="C6" t="s">
        <v>1430</v>
      </c>
      <c r="D6" t="s">
        <v>1431</v>
      </c>
    </row>
    <row r="7" spans="2:4" x14ac:dyDescent="0.25">
      <c r="B7">
        <v>4</v>
      </c>
      <c r="C7" t="s">
        <v>1065</v>
      </c>
      <c r="D7" t="s">
        <v>1432</v>
      </c>
    </row>
    <row r="8" spans="2:4" x14ac:dyDescent="0.25">
      <c r="B8">
        <v>5</v>
      </c>
      <c r="C8" t="s">
        <v>1068</v>
      </c>
      <c r="D8" t="s">
        <v>1433</v>
      </c>
    </row>
    <row r="9" spans="2:4" x14ac:dyDescent="0.25">
      <c r="B9">
        <v>6</v>
      </c>
      <c r="C9" t="s">
        <v>460</v>
      </c>
      <c r="D9" t="s">
        <v>1434</v>
      </c>
    </row>
  </sheetData>
  <customSheetViews>
    <customSheetView guid="{334DC1DD-AD60-4D12-A532-9CEE6201A253}">
      <selection activeCell="C4" sqref="C4"/>
      <pageMargins left="0.7" right="0.7" top="0.75" bottom="0.75" header="0.3" footer="0.3"/>
      <pageSetup orientation="portrait" horizontalDpi="0" verticalDpi="0" r:id="rId1"/>
    </customSheetView>
    <customSheetView guid="{BD5AA3B3-719E-4481-B722-8DE3E8101662}">
      <selection activeCell="C4" sqref="C4"/>
      <pageMargins left="0.7" right="0.7" top="0.75" bottom="0.75" header="0.3" footer="0.3"/>
      <pageSetup orientation="portrait" horizontalDpi="0" verticalDpi="0" r:id="rId2"/>
    </customSheetView>
  </customSheetViews>
  <pageMargins left="0.7" right="0.7" top="0.75" bottom="0.75" header="0.3" footer="0.3"/>
  <pageSetup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15</vt:i4>
      </vt:variant>
    </vt:vector>
  </HeadingPairs>
  <TitlesOfParts>
    <vt:vector size="47" baseType="lpstr">
      <vt:lpstr>Result 1</vt:lpstr>
      <vt:lpstr>Result 2</vt:lpstr>
      <vt:lpstr>Result1</vt:lpstr>
      <vt:lpstr>Result 3</vt:lpstr>
      <vt:lpstr>Cash Flow</vt:lpstr>
      <vt:lpstr>BSPL</vt:lpstr>
      <vt:lpstr>Pivot</vt:lpstr>
      <vt:lpstr>TB final</vt:lpstr>
      <vt:lpstr>Trial Balance</vt:lpstr>
      <vt:lpstr>CLOSING STOCK AS ON 31-03-21</vt:lpstr>
      <vt:lpstr>PPE</vt:lpstr>
      <vt:lpstr>DT</vt:lpstr>
      <vt:lpstr>COI</vt:lpstr>
      <vt:lpstr>IT Dep</vt:lpstr>
      <vt:lpstr>Prepaid Ins</vt:lpstr>
      <vt:lpstr>Advance for Capital Goods</vt:lpstr>
      <vt:lpstr>FDR</vt:lpstr>
      <vt:lpstr>Ratios</vt:lpstr>
      <vt:lpstr>FG Valuation</vt:lpstr>
      <vt:lpstr>Loans to staff</vt:lpstr>
      <vt:lpstr>PSI Bifurcation</vt:lpstr>
      <vt:lpstr>Cost Sheet</vt:lpstr>
      <vt:lpstr>Term Loan</vt:lpstr>
      <vt:lpstr>Share Holding</vt:lpstr>
      <vt:lpstr>Unsecured Loan</vt:lpstr>
      <vt:lpstr>Debtor's Ageing 2020-21</vt:lpstr>
      <vt:lpstr>TB18.06</vt:lpstr>
      <vt:lpstr>TB09.06.21</vt:lpstr>
      <vt:lpstr>TB 28.5.21</vt:lpstr>
      <vt:lpstr>TB 03.06.21</vt:lpstr>
      <vt:lpstr>TB2019-20</vt:lpstr>
      <vt:lpstr>Requirements</vt:lpstr>
      <vt:lpstr>'Advance for Capital Goods'!Print_Area</vt:lpstr>
      <vt:lpstr>BSPL!Print_Area</vt:lpstr>
      <vt:lpstr>'Cash Flow'!Print_Area</vt:lpstr>
      <vt:lpstr>'CLOSING STOCK AS ON 31-03-21'!Print_Area</vt:lpstr>
      <vt:lpstr>COI!Print_Area</vt:lpstr>
      <vt:lpstr>DT!Print_Area</vt:lpstr>
      <vt:lpstr>FDR!Print_Area</vt:lpstr>
      <vt:lpstr>'IT Dep'!Print_Area</vt:lpstr>
      <vt:lpstr>PPE!Print_Area</vt:lpstr>
      <vt:lpstr>'Prepaid Ins'!Print_Area</vt:lpstr>
      <vt:lpstr>'PSI Bifurcation'!Print_Area</vt:lpstr>
      <vt:lpstr>'Result 1'!Print_Area</vt:lpstr>
      <vt:lpstr>'Result 2'!Print_Area</vt:lpstr>
      <vt:lpstr>'Result 3'!Print_Area</vt:lpstr>
      <vt:lpstr>Result1!Print_Area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cp:lastPrinted>2021-06-21T07:41:44Z</cp:lastPrinted>
  <dcterms:created xsi:type="dcterms:W3CDTF">2021-04-22T14:48:18Z</dcterms:created>
  <dcterms:modified xsi:type="dcterms:W3CDTF">2024-07-10T11:17:25Z</dcterms:modified>
</cp:coreProperties>
</file>